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00.xml"/>
  <Override ContentType="application/vnd.openxmlformats-officedocument.spreadsheetml.externalLink+xml" PartName="/xl/externalLinks/externalLink101.xml"/>
  <Override ContentType="application/vnd.openxmlformats-officedocument.spreadsheetml.externalLink+xml" PartName="/xl/externalLinks/externalLink102.xml"/>
  <Override ContentType="application/vnd.openxmlformats-officedocument.spreadsheetml.externalLink+xml" PartName="/xl/externalLinks/externalLink103.xml"/>
  <Override ContentType="application/vnd.openxmlformats-officedocument.spreadsheetml.externalLink+xml" PartName="/xl/externalLinks/externalLink104.xml"/>
  <Override ContentType="application/vnd.openxmlformats-officedocument.spreadsheetml.externalLink+xml" PartName="/xl/externalLinks/externalLink105.xml"/>
  <Override ContentType="application/vnd.openxmlformats-officedocument.spreadsheetml.externalLink+xml" PartName="/xl/externalLinks/externalLink106.xml"/>
  <Override ContentType="application/vnd.openxmlformats-officedocument.spreadsheetml.externalLink+xml" PartName="/xl/externalLinks/externalLink107.xml"/>
  <Override ContentType="application/vnd.openxmlformats-officedocument.spreadsheetml.externalLink+xml" PartName="/xl/externalLinks/externalLink108.xml"/>
  <Override ContentType="application/vnd.openxmlformats-officedocument.spreadsheetml.externalLink+xml" PartName="/xl/externalLinks/externalLink109.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60.xml"/>
  <Override ContentType="application/vnd.openxmlformats-officedocument.spreadsheetml.externalLink+xml" PartName="/xl/externalLinks/externalLink61.xml"/>
  <Override ContentType="application/vnd.openxmlformats-officedocument.spreadsheetml.externalLink+xml" PartName="/xl/externalLinks/externalLink62.xml"/>
  <Override ContentType="application/vnd.openxmlformats-officedocument.spreadsheetml.externalLink+xml" PartName="/xl/externalLinks/externalLink63.xml"/>
  <Override ContentType="application/vnd.openxmlformats-officedocument.spreadsheetml.externalLink+xml" PartName="/xl/externalLinks/externalLink64.xml"/>
  <Override ContentType="application/vnd.openxmlformats-officedocument.spreadsheetml.externalLink+xml" PartName="/xl/externalLinks/externalLink65.xml"/>
  <Override ContentType="application/vnd.openxmlformats-officedocument.spreadsheetml.externalLink+xml" PartName="/xl/externalLinks/externalLink66.xml"/>
  <Override ContentType="application/vnd.openxmlformats-officedocument.spreadsheetml.externalLink+xml" PartName="/xl/externalLinks/externalLink67.xml"/>
  <Override ContentType="application/vnd.openxmlformats-officedocument.spreadsheetml.externalLink+xml" PartName="/xl/externalLinks/externalLink68.xml"/>
  <Override ContentType="application/vnd.openxmlformats-officedocument.spreadsheetml.externalLink+xml" PartName="/xl/externalLinks/externalLink69.xml"/>
  <Override ContentType="application/vnd.openxmlformats-officedocument.spreadsheetml.externalLink+xml" PartName="/xl/externalLinks/externalLink7.xml"/>
  <Override ContentType="application/vnd.openxmlformats-officedocument.spreadsheetml.externalLink+xml" PartName="/xl/externalLinks/externalLink70.xml"/>
  <Override ContentType="application/vnd.openxmlformats-officedocument.spreadsheetml.externalLink+xml" PartName="/xl/externalLinks/externalLink71.xml"/>
  <Override ContentType="application/vnd.openxmlformats-officedocument.spreadsheetml.externalLink+xml" PartName="/xl/externalLinks/externalLink72.xml"/>
  <Override ContentType="application/vnd.openxmlformats-officedocument.spreadsheetml.externalLink+xml" PartName="/xl/externalLinks/externalLink73.xml"/>
  <Override ContentType="application/vnd.openxmlformats-officedocument.spreadsheetml.externalLink+xml" PartName="/xl/externalLinks/externalLink74.xml"/>
  <Override ContentType="application/vnd.openxmlformats-officedocument.spreadsheetml.externalLink+xml" PartName="/xl/externalLinks/externalLink75.xml"/>
  <Override ContentType="application/vnd.openxmlformats-officedocument.spreadsheetml.externalLink+xml" PartName="/xl/externalLinks/externalLink76.xml"/>
  <Override ContentType="application/vnd.openxmlformats-officedocument.spreadsheetml.externalLink+xml" PartName="/xl/externalLinks/externalLink77.xml"/>
  <Override ContentType="application/vnd.openxmlformats-officedocument.spreadsheetml.externalLink+xml" PartName="/xl/externalLinks/externalLink78.xml"/>
  <Override ContentType="application/vnd.openxmlformats-officedocument.spreadsheetml.externalLink+xml" PartName="/xl/externalLinks/externalLink79.xml"/>
  <Override ContentType="application/vnd.openxmlformats-officedocument.spreadsheetml.externalLink+xml" PartName="/xl/externalLinks/externalLink8.xml"/>
  <Override ContentType="application/vnd.openxmlformats-officedocument.spreadsheetml.externalLink+xml" PartName="/xl/externalLinks/externalLink80.xml"/>
  <Override ContentType="application/vnd.openxmlformats-officedocument.spreadsheetml.externalLink+xml" PartName="/xl/externalLinks/externalLink81.xml"/>
  <Override ContentType="application/vnd.openxmlformats-officedocument.spreadsheetml.externalLink+xml" PartName="/xl/externalLinks/externalLink82.xml"/>
  <Override ContentType="application/vnd.openxmlformats-officedocument.spreadsheetml.externalLink+xml" PartName="/xl/externalLinks/externalLink83.xml"/>
  <Override ContentType="application/vnd.openxmlformats-officedocument.spreadsheetml.externalLink+xml" PartName="/xl/externalLinks/externalLink84.xml"/>
  <Override ContentType="application/vnd.openxmlformats-officedocument.spreadsheetml.externalLink+xml" PartName="/xl/externalLinks/externalLink85.xml"/>
  <Override ContentType="application/vnd.openxmlformats-officedocument.spreadsheetml.externalLink+xml" PartName="/xl/externalLinks/externalLink86.xml"/>
  <Override ContentType="application/vnd.openxmlformats-officedocument.spreadsheetml.externalLink+xml" PartName="/xl/externalLinks/externalLink87.xml"/>
  <Override ContentType="application/vnd.openxmlformats-officedocument.spreadsheetml.externalLink+xml" PartName="/xl/externalLinks/externalLink88.xml"/>
  <Override ContentType="application/vnd.openxmlformats-officedocument.spreadsheetml.externalLink+xml" PartName="/xl/externalLinks/externalLink89.xml"/>
  <Override ContentType="application/vnd.openxmlformats-officedocument.spreadsheetml.externalLink+xml" PartName="/xl/externalLinks/externalLink9.xml"/>
  <Override ContentType="application/vnd.openxmlformats-officedocument.spreadsheetml.externalLink+xml" PartName="/xl/externalLinks/externalLink90.xml"/>
  <Override ContentType="application/vnd.openxmlformats-officedocument.spreadsheetml.externalLink+xml" PartName="/xl/externalLinks/externalLink91.xml"/>
  <Override ContentType="application/vnd.openxmlformats-officedocument.spreadsheetml.externalLink+xml" PartName="/xl/externalLinks/externalLink92.xml"/>
  <Override ContentType="application/vnd.openxmlformats-officedocument.spreadsheetml.externalLink+xml" PartName="/xl/externalLinks/externalLink93.xml"/>
  <Override ContentType="application/vnd.openxmlformats-officedocument.spreadsheetml.externalLink+xml" PartName="/xl/externalLinks/externalLink94.xml"/>
  <Override ContentType="application/vnd.openxmlformats-officedocument.spreadsheetml.externalLink+xml" PartName="/xl/externalLinks/externalLink95.xml"/>
  <Override ContentType="application/vnd.openxmlformats-officedocument.spreadsheetml.externalLink+xml" PartName="/xl/externalLinks/externalLink96.xml"/>
  <Override ContentType="application/vnd.openxmlformats-officedocument.spreadsheetml.externalLink+xml" PartName="/xl/externalLinks/externalLink97.xml"/>
  <Override ContentType="application/vnd.openxmlformats-officedocument.spreadsheetml.externalLink+xml" PartName="/xl/externalLinks/externalLink98.xml"/>
  <Override ContentType="application/vnd.openxmlformats-officedocument.spreadsheetml.externalLink+xml" PartName="/xl/externalLinks/externalLink9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8710" yWindow="-360" windowWidth="24210" windowHeight="12015" tabRatio="786"/>
  </bookViews>
  <sheets>
    <sheet name="ImportantDisclosures" sheetId="34" r:id="rId1"/>
    <sheet name="CircularReferenceAlert" sheetId="37" r:id="rId2"/>
    <sheet name="Sales" sheetId="1" r:id="rId3"/>
    <sheet name="IS" sheetId="2" r:id="rId4"/>
    <sheet name="BS" sheetId="3" r:id="rId5"/>
    <sheet name="CF" sheetId="4" r:id="rId6"/>
    <sheet name="IndexInformation" sheetId="35" r:id="rId7"/>
    <sheet name="ModPubIndex" sheetId="36" r:id="rId8"/>
    <sheet name="MW-Cache" sheetId="21" state="very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s>
  <definedNames>
    <definedName name="__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_DPS01">[1]WELLA_YEAR!$G$25</definedName>
    <definedName name="____DPS05">[1]WELLA_YEAR!$O$25</definedName>
    <definedName name="____ds2">OFFSET('[2]Europe - LC Sales Growth'!$AA$12,0,0,COUNTIF('[2]Europe - LC Sales Growth'!$Z$12:$Z$1232,"&lt;&gt;false"),1)</definedName>
    <definedName name="____ds3">OFFSET('[2]Europe - LC Sales Growth'!$Z$12,0,0,COUNTIF('[2]Europe - LC Sales Growth'!$Z$12:$Z$1232,"&lt;&gt;false"),1)</definedName>
    <definedName name="____ds6">INDEX(MktCapLst,[3]Val_MW!$Y$1)</definedName>
    <definedName name="____EPS01">'[4]P&amp;L'!$G$25</definedName>
    <definedName name="____EPS05">'[5]P&amp;L'!$O$35</definedName>
    <definedName name="____irr1">'[6]LBO Summary'!$O$18</definedName>
    <definedName name="____Pr1">[7]Breakup!$A$1:$L$34</definedName>
    <definedName name="____prt1">[7]Breakup!$A$1:$L$34</definedName>
    <definedName name="____ROE01">[5]Ratios!$E$14</definedName>
    <definedName name="____ROE02">[5]Ratios!$F$14</definedName>
    <definedName name="____ROE03">[5]Ratios!$G$14</definedName>
    <definedName name="____ROE04">[5]Ratios!$H$14</definedName>
    <definedName name="____ROE05">[5]Ratios!$I$14</definedName>
    <definedName name="____ROE06">[5]Ratios!$J$14</definedName>
    <definedName name="_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Acq1">[8]Inputs!$F$11</definedName>
    <definedName name="___CMS1">{"CMS"}</definedName>
    <definedName name="___DCF1" hidden="1">{#N/A,#N/A,FALSE,"DCF Summary";#N/A,#N/A,FALSE,"Casema";#N/A,#N/A,FALSE,"Casema NoTel";#N/A,#N/A,FALSE,"UK";#N/A,#N/A,FALSE,"RCF";#N/A,#N/A,FALSE,"Intercable CZ";#N/A,#N/A,FALSE,"Interkabel P"}</definedName>
    <definedName name="__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_DPS01">[1]WELLA_YEAR!$G$25</definedName>
    <definedName name="___DPS05">[1]WELLA_YEAR!$O$25</definedName>
    <definedName name="___ds2">OFFSET('[2]Europe - LC Sales Growth'!$AA$12,0,0,COUNTIF('[2]Europe - LC Sales Growth'!$Z$12:$Z$1232,"&lt;&gt;false"),1)</definedName>
    <definedName name="___ds3">OFFSET('[2]Europe - LC Sales Growth'!$Z$12,0,0,COUNTIF('[2]Europe - LC Sales Growth'!$Z$12:$Z$1232,"&lt;&gt;false"),1)</definedName>
    <definedName name="___ds6">INDEX(MktCapLst,[3]Val_MW!$Y$1)</definedName>
    <definedName name="___ds66">INDEX(MktCapLst,[3]Val_MW!$Y$1)</definedName>
    <definedName name="___EPS01">'[4]P&amp;L'!$G$25</definedName>
    <definedName name="___EPS05">'[5]P&amp;L'!$O$35</definedName>
    <definedName name="___irr1">'[6]LBO Summary'!$O$18</definedName>
    <definedName name="___PL5">[9]Bakery!$A$1:$B$75</definedName>
    <definedName name="___Pr1">[7]Breakup!$A$1:$L$34</definedName>
    <definedName name="___prt1">[7]Breakup!$A$1:$L$34</definedName>
    <definedName name="___qw2" hidden="1">{0,0,0,0;0,0,0,0;0,0,0,0;0,0,0,0;0,0,0,0;0,0,0,0}</definedName>
    <definedName name="___ROE01">[5]Ratios!$E$14</definedName>
    <definedName name="___ROE02">[5]Ratios!$F$14</definedName>
    <definedName name="___ROE03">[5]Ratios!$G$14</definedName>
    <definedName name="___ROE04">[5]Ratios!$H$14</definedName>
    <definedName name="___ROE05">[5]Ratios!$I$14</definedName>
    <definedName name="___ROE06">[5]Ratios!$J$14</definedName>
    <definedName name="___Tar1">[8]Inputs!$F$13</definedName>
    <definedName name="___w2" hidden="1">{"Model Summary",#N/A,FALSE,"Print Chart";"Holdco",#N/A,FALSE,"Print Chart";"Genco",#N/A,FALSE,"Print Chart";"Servco",#N/A,FALSE,"Print Chart";"Genco_Detail",#N/A,FALSE,"Summary Financials";"Servco_Detail",#N/A,FALSE,"Summary Financials"}</definedName>
    <definedName name="__123Graph_AChart2" hidden="1">#N/A</definedName>
    <definedName name="__123Graph_AChart3" hidden="1">#N/A</definedName>
    <definedName name="__123Graph_AChart4" hidden="1">#N/A</definedName>
    <definedName name="__123Graph_BChart1" hidden="1">#N/A</definedName>
    <definedName name="__123Graph_BChart2" hidden="1">#N/A</definedName>
    <definedName name="__123Graph_BChart3" hidden="1">#N/A</definedName>
    <definedName name="__123Graph_BChart4" hidden="1">#N/A</definedName>
    <definedName name="__123Graph_BCurrent" hidden="1">#N/A</definedName>
    <definedName name="__123Graph_CChart1" hidden="1">#N/A</definedName>
    <definedName name="__123Graph_CChart2" hidden="1">#N/A</definedName>
    <definedName name="__123Graph_CChart3" hidden="1">#N/A</definedName>
    <definedName name="__123Graph_CChart4" hidden="1">#N/A</definedName>
    <definedName name="__123Graph_CCurrent" hidden="1">#N/A</definedName>
    <definedName name="__123Graph_DChart1" hidden="1">#N/A</definedName>
    <definedName name="__123Graph_DChart2" hidden="1">#N/A</definedName>
    <definedName name="__123Graph_DChart3" hidden="1">#N/A</definedName>
    <definedName name="__123Graph_DChart4" hidden="1">#N/A</definedName>
    <definedName name="__123Graph_DCurrent" hidden="1">#N/A</definedName>
    <definedName name="__123Graph_E" hidden="1">#N/A</definedName>
    <definedName name="__123Graph_EChart1" hidden="1">#N/A</definedName>
    <definedName name="__123Graph_EChart2" hidden="1">#N/A</definedName>
    <definedName name="__123Graph_EChart3" hidden="1">#N/A</definedName>
    <definedName name="__123Graph_EChart4" hidden="1">#N/A</definedName>
    <definedName name="__123Graph_ECurrent" hidden="1">#N/A</definedName>
    <definedName name="__123Graph_F" hidden="1">#N/A</definedName>
    <definedName name="__123Graph_FChart1" hidden="1">#N/A</definedName>
    <definedName name="__123Graph_FChart2" hidden="1">#N/A</definedName>
    <definedName name="__123Graph_FChart3" hidden="1">#N/A</definedName>
    <definedName name="__123Graph_FChart4" hidden="1">#N/A</definedName>
    <definedName name="__123Graph_FCurrent" hidden="1">#N/A</definedName>
    <definedName name="__123Graph_XCurrent" hidden="1">#N/A</definedName>
    <definedName name="_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Acq1">[8]Inputs!$F$11</definedName>
    <definedName name="__CMS1">{"CMS"}</definedName>
    <definedName name="__DCF1" hidden="1">{#N/A,#N/A,FALSE,"DCF Summary";#N/A,#N/A,FALSE,"Casema";#N/A,#N/A,FALSE,"Casema NoTel";#N/A,#N/A,FALSE,"UK";#N/A,#N/A,FALSE,"RCF";#N/A,#N/A,FALSE,"Intercable CZ";#N/A,#N/A,FALSE,"Interkabel P"}</definedName>
    <definedName name="_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_DPS01">[1]WELLA_YEAR!$G$25</definedName>
    <definedName name="__DPS05">[1]WELLA_YEAR!$O$25</definedName>
    <definedName name="__ds2">OFFSET('[2]Europe - LC Sales Growth'!$AA$12,0,0,COUNTIF('[2]Europe - LC Sales Growth'!$Z$12:$Z$1232,"&lt;&gt;false"),1)</definedName>
    <definedName name="__ds3">OFFSET('[2]Europe - LC Sales Growth'!$Z$12,0,0,COUNTIF('[2]Europe - LC Sales Growth'!$Z$12:$Z$1232,"&lt;&gt;false"),1)</definedName>
    <definedName name="__ds6">INDEX(MktCapLst,[3]Val_MW!$Y$1)</definedName>
    <definedName name="__ds66">INDEX(MktCapLst,[3]Val_MW!$Y$1)</definedName>
    <definedName name="__EPS01">'[4]P&amp;L'!$G$25</definedName>
    <definedName name="__EPS05">'[5]P&amp;L'!$O$35</definedName>
    <definedName name="__FDS_HYPERLINK_TOGGLE_STATE__" hidden="1">"ON"</definedName>
    <definedName name="__FDS_UNIQUE_RANGE_ID_GENERATOR_COUNTER">2</definedName>
    <definedName name="__IntlFixup" hidden="1">TRUE</definedName>
    <definedName name="__irr1">'[6]LBO Summary'!$O$18</definedName>
    <definedName name="__PL5">[9]Bakery!$A$1:$B$75</definedName>
    <definedName name="__Pr1">[7]Breakup!$A$1:$L$34</definedName>
    <definedName name="__prt1">[7]Breakup!$A$1:$L$34</definedName>
    <definedName name="__qw2" hidden="1">{0,0,0,0;0,0,0,0;0,0,0,0;0,0,0,0;0,0,0,0;0,0,0,0}</definedName>
    <definedName name="__ROE01">[5]Ratios!$E$14</definedName>
    <definedName name="__ROE02">[5]Ratios!$F$14</definedName>
    <definedName name="__ROE03">[5]Ratios!$G$14</definedName>
    <definedName name="__ROE04">[5]Ratios!$H$14</definedName>
    <definedName name="__ROE05">[5]Ratios!$I$14</definedName>
    <definedName name="__ROE06">[5]Ratios!$J$14</definedName>
    <definedName name="__TAB1">[10]NA_ANNUAL!$A$1:$J$46</definedName>
    <definedName name="__TAB2">[10]NA_ANNUAL!$A$48:$I$88</definedName>
    <definedName name="__Tar1">[8]Inputs!$F$13</definedName>
    <definedName name="__w2" hidden="1">{"Model Summary",#N/A,FALSE,"Print Chart";"Holdco",#N/A,FALSE,"Print Chart";"Genco",#N/A,FALSE,"Print Chart";"Servco",#N/A,FALSE,"Print Chart";"Genco_Detail",#N/A,FALSE,"Summary Financials";"Servco_Detail",#N/A,FALSE,"Summary Financials"}</definedName>
    <definedName name="_1__FDSAUDITLINK__" localSheetId="4"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1__FDSAUDITLINK__" localSheetId="5"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1__FDSAUDITLINK__" localSheetId="3"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1__FDSAUDITLINK__" hidden="1">{"fdsup://directions/FAT Viewer?action=UPDATE&amp;creator=factset&amp;DYN_ARGS=TRUE&amp;DOC_NAME=FAT:FQL_AUDITING_CLIENT_TEMPLATE.FAT&amp;display_string=Audit&amp;VAR:KEY=CNAHKHCDQV&amp;VAR:QUERY=RkZfQ0FQRVgoQU5OLDIwMTAp&amp;WINDOW=FIRST_POPUP&amp;HEIGHT=450&amp;WIDTH=450&amp;START_MAXIMIZED=FALS","E&amp;VAR:CALENDAR=US&amp;VAR:SYMBOL=SLE&amp;VAR:INDEX=0"}</definedName>
    <definedName name="_10__FDSAUDITLINK__" hidden="1">{"fdsup://directions/FAT Viewer?action=UPDATE&amp;creator=factset&amp;DYN_ARGS=TRUE&amp;DOC_NAME=FAT:FQL_AUDITING_CLIENT_TEMPLATE.FAT&amp;display_string=Audit&amp;VAR:KEY=IFKHKZWZEF&amp;VAR:QUERY=RkZfQ0FQRVgoQU5OLDIwMDkp&amp;WINDOW=FIRST_POPUP&amp;HEIGHT=450&amp;WIDTH=450&amp;START_MAXIMIZED=FALS","E&amp;VAR:CALENDAR=US&amp;VAR:SYMBOL=KFT&amp;VAR:INDEX=0"}</definedName>
    <definedName name="_100__FDSAUDITLINK__" hidden="1">{"fdsup://directions/FAT Viewer?action=UPDATE&amp;creator=factset&amp;DYN_ARGS=TRUE&amp;DOC_NAME=FAT:FQL_AUDITING_CLIENT_TEMPLATE.FAT&amp;display_string=Audit&amp;VAR:KEY=BWZCDKVKBY&amp;VAR:QUERY=Q1NGX0NPR1MoQU5OLDIwMTAp&amp;WINDOW=FIRST_POPUP&amp;HEIGHT=450&amp;WIDTH=450&amp;START_MAXIMIZED=FALS","E&amp;VAR:CALENDAR=US&amp;VAR:SYMBOL=GIS&amp;VAR:INDEX=0"}</definedName>
    <definedName name="_101__FDSAUDITLINK__" hidden="1">{"fdsup://directions/FAT Viewer?action=UPDATE&amp;creator=factset&amp;DYN_ARGS=TRUE&amp;DOC_NAME=FAT:FQL_AUDITING_CLIENT_TEMPLATE.FAT&amp;display_string=Audit&amp;VAR:KEY=HGLSFWRAPS&amp;VAR:QUERY=Q1NGX0NPR1MoQU5OLDIwMDkp&amp;WINDOW=FIRST_POPUP&amp;HEIGHT=450&amp;WIDTH=450&amp;START_MAXIMIZED=FALS","E&amp;VAR:CALENDAR=US&amp;VAR:SYMBOL=GIS&amp;VAR:INDEX=0"}</definedName>
    <definedName name="_102__FDSAUDITLINK__" hidden="1">{"fdsup://directions/FAT Viewer?action=UPDATE&amp;creator=factset&amp;DYN_ARGS=TRUE&amp;DOC_NAME=FAT:FQL_AUDITING_CLIENT_TEMPLATE.FAT&amp;display_string=Audit&amp;VAR:KEY=JYFGJADWZA&amp;VAR:QUERY=Q1NGX0NPR1MoQU5OLDIwMDgp&amp;WINDOW=FIRST_POPUP&amp;HEIGHT=450&amp;WIDTH=450&amp;START_MAXIMIZED=FALS","E&amp;VAR:CALENDAR=US&amp;VAR:SYMBOL=GIS&amp;VAR:INDEX=0"}</definedName>
    <definedName name="_103__FDSAUDITLINK__" hidden="1">{"fdsup://directions/FAT Viewer?action=UPDATE&amp;creator=factset&amp;DYN_ARGS=TRUE&amp;DOC_NAME=FAT:FQL_AUDITING_CLIENT_TEMPLATE.FAT&amp;display_string=Audit&amp;VAR:KEY=JQDYZGNIXY&amp;VAR:QUERY=Q1NGX0NPR1MoQU5OLDIwMDcp&amp;WINDOW=FIRST_POPUP&amp;HEIGHT=450&amp;WIDTH=450&amp;START_MAXIMIZED=FALS","E&amp;VAR:CALENDAR=US&amp;VAR:SYMBOL=GIS&amp;VAR:INDEX=0"}</definedName>
    <definedName name="_104__FDSAUDITLINK__" hidden="1">{"fdsup://directions/FAT Viewer?action=UPDATE&amp;creator=factset&amp;DYN_ARGS=TRUE&amp;DOC_NAME=FAT:FQL_AUDITING_CLIENT_TEMPLATE.FAT&amp;display_string=Audit&amp;VAR:KEY=NSLSHGRWFG&amp;VAR:QUERY=Q1NGX0NPR1MoQU5OLDIwMDYp&amp;WINDOW=FIRST_POPUP&amp;HEIGHT=450&amp;WIDTH=450&amp;START_MAXIMIZED=FALS","E&amp;VAR:CALENDAR=US&amp;VAR:SYMBOL=GIS&amp;VAR:INDEX=0"}</definedName>
    <definedName name="_105__FDSAUDITLINK__" hidden="1">{"fdsup://directions/FAT Viewer?action=UPDATE&amp;creator=factset&amp;DYN_ARGS=TRUE&amp;DOC_NAME=FAT:FQL_AUDITING_CLIENT_TEMPLATE.FAT&amp;display_string=Audit&amp;VAR:KEY=DATGRUHUJG&amp;VAR:QUERY=Q1NGX0NPR1MoQU5OLDIwMDUp&amp;WINDOW=FIRST_POPUP&amp;HEIGHT=450&amp;WIDTH=450&amp;START_MAXIMIZED=FALS","E&amp;VAR:CALENDAR=US&amp;VAR:SYMBOL=GIS&amp;VAR:INDEX=0"}</definedName>
    <definedName name="_106__FDSAUDITLINK__" hidden="1">{"fdsup://directions/FAT Viewer?action=UPDATE&amp;creator=factset&amp;DYN_ARGS=TRUE&amp;DOC_NAME=FAT:FQL_AUDITING_CLIENT_TEMPLATE.FAT&amp;display_string=Audit&amp;VAR:KEY=RMBARQJWJI&amp;VAR:QUERY=Q1NGX0NPR1MoQU5OLDIwMDQp&amp;WINDOW=FIRST_POPUP&amp;HEIGHT=450&amp;WIDTH=450&amp;START_MAXIMIZED=FALS","E&amp;VAR:CALENDAR=US&amp;VAR:SYMBOL=GIS&amp;VAR:INDEX=0"}</definedName>
    <definedName name="_107__FDSAUDITLINK__" hidden="1">{"fdsup://directions/FAT Viewer?action=UPDATE&amp;creator=factset&amp;DYN_ARGS=TRUE&amp;DOC_NAME=FAT:FQL_AUDITING_CLIENT_TEMPLATE.FAT&amp;display_string=Audit&amp;VAR:KEY=DUNOLQPQDC&amp;VAR:QUERY=Q1NGX0NPR1MoQU5OLDIwMTAp&amp;WINDOW=FIRST_POPUP&amp;HEIGHT=450&amp;WIDTH=450&amp;START_MAXIMIZED=FALS","E&amp;VAR:CALENDAR=US&amp;VAR:SYMBOL=CPB&amp;VAR:INDEX=0"}</definedName>
    <definedName name="_108__FDSAUDITLINK__" hidden="1">{"fdsup://directions/FAT Viewer?action=UPDATE&amp;creator=factset&amp;DYN_ARGS=TRUE&amp;DOC_NAME=FAT:FQL_AUDITING_CLIENT_TEMPLATE.FAT&amp;display_string=Audit&amp;VAR:KEY=XYBKJMZYRO&amp;VAR:QUERY=Q1NGX0NPR1MoQU5OLDIwMDkp&amp;WINDOW=FIRST_POPUP&amp;HEIGHT=450&amp;WIDTH=450&amp;START_MAXIMIZED=FALS","E&amp;VAR:CALENDAR=US&amp;VAR:SYMBOL=CPB&amp;VAR:INDEX=0"}</definedName>
    <definedName name="_109__FDSAUDITLINK__" hidden="1">{"fdsup://directions/FAT Viewer?action=UPDATE&amp;creator=factset&amp;DYN_ARGS=TRUE&amp;DOC_NAME=FAT:FQL_AUDITING_CLIENT_TEMPLATE.FAT&amp;display_string=Audit&amp;VAR:KEY=FAVEVGNMXU&amp;VAR:QUERY=Q1NGX0NPR1MoQU5OLDIwMDgp&amp;WINDOW=FIRST_POPUP&amp;HEIGHT=450&amp;WIDTH=450&amp;START_MAXIMIZED=FALS","E&amp;VAR:CALENDAR=US&amp;VAR:SYMBOL=CPB&amp;VAR:INDEX=0"}</definedName>
    <definedName name="_11__FDSAUDITLINK__" hidden="1">{"fdsup://directions/FAT Viewer?action=UPDATE&amp;creator=factset&amp;DYN_ARGS=TRUE&amp;DOC_NAME=FAT:FQL_AUDITING_CLIENT_TEMPLATE.FAT&amp;display_string=Audit&amp;VAR:KEY=IPEJOHYJYJ&amp;VAR:QUERY=RkZfQ0FQRVgoQU5OLDIwMDgp&amp;WINDOW=FIRST_POPUP&amp;HEIGHT=450&amp;WIDTH=450&amp;START_MAXIMIZED=FALS","E&amp;VAR:CALENDAR=US&amp;VAR:SYMBOL=KFT&amp;VAR:INDEX=0"}</definedName>
    <definedName name="_110__FDSAUDITLINK__" hidden="1">{"fdsup://directions/FAT Viewer?action=UPDATE&amp;creator=factset&amp;DYN_ARGS=TRUE&amp;DOC_NAME=FAT:FQL_AUDITING_CLIENT_TEMPLATE.FAT&amp;display_string=Audit&amp;VAR:KEY=HOLEZCDKLK&amp;VAR:QUERY=Q1NGX0NPR1MoQU5OLDIwMDcp&amp;WINDOW=FIRST_POPUP&amp;HEIGHT=450&amp;WIDTH=450&amp;START_MAXIMIZED=FALS","E&amp;VAR:CALENDAR=US&amp;VAR:SYMBOL=CPB&amp;VAR:INDEX=0"}</definedName>
    <definedName name="_111__FDSAUDITLINK__" hidden="1">{"fdsup://directions/FAT Viewer?action=UPDATE&amp;creator=factset&amp;DYN_ARGS=TRUE&amp;DOC_NAME=FAT:FQL_AUDITING_CLIENT_TEMPLATE.FAT&amp;display_string=Audit&amp;VAR:KEY=DCDMNANYHI&amp;VAR:QUERY=Q1NGX0NPR1MoQU5OLDIwMDYp&amp;WINDOW=FIRST_POPUP&amp;HEIGHT=450&amp;WIDTH=450&amp;START_MAXIMIZED=FALS","E&amp;VAR:CALENDAR=US&amp;VAR:SYMBOL=CPB&amp;VAR:INDEX=0"}</definedName>
    <definedName name="_112__FDSAUDITLINK__" hidden="1">{"fdsup://directions/FAT Viewer?action=UPDATE&amp;creator=factset&amp;DYN_ARGS=TRUE&amp;DOC_NAME=FAT:FQL_AUDITING_CLIENT_TEMPLATE.FAT&amp;display_string=Audit&amp;VAR:KEY=BMTCJCRGTC&amp;VAR:QUERY=Q1NGX0NPR1MoQU5OLDIwMDUp&amp;WINDOW=FIRST_POPUP&amp;HEIGHT=450&amp;WIDTH=450&amp;START_MAXIMIZED=FALS","E&amp;VAR:CALENDAR=US&amp;VAR:SYMBOL=CPB&amp;VAR:INDEX=0"}</definedName>
    <definedName name="_113__FDSAUDITLINK__" hidden="1">{"fdsup://directions/FAT Viewer?action=UPDATE&amp;creator=factset&amp;DYN_ARGS=TRUE&amp;DOC_NAME=FAT:FQL_AUDITING_CLIENT_TEMPLATE.FAT&amp;display_string=Audit&amp;VAR:KEY=BGZYHKVEZG&amp;VAR:QUERY=Q1NGX0NPR1MoQU5OLDIwMDQp&amp;WINDOW=FIRST_POPUP&amp;HEIGHT=450&amp;WIDTH=450&amp;START_MAXIMIZED=FALS","E&amp;VAR:CALENDAR=US&amp;VAR:SYMBOL=CPB&amp;VAR:INDEX=0"}</definedName>
    <definedName name="_114__FDSAUDITLINK__" hidden="1">{"fdsup://directions/FAT Viewer?action=UPDATE&amp;creator=factset&amp;DYN_ARGS=TRUE&amp;DOC_NAME=FAT:FQL_AUDITING_CLIENT_TEMPLATE.FAT&amp;display_string=Audit&amp;VAR:KEY=DYVWBQHOPU&amp;VAR:QUERY=Q1NGX0NPR1MoQU5OLDIwMTAp&amp;WINDOW=FIRST_POPUP&amp;HEIGHT=450&amp;WIDTH=450&amp;START_MAXIMIZED=FALS","E&amp;VAR:CALENDAR=US&amp;VAR:SYMBOL=CAG&amp;VAR:INDEX=0"}</definedName>
    <definedName name="_115__FDSAUDITLINK__" hidden="1">{"fdsup://directions/FAT Viewer?action=UPDATE&amp;creator=factset&amp;DYN_ARGS=TRUE&amp;DOC_NAME=FAT:FQL_AUDITING_CLIENT_TEMPLATE.FAT&amp;display_string=Audit&amp;VAR:KEY=LWDMTKHOXA&amp;VAR:QUERY=Q1NGX0NPR1MoQU5OLDIwMDkp&amp;WINDOW=FIRST_POPUP&amp;HEIGHT=450&amp;WIDTH=450&amp;START_MAXIMIZED=FALS","E&amp;VAR:CALENDAR=US&amp;VAR:SYMBOL=CAG&amp;VAR:INDEX=0"}</definedName>
    <definedName name="_116__FDSAUDITLINK__" hidden="1">{"fdsup://directions/FAT Viewer?action=UPDATE&amp;creator=factset&amp;DYN_ARGS=TRUE&amp;DOC_NAME=FAT:FQL_AUDITING_CLIENT_TEMPLATE.FAT&amp;display_string=Audit&amp;VAR:KEY=JYLEVCNUZO&amp;VAR:QUERY=Q1NGX0NPR1MoQU5OLDIwMDgp&amp;WINDOW=FIRST_POPUP&amp;HEIGHT=450&amp;WIDTH=450&amp;START_MAXIMIZED=FALS","E&amp;VAR:CALENDAR=US&amp;VAR:SYMBOL=CAG&amp;VAR:INDEX=0"}</definedName>
    <definedName name="_117__FDSAUDITLINK__" hidden="1">{"fdsup://directions/FAT Viewer?action=UPDATE&amp;creator=factset&amp;DYN_ARGS=TRUE&amp;DOC_NAME=FAT:FQL_AUDITING_CLIENT_TEMPLATE.FAT&amp;display_string=Audit&amp;VAR:KEY=LIRUZYRSDC&amp;VAR:QUERY=Q1NGX0NPR1MoQU5OLDIwMDcp&amp;WINDOW=FIRST_POPUP&amp;HEIGHT=450&amp;WIDTH=450&amp;START_MAXIMIZED=FALS","E&amp;VAR:CALENDAR=US&amp;VAR:SYMBOL=CAG&amp;VAR:INDEX=0"}</definedName>
    <definedName name="_118__FDSAUDITLINK__" hidden="1">{"fdsup://directions/FAT Viewer?action=UPDATE&amp;creator=factset&amp;DYN_ARGS=TRUE&amp;DOC_NAME=FAT:FQL_AUDITING_CLIENT_TEMPLATE.FAT&amp;display_string=Audit&amp;VAR:KEY=BGDGTYLIJO&amp;VAR:QUERY=Q1NGX0NPR1MoQU5OLDIwMDYp&amp;WINDOW=FIRST_POPUP&amp;HEIGHT=450&amp;WIDTH=450&amp;START_MAXIMIZED=FALS","E&amp;VAR:CALENDAR=US&amp;VAR:SYMBOL=CAG&amp;VAR:INDEX=0"}</definedName>
    <definedName name="_119__FDSAUDITLINK__" hidden="1">{"fdsup://directions/FAT Viewer?action=UPDATE&amp;creator=factset&amp;DYN_ARGS=TRUE&amp;DOC_NAME=FAT:FQL_AUDITING_CLIENT_TEMPLATE.FAT&amp;display_string=Audit&amp;VAR:KEY=TEBSDGTUNC&amp;VAR:QUERY=Q1NGX0NPR1MoQU5OLDIwMDUp&amp;WINDOW=FIRST_POPUP&amp;HEIGHT=450&amp;WIDTH=450&amp;START_MAXIMIZED=FALS","E&amp;VAR:CALENDAR=US&amp;VAR:SYMBOL=CAG&amp;VAR:INDEX=0"}</definedName>
    <definedName name="_12__FDSAUDITLINK__" hidden="1">{"fdsup://directions/FAT Viewer?action=UPDATE&amp;creator=factset&amp;DYN_ARGS=TRUE&amp;DOC_NAME=FAT:FQL_AUDITING_CLIENT_TEMPLATE.FAT&amp;display_string=Audit&amp;VAR:KEY=QTUZSDMPYZ&amp;VAR:QUERY=RkZfQ0FQRVgoQU5OLDIwMDcp&amp;WINDOW=FIRST_POPUP&amp;HEIGHT=450&amp;WIDTH=450&amp;START_MAXIMIZED=FALS","E&amp;VAR:CALENDAR=US&amp;VAR:SYMBOL=KFT&amp;VAR:INDEX=0"}</definedName>
    <definedName name="_120__FDSAUDITLINK__" hidden="1">{"fdsup://directions/FAT Viewer?action=UPDATE&amp;creator=factset&amp;DYN_ARGS=TRUE&amp;DOC_NAME=FAT:FQL_AUDITING_CLIENT_TEMPLATE.FAT&amp;display_string=Audit&amp;VAR:KEY=PGFCTETOPM&amp;VAR:QUERY=Q1NGX0NPR1MoQU5OLDIwMDQp&amp;WINDOW=FIRST_POPUP&amp;HEIGHT=450&amp;WIDTH=450&amp;START_MAXIMIZED=FALS","E&amp;VAR:CALENDAR=US&amp;VAR:SYMBOL=CAG&amp;VAR:INDEX=0"}</definedName>
    <definedName name="_121__FDSAUDITLINK__" hidden="1">{"fdsup://Directions/FactSet Auditing Viewer?action=AUDIT_VALUE&amp;DB=129&amp;ID1=80311110&amp;VALUEID=03040&amp;SDATE=2010&amp;PERIODTYPE=ANN_STD&amp;SCFT=3&amp;window=popup_no_bar&amp;width=385&amp;height=120&amp;START_MAXIMIZED=FALSE&amp;creator=factset&amp;display_string=Audit"}</definedName>
    <definedName name="_122__FDSAUDITLINK__" hidden="1">{"fdsup://Directions/FactSet Auditing Viewer?action=AUDIT_VALUE&amp;DB=129&amp;ID1=80311110&amp;VALUEID=03040&amp;SDATE=2009&amp;PERIODTYPE=ANN_STD&amp;SCFT=3&amp;window=popup_no_bar&amp;width=385&amp;height=120&amp;START_MAXIMIZED=FALSE&amp;creator=factset&amp;display_string=Audit"}</definedName>
    <definedName name="_123__FDSAUDITLINK__" hidden="1">{"fdsup://Directions/FactSet Auditing Viewer?action=AUDIT_VALUE&amp;DB=129&amp;ID1=80311110&amp;VALUEID=03040&amp;SDATE=2008&amp;PERIODTYPE=ANN_STD&amp;SCFT=3&amp;window=popup_no_bar&amp;width=385&amp;height=120&amp;START_MAXIMIZED=FALSE&amp;creator=factset&amp;display_string=Audit"}</definedName>
    <definedName name="_124__FDSAUDITLINK__" hidden="1">{"fdsup://Directions/FactSet Auditing Viewer?action=AUDIT_VALUE&amp;DB=129&amp;ID1=80311110&amp;VALUEID=03040&amp;SDATE=2007&amp;PERIODTYPE=ANN_STD&amp;SCFT=3&amp;window=popup_no_bar&amp;width=385&amp;height=120&amp;START_MAXIMIZED=FALSE&amp;creator=factset&amp;display_string=Audit"}</definedName>
    <definedName name="_125__FDSAUDITLINK__" hidden="1">{"fdsup://Directions/FactSet Auditing Viewer?action=AUDIT_VALUE&amp;DB=129&amp;ID1=80311110&amp;VALUEID=03040&amp;SDATE=2006&amp;PERIODTYPE=ANN_STD&amp;SCFT=3&amp;window=popup_no_bar&amp;width=385&amp;height=120&amp;START_MAXIMIZED=FALSE&amp;creator=factset&amp;display_string=Audit"}</definedName>
    <definedName name="_126__FDSAUDITLINK__" hidden="1">{"fdsup://Directions/FactSet Auditing Viewer?action=AUDIT_VALUE&amp;DB=129&amp;ID1=80311110&amp;VALUEID=03040&amp;SDATE=2005&amp;PERIODTYPE=ANN_STD&amp;SCFT=3&amp;window=popup_no_bar&amp;width=385&amp;height=120&amp;START_MAXIMIZED=FALSE&amp;creator=factset&amp;display_string=Audit"}</definedName>
    <definedName name="_127__FDSAUDITLINK__" hidden="1">{"fdsup://Directions/FactSet Auditing Viewer?action=AUDIT_VALUE&amp;DB=129&amp;ID1=80311110&amp;VALUEID=03040&amp;SDATE=2004&amp;PERIODTYPE=ANN_STD&amp;SCFT=3&amp;window=popup_no_bar&amp;width=385&amp;height=120&amp;START_MAXIMIZED=FALSE&amp;creator=factset&amp;display_string=Audit"}</definedName>
    <definedName name="_128__FDSAUDITLINK__" hidden="1">{"fdsup://Directions/FactSet Auditing Viewer?action=AUDIT_VALUE&amp;DB=129&amp;ID1=50075N10&amp;VALUEID=03040&amp;SDATE=2010&amp;PERIODTYPE=ANN_STD&amp;SCFT=3&amp;window=popup_no_bar&amp;width=385&amp;height=120&amp;START_MAXIMIZED=FALSE&amp;creator=factset&amp;display_string=Audit"}</definedName>
    <definedName name="_129__FDSAUDITLINK__" hidden="1">{"fdsup://Directions/FactSet Auditing Viewer?action=AUDIT_VALUE&amp;DB=129&amp;ID1=50075N10&amp;VALUEID=03040&amp;SDATE=2009&amp;PERIODTYPE=ANN_STD&amp;SCFT=3&amp;window=popup_no_bar&amp;width=385&amp;height=120&amp;START_MAXIMIZED=FALSE&amp;creator=factset&amp;display_string=Audit"}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UHKPCPYFGF&amp;VAR:QUERY=RkZfQ0FQRVgoQU5OLDIwMDYp&amp;WINDOW=FIRST_POPUP&amp;HEIGHT=450&amp;WIDTH=450&amp;START_MAXIMIZED=FALS","E&amp;VAR:CALENDAR=US&amp;VAR:SYMBOL=KFT&amp;VAR:INDEX=0"}</definedName>
    <definedName name="_130__FDSAUDITLINK__" hidden="1">{"fdsup://Directions/FactSet Auditing Viewer?action=AUDIT_VALUE&amp;DB=129&amp;ID1=50075N10&amp;VALUEID=03040&amp;SDATE=2008&amp;PERIODTYPE=ANN_STD&amp;SCFT=3&amp;window=popup_no_bar&amp;width=385&amp;height=120&amp;START_MAXIMIZED=FALSE&amp;creator=factset&amp;display_string=Audit"}</definedName>
    <definedName name="_131__FDSAUDITLINK__" hidden="1">{"fdsup://Directions/FactSet Auditing Viewer?action=AUDIT_VALUE&amp;DB=129&amp;ID1=50075N10&amp;VALUEID=03040&amp;SDATE=2007&amp;PERIODTYPE=ANN_STD&amp;SCFT=3&amp;window=popup_no_bar&amp;width=385&amp;height=120&amp;START_MAXIMIZED=FALSE&amp;creator=factset&amp;display_string=Audit"}</definedName>
    <definedName name="_132__FDSAUDITLINK__" hidden="1">{"fdsup://Directions/FactSet Auditing Viewer?action=AUDIT_VALUE&amp;DB=129&amp;ID1=50075N10&amp;VALUEID=03040&amp;SDATE=2006&amp;PERIODTYPE=ANN_STD&amp;SCFT=3&amp;window=popup_no_bar&amp;width=385&amp;height=120&amp;START_MAXIMIZED=FALSE&amp;creator=factset&amp;display_string=Audit"}</definedName>
    <definedName name="_133__FDSAUDITLINK__" hidden="1">{"fdsup://Directions/FactSet Auditing Viewer?action=AUDIT_VALUE&amp;DB=129&amp;ID1=50075N10&amp;VALUEID=03040&amp;SDATE=2005&amp;PERIODTYPE=ANN_STD&amp;SCFT=3&amp;window=popup_no_bar&amp;width=385&amp;height=120&amp;START_MAXIMIZED=FALSE&amp;creator=factset&amp;display_string=Audit"}</definedName>
    <definedName name="_134__FDSAUDITLINK__" hidden="1">{"fdsup://Directions/FactSet Auditing Viewer?action=AUDIT_VALUE&amp;DB=129&amp;ID1=50075N10&amp;VALUEID=03040&amp;SDATE=2004&amp;PERIODTYPE=ANN_STD&amp;SCFT=3&amp;window=popup_no_bar&amp;width=385&amp;height=120&amp;START_MAXIMIZED=FALSE&amp;creator=factset&amp;display_string=Audit"}</definedName>
    <definedName name="_135__FDSAUDITLINK__" hidden="1">{"fdsup://Directions/FactSet Auditing Viewer?action=AUDIT_VALUE&amp;DB=129&amp;ID1=48783610&amp;VALUEID=03040&amp;SDATE=2010&amp;PERIODTYPE=ANN_STD&amp;SCFT=3&amp;window=popup_no_bar&amp;width=385&amp;height=120&amp;START_MAXIMIZED=FALSE&amp;creator=factset&amp;display_string=Audit"}</definedName>
    <definedName name="_136__FDSAUDITLINK__" hidden="1">{"fdsup://Directions/FactSet Auditing Viewer?action=AUDIT_VALUE&amp;DB=129&amp;ID1=48783610&amp;VALUEID=03040&amp;SDATE=2009&amp;PERIODTYPE=ANN_STD&amp;SCFT=3&amp;window=popup_no_bar&amp;width=385&amp;height=120&amp;START_MAXIMIZED=FALSE&amp;creator=factset&amp;display_string=Audit"}</definedName>
    <definedName name="_137__FDSAUDITLINK__" hidden="1">{"fdsup://Directions/FactSet Auditing Viewer?action=AUDIT_VALUE&amp;DB=129&amp;ID1=48783610&amp;VALUEID=03040&amp;SDATE=2008&amp;PERIODTYPE=ANN_STD&amp;SCFT=3&amp;window=popup_no_bar&amp;width=385&amp;height=120&amp;START_MAXIMIZED=FALSE&amp;creator=factset&amp;display_string=Audit"}</definedName>
    <definedName name="_138__FDSAUDITLINK__" hidden="1">{"fdsup://Directions/FactSet Auditing Viewer?action=AUDIT_VALUE&amp;DB=129&amp;ID1=48783610&amp;VALUEID=03040&amp;SDATE=2007&amp;PERIODTYPE=ANN_STD&amp;SCFT=3&amp;window=popup_no_bar&amp;width=385&amp;height=120&amp;START_MAXIMIZED=FALSE&amp;creator=factset&amp;display_string=Audit"}</definedName>
    <definedName name="_139__FDSAUDITLINK__" hidden="1">{"fdsup://Directions/FactSet Auditing Viewer?action=AUDIT_VALUE&amp;DB=129&amp;ID1=48783610&amp;VALUEID=03040&amp;SDATE=2006&amp;PERIODTYPE=ANN_STD&amp;SCFT=3&amp;window=popup_no_bar&amp;width=385&amp;height=120&amp;START_MAXIMIZED=FALSE&amp;creator=factset&amp;display_string=Audit"}</definedName>
    <definedName name="_14__FDSAUDITLINK__" hidden="1">{"fdsup://directions/FAT Viewer?action=UPDATE&amp;creator=factset&amp;DYN_ARGS=TRUE&amp;DOC_NAME=FAT:FQL_AUDITING_CLIENT_TEMPLATE.FAT&amp;display_string=Audit&amp;VAR:KEY=ANEXQDANOX&amp;VAR:QUERY=RkZfQ0FQRVgoQU5OLDIwMDUp&amp;WINDOW=FIRST_POPUP&amp;HEIGHT=450&amp;WIDTH=450&amp;START_MAXIMIZED=FALS","E&amp;VAR:CALENDAR=US&amp;VAR:SYMBOL=KFT&amp;VAR:INDEX=0"}</definedName>
    <definedName name="_140__FDSAUDITLINK__" hidden="1">{"fdsup://Directions/FactSet Auditing Viewer?action=AUDIT_VALUE&amp;DB=129&amp;ID1=48783610&amp;VALUEID=03040&amp;SDATE=2005&amp;PERIODTYPE=ANN_STD&amp;SCFT=3&amp;window=popup_no_bar&amp;width=385&amp;height=120&amp;START_MAXIMIZED=FALSE&amp;creator=factset&amp;display_string=Audit"}</definedName>
    <definedName name="_141__FDSAUDITLINK__" hidden="1">{"fdsup://Directions/FactSet Auditing Viewer?action=AUDIT_VALUE&amp;DB=129&amp;ID1=48783610&amp;VALUEID=03040&amp;SDATE=2004&amp;PERIODTYPE=ANN_STD&amp;SCFT=3&amp;window=popup_no_bar&amp;width=385&amp;height=120&amp;START_MAXIMIZED=FALSE&amp;creator=factset&amp;display_string=Audit"}</definedName>
    <definedName name="_142__FDSAUDITLINK__" hidden="1">{"fdsup://Directions/FactSet Auditing Viewer?action=AUDIT_VALUE&amp;DB=129&amp;ID1=42786610&amp;VALUEID=03040&amp;SDATE=2010&amp;PERIODTYPE=ANN_STD&amp;SCFT=3&amp;window=popup_no_bar&amp;width=385&amp;height=120&amp;START_MAXIMIZED=FALSE&amp;creator=factset&amp;display_string=Audit"}</definedName>
    <definedName name="_143__FDSAUDITLINK__" hidden="1">{"fdsup://Directions/FactSet Auditing Viewer?action=AUDIT_VALUE&amp;DB=129&amp;ID1=42786610&amp;VALUEID=03040&amp;SDATE=2009&amp;PERIODTYPE=ANN_STD&amp;SCFT=3&amp;window=popup_no_bar&amp;width=385&amp;height=120&amp;START_MAXIMIZED=FALSE&amp;creator=factset&amp;display_string=Audit"}</definedName>
    <definedName name="_144__FDSAUDITLINK__" hidden="1">{"fdsup://Directions/FactSet Auditing Viewer?action=AUDIT_VALUE&amp;DB=129&amp;ID1=42786610&amp;VALUEID=03040&amp;SDATE=2008&amp;PERIODTYPE=ANN_STD&amp;SCFT=3&amp;window=popup_no_bar&amp;width=385&amp;height=120&amp;START_MAXIMIZED=FALSE&amp;creator=factset&amp;display_string=Audit"}</definedName>
    <definedName name="_145__FDSAUDITLINK__" hidden="1">{"fdsup://Directions/FactSet Auditing Viewer?action=AUDIT_VALUE&amp;DB=129&amp;ID1=42786610&amp;VALUEID=03040&amp;SDATE=2007&amp;PERIODTYPE=ANN_STD&amp;SCFT=3&amp;window=popup_no_bar&amp;width=385&amp;height=120&amp;START_MAXIMIZED=FALSE&amp;creator=factset&amp;display_string=Audit"}</definedName>
    <definedName name="_146__FDSAUDITLINK__" hidden="1">{"fdsup://Directions/FactSet Auditing Viewer?action=AUDIT_VALUE&amp;DB=129&amp;ID1=42786610&amp;VALUEID=03040&amp;SDATE=2006&amp;PERIODTYPE=ANN_STD&amp;SCFT=3&amp;window=popup_no_bar&amp;width=385&amp;height=120&amp;START_MAXIMIZED=FALSE&amp;creator=factset&amp;display_string=Audit"}</definedName>
    <definedName name="_147__FDSAUDITLINK__" hidden="1">{"fdsup://Directions/FactSet Auditing Viewer?action=AUDIT_VALUE&amp;DB=129&amp;ID1=42786610&amp;VALUEID=03040&amp;SDATE=2005&amp;PERIODTYPE=ANN_STD&amp;SCFT=3&amp;window=popup_no_bar&amp;width=385&amp;height=120&amp;START_MAXIMIZED=FALSE&amp;creator=factset&amp;display_string=Audit"}</definedName>
    <definedName name="_148__FDSAUDITLINK__" hidden="1">{"fdsup://Directions/FactSet Auditing Viewer?action=AUDIT_VALUE&amp;DB=129&amp;ID1=42786610&amp;VALUEID=03040&amp;SDATE=2004&amp;PERIODTYPE=ANN_STD&amp;SCFT=3&amp;window=popup_no_bar&amp;width=385&amp;height=120&amp;START_MAXIMIZED=FALSE&amp;creator=factset&amp;display_string=Audit"}</definedName>
    <definedName name="_149__FDSAUDITLINK__" hidden="1">{"fdsup://Directions/FactSet Auditing Viewer?action=AUDIT_VALUE&amp;DB=129&amp;ID1=42307410&amp;VALUEID=03040&amp;SDATE=2010&amp;PERIODTYPE=ANN_STD&amp;SCFT=3&amp;window=popup_no_bar&amp;width=385&amp;height=120&amp;START_MAXIMIZED=FALSE&amp;creator=factset&amp;display_string=Audit"}</definedName>
    <definedName name="_15__FDSAUDITLINK__" hidden="1">{"fdsup://directions/FAT Viewer?action=UPDATE&amp;creator=factset&amp;DYN_ARGS=TRUE&amp;DOC_NAME=FAT:FQL_AUDITING_CLIENT_TEMPLATE.FAT&amp;display_string=Audit&amp;VAR:KEY=WHYDSROBSZ&amp;VAR:QUERY=RkZfQ0FQRVgoQU5OLDIwMDQp&amp;WINDOW=FIRST_POPUP&amp;HEIGHT=450&amp;WIDTH=450&amp;START_MAXIMIZED=FALS","E&amp;VAR:CALENDAR=US&amp;VAR:SYMBOL=KFT&amp;VAR:INDEX=0"}</definedName>
    <definedName name="_150__FDSAUDITLINK__" hidden="1">{"fdsup://Directions/FactSet Auditing Viewer?action=AUDIT_VALUE&amp;DB=129&amp;ID1=42307410&amp;VALUEID=03040&amp;SDATE=2009&amp;PERIODTYPE=ANN_STD&amp;SCFT=3&amp;window=popup_no_bar&amp;width=385&amp;height=120&amp;START_MAXIMIZED=FALSE&amp;creator=factset&amp;display_string=Audit"}</definedName>
    <definedName name="_151__FDSAUDITLINK__" hidden="1">{"fdsup://Directions/FactSet Auditing Viewer?action=AUDIT_VALUE&amp;DB=129&amp;ID1=42307410&amp;VALUEID=03040&amp;SDATE=2008&amp;PERIODTYPE=ANN_STD&amp;SCFT=3&amp;window=popup_no_bar&amp;width=385&amp;height=120&amp;START_MAXIMIZED=FALSE&amp;creator=factset&amp;display_string=Audit"}</definedName>
    <definedName name="_152__FDSAUDITLINK__" hidden="1">{"fdsup://Directions/FactSet Auditing Viewer?action=AUDIT_VALUE&amp;DB=129&amp;ID1=42307410&amp;VALUEID=03040&amp;SDATE=2007&amp;PERIODTYPE=ANN_STD&amp;SCFT=3&amp;window=popup_no_bar&amp;width=385&amp;height=120&amp;START_MAXIMIZED=FALSE&amp;creator=factset&amp;display_string=Audit"}</definedName>
    <definedName name="_153__FDSAUDITLINK__" hidden="1">{"fdsup://Directions/FactSet Auditing Viewer?action=AUDIT_VALUE&amp;DB=129&amp;ID1=42307410&amp;VALUEID=03040&amp;SDATE=2006&amp;PERIODTYPE=ANN_STD&amp;SCFT=3&amp;window=popup_no_bar&amp;width=385&amp;height=120&amp;START_MAXIMIZED=FALSE&amp;creator=factset&amp;display_string=Audit"}</definedName>
    <definedName name="_154__FDSAUDITLINK__" hidden="1">{"fdsup://Directions/FactSet Auditing Viewer?action=AUDIT_VALUE&amp;DB=129&amp;ID1=42307410&amp;VALUEID=03040&amp;SDATE=2005&amp;PERIODTYPE=ANN_STD&amp;SCFT=3&amp;window=popup_no_bar&amp;width=385&amp;height=120&amp;START_MAXIMIZED=FALSE&amp;creator=factset&amp;display_string=Audit"}</definedName>
    <definedName name="_155__FDSAUDITLINK__" hidden="1">{"fdsup://Directions/FactSet Auditing Viewer?action=AUDIT_VALUE&amp;DB=129&amp;ID1=37033410&amp;VALUEID=03040&amp;SDATE=2010&amp;PERIODTYPE=ANN_STD&amp;SCFT=3&amp;window=popup_no_bar&amp;width=385&amp;height=120&amp;START_MAXIMIZED=FALSE&amp;creator=factset&amp;display_string=Audit"}</definedName>
    <definedName name="_156__FDSAUDITLINK__" hidden="1">{"fdsup://Directions/FactSet Auditing Viewer?action=AUDIT_VALUE&amp;DB=129&amp;ID1=37033410&amp;VALUEID=03040&amp;SDATE=2009&amp;PERIODTYPE=ANN_STD&amp;SCFT=3&amp;window=popup_no_bar&amp;width=385&amp;height=120&amp;START_MAXIMIZED=FALSE&amp;creator=factset&amp;display_string=Audit"}</definedName>
    <definedName name="_157__FDSAUDITLINK__" hidden="1">{"fdsup://Directions/FactSet Auditing Viewer?action=AUDIT_VALUE&amp;DB=129&amp;ID1=37033410&amp;VALUEID=03040&amp;SDATE=2008&amp;PERIODTYPE=ANN_STD&amp;SCFT=3&amp;window=popup_no_bar&amp;width=385&amp;height=120&amp;START_MAXIMIZED=FALSE&amp;creator=factset&amp;display_string=Audit"}</definedName>
    <definedName name="_158__FDSAUDITLINK__" hidden="1">{"fdsup://Directions/FactSet Auditing Viewer?action=AUDIT_VALUE&amp;DB=129&amp;ID1=37033410&amp;VALUEID=03040&amp;SDATE=2007&amp;PERIODTYPE=ANN_STD&amp;SCFT=3&amp;window=popup_no_bar&amp;width=385&amp;height=120&amp;START_MAXIMIZED=FALSE&amp;creator=factset&amp;display_string=Audit"}</definedName>
    <definedName name="_159__FDSAUDITLINK__" hidden="1">{"fdsup://Directions/FactSet Auditing Viewer?action=AUDIT_VALUE&amp;DB=129&amp;ID1=37033410&amp;VALUEID=03040&amp;SDATE=2006&amp;PERIODTYPE=ANN_STD&amp;SCFT=3&amp;window=popup_no_bar&amp;width=385&amp;height=120&amp;START_MAXIMIZED=FALSE&amp;creator=factset&amp;display_string=Audit"}</definedName>
    <definedName name="_16__FDSAUDITLINK__" hidden="1">{"fdsup://directions/FAT Viewer?action=UPDATE&amp;creator=factset&amp;DYN_ARGS=TRUE&amp;DOC_NAME=FAT:FQL_AUDITING_CLIENT_TEMPLATE.FAT&amp;display_string=Audit&amp;VAR:KEY=EVGBWPEBKF&amp;VAR:QUERY=RkZfQ0FQRVgoQU5OLDIwMDMp&amp;WINDOW=FIRST_POPUP&amp;HEIGHT=450&amp;WIDTH=450&amp;START_MAXIMIZED=FALS","E&amp;VAR:CALENDAR=US&amp;VAR:SYMBOL=KFT&amp;VAR:INDEX=0"}</definedName>
    <definedName name="_160__FDSAUDITLINK__" hidden="1">{"fdsup://Directions/FactSet Auditing Viewer?action=AUDIT_VALUE&amp;DB=129&amp;ID1=37033410&amp;VALUEID=03040&amp;SDATE=2005&amp;PERIODTYPE=ANN_STD&amp;SCFT=3&amp;window=popup_no_bar&amp;width=385&amp;height=120&amp;START_MAXIMIZED=FALSE&amp;creator=factset&amp;display_string=Audit"}</definedName>
    <definedName name="_161__FDSAUDITLINK__" hidden="1">{"fdsup://Directions/FactSet Auditing Viewer?action=AUDIT_VALUE&amp;DB=129&amp;ID1=37033410&amp;VALUEID=03040&amp;SDATE=2004&amp;PERIODTYPE=ANN_STD&amp;SCFT=3&amp;window=popup_no_bar&amp;width=385&amp;height=120&amp;START_MAXIMIZED=FALSE&amp;creator=factset&amp;display_string=Audit"}</definedName>
    <definedName name="_162__FDSAUDITLINK__" hidden="1">{"fdsup://Directions/FactSet Auditing Viewer?action=AUDIT_VALUE&amp;DB=129&amp;ID1=13442910&amp;VALUEID=03040&amp;SDATE=2010&amp;PERIODTYPE=ANN_STD&amp;SCFT=3&amp;window=popup_no_bar&amp;width=385&amp;height=120&amp;START_MAXIMIZED=FALSE&amp;creator=factset&amp;display_string=Audit"}</definedName>
    <definedName name="_163__FDSAUDITLINK__" hidden="1">{"fdsup://Directions/FactSet Auditing Viewer?action=AUDIT_VALUE&amp;DB=129&amp;ID1=13442910&amp;VALUEID=03040&amp;SDATE=2009&amp;PERIODTYPE=ANN_STD&amp;SCFT=3&amp;window=popup_no_bar&amp;width=385&amp;height=120&amp;START_MAXIMIZED=FALSE&amp;creator=factset&amp;display_string=Audit"}</definedName>
    <definedName name="_164__FDSAUDITLINK__" hidden="1">{"fdsup://Directions/FactSet Auditing Viewer?action=AUDIT_VALUE&amp;DB=129&amp;ID1=13442910&amp;VALUEID=03040&amp;SDATE=2008&amp;PERIODTYPE=ANN_STD&amp;SCFT=3&amp;window=popup_no_bar&amp;width=385&amp;height=120&amp;START_MAXIMIZED=FALSE&amp;creator=factset&amp;display_string=Audit"}</definedName>
    <definedName name="_165__FDSAUDITLINK__" hidden="1">{"fdsup://Directions/FactSet Auditing Viewer?action=AUDIT_VALUE&amp;DB=129&amp;ID1=13442910&amp;VALUEID=03040&amp;SDATE=2007&amp;PERIODTYPE=ANN_STD&amp;SCFT=3&amp;window=popup_no_bar&amp;width=385&amp;height=120&amp;START_MAXIMIZED=FALSE&amp;creator=factset&amp;display_string=Audit"}</definedName>
    <definedName name="_166__FDSAUDITLINK__" hidden="1">{"fdsup://Directions/FactSet Auditing Viewer?action=AUDIT_VALUE&amp;DB=129&amp;ID1=13442910&amp;VALUEID=03040&amp;SDATE=2006&amp;PERIODTYPE=ANN_STD&amp;SCFT=3&amp;window=popup_no_bar&amp;width=385&amp;height=120&amp;START_MAXIMIZED=FALSE&amp;creator=factset&amp;display_string=Audit"}</definedName>
    <definedName name="_167__FDSAUDITLINK__" hidden="1">{"fdsup://Directions/FactSet Auditing Viewer?action=AUDIT_VALUE&amp;DB=129&amp;ID1=13442910&amp;VALUEID=03040&amp;SDATE=2005&amp;PERIODTYPE=ANN_STD&amp;SCFT=3&amp;window=popup_no_bar&amp;width=385&amp;height=120&amp;START_MAXIMIZED=FALSE&amp;creator=factset&amp;display_string=Audit"}</definedName>
    <definedName name="_168__FDSAUDITLINK__" hidden="1">{"fdsup://Directions/FactSet Auditing Viewer?action=AUDIT_VALUE&amp;DB=129&amp;ID1=13442910&amp;VALUEID=03040&amp;SDATE=2004&amp;PERIODTYPE=ANN_STD&amp;SCFT=3&amp;window=popup_no_bar&amp;width=385&amp;height=120&amp;START_MAXIMIZED=FALSE&amp;creator=factset&amp;display_string=Audit"}</definedName>
    <definedName name="_169__FDSAUDITLINK__" hidden="1">{"fdsup://Directions/FactSet Auditing Viewer?action=AUDIT_VALUE&amp;DB=129&amp;ID1=20588710&amp;VALUEID=03040&amp;SDATE=2009&amp;PERIODTYPE=ANN_STD&amp;SCFT=3&amp;window=popup_no_bar&amp;width=385&amp;height=120&amp;START_MAXIMIZED=FALSE&amp;creator=factset&amp;display_string=Audit"}</definedName>
    <definedName name="_17__FDSAUDITLINK__" hidden="1">{"fdsup://directions/FAT Viewer?action=UPDATE&amp;creator=factset&amp;DYN_ARGS=TRUE&amp;DOC_NAME=FAT:FQL_AUDITING_CLIENT_TEMPLATE.FAT&amp;display_string=Audit&amp;VAR:KEY=SZKPAXITUT&amp;VAR:QUERY=RkZfQ0FQRVgoQU5OLDIwMTAp&amp;WINDOW=FIRST_POPUP&amp;HEIGHT=450&amp;WIDTH=450&amp;START_MAXIMIZED=FALS","E&amp;VAR:CALENDAR=US&amp;VAR:SYMBOL=K&amp;VAR:INDEX=0"}</definedName>
    <definedName name="_170__FDSAUDITLINK__" hidden="1">{"fdsup://Directions/FactSet Auditing Viewer?action=AUDIT_VALUE&amp;DB=129&amp;ID1=20588710&amp;VALUEID=03040&amp;SDATE=2008&amp;PERIODTYPE=ANN_STD&amp;SCFT=3&amp;window=popup_no_bar&amp;width=385&amp;height=120&amp;START_MAXIMIZED=FALSE&amp;creator=factset&amp;display_string=Audit"}</definedName>
    <definedName name="_171__FDSAUDITLINK__" hidden="1">{"fdsup://Directions/FactSet Auditing Viewer?action=AUDIT_VALUE&amp;DB=129&amp;ID1=20588710&amp;VALUEID=03040&amp;SDATE=2007&amp;PERIODTYPE=ANN_STD&amp;SCFT=3&amp;window=popup_no_bar&amp;width=385&amp;height=120&amp;START_MAXIMIZED=FALSE&amp;creator=factset&amp;display_string=Audit"}</definedName>
    <definedName name="_172__FDSAUDITLINK__" hidden="1">{"fdsup://Directions/FactSet Auditing Viewer?action=AUDIT_VALUE&amp;DB=129&amp;ID1=20588710&amp;VALUEID=03040&amp;SDATE=2006&amp;PERIODTYPE=ANN_STD&amp;SCFT=3&amp;window=popup_no_bar&amp;width=385&amp;height=120&amp;START_MAXIMIZED=FALSE&amp;creator=factset&amp;display_string=Audit"}</definedName>
    <definedName name="_173__FDSAUDITLINK__" hidden="1">{"fdsup://Directions/FactSet Auditing Viewer?action=AUDIT_VALUE&amp;DB=129&amp;ID1=20588710&amp;VALUEID=03040&amp;SDATE=2005&amp;PERIODTYPE=ANN_STD&amp;SCFT=3&amp;window=popup_no_bar&amp;width=385&amp;height=120&amp;START_MAXIMIZED=FALSE&amp;creator=factset&amp;display_string=Audit"}</definedName>
    <definedName name="_174__FDSAUDITLINK__" hidden="1">{"fdsup://Directions/FactSet Auditing Viewer?action=AUDIT_VALUE&amp;DB=129&amp;ID1=20588710&amp;VALUEID=03040&amp;SDATE=2004&amp;PERIODTYPE=ANN_STD&amp;SCFT=3&amp;window=popup_no_bar&amp;width=385&amp;height=120&amp;START_MAXIMIZED=FALSE&amp;creator=factset&amp;display_string=Audit"}</definedName>
    <definedName name="_175__FDSAUDITLINK__"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176__FDSAUDITLINK__" hidden="1">{"fdsup://directions/FAT Viewer?action=UPDATE&amp;creator=factset&amp;DYN_ARGS=TRUE&amp;DOC_NAME=FAT:FQL_AUDITING_CLIENT_TEMPLATE.FAT&amp;display_string=Audit&amp;VAR:KEY=YTCJOJMJMT&amp;VAR:QUERY=Q1NGX0RFQlQoQU5OLDIwMDcp&amp;WINDOW=FIRST_POPUP&amp;HEIGHT=450&amp;WIDTH=450&amp;START_MAXIMIZED=FALS","E&amp;VAR:CALENDAR=US&amp;VAR:SYMBOL=CAG&amp;VAR:INDEX=0"}</definedName>
    <definedName name="_177__FDSAUDITLINK__" hidden="1">{"fdsup://directions/FAT Viewer?action=UPDATE&amp;creator=factset&amp;DYN_ARGS=TRUE&amp;DOC_NAME=FAT:FQL_AUDITING_CLIENT_TEMPLATE.FAT&amp;display_string=Audit&amp;VAR:KEY=SXSDYJAJYD&amp;VAR:QUERY=Q1NGX0RFQlQoQU5OLDIwMDgp&amp;WINDOW=FIRST_POPUP&amp;HEIGHT=450&amp;WIDTH=450&amp;START_MAXIMIZED=FALS","E&amp;VAR:CALENDAR=US&amp;VAR:SYMBOL=CAG&amp;VAR:INDEX=0"}</definedName>
    <definedName name="_178__FDSAUDITLINK__" hidden="1">{"fdsup://directions/FAT Viewer?action=UPDATE&amp;creator=factset&amp;DYN_ARGS=TRUE&amp;DOC_NAME=FAT:FQL_AUDITING_CLIENT_TEMPLATE.FAT&amp;display_string=Audit&amp;VAR:KEY=YRWZUFWNYH&amp;VAR:QUERY=Q1NGX0RFQlQoQU5OLDIwMDkp&amp;WINDOW=FIRST_POPUP&amp;HEIGHT=450&amp;WIDTH=450&amp;START_MAXIMIZED=FALS","E&amp;VAR:CALENDAR=US&amp;VAR:SYMBOL=CAG&amp;VAR:INDEX=0"}</definedName>
    <definedName name="_179__FDSAUDITLINK__" hidden="1">{"fdsup://directions/FAT Viewer?action=UPDATE&amp;creator=factset&amp;DYN_ARGS=TRUE&amp;DOC_NAME=FAT:FQL_AUDITING_CLIENT_TEMPLATE.FAT&amp;display_string=Audit&amp;VAR:KEY=OJSJULGPAZ&amp;VAR:QUERY=Q1NGX0RFQlQoQU5OLDIwMTAp&amp;WINDOW=FIRST_POPUP&amp;HEIGHT=450&amp;WIDTH=450&amp;START_MAXIMIZED=FALS","E&amp;VAR:CALENDAR=US&amp;VAR:SYMBOL=CAG&amp;VAR:INDEX=0"}</definedName>
    <definedName name="_18__FDSAUDITLINK__" hidden="1">{"fdsup://directions/FAT Viewer?action=UPDATE&amp;creator=factset&amp;DYN_ARGS=TRUE&amp;DOC_NAME=FAT:FQL_AUDITING_CLIENT_TEMPLATE.FAT&amp;display_string=Audit&amp;VAR:KEY=ARMVAHURMB&amp;VAR:QUERY=RkZfQ0FQRVgoQU5OLDIwMDkp&amp;WINDOW=FIRST_POPUP&amp;HEIGHT=450&amp;WIDTH=450&amp;START_MAXIMIZED=FALS","E&amp;VAR:CALENDAR=US&amp;VAR:SYMBOL=K&amp;VAR:INDEX=0"}</definedName>
    <definedName name="_180__FDSAUDITLINK__" hidden="1">{"fdsup://directions/FAT Viewer?action=UPDATE&amp;creator=factset&amp;DYN_ARGS=TRUE&amp;DOC_NAME=FAT:FQL_AUDITING_CLIENT_TEMPLATE.FAT&amp;display_string=Audit&amp;VAR:KEY=QPWLITIHAT&amp;VAR:QUERY=Q1NGX0RFQlQoQU5OLDIwMDcp&amp;WINDOW=FIRST_POPUP&amp;HEIGHT=450&amp;WIDTH=450&amp;START_MAXIMIZED=FALS","E&amp;VAR:CALENDAR=US&amp;VAR:SYMBOL=CPB&amp;VAR:INDEX=0"}</definedName>
    <definedName name="_181__FDSAUDITLINK__" hidden="1">{"fdsup://directions/FAT Viewer?action=UPDATE&amp;creator=factset&amp;DYN_ARGS=TRUE&amp;DOC_NAME=FAT:FQL_AUDITING_CLIENT_TEMPLATE.FAT&amp;display_string=Audit&amp;VAR:KEY=ENODYNWLSJ&amp;VAR:QUERY=Q1NGX0RFQlQoQU5OLDIwMDgp&amp;WINDOW=FIRST_POPUP&amp;HEIGHT=450&amp;WIDTH=450&amp;START_MAXIMIZED=FALS","E&amp;VAR:CALENDAR=US&amp;VAR:SYMBOL=CPB&amp;VAR:INDEX=0"}</definedName>
    <definedName name="_182__FDSAUDITLINK__" hidden="1">{"fdsup://directions/FAT Viewer?action=UPDATE&amp;creator=factset&amp;DYN_ARGS=TRUE&amp;DOC_NAME=FAT:FQL_AUDITING_CLIENT_TEMPLATE.FAT&amp;display_string=Audit&amp;VAR:KEY=YVMDOTKLKB&amp;VAR:QUERY=Q1NGX0RFQlQoQU5OLDIwMDkp&amp;WINDOW=FIRST_POPUP&amp;HEIGHT=450&amp;WIDTH=450&amp;START_MAXIMIZED=FALS","E&amp;VAR:CALENDAR=US&amp;VAR:SYMBOL=CPB&amp;VAR:INDEX=0"}</definedName>
    <definedName name="_183__FDSAUDITLINK__" hidden="1">{"fdsup://directions/FAT Viewer?action=UPDATE&amp;creator=factset&amp;DYN_ARGS=TRUE&amp;DOC_NAME=FAT:FQL_AUDITING_CLIENT_TEMPLATE.FAT&amp;display_string=Audit&amp;VAR:KEY=KTGZKZSLKL&amp;VAR:QUERY=Q1NGX0RFQlQoQU5OLDIwMTAp&amp;WINDOW=FIRST_POPUP&amp;HEIGHT=450&amp;WIDTH=450&amp;START_MAXIMIZED=FALS","E&amp;VAR:CALENDAR=US&amp;VAR:SYMBOL=CPB&amp;VAR:INDEX=0"}</definedName>
    <definedName name="_184__FDSAUDITLINK__" hidden="1">{"fdsup://directions/FAT Viewer?action=UPDATE&amp;creator=factset&amp;DYN_ARGS=TRUE&amp;DOC_NAME=FAT:FQL_AUDITING_CLIENT_TEMPLATE.FAT&amp;display_string=Audit&amp;VAR:KEY=WBUZMHAXAJ&amp;VAR:QUERY=Q1NGX0RFQlQoQU5OLDIwMDYp&amp;WINDOW=FIRST_POPUP&amp;HEIGHT=450&amp;WIDTH=450&amp;START_MAXIMIZED=FALS","E&amp;VAR:CALENDAR=US&amp;VAR:SYMBOL=GIS&amp;VAR:INDEX=0"}</definedName>
    <definedName name="_185__FDSAUDITLINK__" hidden="1">{"fdsup://directions/FAT Viewer?action=UPDATE&amp;creator=factset&amp;DYN_ARGS=TRUE&amp;DOC_NAME=FAT:FQL_AUDITING_CLIENT_TEMPLATE.FAT&amp;display_string=Audit&amp;VAR:KEY=YDYVCRYFMT&amp;VAR:QUERY=Q1NGX0RFQlQoQU5OLDIwMDcp&amp;WINDOW=FIRST_POPUP&amp;HEIGHT=450&amp;WIDTH=450&amp;START_MAXIMIZED=FALS","E&amp;VAR:CALENDAR=US&amp;VAR:SYMBOL=GIS&amp;VAR:INDEX=0"}</definedName>
    <definedName name="_186__FDSAUDITLINK__" hidden="1">{"fdsup://directions/FAT Viewer?action=UPDATE&amp;creator=factset&amp;DYN_ARGS=TRUE&amp;DOC_NAME=FAT:FQL_AUDITING_CLIENT_TEMPLATE.FAT&amp;display_string=Audit&amp;VAR:KEY=YDQZQRWBUH&amp;VAR:QUERY=Q1NGX0RFQlQoQU5OLDIwMDgp&amp;WINDOW=FIRST_POPUP&amp;HEIGHT=450&amp;WIDTH=450&amp;START_MAXIMIZED=FALS","E&amp;VAR:CALENDAR=US&amp;VAR:SYMBOL=GIS&amp;VAR:INDEX=0"}</definedName>
    <definedName name="_187__FDSAUDITLINK__" hidden="1">{"fdsup://directions/FAT Viewer?action=UPDATE&amp;creator=factset&amp;DYN_ARGS=TRUE&amp;DOC_NAME=FAT:FQL_AUDITING_CLIENT_TEMPLATE.FAT&amp;display_string=Audit&amp;VAR:KEY=SJGDSZOTCF&amp;VAR:QUERY=Q1NGX0RFQlQoQU5OLDIwMDkp&amp;WINDOW=FIRST_POPUP&amp;HEIGHT=450&amp;WIDTH=450&amp;START_MAXIMIZED=FALS","E&amp;VAR:CALENDAR=US&amp;VAR:SYMBOL=GIS&amp;VAR:INDEX=0"}</definedName>
    <definedName name="_188__FDSAUDITLINK__" hidden="1">{"fdsup://directions/FAT Viewer?action=UPDATE&amp;creator=factset&amp;DYN_ARGS=TRUE&amp;DOC_NAME=FAT:FQL_AUDITING_CLIENT_TEMPLATE.FAT&amp;display_string=Audit&amp;VAR:KEY=AJMFUTEVKT&amp;VAR:QUERY=Q1NGX0RFQlQoQU5OLDIwMTAp&amp;WINDOW=FIRST_POPUP&amp;HEIGHT=450&amp;WIDTH=450&amp;START_MAXIMIZED=FALS","E&amp;VAR:CALENDAR=US&amp;VAR:SYMBOL=GIS&amp;VAR:INDEX=0"}</definedName>
    <definedName name="_189__FDSAUDITLINK__" hidden="1">{"fdsup://directions/FAT Viewer?action=UPDATE&amp;creator=factset&amp;DYN_ARGS=TRUE&amp;DOC_NAME=FAT:FQL_AUDITING_CLIENT_TEMPLATE.FAT&amp;display_string=Audit&amp;VAR:KEY=KFQHWBSVKN&amp;VAR:QUERY=Q1NGX0RFQlQoQU5OLDIwMDYp&amp;WINDOW=FIRST_POPUP&amp;HEIGHT=450&amp;WIDTH=450&amp;START_MAXIMIZED=FALS","E&amp;VAR:CALENDAR=US&amp;VAR:SYMBOL=HNZ&amp;VAR:INDEX=0"}</definedName>
    <definedName name="_19__FDSAUDITLINK__" hidden="1">{"fdsup://directions/FAT Viewer?action=UPDATE&amp;creator=factset&amp;DYN_ARGS=TRUE&amp;DOC_NAME=FAT:FQL_AUDITING_CLIENT_TEMPLATE.FAT&amp;display_string=Audit&amp;VAR:KEY=WVGHIZSVAX&amp;VAR:QUERY=RkZfQ0FQRVgoQU5OLDIwMDgp&amp;WINDOW=FIRST_POPUP&amp;HEIGHT=450&amp;WIDTH=450&amp;START_MAXIMIZED=FALS","E&amp;VAR:CALENDAR=US&amp;VAR:SYMBOL=K&amp;VAR:INDEX=0"}</definedName>
    <definedName name="_190__FDSAUDITLINK__" hidden="1">{"fdsup://directions/FAT Viewer?action=UPDATE&amp;creator=factset&amp;DYN_ARGS=TRUE&amp;DOC_NAME=FAT:FQL_AUDITING_CLIENT_TEMPLATE.FAT&amp;display_string=Audit&amp;VAR:KEY=CBSBMZCROR&amp;VAR:QUERY=Q1NGX0RFQlQoQU5OLDIwMDcp&amp;WINDOW=FIRST_POPUP&amp;HEIGHT=450&amp;WIDTH=450&amp;START_MAXIMIZED=FALS","E&amp;VAR:CALENDAR=US&amp;VAR:SYMBOL=HNZ&amp;VAR:INDEX=0"}</definedName>
    <definedName name="_191__FDSAUDITLINK__" hidden="1">{"fdsup://directions/FAT Viewer?action=UPDATE&amp;creator=factset&amp;DYN_ARGS=TRUE&amp;DOC_NAME=FAT:FQL_AUDITING_CLIENT_TEMPLATE.FAT&amp;display_string=Audit&amp;VAR:KEY=SFGVSZKZKL&amp;VAR:QUERY=Q1NGX0RFQlQoQU5OLDIwMDgp&amp;WINDOW=FIRST_POPUP&amp;HEIGHT=450&amp;WIDTH=450&amp;START_MAXIMIZED=FALS","E&amp;VAR:CALENDAR=US&amp;VAR:SYMBOL=HNZ&amp;VAR:INDEX=0"}</definedName>
    <definedName name="_192__FDSAUDITLINK__" hidden="1">{"fdsup://directions/FAT Viewer?action=UPDATE&amp;creator=factset&amp;DYN_ARGS=TRUE&amp;DOC_NAME=FAT:FQL_AUDITING_CLIENT_TEMPLATE.FAT&amp;display_string=Audit&amp;VAR:KEY=IFCPKRKFOP&amp;VAR:QUERY=Q1NGX0RFQlQoQU5OLDIwMDkp&amp;WINDOW=FIRST_POPUP&amp;HEIGHT=450&amp;WIDTH=450&amp;START_MAXIMIZED=FALS","E&amp;VAR:CALENDAR=US&amp;VAR:SYMBOL=HNZ&amp;VAR:INDEX=0"}</definedName>
    <definedName name="_193__FDSAUDITLINK__" hidden="1">{"fdsup://directions/FAT Viewer?action=UPDATE&amp;creator=factset&amp;DYN_ARGS=TRUE&amp;DOC_NAME=FAT:FQL_AUDITING_CLIENT_TEMPLATE.FAT&amp;display_string=Audit&amp;VAR:KEY=CBQVMDANMX&amp;VAR:QUERY=Q1NGX0RFQlQoQU5OLDIwMTAp&amp;WINDOW=FIRST_POPUP&amp;HEIGHT=450&amp;WIDTH=450&amp;START_MAXIMIZED=FALS","E&amp;VAR:CALENDAR=US&amp;VAR:SYMBOL=HNZ&amp;VAR:INDEX=0"}</definedName>
    <definedName name="_194__FDSAUDITLINK__" hidden="1">{"fdsup://directions/FAT Viewer?action=UPDATE&amp;creator=factset&amp;DYN_ARGS=TRUE&amp;DOC_NAME=FAT:FQL_AUDITING_CLIENT_TEMPLATE.FAT&amp;display_string=Audit&amp;VAR:KEY=ONUZGDEXSZ&amp;VAR:QUERY=Q1NGX0RFQlQoQU5OLDIwMDcp&amp;WINDOW=FIRST_POPUP&amp;HEIGHT=450&amp;WIDTH=450&amp;START_MAXIMIZED=FALS","E&amp;VAR:CALENDAR=US&amp;VAR:SYMBOL=HSY&amp;VAR:INDEX=0"}</definedName>
    <definedName name="_195__FDSAUDITLINK__" hidden="1">{"fdsup://directions/FAT Viewer?action=UPDATE&amp;creator=factset&amp;DYN_ARGS=TRUE&amp;DOC_NAME=FAT:FQL_AUDITING_CLIENT_TEMPLATE.FAT&amp;display_string=Audit&amp;VAR:KEY=MVOREPQNYH&amp;VAR:QUERY=Q1NGX0RFQlQoQU5OLDIwMDgp&amp;WINDOW=FIRST_POPUP&amp;HEIGHT=450&amp;WIDTH=450&amp;START_MAXIMIZED=FALS","E&amp;VAR:CALENDAR=US&amp;VAR:SYMBOL=HSY&amp;VAR:INDEX=0"}</definedName>
    <definedName name="_196__FDSAUDITLINK__" hidden="1">{"fdsup://directions/FAT Viewer?action=UPDATE&amp;creator=factset&amp;DYN_ARGS=TRUE&amp;DOC_NAME=FAT:FQL_AUDITING_CLIENT_TEMPLATE.FAT&amp;display_string=Audit&amp;VAR:KEY=EJCRSHUVAN&amp;VAR:QUERY=Q1NGX0RFQlQoQU5OLDIwMDkp&amp;WINDOW=FIRST_POPUP&amp;HEIGHT=450&amp;WIDTH=450&amp;START_MAXIMIZED=FALS","E&amp;VAR:CALENDAR=US&amp;VAR:SYMBOL=HSY&amp;VAR:INDEX=0"}</definedName>
    <definedName name="_197__FDSAUDITLINK__" hidden="1">{"fdsup://directions/FAT Viewer?action=UPDATE&amp;creator=factset&amp;DYN_ARGS=TRUE&amp;DOC_NAME=FAT:FQL_AUDITING_CLIENT_TEMPLATE.FAT&amp;display_string=Audit&amp;VAR:KEY=QHCNUJKJSF&amp;VAR:QUERY=Q1NGX0RFQlQoQU5OLDIwMTAp&amp;WINDOW=FIRST_POPUP&amp;HEIGHT=450&amp;WIDTH=450&amp;START_MAXIMIZED=FALS","E&amp;VAR:CALENDAR=US&amp;VAR:SYMBOL=HSY&amp;VAR:INDEX=0"}</definedName>
    <definedName name="_198__FDSAUDITLINK__" hidden="1">{"fdsup://directions/FAT Viewer?action=UPDATE&amp;creator=factset&amp;DYN_ARGS=TRUE&amp;DOC_NAME=FAT:FQL_AUDITING_CLIENT_TEMPLATE.FAT&amp;display_string=Audit&amp;VAR:KEY=OZQXSTARSD&amp;VAR:QUERY=Q1NGX0RFQlQoQU5OLDIwMDcp&amp;WINDOW=FIRST_POPUP&amp;HEIGHT=450&amp;WIDTH=450&amp;START_MAXIMIZED=FALS","E&amp;VAR:CALENDAR=US&amp;VAR:SYMBOL=K&amp;VAR:INDEX=0"}</definedName>
    <definedName name="_199__FDSAUDITLINK__" hidden="1">{"fdsup://directions/FAT Viewer?action=UPDATE&amp;creator=factset&amp;DYN_ARGS=TRUE&amp;DOC_NAME=FAT:FQL_AUDITING_CLIENT_TEMPLATE.FAT&amp;display_string=Audit&amp;VAR:KEY=CRSBULIXKF&amp;VAR:QUERY=Q1NGX0RFQlQoQU5OLDIwMDgp&amp;WINDOW=FIRST_POPUP&amp;HEIGHT=450&amp;WIDTH=450&amp;START_MAXIMIZED=FALS","E&amp;VAR:CALENDAR=US&amp;VAR:SYMBOL=K&amp;VAR:INDEX=0"}</definedName>
    <definedName name="_2__FDSAUDITLINK__" hidden="1">{"fdsup://directions/FAT Viewer?action=UPDATE&amp;creator=factset&amp;DYN_ARGS=TRUE&amp;DOC_NAME=FAT:FQL_AUDITING_CLIENT_TEMPLATE.FAT&amp;display_string=Audit&amp;VAR:KEY=INKTUBGDCJ&amp;VAR:QUERY=RkZfQ0FQRVgoQU5OLDIwMDkp&amp;WINDOW=FIRST_POPUP&amp;HEIGHT=450&amp;WIDTH=450&amp;START_MAXIMIZED=FALS","E&amp;VAR:CALENDAR=US&amp;VAR:SYMBOL=SLE&amp;VAR:INDEX=0"}</definedName>
    <definedName name="_20__FDSAUDITLINK__" hidden="1">{"fdsup://directions/FAT Viewer?action=UPDATE&amp;creator=factset&amp;DYN_ARGS=TRUE&amp;DOC_NAME=FAT:FQL_AUDITING_CLIENT_TEMPLATE.FAT&amp;display_string=Audit&amp;VAR:KEY=IFEHKXQFUR&amp;VAR:QUERY=RkZfQ0FQRVgoQU5OLDIwMDcp&amp;WINDOW=FIRST_POPUP&amp;HEIGHT=450&amp;WIDTH=450&amp;START_MAXIMIZED=FALS","E&amp;VAR:CALENDAR=US&amp;VAR:SYMBOL=K&amp;VAR:INDEX=0"}</definedName>
    <definedName name="_200__FDSAUDITLINK__" hidden="1">{"fdsup://directions/FAT Viewer?action=UPDATE&amp;creator=factset&amp;DYN_ARGS=TRUE&amp;DOC_NAME=FAT:FQL_AUDITING_CLIENT_TEMPLATE.FAT&amp;display_string=Audit&amp;VAR:KEY=WBKTQVCXQT&amp;VAR:QUERY=Q1NGX0RFQlQoQU5OLDIwMDkp&amp;WINDOW=FIRST_POPUP&amp;HEIGHT=450&amp;WIDTH=450&amp;START_MAXIMIZED=FALS","E&amp;VAR:CALENDAR=US&amp;VAR:SYMBOL=K&amp;VAR:INDEX=0"}</definedName>
    <definedName name="_201__FDSAUDITLINK__" hidden="1">{"fdsup://directions/FAT Viewer?action=UPDATE&amp;creator=factset&amp;DYN_ARGS=TRUE&amp;DOC_NAME=FAT:FQL_AUDITING_CLIENT_TEMPLATE.FAT&amp;display_string=Audit&amp;VAR:KEY=MNCZKPSNKR&amp;VAR:QUERY=Q1NGX0RFQlQoQU5OLDIwMTAp&amp;WINDOW=FIRST_POPUP&amp;HEIGHT=450&amp;WIDTH=450&amp;START_MAXIMIZED=FALS","E&amp;VAR:CALENDAR=US&amp;VAR:SYMBOL=K&amp;VAR:INDEX=0"}</definedName>
    <definedName name="_202__FDSAUDITLINK__" hidden="1">{"fdsup://directions/FAT Viewer?action=UPDATE&amp;creator=factset&amp;DYN_ARGS=TRUE&amp;DOC_NAME=FAT:FQL_AUDITING_CLIENT_TEMPLATE.FAT&amp;display_string=Audit&amp;VAR:KEY=ODQBSHYHMR&amp;VAR:QUERY=Q1NGX0RFQlQoQU5OLDIwMDcp&amp;WINDOW=FIRST_POPUP&amp;HEIGHT=450&amp;WIDTH=450&amp;START_MAXIMIZED=FALS","E&amp;VAR:CALENDAR=US&amp;VAR:SYMBOL=KFT&amp;VAR:INDEX=0"}</definedName>
    <definedName name="_203__FDSAUDITLINK__" hidden="1">{"fdsup://directions/FAT Viewer?action=UPDATE&amp;creator=factset&amp;DYN_ARGS=TRUE&amp;DOC_NAME=FAT:FQL_AUDITING_CLIENT_TEMPLATE.FAT&amp;display_string=Audit&amp;VAR:KEY=ARIJGXKXOT&amp;VAR:QUERY=Q1NGX0RFQlQoQU5OLDIwMDgp&amp;WINDOW=FIRST_POPUP&amp;HEIGHT=450&amp;WIDTH=450&amp;START_MAXIMIZED=FALS","E&amp;VAR:CALENDAR=US&amp;VAR:SYMBOL=KFT&amp;VAR:INDEX=0"}</definedName>
    <definedName name="_204__FDSAUDITLINK__" hidden="1">{"fdsup://directions/FAT Viewer?action=UPDATE&amp;creator=factset&amp;DYN_ARGS=TRUE&amp;DOC_NAME=FAT:FQL_AUDITING_CLIENT_TEMPLATE.FAT&amp;display_string=Audit&amp;VAR:KEY=QRINQFMBEF&amp;VAR:QUERY=Q1NGX0RFQlQoQU5OLDIwMDkp&amp;WINDOW=FIRST_POPUP&amp;HEIGHT=450&amp;WIDTH=450&amp;START_MAXIMIZED=FALS","E&amp;VAR:CALENDAR=US&amp;VAR:SYMBOL=KFT&amp;VAR:INDEX=0"}</definedName>
    <definedName name="_205__FDSAUDITLINK__" hidden="1">{"fdsup://directions/FAT Viewer?action=UPDATE&amp;creator=factset&amp;DYN_ARGS=TRUE&amp;DOC_NAME=FAT:FQL_AUDITING_CLIENT_TEMPLATE.FAT&amp;display_string=Audit&amp;VAR:KEY=AXKTSJOTYV&amp;VAR:QUERY=Q1NGX0RFQlQoQU5OLDIwMTAp&amp;WINDOW=FIRST_POPUP&amp;HEIGHT=450&amp;WIDTH=450&amp;START_MAXIMIZED=FALS","E&amp;VAR:CALENDAR=US&amp;VAR:SYMBOL=KFT&amp;VAR:INDEX=0"}</definedName>
    <definedName name="_206__FDSAUDITLINK__" hidden="1">{"fdsup://directions/FAT Viewer?action=UPDATE&amp;creator=factset&amp;DYN_ARGS=TRUE&amp;DOC_NAME=FAT:FQL_AUDITING_CLIENT_TEMPLATE.FAT&amp;display_string=Audit&amp;VAR:KEY=MJSXWLONUT&amp;VAR:QUERY=Q1NGX0RFQlQoQU5OLDIwMDcp&amp;WINDOW=FIRST_POPUP&amp;HEIGHT=450&amp;WIDTH=450&amp;START_MAXIMIZED=FALS","E&amp;VAR:CALENDAR=US&amp;VAR:SYMBOL=SLE&amp;VAR:INDEX=0"}</definedName>
    <definedName name="_207__FDSAUDITLINK__" hidden="1">{"fdsup://directions/FAT Viewer?action=UPDATE&amp;creator=factset&amp;DYN_ARGS=TRUE&amp;DOC_NAME=FAT:FQL_AUDITING_CLIENT_TEMPLATE.FAT&amp;display_string=Audit&amp;VAR:KEY=CJQTMNQFSR&amp;VAR:QUERY=Q1NGX0RFQlQoQU5OLDIwMDgp&amp;WINDOW=FIRST_POPUP&amp;HEIGHT=450&amp;WIDTH=450&amp;START_MAXIMIZED=FALS","E&amp;VAR:CALENDAR=US&amp;VAR:SYMBOL=SLE&amp;VAR:INDEX=0"}</definedName>
    <definedName name="_208__FDSAUDITLINK__" hidden="1">{"fdsup://directions/FAT Viewer?action=UPDATE&amp;creator=factset&amp;DYN_ARGS=TRUE&amp;DOC_NAME=FAT:FQL_AUDITING_CLIENT_TEMPLATE.FAT&amp;display_string=Audit&amp;VAR:KEY=CXELYZEXIZ&amp;VAR:QUERY=Q1NGX0RFQlQoQU5OLDIwMDkp&amp;WINDOW=FIRST_POPUP&amp;HEIGHT=450&amp;WIDTH=450&amp;START_MAXIMIZED=FALS","E&amp;VAR:CALENDAR=US&amp;VAR:SYMBOL=SLE&amp;VAR:INDEX=0"}</definedName>
    <definedName name="_209__FDSAUDITLINK__" hidden="1">{"fdsup://directions/FAT Viewer?action=UPDATE&amp;creator=factset&amp;DYN_ARGS=TRUE&amp;DOC_NAME=FAT:FQL_AUDITING_CLIENT_TEMPLATE.FAT&amp;display_string=Audit&amp;VAR:KEY=AVCHCDCRSH&amp;VAR:QUERY=Q1NGX0RFQlQoQU5OLDIwMTAp&amp;WINDOW=FIRST_POPUP&amp;HEIGHT=450&amp;WIDTH=450&amp;START_MAXIMIZED=FALS","E&amp;VAR:CALENDAR=US&amp;VAR:SYMBOL=SLE&amp;VAR:INDEX=0"}</definedName>
    <definedName name="_21__FDSAUDITLINK__" hidden="1">{"fdsup://directions/FAT Viewer?action=UPDATE&amp;creator=factset&amp;DYN_ARGS=TRUE&amp;DOC_NAME=FAT:FQL_AUDITING_CLIENT_TEMPLATE.FAT&amp;display_string=Audit&amp;VAR:KEY=CRMLEZQXMV&amp;VAR:QUERY=RkZfQ0FQRVgoQU5OLDIwMDYp&amp;WINDOW=FIRST_POPUP&amp;HEIGHT=450&amp;WIDTH=450&amp;START_MAXIMIZED=FALS","E&amp;VAR:CALENDAR=US&amp;VAR:SYMBOL=K&amp;VAR:INDEX=0"}</definedName>
    <definedName name="_210__FDSAUDITLINK__" hidden="1">{"fdsup://directions/FAT Viewer?action=UPDATE&amp;creator=factset&amp;DYN_ARGS=TRUE&amp;DOC_NAME=FAT:FQL_AUDITING_CLIENT_TEMPLATE.FAT&amp;display_string=Audit&amp;VAR:KEY=YVMDOTKLKB&amp;VAR:QUERY=Q1NGX0RFQlQoQU5OLDIwMDkp&amp;WINDOW=FIRST_POPUP&amp;HEIGHT=450&amp;WIDTH=450&amp;START_MAXIMIZED=FALS","E&amp;VAR:CALENDAR=US&amp;VAR:SYMBOL=CPB&amp;VAR:INDEX=0"}</definedName>
    <definedName name="_211__FDSAUDITLINK__" hidden="1">{"fdsup://directions/FAT Viewer?action=UPDATE&amp;creator=factset&amp;DYN_ARGS=TRUE&amp;DOC_NAME=FAT:FQL_AUDITING_CLIENT_TEMPLATE.FAT&amp;display_string=Audit&amp;VAR:KEY=ENODYNWLSJ&amp;VAR:QUERY=Q1NGX0RFQlQoQU5OLDIwMDgp&amp;WINDOW=FIRST_POPUP&amp;HEIGHT=450&amp;WIDTH=450&amp;START_MAXIMIZED=FALS","E&amp;VAR:CALENDAR=US&amp;VAR:SYMBOL=CPB&amp;VAR:INDEX=0"}</definedName>
    <definedName name="_212__FDSAUDITLINK__" hidden="1">{"fdsup://directions/FAT Viewer?action=UPDATE&amp;creator=factset&amp;DYN_ARGS=TRUE&amp;DOC_NAME=FAT:FQL_AUDITING_CLIENT_TEMPLATE.FAT&amp;display_string=Audit&amp;VAR:KEY=QPWLITIHAT&amp;VAR:QUERY=Q1NGX0RFQlQoQU5OLDIwMDcp&amp;WINDOW=FIRST_POPUP&amp;HEIGHT=450&amp;WIDTH=450&amp;START_MAXIMIZED=FALS","E&amp;VAR:CALENDAR=US&amp;VAR:SYMBOL=CPB&amp;VAR:INDEX=0"}</definedName>
    <definedName name="_213__FDSAUDITLINK__" hidden="1">{"fdsup://directions/FAT Viewer?action=UPDATE&amp;creator=factset&amp;DYN_ARGS=TRUE&amp;DOC_NAME=FAT:FQL_AUDITING_CLIENT_TEMPLATE.FAT&amp;display_string=Audit&amp;VAR:KEY=OJSJULGPAZ&amp;VAR:QUERY=Q1NGX0RFQlQoQU5OLDIwMTAp&amp;WINDOW=FIRST_POPUP&amp;HEIGHT=450&amp;WIDTH=450&amp;START_MAXIMIZED=FALS","E&amp;VAR:CALENDAR=US&amp;VAR:SYMBOL=CAG&amp;VAR:INDEX=0"}</definedName>
    <definedName name="_214__FDSAUDITLINK__" hidden="1">{"fdsup://directions/FAT Viewer?action=UPDATE&amp;creator=factset&amp;DYN_ARGS=TRUE&amp;DOC_NAME=FAT:FQL_AUDITING_CLIENT_TEMPLATE.FAT&amp;display_string=Audit&amp;VAR:KEY=YRWZUFWNYH&amp;VAR:QUERY=Q1NGX0RFQlQoQU5OLDIwMDkp&amp;WINDOW=FIRST_POPUP&amp;HEIGHT=450&amp;WIDTH=450&amp;START_MAXIMIZED=FALS","E&amp;VAR:CALENDAR=US&amp;VAR:SYMBOL=CAG&amp;VAR:INDEX=0"}</definedName>
    <definedName name="_215__FDSAUDITLINK__" hidden="1">{"fdsup://directions/FAT Viewer?action=UPDATE&amp;creator=factset&amp;DYN_ARGS=TRUE&amp;DOC_NAME=FAT:FQL_AUDITING_CLIENT_TEMPLATE.FAT&amp;display_string=Audit&amp;VAR:KEY=SXSDYJAJYD&amp;VAR:QUERY=Q1NGX0RFQlQoQU5OLDIwMDgp&amp;WINDOW=FIRST_POPUP&amp;HEIGHT=450&amp;WIDTH=450&amp;START_MAXIMIZED=FALS","E&amp;VAR:CALENDAR=US&amp;VAR:SYMBOL=CAG&amp;VAR:INDEX=0"}</definedName>
    <definedName name="_216__FDSAUDITLINK__" hidden="1">{"fdsup://directions/FAT Viewer?action=UPDATE&amp;creator=factset&amp;DYN_ARGS=TRUE&amp;DOC_NAME=FAT:FQL_AUDITING_CLIENT_TEMPLATE.FAT&amp;display_string=Audit&amp;VAR:KEY=YTCJOJMJMT&amp;VAR:QUERY=Q1NGX0RFQlQoQU5OLDIwMDcp&amp;WINDOW=FIRST_POPUP&amp;HEIGHT=450&amp;WIDTH=450&amp;START_MAXIMIZED=FALS","E&amp;VAR:CALENDAR=US&amp;VAR:SYMBOL=CAG&amp;VAR:INDEX=0"}</definedName>
    <definedName name="_217__FDSAUDITLINK__" hidden="1">{"fdsup://directions/FAT Viewer?action=UPDATE&amp;creator=factset&amp;DYN_ARGS=TRUE&amp;DOC_NAME=FAT:FQL_AUDITING_CLIENT_TEMPLATE.FAT&amp;display_string=Audit&amp;VAR:KEY=AXIJQFUNAR&amp;VAR:QUERY=Q1NGX0RFQlQoQU5OLDIwMDYp&amp;WINDOW=FIRST_POPUP&amp;HEIGHT=450&amp;WIDTH=450&amp;START_MAXIMIZED=FALS","E&amp;VAR:CALENDAR=US&amp;VAR:SYMBOL=CAG&amp;VAR:INDEX=0"}</definedName>
    <definedName name="_218__FDSAUDITLINK__" hidden="1">{"fdsup://directions/FAT%20Viewer?VAR:TM=NTMA&amp;VAR:PCT=0.104110&amp;VAR:Y0=2005&amp;VAR:Y1=2006&amp;VAR:V0=16.576681&amp;VAR:V1=14.718791&amp;VAR:V=14.892564&amp;VAR:AUDIT_ID=00000117&amp;VAR:DATE=20051123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Mean&amp;VAR:CHGPERIOD=NA&amp;VAR:FQLFORMULA=FMA_PE&amp;VAR:","CURRENCY=NA&amp;VAR:P=1265.607000&amp;VAR:V=14.892564&amp;VAR:null=.html"}</definedName>
    <definedName name="_219__FDSAUDITLINK__" hidden="1">{"fdsup://directions/FAT%20Viewer?VAR:TM=NTMA&amp;VAR:PCT=0.123288&amp;VAR:Y0=2005&amp;VAR:Y1=2006&amp;VAR:V0=16.055067&amp;VAR:V1=14.309222&amp;VAR:V=14.503664&amp;VAR:AUDIT_ID=00000117&amp;VAR:DATE=20051116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Mean&amp;VAR:CHGPERIOD=NA&amp;VAR:FQLFORMULA=FMA_PE&amp;VAR:","CURRENCY=NA&amp;VAR:P=1231.214000&amp;VAR:V=14.503664&amp;VAR:null=.html"}</definedName>
    <definedName name="_22__FDSAUDITLINK__" hidden="1">{"fdsup://directions/FAT Viewer?action=UPDATE&amp;creator=factset&amp;DYN_ARGS=TRUE&amp;DOC_NAME=FAT:FQL_AUDITING_CLIENT_TEMPLATE.FAT&amp;display_string=Audit&amp;VAR:KEY=ORQLKZIJSJ&amp;VAR:QUERY=RkZfQ0FQRVgoQU5OLDIwMDUp&amp;WINDOW=FIRST_POPUP&amp;HEIGHT=450&amp;WIDTH=450&amp;START_MAXIMIZED=FALS","E&amp;VAR:CALENDAR=US&amp;VAR:SYMBOL=K&amp;VAR:INDEX=0"}</definedName>
    <definedName name="_220__FDSAUDITLINK__" hidden="1">{"fdsup://directions/FAT%20Viewer?VAR:TM=NTMA&amp;VAR:PCT=0.142466&amp;VAR:Y0=2005&amp;VAR:Y1=2006&amp;VAR:V0=15.904988&amp;VAR:V1=14.182417&amp;VAR:V=14.404675&amp;VAR:AUDIT_ID=00000117&amp;VAR:DATE=20051109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Mean&amp;VAR:CHGPERIOD=NA&amp;VAR:FQLFORMULA=FMA_PE&amp;VAR:","CURRENCY=NA&amp;VAR:P=1220.651100&amp;VAR:V=14.404675&amp;VAR:null=.html"}</definedName>
    <definedName name="_221__FDSAUDITLINK__" hidden="1">{"fdsup://directions/FAT%20Viewer?VAR:TM=NTMA&amp;VAR:PCT=0.161644&amp;VAR:Y0=2005&amp;VAR:Y1=2006&amp;VAR:V0=15.802159&amp;VAR:V1=14.123378&amp;VAR:V=14.370151&amp;VAR:AUDIT_ID=00000117&amp;VAR:DATE=20051102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Mean&amp;VAR:CHGPERIOD=NA&amp;VAR:FQLFORMULA=FMA_PE&amp;VAR:","CURRENCY=NA&amp;VAR:P=1214.756800&amp;VAR:V=14.370151&amp;VAR:null=.html"}</definedName>
    <definedName name="_222__FDSAUDITLINK__" hidden="1">{"fdsup://directions/FAT%20Viewer?VAR:TM=NTMA&amp;VAR:PCT=0.180822&amp;VAR:Y0=2005&amp;VAR:Y1=2006&amp;VAR:V0=15.441503&amp;VAR:V1=13.836089&amp;VAR:V=14.101186&amp;VAR:AUDIT_ID=00000117&amp;VAR:DATE=20051026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Mean&amp;VAR:CHGPERIOD=NA&amp;VAR:FQLFORMULA=FMA_PE&amp;VAR:","CURRENCY=NA&amp;VAR:P=1191.382600&amp;VAR:V=14.101186&amp;VAR:null=.html"}</definedName>
    <definedName name="_223__FDSAUDITLINK__" hidden="1">{"fdsup://directions/FAT%20Viewer?VAR:TM=NTMA&amp;VAR:PCT=0.200000&amp;VAR:Y0=2005&amp;VAR:Y1=2006&amp;VAR:V0=15.493042&amp;VAR:V1=13.884222&amp;VAR:V=14.178689&amp;VAR:AUDIT_ID=00000117&amp;VAR:DATE=20051019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Mean&amp;VAR:CHGPERIOD=NA&amp;VAR:FQLFORMULA=FMA_PE&amp;VAR:","CURRENCY=NA&amp;VAR:P=1195.755700&amp;VAR:V=14.178689&amp;VAR:null=.html"}</definedName>
    <definedName name="_224__FDSAUDITLINK__" hidden="1">{"fdsup://directions/FAT%20Viewer?VAR:TM=NTMA&amp;VAR:PCT=0.219178&amp;VAR:Y0=2005&amp;VAR:Y1=2006&amp;VAR:V0=15.254003&amp;VAR:V1=13.688988&amp;VAR:V=14.003894&amp;VAR:AUDIT_ID=00000117&amp;VAR:DATE=20051012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Mean&amp;VAR:CHGPERIOD=NA&amp;VAR:FQLFORMULA=FMA_PE&amp;VAR:","CURRENCY=NA&amp;VAR:P=1177.682500&amp;VAR:V=14.003894&amp;VAR:null=.html"}</definedName>
    <definedName name="_225__FDSAUDITLINK__" hidden="1">{"fdsup://directions/FAT%20Viewer?VAR:TM=NTMA&amp;VAR:PCT=0.238356&amp;VAR:Y0=2005&amp;VAR:Y1=2006&amp;VAR:V0=15.567582&amp;VAR:V1=14.001228&amp;VAR:V=14.345264&amp;VAR:AUDIT_ID=00000117&amp;VAR:DATE=20051005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Mean&amp;VAR:CHGPERIOD=NA&amp;VAR:FQLFORMULA=FMA_PE&amp;VAR:","CURRENCY=NA&amp;VAR:P=1196.388500&amp;VAR:V=14.345264&amp;VAR:null=.html"}</definedName>
    <definedName name="_226__FDSAUDITLINK__" hidden="1">{"fdsup://directions/FAT%20Viewer?VAR:TM=NTMA&amp;VAR:PCT=0.257534&amp;VAR:Y0=2005&amp;VAR:Y1=2006&amp;VAR:V0=15.818895&amp;VAR:V1=14.254338&amp;VAR:V=14.626903&amp;VAR:AUDIT_ID=00000117&amp;VAR:DATE=20050928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Mean&amp;VAR:CHGPERIOD=NA&amp;VAR:FQLFORMULA=FMA_PE&amp;VAR:","CURRENCY=NA&amp;VAR:P=1216.893700&amp;VAR:V=14.626903&amp;VAR:null=.html"}</definedName>
    <definedName name="_227__FDSAUDITLINK__" hidden="1">{"fdsup://directions/FAT%20Viewer?VAR:TM=NTMA&amp;VAR:PCT=0.276712&amp;VAR:Y0=2005&amp;VAR:Y1=2006&amp;VAR:V0=15.721671&amp;VAR:V1=14.182527&amp;VAR:V=14.577430&amp;VAR:AUDIT_ID=00000117&amp;VAR:DATE=20050921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Mean&amp;VAR:CHGPERIOD=NA&amp;VAR:FQLFORMULA=FMA_PE&amp;VAR:","CURRENCY=NA&amp;VAR:P=1210.201400&amp;VAR:V=14.577430&amp;VAR:null=.html"}</definedName>
    <definedName name="_228__FDSAUDITLINK__" hidden="1">{"fdsup://directions/FAT%20Viewer?VAR:TM=NTMA&amp;VAR:PCT=0.295890&amp;VAR:Y0=2005&amp;VAR:Y1=2006&amp;VAR:V0=16.010946&amp;VAR:V1=14.453114&amp;VAR:V=14.881547&amp;VAR:AUDIT_ID=00000117&amp;VAR:DATE=20050914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Mean&amp;VAR:CHGPERIOD=NA&amp;VAR:FQLFORMULA=FMA_PE&amp;VAR:","CURRENCY=NA&amp;VAR:P=1227.162100&amp;VAR:V=14.881547&amp;VAR:null=.html"}</definedName>
    <definedName name="_229__FDSAUDITLINK__" hidden="1">{"fdsup://directions/FAT%20Viewer?VAR:TM=NTMA&amp;VAR:PCT=0.315068&amp;VAR:Y0=2005&amp;VAR:Y1=2006&amp;VAR:V0=16.169620&amp;VAR:V1=14.607820&amp;VAR:V=15.066318&amp;VAR:AUDIT_ID=00000117&amp;VAR:DATE=20050907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Mean&amp;VAR:CHGPERIOD=NA&amp;VAR:FQLFORMULA=FMA_PE&amp;VAR:","CURRENCY=NA&amp;VAR:P=1236.360000&amp;VAR:V=15.066318&amp;VAR:null=.html"}</definedName>
    <definedName name="_23__FDSAUDITLINK__" hidden="1">{"fdsup://directions/FAT Viewer?action=UPDATE&amp;creator=factset&amp;DYN_ARGS=TRUE&amp;DOC_NAME=FAT:FQL_AUDITING_CLIENT_TEMPLATE.FAT&amp;display_string=Audit&amp;VAR:KEY=GTWHEJMXED&amp;VAR:QUERY=RkZfQ0FQRVgoQU5OLDIwMDQp&amp;WINDOW=FIRST_POPUP&amp;HEIGHT=450&amp;WIDTH=450&amp;START_MAXIMIZED=FALS","E&amp;VAR:CALENDAR=US&amp;VAR:SYMBOL=K&amp;VAR:INDEX=0"}</definedName>
    <definedName name="_230__FDSAUDITLINK__" hidden="1">{"fdsup://directions/FAT%20Viewer?VAR:TM=NTMA&amp;VAR:PCT=0.334247&amp;VAR:Y0=2005&amp;VAR:Y1=2006&amp;VAR:V0=15.983737&amp;VAR:V1=14.465925&amp;VAR:V=14.940124&amp;VAR:AUDIT_ID=00000117&amp;VAR:DATE=20050831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Mean&amp;VAR:CHGPERIOD=NA&amp;VAR:FQLFORMULA=FMA_PE&amp;VAR:","CURRENCY=NA&amp;VAR:P=1220.330900&amp;VAR:V=14.940124&amp;VAR:null=.html"}</definedName>
    <definedName name="_231__FDSAUDITLINK__" hidden="1">{"fdsup://directions/FAT%20Viewer?VAR:TM=NTMA&amp;VAR:PCT=0.353425&amp;VAR:Y0=2005&amp;VAR:Y1=2006&amp;VAR:V0=15.858086&amp;VAR:V1=14.353595&amp;VAR:V=14.851571&amp;VAR:AUDIT_ID=00000117&amp;VAR:DATE=20050824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Mean&amp;VAR:CHGPERIOD=NA&amp;VAR:FQLFORMULA=FMA_PE&amp;VAR:","CURRENCY=NA&amp;VAR:P=1209.585400&amp;VAR:V=14.851571&amp;VAR:null=.html"}</definedName>
    <definedName name="_232__FDSAUDITLINK__" hidden="1">{"fdsup://directions/FAT%20Viewer?VAR:TM=NTMA&amp;VAR:PCT=0.372603&amp;VAR:Y0=2005&amp;VAR:Y1=2006&amp;VAR:V0=16.061693&amp;VAR:V1=14.521567&amp;VAR:V=15.059620&amp;VAR:AUDIT_ID=00000117&amp;VAR:DATE=20050817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Mean&amp;VAR:CHGPERIOD=NA&amp;VAR:FQLFORMULA=FMA_PE&amp;VAR:","CURRENCY=NA&amp;VAR:P=1220.236700&amp;VAR:V=15.059620&amp;VAR:null=.html"}</definedName>
    <definedName name="_233__FDSAUDITLINK__" hidden="1">{"fdsup://directions/FAT%20Viewer?VAR:TM=NTMA&amp;VAR:PCT=0.391781&amp;VAR:Y0=2005&amp;VAR:Y1=2006&amp;VAR:V0=16.207304&amp;VAR:V1=14.673240&amp;VAR:V=15.238324&amp;VAR:AUDIT_ID=00000117&amp;VAR:DATE=20050810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Mean&amp;VAR:CHGPERIOD=NA&amp;VAR:FQLFORMULA=FMA_PE&amp;VAR:","CURRENCY=NA&amp;VAR:P=1229.128800&amp;VAR:V=15.238324&amp;VAR:null=.html"}</definedName>
    <definedName name="_234__FDSAUDITLINK__" hidden="1">{"fdsup://directions/FAT%20Viewer?VAR:TM=NTMA&amp;VAR:PCT=0.410959&amp;VAR:Y0=2005&amp;VAR:Y1=2006&amp;VAR:V0=16.457047&amp;VAR:V1=14.889765&amp;VAR:V=15.496250&amp;VAR:AUDIT_ID=00000117&amp;VAR:DATE=20050803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Mean&amp;VAR:CHGPERIOD=NA&amp;VAR:FQLFORMULA=FMA_PE&amp;VAR:","CURRENCY=NA&amp;VAR:P=1245.044600&amp;VAR:V=15.496250&amp;VAR:null=.html"}</definedName>
    <definedName name="_235__FDSAUDITLINK__" hidden="1">{"fdsup://directions/FAT%20Viewer?VAR:TM=NTMA&amp;VAR:PCT=0.430137&amp;VAR:Y0=2005&amp;VAR:Y1=2006&amp;VAR:V0=16.409405&amp;VAR:V1=14.858623&amp;VAR:V=15.488225&amp;VAR:AUDIT_ID=00000117&amp;VAR:DATE=20050727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Mean&amp;VAR:CHGPERIOD=NA&amp;VAR:FQLFORMULA=FMA_PE&amp;VAR:","CURRENCY=NA&amp;VAR:P=1236.787100&amp;VAR:V=15.488225&amp;VAR:null=.html"}</definedName>
    <definedName name="_236__FDSAUDITLINK__" hidden="1">{"fdsup://directions/FAT%20Viewer?VAR:TM=NTMA&amp;VAR:PCT=0.449315&amp;VAR:Y0=2005&amp;VAR:Y1=2006&amp;VAR:V0=16.435804&amp;VAR:V1=14.929385&amp;VAR:V=15.570612&amp;VAR:AUDIT_ID=00000117&amp;VAR:DATE=20050720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Mean&amp;VAR:CHGPERIOD=NA&amp;VAR:FQLFORMULA=FMA_PE&amp;VAR:","CURRENCY=NA&amp;VAR:P=1235.202300&amp;VAR:V=15.570612&amp;VAR:null=.html"}</definedName>
    <definedName name="_237__FDSAUDITLINK__" hidden="1">{"fdsup://directions/FAT%20Viewer?VAR:TM=NTMA&amp;VAR:PCT=0.468493&amp;VAR:Y0=2005&amp;VAR:Y1=2006&amp;VAR:V0=16.297730&amp;VAR:V1=14.805358&amp;VAR:V=15.468971&amp;VAR:AUDIT_ID=00000117&amp;VAR:DATE=20050713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Mean&amp;VAR:CHGPERIOD=NA&amp;VAR:FQLFORMULA=FMA_PE&amp;VAR:","CURRENCY=NA&amp;VAR:P=1223.288300&amp;VAR:V=15.468971&amp;VAR:null=.html"}</definedName>
    <definedName name="_238__FDSAUDITLINK__" hidden="1">{"fdsup://directions/FAT%20Viewer?VAR:TM=NTMA&amp;VAR:PCT=0.487671&amp;VAR:Y0=2005&amp;VAR:Y1=2006&amp;VAR:V0=15.956590&amp;VAR:V1=14.512171&amp;VAR:V=15.182396&amp;VAR:AUDIT_ID=00000117&amp;VAR:DATE=20050706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Mean&amp;VAR:CHGPERIOD=NA&amp;VAR:FQLFORMULA=FMA_PE&amp;VAR:","CURRENCY=NA&amp;VAR:P=1194.944000&amp;VAR:V=15.182396&amp;VAR:null=.html"}</definedName>
    <definedName name="_239__FDSAUDITLINK__" hidden="1">{"fdsup://directions/FAT%20Viewer?VAR:TM=NTMA&amp;VAR:PCT=0.506849&amp;VAR:Y0=2005&amp;VAR:Y1=2006&amp;VAR:V0=16.044450&amp;VAR:V1=14.566295&amp;VAR:V=15.279791&amp;VAR:AUDIT_ID=00000117&amp;VAR:DATE=20050629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Mean&amp;VAR:CHGPERIOD=NA&amp;VAR:FQLFORMULA=FMA_PE&amp;VAR:","CURRENCY=NA&amp;VAR:P=1199.850800&amp;VAR:V=15.279791&amp;VAR:null=.html"}</definedName>
    <definedName name="_24__FDSAUDITLINK__" hidden="1">{"fdsup://directions/FAT Viewer?action=UPDATE&amp;creator=factset&amp;DYN_ARGS=TRUE&amp;DOC_NAME=FAT:FQL_AUDITING_CLIENT_TEMPLATE.FAT&amp;display_string=Audit&amp;VAR:KEY=QTODAHEPAJ&amp;VAR:QUERY=RkZfQ0FQRVgoQU5OLDIwMDMp&amp;WINDOW=FIRST_POPUP&amp;HEIGHT=450&amp;WIDTH=450&amp;START_MAXIMIZED=FALS","E&amp;VAR:CALENDAR=US&amp;VAR:SYMBOL=K&amp;VAR:INDEX=0"}</definedName>
    <definedName name="_240__FDSAUDITLINK__" hidden="1">{"fdsup://directions/FAT%20Viewer?VAR:TM=NTMA&amp;VAR:PCT=0.526027&amp;VAR:Y0=2005&amp;VAR:Y1=2006&amp;VAR:V0=16.241144&amp;VAR:V1=14.743775&amp;VAR:V=15.495258&amp;VAR:AUDIT_ID=00000117&amp;VAR:DATE=20050622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Mean&amp;VAR:CHGPERIOD=NA&amp;VAR:FQLFORMULA=FMA_PE&amp;VAR:","CURRENCY=NA&amp;VAR:P=1213.878500&amp;VAR:V=15.495258&amp;VAR:null=.html"}</definedName>
    <definedName name="_241__FDSAUDITLINK__" hidden="1">{"fdsup://directions/FAT%20Viewer?VAR:TM=NTMA&amp;VAR:PCT=0.545205&amp;VAR:Y0=2005&amp;VAR:Y1=2006&amp;VAR:V0=16.132547&amp;VAR:V1=14.694405&amp;VAR:V=15.445075&amp;VAR:AUDIT_ID=00000117&amp;VAR:DATE=20050615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Mean&amp;VAR:CHGPERIOD=NA&amp;VAR:FQLFORMULA=FMA_PE&amp;VAR:","CURRENCY=NA&amp;VAR:P=1206.582800&amp;VAR:V=15.445075&amp;VAR:null=.html"}</definedName>
    <definedName name="_242__FDSAUDITLINK__" hidden="1">{"fdsup://directions/FAT%20Viewer?VAR:TM=NTMA&amp;VAR:PCT=0.564384&amp;VAR:Y0=2005&amp;VAR:Y1=2006&amp;VAR:V0=15.979070&amp;VAR:V1=14.548873&amp;VAR:V=15.322907&amp;VAR:AUDIT_ID=00000117&amp;VAR:DATE=20050608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Mean&amp;VAR:CHGPERIOD=NA&amp;VAR:FQLFORMULA=FMA_PE&amp;VAR:","CURRENCY=NA&amp;VAR:P=1194.669200&amp;VAR:V=15.322907&amp;VAR:null=.html"}</definedName>
    <definedName name="_243__FDSAUDITLINK__" hidden="1">{"fdsup://directions/FAT%20Viewer?VAR:TM=NTMA&amp;VAR:PCT=0.583562&amp;VAR:Y0=2005&amp;VAR:Y1=2006&amp;VAR:V0=16.074804&amp;VAR:V1=14.652290&amp;VAR:V=15.450157&amp;VAR:AUDIT_ID=00000117&amp;VAR:DATE=20050601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Mean&amp;VAR:CHGPERIOD=NA&amp;VAR:FQLFORMULA=FMA_PE&amp;VAR:","CURRENCY=NA&amp;VAR:P=1202.271400&amp;VAR:V=15.450157&amp;VAR:null=.html"}</definedName>
    <definedName name="_244__FDSAUDITLINK__" hidden="1">{"fdsup://directions/FAT%20Viewer?VAR:TM=NTMA&amp;VAR:PCT=0.602740&amp;VAR:Y0=2005&amp;VAR:Y1=2006&amp;VAR:V0=15.894574&amp;VAR:V1=14.499186&amp;VAR:V=15.309271&amp;VAR:AUDIT_ID=00000117&amp;VAR:DATE=20050525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Mean&amp;VAR:CHGPERIOD=NA&amp;VAR:FQLFORMULA=FMA_PE&amp;VAR:","CURRENCY=NA&amp;VAR:P=1190.005200&amp;VAR:V=15.309271&amp;VAR:null=.html"}</definedName>
    <definedName name="_245__FDSAUDITLINK__" hidden="1">{"fdsup://directions/FAT%20Viewer?VAR:TM=NTMA&amp;VAR:PCT=0.621918&amp;VAR:Y0=2005&amp;VAR:Y1=2006&amp;VAR:V0=15.812288&amp;VAR:V1=14.431810&amp;VAR:V=15.260388&amp;VAR:AUDIT_ID=00000117&amp;VAR:DATE=20050518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Mean&amp;VAR:CHGPERIOD=NA&amp;VAR:FQLFORMULA=FMA_PE&amp;VAR:","CURRENCY=NA&amp;VAR:P=1185.562000&amp;VAR:V=15.260388&amp;VAR:null=.html"}</definedName>
    <definedName name="_246__FDSAUDITLINK__" hidden="1">{"fdsup://directions/FAT%20Viewer?VAR:TM=NTMA&amp;VAR:PCT=0.641096&amp;VAR:Y0=2005&amp;VAR:Y1=2006&amp;VAR:V0=15.623049&amp;VAR:V1=14.275680&amp;VAR:V=15.111171&amp;VAR:AUDIT_ID=00000117&amp;VAR:DATE=20050511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Mean&amp;VAR:CHGPERIOD=NA&amp;VAR:FQLFORMULA=FMA_PE&amp;VAR:","CURRENCY=NA&amp;VAR:P=1171.106900&amp;VAR:V=15.111171&amp;VAR:null=.html"}</definedName>
    <definedName name="_247__FDSAUDITLINK__" hidden="1">{"fdsup://directions/FAT%20Viewer?VAR:TM=NTMA&amp;VAR:PCT=0.660274&amp;VAR:Y0=2005&amp;VAR:Y1=2006&amp;VAR:V0=15.711429&amp;VAR:V1=14.352044&amp;VAR:V=15.221629&amp;VAR:AUDIT_ID=00000117&amp;VAR:DATE=20050504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Mean&amp;VAR:CHGPERIOD=NA&amp;VAR:FQLFORMULA=FMA_PE&amp;VAR:","CURRENCY=NA&amp;VAR:P=1175.650900&amp;VAR:V=15.221629&amp;VAR:null=.html"}</definedName>
    <definedName name="_248__FDSAUDITLINK__" hidden="1">{"fdsup://directions/FAT%20Viewer?VAR:TM=NTMA&amp;VAR:PCT=0.679452&amp;VAR:Y0=2005&amp;VAR:Y1=2006&amp;VAR:V0=15.480028&amp;VAR:V1=14.121914&amp;VAR:V=15.017091&amp;VAR:AUDIT_ID=00000117&amp;VAR:DATE=20050427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Mean&amp;VAR:CHGPERIOD=NA&amp;VAR:FQLFORMULA=FMA_PE&amp;VAR:","CURRENCY=NA&amp;VAR:P=1156.382300&amp;VAR:V=15.017091&amp;VAR:null=.html"}</definedName>
    <definedName name="_249__FDSAUDITLINK__" hidden="1">{"fdsup://directions/FAT%20Viewer?VAR:TM=NTMA&amp;VAR:PCT=0.698630&amp;VAR:Y0=2005&amp;VAR:Y1=2006&amp;VAR:V0=15.294860&amp;VAR:V1=13.909067&amp;VAR:V=14.849001&amp;VAR:AUDIT_ID=00000117&amp;VAR:DATE=20050420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Mean&amp;VAR:CHGPERIOD=NA&amp;VAR:FQLFORMULA=FMA_PE&amp;VAR:","CURRENCY=NA&amp;VAR:P=1137.500100&amp;VAR:V=14.849001&amp;VAR:null=.html"}</definedName>
    <definedName name="_25__FDSAUDITLINK__" hidden="1">{"fdsup://directions/FAT Viewer?action=UPDATE&amp;creator=factset&amp;DYN_ARGS=TRUE&amp;DOC_NAME=FAT:FQL_AUDITING_CLIENT_TEMPLATE.FAT&amp;display_string=Audit&amp;VAR:KEY=QJOXIDAHWJ&amp;VAR:QUERY=RkZfQ0FQRVgoQU5OLDIwMTAp&amp;WINDOW=FIRST_POPUP&amp;HEIGHT=450&amp;WIDTH=450&amp;START_MAXIMIZED=FALS","E&amp;VAR:CALENDAR=US&amp;VAR:SYMBOL=HSY&amp;VAR:INDEX=0"}</definedName>
    <definedName name="_250__FDSAUDITLINK__" hidden="1">{"fdsup://directions/FAT%20Viewer?VAR:TM=NTMA&amp;VAR:PCT=0.717808&amp;VAR:Y0=2005&amp;VAR:Y1=2006&amp;VAR:V0=15.802485&amp;VAR:V1=14.344729&amp;VAR:V=15.361947&amp;VAR:AUDIT_ID=00000117&amp;VAR:DATE=20050413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Mean&amp;VAR:CHGPERIOD=NA&amp;VAR:FQLFORMULA=FMA_PE&amp;VAR:","CURRENCY=NA&amp;VAR:P=1173.792700&amp;VAR:V=15.361947&amp;VAR:null=.html"}</definedName>
    <definedName name="_251__FDSAUDITLINK__" hidden="1">{"fdsup://directions/FAT%20Viewer?VAR:TM=NTMA&amp;VAR:PCT=0.736986&amp;VAR:Y0=2005&amp;VAR:Y1=2006&amp;VAR:V0=15.918290&amp;VAR:V1=14.433467&amp;VAR:V=15.498933&amp;VAR:AUDIT_ID=00000117&amp;VAR:DATE=20050406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Mean&amp;VAR:CHGPERIOD=NA&amp;VAR:FQLFORMULA=FMA_PE&amp;VAR:","CURRENCY=NA&amp;VAR:P=1184.065300&amp;VAR:V=15.498933&amp;VAR:null=.html"}</definedName>
    <definedName name="_252__FDSAUDITLINK__" hidden="1">{"fdsup://directions/FAT%20Viewer?VAR:TM=NTMA&amp;VAR:PCT=0.756164&amp;VAR:Y0=2005&amp;VAR:Y1=2006&amp;VAR:V0=15.887772&amp;VAR:V1=14.384204&amp;VAR:V=15.492890&amp;VAR:AUDIT_ID=00000117&amp;VAR:DATE=20050330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Mean&amp;VAR:CHGPERIOD=NA&amp;VAR:FQLFORMULA=FMA_PE&amp;VAR:","CURRENCY=NA&amp;VAR:P=1181.410600&amp;VAR:V=15.492890&amp;VAR:null=.html"}</definedName>
    <definedName name="_253__FDSAUDITLINK__" hidden="1">{"fdsup://directions/FAT%20Viewer?VAR:TM=NTMA&amp;VAR:PCT=0.775342&amp;VAR:Y0=2005&amp;VAR:Y1=2006&amp;VAR:V0=15.800459&amp;VAR:V1=14.307975&amp;VAR:V=15.438664&amp;VAR:AUDIT_ID=00000117&amp;VAR:DATE=20050323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Mean&amp;VAR:CHGPERIOD=NA&amp;VAR:FQLFORMULA=FMA_PE&amp;VAR:","CURRENCY=NA&amp;VAR:P=1172.529800&amp;VAR:V=15.438664&amp;VAR:null=.html"}</definedName>
    <definedName name="_254__FDSAUDITLINK__" hidden="1">{"fdsup://directions/FAT%20Viewer?VAR:TM=NTMA&amp;VAR:PCT=0.945205&amp;VAR:Y0=2010&amp;VAR:Y1=2011&amp;VAR:V0=13.340643&amp;VAR:V1=12.385119&amp;VAR:V=13.284484&amp;VAR:AUDIT_ID=99900521&amp;VAR:DATE=20100120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Mean&amp;VAR:CHGPERIOD=NA&amp;VAR:FQLFORMULA=FMA_PE&amp;VAR:","CURRENCY=NA&amp;VAR:P=266.523626&amp;VAR:V=13.284484&amp;VAR:null=.html"}</definedName>
    <definedName name="_255__FDSAUDITLINK__" hidden="1">{"fdsup://directions/FAT%20Viewer?VAR:TM=NTMA&amp;VAR:PCT=0.964384&amp;VAR:Y0=2010&amp;VAR:Y1=2011&amp;VAR:V0=13.447194&amp;VAR:V1=12.466843&amp;VAR:V=13.409637&amp;VAR:AUDIT_ID=99900521&amp;VAR:DATE=20100113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Mean&amp;VAR:CHGPERIOD=NA&amp;VAR:FQLFORMULA=FMA_PE&amp;VAR:","CURRENCY=NA&amp;VAR:P=268.330615&amp;VAR:V=13.409637&amp;VAR:null=.html"}</definedName>
    <definedName name="_256__FDSAUDITLINK__" hidden="1">{"fdsup://directions/FAT%20Viewer?VAR:TM=NTMA&amp;VAR:PCT=0.983562&amp;VAR:Y0=2010&amp;VAR:Y1=2011&amp;VAR:V0=13.369285&amp;VAR:V1=12.388433&amp;VAR:V=13.351907&amp;VAR:AUDIT_ID=99900521&amp;VAR:DATE=20100106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Mean&amp;VAR:CHGPERIOD=NA&amp;VAR:FQLFORMULA=FMA_PE&amp;VAR:","CURRENCY=NA&amp;VAR:P=266.633347&amp;VAR:V=13.351907&amp;VAR:null=.html"}</definedName>
    <definedName name="_257__FDSAUDITLINK__" hidden="1">{"fdsup://directions/FAT%20Viewer?VAR:TM=NTMA&amp;VAR:PCT=0.002740&amp;VAR:Y0=2009&amp;VAR:Y1=2010&amp;VAR:V0=14.603574&amp;VAR:V1=13.280659&amp;VAR:V=13.283956&amp;VAR:AUDIT_ID=99900521&amp;VAR:DATE=20091230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Mean&amp;VAR:CHGPERIOD=NA&amp;VAR:FQLFORMULA=FMA_PE&amp;VAR:","CURRENCY=NA&amp;VAR:P=264.653513&amp;VAR:V=13.283956&amp;VAR:null=.html"}</definedName>
    <definedName name="_258__FDSAUDITLINK__" hidden="1">{"fdsup://directions/FAT%20Viewer?VAR:TM=NTMA&amp;VAR:PCT=0.021918&amp;VAR:Y0=2009&amp;VAR:Y1=2010&amp;VAR:V0=14.485219&amp;VAR:V1=13.171116&amp;VAR:V=13.197357&amp;VAR:AUDIT_ID=99900521&amp;VAR:DATE=20091223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Mean&amp;VAR:CHGPERIOD=NA&amp;VAR:FQLFORMULA=FMA_PE&amp;VAR:","CURRENCY=NA&amp;VAR:P=262.508636&amp;VAR:V=13.197357&amp;VAR:null=.html"}</definedName>
    <definedName name="_259__FDSAUDITLINK__" hidden="1">{"fdsup://directions/FAT%20Viewer?VAR:TM=NTMA&amp;VAR:PCT=0.041096&amp;VAR:Y0=2009&amp;VAR:Y1=2010&amp;VAR:V0=14.362815&amp;VAR:V1=13.069809&amp;VAR:V=13.118342&amp;VAR:AUDIT_ID=99900521&amp;VAR:DATE=20091216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Mean&amp;VAR:CHGPERIOD=NA&amp;VAR:FQLFORMULA=FMA_PE&amp;VAR:","CURRENCY=NA&amp;VAR:P=259.547692&amp;VAR:V=13.118342&amp;VAR:null=.html"}</definedName>
    <definedName name="_26__FDSAUDITLINK__" hidden="1">{"fdsup://directions/FAT Viewer?action=UPDATE&amp;creator=factset&amp;DYN_ARGS=TRUE&amp;DOC_NAME=FAT:FQL_AUDITING_CLIENT_TEMPLATE.FAT&amp;display_string=Audit&amp;VAR:KEY=YPCLADUNIT&amp;VAR:QUERY=RkZfQ0FQRVgoQU5OLDIwMDkp&amp;WINDOW=FIRST_POPUP&amp;HEIGHT=450&amp;WIDTH=450&amp;START_MAXIMIZED=FALS","E&amp;VAR:CALENDAR=US&amp;VAR:SYMBOL=HSY&amp;VAR:INDEX=0"}</definedName>
    <definedName name="_260__FDSAUDITLINK__" hidden="1">{"fdsup://directions/FAT%20Viewer?VAR:TM=NTMA&amp;VAR:PCT=0.060274&amp;VAR:Y0=2009&amp;VAR:Y1=2010&amp;VAR:V0=14.245433&amp;VAR:V1=12.981121&amp;VAR:V=13.050936&amp;VAR:AUDIT_ID=99900521&amp;VAR:DATE=20091209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Mean&amp;VAR:CHGPERIOD=NA&amp;VAR:FQLFORMULA=FMA_PE&amp;VAR:","CURRENCY=NA&amp;VAR:P=257.280930&amp;VAR:V=13.050936&amp;VAR:null=.html"}</definedName>
    <definedName name="_261__FDSAUDITLINK__" hidden="1">{"fdsup://directions/FAT%20Viewer?VAR:TM=NTMA&amp;VAR:PCT=0.079452&amp;VAR:Y0=2009&amp;VAR:Y1=2010&amp;VAR:V0=14.351855&amp;VAR:V1=13.089449&amp;VAR:V=13.181571&amp;VAR:AUDIT_ID=99900521&amp;VAR:DATE=20091202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Mean&amp;VAR:CHGPERIOD=NA&amp;VAR:FQLFORMULA=FMA_PE&amp;VAR:","CURRENCY=NA&amp;VAR:P=258.966127&amp;VAR:V=13.181571&amp;VAR:null=.html"}</definedName>
    <definedName name="_262__FDSAUDITLINK__" hidden="1">{"fdsup://directions/FAT%20Viewer?VAR:TM=NTMA&amp;VAR:PCT=0.098630&amp;VAR:Y0=2009&amp;VAR:Y1=2010&amp;VAR:V0=14.379369&amp;VAR:V1=13.144233&amp;VAR:V=13.256542&amp;VAR:AUDIT_ID=99900521&amp;VAR:DATE=20091125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Mean&amp;VAR:CHGPERIOD=NA&amp;VAR:FQLFORMULA=FMA_PE&amp;VAR:","CURRENCY=NA&amp;VAR:P=259.380803&amp;VAR:V=13.256542&amp;VAR:null=.html"}</definedName>
    <definedName name="_263__FDSAUDITLINK__" hidden="1">{"fdsup://directions/FAT%20Viewer?VAR:TM=NTMA&amp;VAR:PCT=0.117808&amp;VAR:Y0=2009&amp;VAR:Y1=2010&amp;VAR:V0=14.408734&amp;VAR:V1=13.158195&amp;VAR:V=13.294122&amp;VAR:AUDIT_ID=99900521&amp;VAR:DATE=20091118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Mean&amp;VAR:CHGPERIOD=NA&amp;VAR:FQLFORMULA=FMA_PE&amp;VAR:","CURRENCY=NA&amp;VAR:P=258.818479&amp;VAR:V=13.294122&amp;VAR:null=.html"}</definedName>
    <definedName name="_264__FDSAUDITLINK__" hidden="1">{"fdsup://directions/FAT%20Viewer?VAR:TM=NTMA&amp;VAR:PCT=0.136986&amp;VAR:Y0=2009&amp;VAR:Y1=2010&amp;VAR:V0=14.283243&amp;VAR:V1=13.063266&amp;VAR:V=13.217921&amp;VAR:AUDIT_ID=99900521&amp;VAR:DATE=20091111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Mean&amp;VAR:CHGPERIOD=NA&amp;VAR:FQLFORMULA=FMA_PE&amp;VAR:","CURRENCY=NA&amp;VAR:P=256.687820&amp;VAR:V=13.217921&amp;VAR:null=.html"}</definedName>
    <definedName name="_265__FDSAUDITLINK__" hidden="1">{"fdsup://directions/FAT%20Viewer?VAR:TM=NTMA&amp;VAR:PCT=0.156164&amp;VAR:Y0=2009&amp;VAR:Y1=2010&amp;VAR:V0=14.014989&amp;VAR:V1=12.820043&amp;VAR:V=12.993044&amp;VAR:AUDIT_ID=99900521&amp;VAR:DATE=20091104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Mean&amp;VAR:CHGPERIOD=NA&amp;VAR:FQLFORMULA=FMA_PE&amp;VAR:","CURRENCY=NA&amp;VAR:P=251.106763&amp;VAR:V=12.993044&amp;VAR:null=.html"}</definedName>
    <definedName name="_266__FDSAUDITLINK__" hidden="1">{"fdsup://directions/FAT%20Viewer?VAR:TM=NTMA&amp;VAR:PCT=0.175342&amp;VAR:Y0=2009&amp;VAR:Y1=2010&amp;VAR:V0=14.005443&amp;VAR:V1=12.829709&amp;VAR:V=13.021380&amp;VAR:AUDIT_ID=99900521&amp;VAR:DATE=20091028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Mean&amp;VAR:CHGPERIOD=NA&amp;VAR:FQLFORMULA=FMA_PE&amp;VAR:","CURRENCY=NA&amp;VAR:P=248.419066&amp;VAR:V=13.021380&amp;VAR:null=.html"}</definedName>
    <definedName name="_267__FDSAUDITLINK__" hidden="1">{"fdsup://directions/FAT%20Viewer?VAR:TM=NTMA&amp;VAR:PCT=0.194521&amp;VAR:Y0=2009&amp;VAR:Y1=2010&amp;VAR:V0=14.401950&amp;VAR:V1=13.233551&amp;VAR:V=13.445739&amp;VAR:AUDIT_ID=99900521&amp;VAR:DATE=20091021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Mean&amp;VAR:CHGPERIOD=NA&amp;VAR:FQLFORMULA=FMA_PE&amp;VAR:","CURRENCY=NA&amp;VAR:P=254.699681&amp;VAR:V=13.445739&amp;VAR:null=.html"}</definedName>
    <definedName name="_268__FDSAUDITLINK__" hidden="1">{"fdsup://directions/FAT%20Viewer?VAR:TM=NTMA&amp;VAR:PCT=0.213699&amp;VAR:Y0=2009&amp;VAR:Y1=2010&amp;VAR:V0=14.057518&amp;VAR:V1=12.928759&amp;VAR:V=13.154478&amp;VAR:AUDIT_ID=99900521&amp;VAR:DATE=20091014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Mean&amp;VAR:CHGPERIOD=NA&amp;VAR:FQLFORMULA=FMA_PE&amp;VAR:","CURRENCY=NA&amp;VAR:P=248.041620&amp;VAR:V=13.154478&amp;VAR:null=.html"}</definedName>
    <definedName name="_269__FDSAUDITLINK__" hidden="1">{"fdsup://directions/FAT%20Viewer?VAR:TM=NTMA&amp;VAR:PCT=0.232877&amp;VAR:Y0=2009&amp;VAR:Y1=2010&amp;VAR:V0=13.966851&amp;VAR:V1=12.792050&amp;VAR:V=13.047628&amp;VAR:AUDIT_ID=99900521&amp;VAR:DATE=20091007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Mean&amp;VAR:CHGPERIOD=NA&amp;VAR:FQLFORMULA=FMA_PE&amp;VAR:","CURRENCY=NA&amp;VAR:P=246.255057&amp;VAR:V=13.047628&amp;VAR:null=.html"}</definedName>
    <definedName name="_27__FDSAUDITLINK__" hidden="1">{"fdsup://directions/FAT Viewer?action=UPDATE&amp;creator=factset&amp;DYN_ARGS=TRUE&amp;DOC_NAME=FAT:FQL_AUDITING_CLIENT_TEMPLATE.FAT&amp;display_string=Audit&amp;VAR:KEY=GDQLYFIJGT&amp;VAR:QUERY=RkZfQ0FQRVgoQU5OLDIwMDgp&amp;WINDOW=FIRST_POPUP&amp;HEIGHT=450&amp;WIDTH=450&amp;START_MAXIMIZED=FALS","E&amp;VAR:CALENDAR=US&amp;VAR:SYMBOL=HSY&amp;VAR:INDEX=0"}</definedName>
    <definedName name="_270__FDSAUDITLINK__" hidden="1">{"fdsup://directions/FAT%20Viewer?VAR:TM=NTMA&amp;VAR:PCT=0.252055&amp;VAR:Y0=2009&amp;VAR:Y1=2010&amp;VAR:V0=13.992453&amp;VAR:V1=12.819618&amp;VAR:V=13.096304&amp;VAR:AUDIT_ID=99900521&amp;VAR:DATE=20090930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Mean&amp;VAR:CHGPERIOD=NA&amp;VAR:FQLFORMULA=FMA_PE&amp;VAR:","CURRENCY=NA&amp;VAR:P=246.554020&amp;VAR:V=13.096304&amp;VAR:null=.html"}</definedName>
    <definedName name="_271__FDSAUDITLINK__" hidden="1">{"fdsup://directions/FAT%20Viewer?VAR:TM=NTMA&amp;VAR:PCT=0.271233&amp;VAR:Y0=2009&amp;VAR:Y1=2010&amp;VAR:V0=13.978913&amp;VAR:V1=12.804170&amp;VAR:V=13.102830&amp;VAR:AUDIT_ID=99900521&amp;VAR:DATE=20090923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Mean&amp;VAR:CHGPERIOD=NA&amp;VAR:FQLFORMULA=FMA_PE&amp;VAR:","CURRENCY=NA&amp;VAR:P=246.325423&amp;VAR:V=13.102830&amp;VAR:null=.html"}</definedName>
    <definedName name="_272__FDSAUDITLINK__" hidden="1">{"fdsup://directions/FAT%20Viewer?VAR:TM=NTMA&amp;VAR:PCT=0.290411&amp;VAR:Y0=2009&amp;VAR:Y1=2010&amp;VAR:V0=13.901879&amp;VAR:V1=12.765005&amp;VAR:V=13.075541&amp;VAR:AUDIT_ID=99900521&amp;VAR:DATE=20090916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Mean&amp;VAR:CHGPERIOD=NA&amp;VAR:FQLFORMULA=FMA_PE&amp;VAR:","CURRENCY=NA&amp;VAR:P=243.823835&amp;VAR:V=13.075541&amp;VAR:null=.html"}</definedName>
    <definedName name="_273__FDSAUDITLINK__" hidden="1">{"fdsup://directions/FAT%20Viewer?VAR:TM=NTMA&amp;VAR:PCT=0.309589&amp;VAR:Y0=2009&amp;VAR:Y1=2010&amp;VAR:V0=13.921125&amp;VAR:V1=12.779213&amp;VAR:V=13.112194&amp;VAR:AUDIT_ID=99900521&amp;VAR:DATE=20090909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Mean&amp;VAR:CHGPERIOD=NA&amp;VAR:FQLFORMULA=FMA_PE&amp;VAR:","CURRENCY=NA&amp;VAR:P=243.839386&amp;VAR:V=13.112194&amp;VAR:null=.html"}</definedName>
    <definedName name="_274__FDSAUDITLINK__" hidden="1">{"fdsup://directions/FAT%20Viewer?VAR:TM=NTMA&amp;VAR:PCT=0.328767&amp;VAR:Y0=2009&amp;VAR:Y1=2010&amp;VAR:V0=13.676989&amp;VAR:V1=12.550580&amp;VAR:V=12.899864&amp;VAR:AUDIT_ID=99900521&amp;VAR:DATE=20090902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Mean&amp;VAR:CHGPERIOD=NA&amp;VAR:FQLFORMULA=FMA_PE&amp;VAR:","CURRENCY=NA&amp;VAR:P=239.580613&amp;VAR:V=12.899864&amp;VAR:null=.html"}</definedName>
    <definedName name="_275__FDSAUDITLINK__" hidden="1">{"fdsup://directions/FAT%20Viewer?VAR:TM=NTMA&amp;VAR:PCT=0.347945&amp;VAR:Y0=2009&amp;VAR:Y1=2010&amp;VAR:V0=13.905003&amp;VAR:V1=12.803350&amp;VAR:V=13.166301&amp;VAR:AUDIT_ID=99900521&amp;VAR:DATE=20090826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Mean&amp;VAR:CHGPERIOD=NA&amp;VAR:FQLFORMULA=FMA_PE&amp;VAR:","CURRENCY=NA&amp;VAR:P=243.448291&amp;VAR:V=13.166301&amp;VAR:null=.html"}</definedName>
    <definedName name="_276__FDSAUDITLINK__" hidden="1">{"fdsup://directions/FAT%20Viewer?VAR:TM=NTMA&amp;VAR:PCT=0.367123&amp;VAR:Y0=2009&amp;VAR:Y1=2010&amp;VAR:V0=13.751812&amp;VAR:V1=12.676498&amp;VAR:V=13.051157&amp;VAR:AUDIT_ID=99900521&amp;VAR:DATE=20090819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Mean&amp;VAR:CHGPERIOD=NA&amp;VAR:FQLFORMULA=FMA_PE&amp;VAR:","CURRENCY=NA&amp;VAR:P=240.397741&amp;VAR:V=13.051157&amp;VAR:null=.html"}</definedName>
    <definedName name="_277__FDSAUDITLINK__" hidden="1">{"fdsup://directions/FAT%20Viewer?VAR:TM=NTMA&amp;VAR:PCT=0.386301&amp;VAR:Y0=2009&amp;VAR:Y1=2010&amp;VAR:V0=13.753601&amp;VAR:V1=12.704219&amp;VAR:V=13.090039&amp;VAR:AUDIT_ID=99900521&amp;VAR:DATE=20090812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Mean&amp;VAR:CHGPERIOD=NA&amp;VAR:FQLFORMULA=FMA_PE&amp;VAR:","CURRENCY=NA&amp;VAR:P=240.351841&amp;VAR:V=13.090039&amp;VAR:null=.html"}</definedName>
    <definedName name="_278__FDSAUDITLINK__" hidden="1">{"fdsup://directions/FAT%20Viewer?VAR:TM=NTMA&amp;VAR:PCT=0.405479&amp;VAR:Y0=2009&amp;VAR:Y1=2010&amp;VAR:V0=13.836680&amp;VAR:V1=12.759025&amp;VAR:V=13.175099&amp;VAR:AUDIT_ID=99900521&amp;VAR:DATE=20090805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Mean&amp;VAR:CHGPERIOD=NA&amp;VAR:FQLFORMULA=FMA_PE&amp;VAR:","CURRENCY=NA&amp;VAR:P=241.724406&amp;VAR:V=13.175099&amp;VAR:null=.html"}</definedName>
    <definedName name="_279__FDSAUDITLINK__" hidden="1">{"fdsup://directions/FAT%20Viewer?VAR:TM=NTMA&amp;VAR:PCT=0.424658&amp;VAR:Y0=2009&amp;VAR:Y1=2010&amp;VAR:V0=13.969960&amp;VAR:V1=13.167223&amp;VAR:V=13.496560&amp;VAR:AUDIT_ID=99900521&amp;VAR:DATE=20090729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Mean&amp;VAR:CHGPERIOD=NA&amp;VAR:FQLFORMULA=FMA_PE&amp;VAR:","CURRENCY=NA&amp;VAR:P=247.543360&amp;VAR:V=13.496560&amp;VAR:null=.html"}</definedName>
    <definedName name="_28__FDSAUDITLINK__" hidden="1">{"fdsup://directions/FAT Viewer?action=UPDATE&amp;creator=factset&amp;DYN_ARGS=TRUE&amp;DOC_NAME=FAT:FQL_AUDITING_CLIENT_TEMPLATE.FAT&amp;display_string=Audit&amp;VAR:KEY=ORMZMTYPAF&amp;VAR:QUERY=RkZfQ0FQRVgoQU5OLDIwMDcp&amp;WINDOW=FIRST_POPUP&amp;HEIGHT=450&amp;WIDTH=450&amp;START_MAXIMIZED=FALS","E&amp;VAR:CALENDAR=US&amp;VAR:SYMBOL=HSY&amp;VAR:INDEX=0"}</definedName>
    <definedName name="_280__FDSAUDITLINK__" hidden="1">{"fdsup://directions/FAT%20Viewer?VAR:TM=NTMA&amp;VAR:PCT=0.443836&amp;VAR:Y0=2009&amp;VAR:Y1=2010&amp;VAR:V0=13.710256&amp;VAR:V1=12.939610&amp;VAR:V=13.270684&amp;VAR:AUDIT_ID=99900521&amp;VAR:DATE=20090722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Mean&amp;VAR:CHGPERIOD=NA&amp;VAR:FQLFORMULA=FMA_PE&amp;VAR:","CURRENCY=NA&amp;VAR:P=242.297120&amp;VAR:V=13.270684&amp;VAR:null=.html"}</definedName>
    <definedName name="_281__FDSAUDITLINK__" hidden="1">{"fdsup://directions/FAT%20Viewer?VAR:TM=NTMA&amp;VAR:PCT=0.463014&amp;VAR:Y0=2009&amp;VAR:Y1=2010&amp;VAR:V0=13.606145&amp;VAR:V1=12.855111&amp;VAR:V=13.192272&amp;VAR:AUDIT_ID=99900521&amp;VAR:DATE=20090715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Mean&amp;VAR:CHGPERIOD=NA&amp;VAR:FQLFORMULA=FMA_PE&amp;VAR:","CURRENCY=NA&amp;VAR:P=239.983618&amp;VAR:V=13.192272&amp;VAR:null=.html"}</definedName>
    <definedName name="_282__FDSAUDITLINK__" hidden="1">{"fdsup://directions/FAT%20Viewer?VAR:TM=NTMA&amp;VAR:PCT=0.482192&amp;VAR:Y0=2009&amp;VAR:Y1=2010&amp;VAR:V0=13.160734&amp;VAR:V1=12.412469&amp;VAR:V=12.762354&amp;VAR:AUDIT_ID=99900521&amp;VAR:DATE=20090708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Mean&amp;VAR:CHGPERIOD=NA&amp;VAR:FQLFORMULA=FMA_PE&amp;VAR:","CURRENCY=NA&amp;VAR:P=231.316461&amp;VAR:V=12.762354&amp;VAR:null=.html"}</definedName>
    <definedName name="_283__FDSAUDITLINK__" hidden="1">{"fdsup://directions/FAT%20Viewer?VAR:TM=NTMA&amp;VAR:PCT=0.501370&amp;VAR:Y0=2009&amp;VAR:Y1=2010&amp;VAR:V0=13.425720&amp;VAR:V1=12.683308&amp;VAR:V=13.044975&amp;VAR:AUDIT_ID=99900521&amp;VAR:DATE=20090701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Mean&amp;VAR:CHGPERIOD=NA&amp;VAR:FQLFORMULA=FMA_PE&amp;VAR:","CURRENCY=NA&amp;VAR:P=235.505706&amp;VAR:V=13.044975&amp;VAR:null=.html"}</definedName>
    <definedName name="_284__FDSAUDITLINK__" hidden="1">{"fdsup://directions/FAT%20Viewer?VAR:TM=NTMA&amp;VAR:PCT=0.520548&amp;VAR:Y0=2009&amp;VAR:Y1=2010&amp;VAR:V0=12.985877&amp;VAR:V1=12.296656&amp;VAR:V=12.646040&amp;VAR:AUDIT_ID=99900521&amp;VAR:DATE=20090624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Mean&amp;VAR:CHGPERIOD=NA&amp;VAR:FQLFORMULA=FMA_PE&amp;VAR:","CURRENCY=NA&amp;VAR:P=227.484445&amp;VAR:V=12.646040&amp;VAR:null=.html"}</definedName>
    <definedName name="_285__FDSAUDITLINK__" hidden="1">{"fdsup://directions/FAT%20Viewer?VAR:TM=NTMA&amp;VAR:PCT=0.539726&amp;VAR:Y0=2009&amp;VAR:Y1=2010&amp;VAR:V0=12.752878&amp;VAR:V1=12.068025&amp;VAR:V=12.428249&amp;VAR:AUDIT_ID=99900521&amp;VAR:DATE=20090617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Mean&amp;VAR:CHGPERIOD=NA&amp;VAR:FQLFORMULA=FMA_PE&amp;VAR:","CURRENCY=NA&amp;VAR:P=221.909688&amp;VAR:V=12.428249&amp;VAR:null=.html"}</definedName>
    <definedName name="_286__FDSAUDITLINK__" hidden="1">{"fdsup://directions/FAT%20Viewer?VAR:TM=NTMA&amp;VAR:PCT=0.558904&amp;VAR:Y0=2009&amp;VAR:Y1=2010&amp;VAR:V0=13.049629&amp;VAR:V1=12.354963&amp;VAR:V=12.733819&amp;VAR:AUDIT_ID=99900521&amp;VAR:DATE=20090610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Mean&amp;VAR:CHGPERIOD=NA&amp;VAR:FQLFORMULA=FMA_PE&amp;VAR:","CURRENCY=NA&amp;VAR:P=227.018193&amp;VAR:V=12.733819&amp;VAR:null=.html"}</definedName>
    <definedName name="_287__FDSAUDITLINK__" hidden="1">{"fdsup://directions/FAT%20Viewer?VAR:TM=NTMA&amp;VAR:PCT=0.578082&amp;VAR:Y0=2009&amp;VAR:Y1=2010&amp;VAR:V0=13.161332&amp;VAR:V1=12.464021&amp;VAR:V=12.857828&amp;VAR:AUDIT_ID=99900521&amp;VAR:DATE=20090603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Mean&amp;VAR:CHGPERIOD=NA&amp;VAR:FQLFORMULA=FMA_PE&amp;VAR:","CURRENCY=NA&amp;VAR:P=228.877324&amp;VAR:V=12.857828&amp;VAR:null=.html"}</definedName>
    <definedName name="_288__FDSAUDITLINK__" hidden="1">{"fdsup://directions/FAT%20Viewer?VAR:TM=NTMA&amp;VAR:PCT=0.597260&amp;VAR:Y0=2009&amp;VAR:Y1=2010&amp;VAR:V0=12.724381&amp;VAR:V1=12.055163&amp;VAR:V=12.446120&amp;VAR:AUDIT_ID=99900521&amp;VAR:DATE=20090527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Mean&amp;VAR:CHGPERIOD=NA&amp;VAR:FQLFORMULA=FMA_PE&amp;VAR:","CURRENCY=NA&amp;VAR:P=221.044104&amp;VAR:V=12.446120&amp;VAR:null=.html"}</definedName>
    <definedName name="_289__FDSAUDITLINK__" hidden="1">{"fdsup://directions/FAT%20Viewer?VAR:TM=NTMA&amp;VAR:PCT=0.616438&amp;VAR:Y0=2009&amp;VAR:Y1=2010&amp;VAR:V0=12.690440&amp;VAR:V1=12.016064&amp;VAR:V=12.423015&amp;VAR:AUDIT_ID=99900521&amp;VAR:DATE=20090520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Mean&amp;VAR:CHGPERIOD=NA&amp;VAR:FQLFORMULA=FMA_PE&amp;VAR:","CURRENCY=NA&amp;VAR:P=220.248328&amp;VAR:V=12.423015&amp;VAR:null=.html"}</definedName>
    <definedName name="_29__FDSAUDITLINK__" hidden="1">{"fdsup://directions/FAT Viewer?action=UPDATE&amp;creator=factset&amp;DYN_ARGS=TRUE&amp;DOC_NAME=FAT:FQL_AUDITING_CLIENT_TEMPLATE.FAT&amp;display_string=Audit&amp;VAR:KEY=IVOXUJAHUV&amp;VAR:QUERY=RkZfQ0FQRVgoQU5OLDIwMDYp&amp;WINDOW=FIRST_POPUP&amp;HEIGHT=450&amp;WIDTH=450&amp;START_MAXIMIZED=FALS","E&amp;VAR:CALENDAR=US&amp;VAR:SYMBOL=HSY&amp;VAR:INDEX=0"}</definedName>
    <definedName name="_290__FDSAUDITLINK__" hidden="1">{"fdsup://directions/FAT%20Viewer?VAR:TM=NTMA&amp;VAR:PCT=0.635616&amp;VAR:Y0=2009&amp;VAR:Y1=2010&amp;VAR:V0=12.537915&amp;VAR:V1=11.863922&amp;VAR:V=12.283635&amp;VAR:AUDIT_ID=99900521&amp;VAR:DATE=20090513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Mean&amp;VAR:CHGPERIOD=NA&amp;VAR:FQLFORMULA=FMA_PE&amp;VAR:","CURRENCY=NA&amp;VAR:P=216.897347&amp;VAR:V=12.283635&amp;VAR:null=.html"}</definedName>
    <definedName name="_291__FDSAUDITLINK__" hidden="1">{"fdsup://directions/FAT%20Viewer?VAR:TM=NTMA&amp;VAR:PCT=0.654795&amp;VAR:Y0=2009&amp;VAR:Y1=2010&amp;VAR:V0=12.457435&amp;VAR:V1=11.799679&amp;VAR:V=12.222243&amp;VAR:AUDIT_ID=99900521&amp;VAR:DATE=20090506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Mean&amp;VAR:CHGPERIOD=NA&amp;VAR:FQLFORMULA=FMA_PE&amp;VAR:","CURRENCY=NA&amp;VAR:P=215.117673&amp;VAR:V=12.222243&amp;VAR:null=.html"}</definedName>
    <definedName name="_292__FDSAUDITLINK__" hidden="1">{"fdsup://directions/FAT%20Viewer?VAR:TM=NTMA&amp;VAR:PCT=0.673973&amp;VAR:Y0=2009&amp;VAR:Y1=2010&amp;VAR:V0=11.823883&amp;VAR:V1=11.047445&amp;VAR:V=11.559021&amp;VAR:AUDIT_ID=99900521&amp;VAR:DATE=20090429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Mean&amp;VAR:CHGPERIOD=NA&amp;VAR:FQLFORMULA=FMA_PE&amp;VAR:","CURRENCY=NA&amp;VAR:P=207.059995&amp;VAR:V=11.559021&amp;VAR:null=.html"}</definedName>
    <definedName name="_293__FDSAUDITLINK__" hidden="1">{"fdsup://directions/FAT%20Viewer?VAR:TM=NTMA&amp;VAR:PCT=0.693151&amp;VAR:Y0=2009&amp;VAR:Y1=2010&amp;VAR:V0=11.695430&amp;VAR:V1=10.927691&amp;VAR:V=11.448620&amp;VAR:AUDIT_ID=99900521&amp;VAR:DATE=20090422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Mean&amp;VAR:CHGPERIOD=NA&amp;VAR:FQLFORMULA=FMA_PE&amp;VAR:","CURRENCY=NA&amp;VAR:P=204.994553&amp;VAR:V=11.448620&amp;VAR:null=.html"}</definedName>
    <definedName name="_294__FDSAUDITLINK__" hidden="1">{"fdsup://directions/FAT%20Viewer?VAR:TM=NTMA&amp;VAR:PCT=0.712329&amp;VAR:Y0=2009&amp;VAR:Y1=2010&amp;VAR:V0=11.844669&amp;VAR:V1=11.042271&amp;VAR:V=11.602139&amp;VAR:AUDIT_ID=99900521&amp;VAR:DATE=20090415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Mean&amp;VAR:CHGPERIOD=NA&amp;VAR:FQLFORMULA=FMA_PE&amp;VAR:","CURRENCY=NA&amp;VAR:P=207.730576&amp;VAR:V=11.602139&amp;VAR:null=.html"}</definedName>
    <definedName name="_295__FDSAUDITLINK__" hidden="1">{"fdsup://directions/FAT%20Viewer?VAR:TM=NTMA&amp;VAR:PCT=0.731507&amp;VAR:Y0=2009&amp;VAR:Y1=2010&amp;VAR:V0=11.714457&amp;VAR:V1=10.919602&amp;VAR:V=11.489898&amp;VAR:AUDIT_ID=99900521&amp;VAR:DATE=20090408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Mean&amp;VAR:CHGPERIOD=NA&amp;VAR:FQLFORMULA=FMA_PE&amp;VAR:","CURRENCY=NA&amp;VAR:P=205.467093&amp;VAR:V=11.489898&amp;VAR:null=.html"}</definedName>
    <definedName name="_296__FDSAUDITLINK__" hidden="1">{"fdsup://directions/FAT%20Viewer?VAR:TM=NTMA&amp;VAR:PCT=0.750685&amp;VAR:Y0=2009&amp;VAR:Y1=2010&amp;VAR:V0=11.771677&amp;VAR:V1=10.998256&amp;VAR:V=11.568848&amp;VAR:AUDIT_ID=99900521&amp;VAR:DATE=20090401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Mean&amp;VAR:CHGPERIOD=NA&amp;VAR:FQLFORMULA=FMA_PE&amp;VAR:","CURRENCY=NA&amp;VAR:P=208.049415&amp;VAR:V=11.568848&amp;VAR:null=.html"}</definedName>
    <definedName name="_297__FDSAUDITLINK__" hidden="1">{"fdsup://directions/FAT%20Viewer?VAR:TM=NTMA&amp;VAR:PCT=0.769863&amp;VAR:Y0=2009&amp;VAR:Y1=2010&amp;VAR:V0=11.772314&amp;VAR:V1=11.000539&amp;VAR:V=11.585259&amp;VAR:AUDIT_ID=99900521&amp;VAR:DATE=20090325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Mean&amp;VAR:CHGPERIOD=NA&amp;VAR:FQLFORMULA=FMA_PE&amp;VAR:","CURRENCY=NA&amp;VAR:P=207.741407&amp;VAR:V=11.585259&amp;VAR:null=.html"}</definedName>
    <definedName name="_298__FDSAUDITLINK__" hidden="1">{"fdsup://directions/FAT%20Viewer?VAR:TM=NTMA&amp;VAR:PCT=0.789041&amp;VAR:Y0=2009&amp;VAR:Y1=2010&amp;VAR:V0=11.514566&amp;VAR:V1=10.765722&amp;VAR:V=11.348046&amp;VAR:AUDIT_ID=99900521&amp;VAR:DATE=20090318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Mean&amp;VAR:CHGPERIOD=NA&amp;VAR:FQLFORMULA=FMA_PE&amp;VAR:","CURRENCY=NA&amp;VAR:P=203.337635&amp;VAR:V=11.348046&amp;VAR:null=.html"}</definedName>
    <definedName name="_299__FDSAUDITLINK__" hidden="1">{"fdsup://directions/FAT%20Viewer?VAR:TM=NTMA&amp;VAR:PCT=0.808219&amp;VAR:Y0=2009&amp;VAR:Y1=2010&amp;VAR:V0=11.012958&amp;VAR:V1=10.256290&amp;VAR:V=10.859312&amp;VAR:AUDIT_ID=99900521&amp;VAR:DATE=20090311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Mean&amp;VAR:CHGPERIOD=NA&amp;VAR:FQLFORMULA=FMA_PE&amp;VAR:","CURRENCY=NA&amp;VAR:P=195.023759&amp;VAR:V=10.859312&amp;VAR:null=.html"}</definedName>
    <definedName name="_3__123Graph_Aｸﾞﾗﾌ_1" hidden="1">[11]ｾｸﾞﾒﾝﾄ!$E$164:$I$164</definedName>
    <definedName name="_3__FDSAUDITLINK__" hidden="1">{"fdsup://directions/FAT Viewer?action=UPDATE&amp;creator=factset&amp;DYN_ARGS=TRUE&amp;DOC_NAME=FAT:FQL_AUDITING_CLIENT_TEMPLATE.FAT&amp;display_string=Audit&amp;VAR:KEY=EZKRCBUTSF&amp;VAR:QUERY=RkZfQ0FQRVgoQU5OLDIwMDgp&amp;WINDOW=FIRST_POPUP&amp;HEIGHT=450&amp;WIDTH=450&amp;START_MAXIMIZED=FALS","E&amp;VAR:CALENDAR=US&amp;VAR:SYMBOL=SLE&amp;VAR:INDEX=0"}</definedName>
    <definedName name="_30__FDSAUDITLINK__" hidden="1">{"fdsup://directions/FAT Viewer?action=UPDATE&amp;creator=factset&amp;DYN_ARGS=TRUE&amp;DOC_NAME=FAT:FQL_AUDITING_CLIENT_TEMPLATE.FAT&amp;display_string=Audit&amp;VAR:KEY=ARYBKZMBYF&amp;VAR:QUERY=RkZfQ0FQRVgoQU5OLDIwMDUp&amp;WINDOW=FIRST_POPUP&amp;HEIGHT=450&amp;WIDTH=450&amp;START_MAXIMIZED=FALS","E&amp;VAR:CALENDAR=US&amp;VAR:SYMBOL=HSY&amp;VAR:INDEX=0"}</definedName>
    <definedName name="_300__FDSAUDITLINK__" hidden="1">{"fdsup://directions/FAT%20Viewer?VAR:TM=NTMA&amp;VAR:PCT=0.827397&amp;VAR:Y0=2009&amp;VAR:Y1=2010&amp;VAR:V0=11.310698&amp;VAR:V1=10.544524&amp;VAR:V=11.170602&amp;VAR:AUDIT_ID=99900521&amp;VAR:DATE=20090304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Mean&amp;VAR:CHGPERIOD=NA&amp;VAR:FQLFORMULA=FMA_PE&amp;VAR:","CURRENCY=NA&amp;VAR:P=200.250860&amp;VAR:V=11.170602&amp;VAR:null=.html"}</definedName>
    <definedName name="_301__FDSAUDITLINK__" hidden="1">{"fdsup://directions/FAT%20Viewer?VAR:TM=NTMA&amp;VAR:PCT=0.846575&amp;VAR:Y0=2009&amp;VAR:Y1=2010&amp;VAR:V0=11.888390&amp;VAR:V1=11.085791&amp;VAR:V=11.757787&amp;VAR:AUDIT_ID=99900521&amp;VAR:DATE=20090225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Mean&amp;VAR:CHGPERIOD=NA&amp;VAR:FQLFORMULA=FMA_PE&amp;VAR:","CURRENCY=NA&amp;VAR:P=211.189928&amp;VAR:V=11.757787&amp;VAR:null=.html"}</definedName>
    <definedName name="_302__FDSAUDITLINK__" hidden="1">{"fdsup://directions/FAT%20Viewer?VAR:TM=NTMA&amp;VAR:PCT=0.865753&amp;VAR:Y0=2009&amp;VAR:Y1=2010&amp;VAR:V0=11.978145&amp;VAR:V1=11.186102&amp;VAR:V=11.865359&amp;VAR:AUDIT_ID=99900521&amp;VAR:DATE=20090218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Mean&amp;VAR:CHGPERIOD=NA&amp;VAR:FQLFORMULA=FMA_PE&amp;VAR:","CURRENCY=NA&amp;VAR:P=214.394958&amp;VAR:V=11.865359&amp;VAR:null=.html"}</definedName>
    <definedName name="_303__FDSAUDITLINK__" hidden="1">{"fdsup://directions/FAT%20Viewer?VAR:TM=NTMA&amp;VAR:PCT=0.884932&amp;VAR:Y0=2009&amp;VAR:Y1=2010&amp;VAR:V0=12.404372&amp;VAR:V1=11.590151&amp;VAR:V=12.304903&amp;VAR:AUDIT_ID=99900521&amp;VAR:DATE=20090211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Mean&amp;VAR:CHGPERIOD=NA&amp;VAR:FQLFORMULA=FMA_PE&amp;VAR:","CURRENCY=NA&amp;VAR:P=221.959855&amp;VAR:V=12.304903&amp;VAR:null=.html"}</definedName>
    <definedName name="_304__FDSAUDITLINK__" hidden="1">{"fdsup://directions/FAT%20Viewer?VAR:TM=NTMA&amp;VAR:PCT=0.904110&amp;VAR:Y0=2009&amp;VAR:Y1=2010&amp;VAR:V0=12.631474&amp;VAR:V1=11.832481&amp;VAR:V=12.550211&amp;VAR:AUDIT_ID=99900521&amp;VAR:DATE=20090204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Mean&amp;VAR:CHGPERIOD=NA&amp;VAR:FQLFORMULA=FMA_PE&amp;VAR:","CURRENCY=NA&amp;VAR:P=227.362821&amp;VAR:V=12.550211&amp;VAR:null=.html"}</definedName>
    <definedName name="_305__FDSAUDITLINK__" hidden="1">{"fdsup://directions/FAT%20Viewer?VAR:TM=NTMA&amp;VAR:PCT=0.923288&amp;VAR:Y0=2009&amp;VAR:Y1=2010&amp;VAR:V0=13.269771&amp;VAR:V1=12.416317&amp;VAR:V=13.200167&amp;VAR:AUDIT_ID=99900521&amp;VAR:DATE=20090128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Mean&amp;VAR:CHGPERIOD=NA&amp;VAR:FQLFORMULA=FMA_PE&amp;VAR:","CURRENCY=NA&amp;VAR:P=240.927157&amp;VAR:V=13.200167&amp;VAR:null=.html"}</definedName>
    <definedName name="_306__FDSAUDITLINK__" hidden="1">{"fdsup://directions/FAT%20Viewer?VAR:TM=NTMA&amp;VAR:PCT=0.942466&amp;VAR:Y0=2009&amp;VAR:Y1=2010&amp;VAR:V0=12.739487&amp;VAR:V1=11.951523&amp;VAR:V=12.691346&amp;VAR:AUDIT_ID=99900521&amp;VAR:DATE=20090121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Mean&amp;VAR:CHGPERIOD=NA&amp;VAR:FQLFORMULA=FMA_PE&amp;VAR:","CURRENCY=NA&amp;VAR:P=232.339509&amp;VAR:V=12.691346&amp;VAR:null=.html"}</definedName>
    <definedName name="_307__FDSAUDITLINK__" hidden="1">{"fdsup://directions/FAT%20Viewer?VAR:TM=NTMA&amp;VAR:PCT=0.961644&amp;VAR:Y0=2009&amp;VAR:Y1=2010&amp;VAR:V0=12.352558&amp;VAR:V1=11.594799&amp;VAR:V=12.321671&amp;VAR:AUDIT_ID=99900521&amp;VAR:DATE=20090114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Mean&amp;VAR:CHGPERIOD=NA&amp;VAR:FQLFORMULA=FMA_PE&amp;VAR:","CURRENCY=NA&amp;VAR:P=225.681941&amp;VAR:V=12.321671&amp;VAR:null=.html"}</definedName>
    <definedName name="_308__FDSAUDITLINK__" hidden="1">{"fdsup://directions/FAT%20Viewer?VAR:TM=NTMA&amp;VAR:PCT=0.980822&amp;VAR:Y0=2009&amp;VAR:Y1=2010&amp;VAR:V0=12.709552&amp;VAR:V1=11.874885&amp;VAR:V=12.692443&amp;VAR:AUDIT_ID=99900521&amp;VAR:DATE=20090107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Mean&amp;VAR:CHGPERIOD=NA&amp;VAR:FQLFORMULA=FMA_PE&amp;VAR:","CURRENCY=NA&amp;VAR:P=232.504906&amp;VAR:V=12.692443&amp;VAR:null=.html"}</definedName>
    <definedName name="_309__FDSAUDITLINK__" hidden="1">{"fdsup://directions/FAT%20Viewer?VAR:TM=NTMA&amp;VAR:PCT=0.000000&amp;VAR:Y0=2008&amp;VAR:Y1=2009&amp;VAR:V0=13.247364&amp;VAR:V1=12.606615&amp;VAR:V=12.606615&amp;VAR:AUDIT_ID=99900521&amp;VAR:DATE=20081231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Mean&amp;VAR:CHGPERIOD=NA&amp;VAR:FQLFORMULA=FMA_PE&amp;VAR:","CURRENCY=NA&amp;VAR:P=231.331210&amp;VAR:V=12.606615&amp;VAR:null=.html"}</definedName>
    <definedName name="_31__FDSAUDITLINK__" hidden="1">{"fdsup://directions/FAT Viewer?action=UPDATE&amp;creator=factset&amp;DYN_ARGS=TRUE&amp;DOC_NAME=FAT:FQL_AUDITING_CLIENT_TEMPLATE.FAT&amp;display_string=Audit&amp;VAR:KEY=WRYNAZAPMN&amp;VAR:QUERY=RkZfQ0FQRVgoQU5OLDIwMDQp&amp;WINDOW=FIRST_POPUP&amp;HEIGHT=450&amp;WIDTH=450&amp;START_MAXIMIZED=FALS","E&amp;VAR:CALENDAR=US&amp;VAR:SYMBOL=HSY&amp;VAR:INDEX=0"}</definedName>
    <definedName name="_310__FDSAUDITLINK__" hidden="1">{"fdsup://directions/FAT%20Viewer?VAR:TM=NTMA&amp;VAR:PCT=0.019126&amp;VAR:Y0=2008&amp;VAR:Y1=2009&amp;VAR:V0=12.894088&amp;VAR:V1=12.260468&amp;VAR:V=12.272002&amp;VAR:AUDIT_ID=99900521&amp;VAR:DATE=20081224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Mean&amp;VAR:CHGPERIOD=NA&amp;VAR:FQLFORMULA=FMA_PE&amp;VAR:","CURRENCY=NA&amp;VAR:P=225.001089&amp;VAR:V=12.272002&amp;VAR:null=.html"}</definedName>
    <definedName name="_311__FDSAUDITLINK__" hidden="1">{"fdsup://directions/FAT%20Viewer?VAR:TM=NTMA&amp;VAR:PCT=0.038251&amp;VAR:Y0=2008&amp;VAR:Y1=2009&amp;VAR:V0=13.184161&amp;VAR:V1=12.492249&amp;VAR:V=12.517377&amp;VAR:AUDIT_ID=99900521&amp;VAR:DATE=20081217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Mean&amp;VAR:CHGPERIOD=NA&amp;VAR:FQLFORMULA=FMA_PE&amp;VAR:","CURRENCY=NA&amp;VAR:P=230.086747&amp;VAR:V=12.517377&amp;VAR:null=.html"}</definedName>
    <definedName name="_312__FDSAUDITLINK__" hidden="1">{"fdsup://directions/FAT%20Viewer?VAR:TM=NTMA&amp;VAR:PCT=0.057377&amp;VAR:Y0=2008&amp;VAR:Y1=2009&amp;VAR:V0=12.886376&amp;VAR:V1=12.215412&amp;VAR:V=12.252015&amp;VAR:AUDIT_ID=99900521&amp;VAR:DATE=20081210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Mean&amp;VAR:CHGPERIOD=NA&amp;VAR:FQLFORMULA=FMA_PE&amp;VAR:","CURRENCY=NA&amp;VAR:P=224.681159&amp;VAR:V=12.252015&amp;VAR:null=.html"}</definedName>
    <definedName name="_313__FDSAUDITLINK__" hidden="1">{"fdsup://directions/FAT%20Viewer?VAR:TM=NTMA&amp;VAR:PCT=0.076503&amp;VAR:Y0=2008&amp;VAR:Y1=2009&amp;VAR:V0=12.741201&amp;VAR:V1=12.076706&amp;VAR:V=12.125083&amp;VAR:AUDIT_ID=99900521&amp;VAR:DATE=20081203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Mean&amp;VAR:CHGPERIOD=NA&amp;VAR:FQLFORMULA=FMA_PE&amp;VAR:","CURRENCY=NA&amp;VAR:P=222.186392&amp;VAR:V=12.125083&amp;VAR:null=.html"}</definedName>
    <definedName name="_314__FDSAUDITLINK__" hidden="1">{"fdsup://directions/FAT%20Viewer?VAR:TM=NTMA&amp;VAR:PCT=0.095628&amp;VAR:Y0=2008&amp;VAR:Y1=2009&amp;VAR:V0=13.016097&amp;VAR:V1=12.272448&amp;VAR:V=12.339867&amp;VAR:AUDIT_ID=99900521&amp;VAR:DATE=20081126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Mean&amp;VAR:CHGPERIOD=NA&amp;VAR:FQLFORMULA=FMA_PE&amp;VAR:","CURRENCY=NA&amp;VAR:P=227.250626&amp;VAR:V=12.339867&amp;VAR:null=.html"}</definedName>
    <definedName name="_315__FDSAUDITLINK__" hidden="1">{"fdsup://directions/FAT%20Viewer?VAR:TM=NTMA&amp;VAR:PCT=0.114754&amp;VAR:Y0=2008&amp;VAR:Y1=2009&amp;VAR:V0=12.603471&amp;VAR:V1=11.832208&amp;VAR:V=11.915885&amp;VAR:AUDIT_ID=99900521&amp;VAR:DATE=20081119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Mean&amp;VAR:CHGPERIOD=NA&amp;VAR:FQLFORMULA=FMA_PE&amp;VAR:","CURRENCY=NA&amp;VAR:P=220.436957&amp;VAR:V=11.915885&amp;VAR:null=.html"}</definedName>
    <definedName name="_316__FDSAUDITLINK__" hidden="1">{"fdsup://directions/FAT%20Viewer?VAR:TM=NTMA&amp;VAR:PCT=0.133880&amp;VAR:Y0=2008&amp;VAR:Y1=2009&amp;VAR:V0=13.098999&amp;VAR:V1=12.340451&amp;VAR:V=12.436872&amp;VAR:AUDIT_ID=99900521&amp;VAR:DATE=20081112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Mean&amp;VAR:CHGPERIOD=NA&amp;VAR:FQLFORMULA=FMA_PE&amp;VAR:","CURRENCY=NA&amp;VAR:P=229.116048&amp;VAR:V=12.436872&amp;VAR:null=.html"}</definedName>
    <definedName name="_317__FDSAUDITLINK__" hidden="1">{"fdsup://directions/FAT%20Viewer?VAR:TM=NTMA&amp;VAR:PCT=0.153005&amp;VAR:Y0=2008&amp;VAR:Y1=2009&amp;VAR:V0=14.003865&amp;VAR:V1=13.075266&amp;VAR:V=13.209285&amp;VAR:AUDIT_ID=99900521&amp;VAR:DATE=20081105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Mean&amp;VAR:CHGPERIOD=NA&amp;VAR:FQLFORMULA=FMA_PE&amp;VAR:","CURRENCY=NA&amp;VAR:P=244.029190&amp;VAR:V=13.209285&amp;VAR:null=.html"}</definedName>
    <definedName name="_318__FDSAUDITLINK__" hidden="1">{"fdsup://directions/FAT%20Viewer?VAR:TM=NTMA&amp;VAR:PCT=0.172131&amp;VAR:Y0=2008&amp;VAR:Y1=2009&amp;VAR:V0=14.089297&amp;VAR:V1=13.153579&amp;VAR:V=13.305687&amp;VAR:AUDIT_ID=99900521&amp;VAR:DATE=20081029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Mean&amp;VAR:CHGPERIOD=NA&amp;VAR:FQLFORMULA=FMA_PE&amp;VAR:","CURRENCY=NA&amp;VAR:P=240.264020&amp;VAR:V=13.305687&amp;VAR:null=.html"}</definedName>
    <definedName name="_319__FDSAUDITLINK__" hidden="1">{"fdsup://directions/FAT%20Viewer?VAR:TM=NTMA&amp;VAR:PCT=0.191257&amp;VAR:Y0=2008&amp;VAR:Y1=2009&amp;VAR:V0=13.674364&amp;VAR:V1=12.724380&amp;VAR:V=12.895725&amp;VAR:AUDIT_ID=99900521&amp;VAR:DATE=20081022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Mean&amp;VAR:CHGPERIOD=NA&amp;VAR:FQLFORMULA=FMA_PE&amp;VAR:","CURRENCY=NA&amp;VAR:P=234.031700&amp;VAR:V=12.895725&amp;VAR:null=.html"}</definedName>
    <definedName name="_32__FDSAUDITLINK__" hidden="1">{"fdsup://directions/FAT Viewer?action=UPDATE&amp;creator=factset&amp;DYN_ARGS=TRUE&amp;DOC_NAME=FAT:FQL_AUDITING_CLIENT_TEMPLATE.FAT&amp;display_string=Audit&amp;VAR:KEY=MJQBGPQJWN&amp;VAR:QUERY=RkZfQ0FQRVgoQU5OLDIwMDMp&amp;WINDOW=FIRST_POPUP&amp;HEIGHT=450&amp;WIDTH=450&amp;START_MAXIMIZED=FALS","E&amp;VAR:CALENDAR=US&amp;VAR:SYMBOL=HSY&amp;VAR:INDEX=0"}</definedName>
    <definedName name="_320__FDSAUDITLINK__" hidden="1">{"fdsup://directions/FAT%20Viewer?VAR:TM=NTMA&amp;VAR:PCT=0.210383&amp;VAR:Y0=2008&amp;VAR:Y1=2009&amp;VAR:V0=13.189105&amp;VAR:V1=12.256683&amp;VAR:V=12.441732&amp;VAR:AUDIT_ID=99900521&amp;VAR:DATE=20081015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Mean&amp;VAR:CHGPERIOD=NA&amp;VAR:FQLFORMULA=FMA_PE&amp;VAR:","CURRENCY=NA&amp;VAR:P=225.878200&amp;VAR:V=12.441732&amp;VAR:null=.html"}</definedName>
    <definedName name="_321__FDSAUDITLINK__" hidden="1">{"fdsup://directions/FAT%20Viewer?VAR:TM=NTMA&amp;VAR:PCT=0.229508&amp;VAR:Y0=2008&amp;VAR:Y1=2009&amp;VAR:V0=14.465727&amp;VAR:V1=13.435106&amp;VAR:V=13.658442&amp;VAR:AUDIT_ID=99900521&amp;VAR:DATE=20081008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Mean&amp;VAR:CHGPERIOD=NA&amp;VAR:FQLFORMULA=FMA_PE&amp;VAR:","CURRENCY=NA&amp;VAR:P=247.410030&amp;VAR:V=13.658442&amp;VAR:null=.html"}</definedName>
    <definedName name="_322__FDSAUDITLINK__" hidden="1">{"fdsup://directions/FAT%20Viewer?VAR:TM=NTMA&amp;VAR:PCT=0.248634&amp;VAR:Y0=2008&amp;VAR:Y1=2009&amp;VAR:V0=16.733795&amp;VAR:V1=15.547709&amp;VAR:V=15.826623&amp;VAR:AUDIT_ID=99900521&amp;VAR:DATE=20081001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Mean&amp;VAR:CHGPERIOD=NA&amp;VAR:FQLFORMULA=FMA_PE&amp;VAR:","CURRENCY=NA&amp;VAR:P=271.986500&amp;VAR:V=15.826623&amp;VAR:null=.html"}</definedName>
    <definedName name="_323__FDSAUDITLINK__" hidden="1">{"fdsup://directions/FAT%20Viewer?VAR:TM=NTMA&amp;VAR:PCT=0.267760&amp;VAR:Y0=2008&amp;VAR:Y1=2009&amp;VAR:V0=16.506092&amp;VAR:V1=15.339285&amp;VAR:V=15.635225&amp;VAR:AUDIT_ID=99900521&amp;VAR:DATE=20080924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Mean&amp;VAR:CHGPERIOD=NA&amp;VAR:FQLFORMULA=FMA_PE&amp;VAR:","CURRENCY=NA&amp;VAR:P=269.263900&amp;VAR:V=15.635225&amp;VAR:null=.html"}</definedName>
    <definedName name="_324__FDSAUDITLINK__" hidden="1">{"fdsup://directions/FAT%20Viewer?VAR:TM=NTMA&amp;VAR:PCT=0.286885&amp;VAR:Y0=2008&amp;VAR:Y1=2009&amp;VAR:V0=16.436455&amp;VAR:V1=15.267472&amp;VAR:V=15.585473&amp;VAR:AUDIT_ID=99900521&amp;VAR:DATE=20080917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Mean&amp;VAR:CHGPERIOD=NA&amp;VAR:FQLFORMULA=FMA_PE&amp;VAR:","CURRENCY=NA&amp;VAR:P=268.224880&amp;VAR:V=15.585473&amp;VAR:null=.html"}</definedName>
    <definedName name="_325__FDSAUDITLINK__" hidden="1">{"fdsup://directions/FAT%20Viewer?VAR:TM=NTMA&amp;VAR:PCT=0.306011&amp;VAR:Y0=2008&amp;VAR:Y1=2009&amp;VAR:V0=16.553070&amp;VAR:V1=15.401172&amp;VAR:V=15.736272&amp;VAR:AUDIT_ID=99900521&amp;VAR:DATE=20080910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Mean&amp;VAR:CHGPERIOD=NA&amp;VAR:FQLFORMULA=FMA_PE&amp;VAR:","CURRENCY=NA&amp;VAR:P=270.230500&amp;VAR:V=15.736272&amp;VAR:null=.html"}</definedName>
    <definedName name="_326__FDSAUDITLINK__" hidden="1">{"fdsup://directions/FAT%20Viewer?VAR:TM=NTMA&amp;VAR:PCT=0.325137&amp;VAR:Y0=2008&amp;VAR:Y1=2009&amp;VAR:V0=16.450540&amp;VAR:V1=15.285117&amp;VAR:V=15.645495&amp;VAR:AUDIT_ID=99900521&amp;VAR:DATE=20080903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Mean&amp;VAR:CHGPERIOD=NA&amp;VAR:FQLFORMULA=FMA_PE&amp;VAR:","CURRENCY=NA&amp;VAR:P=268.479500&amp;VAR:V=15.645495&amp;VAR:null=.html"}</definedName>
    <definedName name="_327__FDSAUDITLINK__" hidden="1">{"fdsup://directions/FAT%20Viewer?VAR:TM=NTMA&amp;VAR:PCT=0.344262&amp;VAR:Y0=2008&amp;VAR:Y1=2009&amp;VAR:V0=16.669847&amp;VAR:V1=15.406364&amp;VAR:V=15.819136&amp;VAR:AUDIT_ID=99900521&amp;VAR:DATE=20080827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Mean&amp;VAR:CHGPERIOD=NA&amp;VAR:FQLFORMULA=FMA_PE&amp;VAR:","CURRENCY=NA&amp;VAR:P=272.667600&amp;VAR:V=15.819136&amp;VAR:null=.html"}</definedName>
    <definedName name="_328__FDSAUDITLINK__" hidden="1">{"fdsup://directions/FAT%20Viewer?VAR:TM=NTMA&amp;VAR:PCT=0.363388&amp;VAR:Y0=2008&amp;VAR:Y1=2009&amp;VAR:V0=16.860239&amp;VAR:V1=15.607056&amp;VAR:V=16.040301&amp;VAR:AUDIT_ID=99900521&amp;VAR:DATE=20080820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Mean&amp;VAR:CHGPERIOD=NA&amp;VAR:FQLFORMULA=FMA_PE&amp;VAR:","CURRENCY=NA&amp;VAR:P=276.081240&amp;VAR:V=16.040301&amp;VAR:null=.html"}</definedName>
    <definedName name="_329__FDSAUDITLINK__" hidden="1">{"fdsup://directions/FAT%20Viewer?VAR:TM=NTMA&amp;VAR:PCT=0.382514&amp;VAR:Y0=2008&amp;VAR:Y1=2009&amp;VAR:V0=17.006520&amp;VAR:V1=15.764883&amp;VAR:V=16.217799&amp;VAR:AUDIT_ID=99900521&amp;VAR:DATE=20080813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Mean&amp;VAR:CHGPERIOD=NA&amp;VAR:FQLFORMULA=FMA_PE&amp;VAR:","CURRENCY=NA&amp;VAR:P=278.621120&amp;VAR:V=16.217799&amp;VAR:null=.html"}</definedName>
    <definedName name="_33__FDSAUDITLINK__" hidden="1">{"fdsup://directions/FAT Viewer?action=UPDATE&amp;creator=factset&amp;DYN_ARGS=TRUE&amp;DOC_NAME=FAT:FQL_AUDITING_CLIENT_TEMPLATE.FAT&amp;display_string=Audit&amp;VAR:KEY=KDABOJCFMN&amp;VAR:QUERY=RkZfQ0FQRVgoQU5OLDIwMTAp&amp;WINDOW=FIRST_POPUP&amp;HEIGHT=450&amp;WIDTH=450&amp;START_MAXIMIZED=FALS","E&amp;VAR:CALENDAR=US&amp;VAR:SYMBOL=HNZ&amp;VAR:INDEX=0"}</definedName>
    <definedName name="_330__FDSAUDITLINK__" hidden="1">{"fdsup://directions/FAT%20Viewer?VAR:TM=NTMA&amp;VAR:PCT=0.401639&amp;VAR:Y0=2008&amp;VAR:Y1=2009&amp;VAR:V0=16.853258&amp;VAR:V1=15.591860&amp;VAR:V=16.075095&amp;VAR:AUDIT_ID=99900521&amp;VAR:DATE=20080806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Mean&amp;VAR:CHGPERIOD=NA&amp;VAR:FQLFORMULA=FMA_PE&amp;VAR:","CURRENCY=NA&amp;VAR:P=276.694670&amp;VAR:V=16.075095&amp;VAR:null=.html"}</definedName>
    <definedName name="_331__FDSAUDITLINK__" hidden="1">{"fdsup://directions/FAT%20Viewer?VAR:TM=NTMA&amp;VAR:PCT=0.420765&amp;VAR:Y0=2008&amp;VAR:Y1=2009&amp;VAR:V0=16.465858&amp;VAR:V1=15.197644&amp;VAR:V=15.706660&amp;VAR:AUDIT_ID=99900521&amp;VAR:DATE=20080730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Mean&amp;VAR:CHGPERIOD=NA&amp;VAR:FQLFORMULA=FMA_PE&amp;VAR:","CURRENCY=NA&amp;VAR:P=273.748720&amp;VAR:V=15.706660&amp;VAR:null=.html"}</definedName>
    <definedName name="_332__FDSAUDITLINK__" hidden="1">{"fdsup://directions/FAT%20Viewer?VAR:TM=NTMA&amp;VAR:PCT=0.439891&amp;VAR:Y0=2008&amp;VAR:Y1=2009&amp;VAR:V0=16.222631&amp;VAR:V1=14.938319&amp;VAR:V=15.477320&amp;VAR:AUDIT_ID=99900521&amp;VAR:DATE=20080723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Mean&amp;VAR:CHGPERIOD=NA&amp;VAR:FQLFORMULA=FMA_PE&amp;VAR:","CURRENCY=NA&amp;VAR:P=268.655330&amp;VAR:V=15.477320&amp;VAR:null=.html"}</definedName>
    <definedName name="_333__FDSAUDITLINK__" hidden="1">{"fdsup://directions/FAT%20Viewer?VAR:TM=NTMA&amp;VAR:PCT=0.459016&amp;VAR:Y0=2008&amp;VAR:Y1=2009&amp;VAR:V0=15.866626&amp;VAR:V1=14.474491&amp;VAR:V=15.081900&amp;VAR:AUDIT_ID=99900521&amp;VAR:DATE=20080716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Mean&amp;VAR:CHGPERIOD=NA&amp;VAR:FQLFORMULA=FMA_PE&amp;VAR:","CURRENCY=NA&amp;VAR:P=263.040070&amp;VAR:V=15.081900&amp;VAR:null=.html"}</definedName>
    <definedName name="_334__FDSAUDITLINK__" hidden="1">{"fdsup://directions/FAT%20Viewer?VAR:TM=NTMA&amp;VAR:PCT=0.478142&amp;VAR:Y0=2008&amp;VAR:Y1=2009&amp;VAR:V0=15.724654&amp;VAR:V1=14.349050&amp;VAR:V=14.975446&amp;VAR:AUDIT_ID=99900521&amp;VAR:DATE=20080709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Mean&amp;VAR:CHGPERIOD=NA&amp;VAR:FQLFORMULA=FMA_PE&amp;VAR:","CURRENCY=NA&amp;VAR:P=260.710480&amp;VAR:V=14.975446&amp;VAR:null=.html"}</definedName>
    <definedName name="_335__FDSAUDITLINK__" hidden="1">{"fdsup://directions/FAT%20Viewer?VAR:TM=NTMA&amp;VAR:PCT=0.497268&amp;VAR:Y0=2008&amp;VAR:Y1=2009&amp;VAR:V0=15.371716&amp;VAR:V1=13.949650&amp;VAR:V=14.622323&amp;VAR:AUDIT_ID=99900521&amp;VAR:DATE=20080702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Mean&amp;VAR:CHGPERIOD=NA&amp;VAR:FQLFORMULA=FMA_PE&amp;VAR:","CURRENCY=NA&amp;VAR:P=255.169830&amp;VAR:V=14.622323&amp;VAR:null=.html"}</definedName>
    <definedName name="_336__FDSAUDITLINK__" hidden="1">{"fdsup://directions/FAT%20Viewer?VAR:TM=NTMA&amp;VAR:PCT=0.516393&amp;VAR:Y0=2008&amp;VAR:Y1=2009&amp;VAR:V0=15.875326&amp;VAR:V1=14.452538&amp;VAR:V=15.153867&amp;VAR:AUDIT_ID=99900521&amp;VAR:DATE=20080625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Mean&amp;VAR:CHGPERIOD=NA&amp;VAR:FQLFORMULA=FMA_PE&amp;VAR:","CURRENCY=NA&amp;VAR:P=263.527740&amp;VAR:V=15.153867&amp;VAR:null=.html"}</definedName>
    <definedName name="_337__FDSAUDITLINK__" hidden="1">{"fdsup://directions/FAT%20Viewer?VAR:TM=NTMA&amp;VAR:PCT=0.535519&amp;VAR:Y0=2008&amp;VAR:Y1=2009&amp;VAR:V0=15.868024&amp;VAR:V1=14.406292&amp;VAR:V=15.153846&amp;VAR:AUDIT_ID=99900521&amp;VAR:DATE=20080618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Mean&amp;VAR:CHGPERIOD=NA&amp;VAR:FQLFORMULA=FMA_PE&amp;VAR:","CURRENCY=NA&amp;VAR:P=264.691960&amp;VAR:V=15.153846&amp;VAR:null=.html"}</definedName>
    <definedName name="_338__FDSAUDITLINK__" hidden="1">{"fdsup://directions/FAT%20Viewer?VAR:TM=NTMA&amp;VAR:PCT=0.554645&amp;VAR:Y0=2008&amp;VAR:Y1=2009&amp;VAR:V0=16.322845&amp;VAR:V1=14.852225&amp;VAR:V=15.633447&amp;VAR:AUDIT_ID=99900521&amp;VAR:DATE=20080611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Mean&amp;VAR:CHGPERIOD=NA&amp;VAR:FQLFORMULA=FMA_PE&amp;VAR:","CURRENCY=NA&amp;VAR:P=273.030580&amp;VAR:V=15.633447&amp;VAR:null=.html"}</definedName>
    <definedName name="_339__FDSAUDITLINK__" hidden="1">{"fdsup://directions/FAT%20Viewer?VAR:TM=NTMA&amp;VAR:PCT=0.573770&amp;VAR:Y0=2008&amp;VAR:Y1=2009&amp;VAR:V0=16.744560&amp;VAR:V1=15.246610&amp;VAR:V=16.071544&amp;VAR:AUDIT_ID=99900521&amp;VAR:DATE=20080604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Mean&amp;VAR:CHGPERIOD=NA&amp;VAR:FQLFORMULA=FMA_PE&amp;VAR:","CURRENCY=NA&amp;VAR:P=280.066250&amp;VAR:V=16.071544&amp;VAR:null=.html"}</definedName>
    <definedName name="_34__FDSAUDITLINK__" hidden="1">{"fdsup://directions/FAT Viewer?action=UPDATE&amp;creator=factset&amp;DYN_ARGS=TRUE&amp;DOC_NAME=FAT:FQL_AUDITING_CLIENT_TEMPLATE.FAT&amp;display_string=Audit&amp;VAR:KEY=IHMTOTQLCP&amp;VAR:QUERY=RkZfQ0FQRVgoQU5OLDIwMDkp&amp;WINDOW=FIRST_POPUP&amp;HEIGHT=450&amp;WIDTH=450&amp;START_MAXIMIZED=FALS","E&amp;VAR:CALENDAR=US&amp;VAR:SYMBOL=HNZ&amp;VAR:INDEX=0"}</definedName>
    <definedName name="_340__FDSAUDITLINK__" hidden="1">{"fdsup://directions/FAT%20Viewer?VAR:TM=NTMA&amp;VAR:PCT=0.592896&amp;VAR:Y0=2008&amp;VAR:Y1=2009&amp;VAR:V0=16.824532&amp;VAR:V1=15.338477&amp;VAR:V=16.186121&amp;VAR:AUDIT_ID=99900521&amp;VAR:DATE=20080528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Mean&amp;VAR:CHGPERIOD=NA&amp;VAR:FQLFORMULA=FMA_PE&amp;VAR:","CURRENCY=NA&amp;VAR:P=281.024800&amp;VAR:V=16.186121&amp;VAR:null=.html"}</definedName>
    <definedName name="_341__FDSAUDITLINK__" hidden="1">{"fdsup://directions/FAT%20Viewer?VAR:TM=NTMA&amp;VAR:PCT=0.612022&amp;VAR:Y0=2008&amp;VAR:Y1=2009&amp;VAR:V0=16.976450&amp;VAR:V1=15.320724&amp;VAR:V=16.293286&amp;VAR:AUDIT_ID=99900521&amp;VAR:DATE=20080521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Mean&amp;VAR:CHGPERIOD=NA&amp;VAR:FQLFORMULA=FMA_PE&amp;VAR:","CURRENCY=NA&amp;VAR:P=283.471560&amp;VAR:V=16.293286&amp;VAR:null=.html"}</definedName>
    <definedName name="_342__FDSAUDITLINK__" hidden="1">{"fdsup://directions/FAT%20Viewer?VAR:TM=NTMA&amp;VAR:PCT=0.631148&amp;VAR:Y0=2008&amp;VAR:Y1=2009&amp;VAR:V0=17.015240&amp;VAR:V1=15.348173&amp;VAR:V=16.359809&amp;VAR:AUDIT_ID=99900521&amp;VAR:DATE=20080514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Mean&amp;VAR:CHGPERIOD=NA&amp;VAR:FQLFORMULA=FMA_PE&amp;VAR:","CURRENCY=NA&amp;VAR:P=284.247650&amp;VAR:V=16.359809&amp;VAR:null=.html"}</definedName>
    <definedName name="_343__FDSAUDITLINK__" hidden="1">{"fdsup://directions/FAT%20Viewer?VAR:TM=NTMA&amp;VAR:PCT=0.650273&amp;VAR:Y0=2008&amp;VAR:Y1=2009&amp;VAR:V0=16.853489&amp;VAR:V1=15.142468&amp;VAR:V=16.212802&amp;VAR:AUDIT_ID=99900521&amp;VAR:DATE=20080507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Mean&amp;VAR:CHGPERIOD=NA&amp;VAR:FQLFORMULA=FMA_PE&amp;VAR:","CURRENCY=NA&amp;VAR:P=281.843960&amp;VAR:V=16.212802&amp;VAR:null=.html"}</definedName>
    <definedName name="_344__FDSAUDITLINK__" hidden="1">{"fdsup://directions/FAT%20Viewer?VAR:TM=NTMA&amp;VAR:PCT=0.669399&amp;VAR:Y0=2008&amp;VAR:Y1=2009&amp;VAR:V0=16.934734&amp;VAR:V1=15.211993&amp;VAR:V=16.323576&amp;VAR:AUDIT_ID=99900521&amp;VAR:DATE=20080430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Mean&amp;VAR:CHGPERIOD=NA&amp;VAR:FQLFORMULA=FMA_PE&amp;VAR:","CURRENCY=NA&amp;VAR:P=283.356660&amp;VAR:V=16.323576&amp;VAR:null=.html"}</definedName>
    <definedName name="_345__FDSAUDITLINK__" hidden="1">{"fdsup://directions/FAT%20Viewer?VAR:TM=NTMA&amp;VAR:PCT=0.688525&amp;VAR:Y0=2008&amp;VAR:Y1=2009&amp;VAR:V0=16.970327&amp;VAR:V1=15.296170&amp;VAR:V=16.410867&amp;VAR:AUDIT_ID=99900521&amp;VAR:DATE=20080423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Mean&amp;VAR:CHGPERIOD=NA&amp;VAR:FQLFORMULA=FMA_PE&amp;VAR:","CURRENCY=NA&amp;VAR:P=281.183720&amp;VAR:V=16.410867&amp;VAR:null=.html"}</definedName>
    <definedName name="_346__FDSAUDITLINK__" hidden="1">{"fdsup://directions/FAT%20Viewer?VAR:TM=NTMA&amp;VAR:PCT=0.707650&amp;VAR:Y0=2008&amp;VAR:Y1=2009&amp;VAR:V0=16.906284&amp;VAR:V1=15.203716&amp;VAR:V=16.370345&amp;VAR:AUDIT_ID=99900521&amp;VAR:DATE=20080416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Mean&amp;VAR:CHGPERIOD=NA&amp;VAR:FQLFORMULA=FMA_PE&amp;VAR:","CURRENCY=NA&amp;VAR:P=279.617370&amp;VAR:V=16.370345&amp;VAR:null=.html"}</definedName>
    <definedName name="_347__FDSAUDITLINK__" hidden="1">{"fdsup://directions/FAT%20Viewer?VAR:TM=NTMA&amp;VAR:PCT=0.726776&amp;VAR:Y0=2008&amp;VAR:Y1=2009&amp;VAR:V0=16.788631&amp;VAR:V1=14.980017&amp;VAR:V=16.252498&amp;VAR:AUDIT_ID=99900521&amp;VAR:DATE=20080409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Mean&amp;VAR:CHGPERIOD=NA&amp;VAR:FQLFORMULA=FMA_PE&amp;VAR:","CURRENCY=NA&amp;VAR:P=277.671500&amp;VAR:V=16.252498&amp;VAR:null=.html"}</definedName>
    <definedName name="_348__FDSAUDITLINK__" hidden="1">{"fdsup://directions/FAT%20Viewer?VAR:TM=NTMA&amp;VAR:PCT=0.745902&amp;VAR:Y0=2008&amp;VAR:Y1=2009&amp;VAR:V0=16.752920&amp;VAR:V1=14.936251&amp;VAR:V=16.250684&amp;VAR:AUDIT_ID=99900521&amp;VAR:DATE=20080402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Mean&amp;VAR:CHGPERIOD=NA&amp;VAR:FQLFORMULA=FMA_PE&amp;VAR:","CURRENCY=NA&amp;VAR:P=276.921630&amp;VAR:V=16.250684&amp;VAR:null=.html"}</definedName>
    <definedName name="_349__FDSAUDITLINK__" hidden="1">{"fdsup://directions/FAT%20Viewer?VAR:TM=NTMA&amp;VAR:PCT=0.765027&amp;VAR:Y0=2008&amp;VAR:Y1=2009&amp;VAR:V0=16.397446&amp;VAR:V1=14.555140&amp;VAR:V=15.923847&amp;VAR:AUDIT_ID=99900521&amp;VAR:DATE=20080326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Mean&amp;VAR:CHGPERIOD=NA&amp;VAR:FQLFORMULA=FMA_PE&amp;VAR:","CURRENCY=NA&amp;VAR:P=269.860570&amp;VAR:V=15.923847&amp;VAR:null=.html"}</definedName>
    <definedName name="_35__FDSAUDITLINK__" hidden="1">{"fdsup://directions/FAT Viewer?action=UPDATE&amp;creator=factset&amp;DYN_ARGS=TRUE&amp;DOC_NAME=FAT:FQL_AUDITING_CLIENT_TEMPLATE.FAT&amp;display_string=Audit&amp;VAR:KEY=GRCDGPGFCX&amp;VAR:QUERY=RkZfQ0FQRVgoQU5OLDIwMDgp&amp;WINDOW=FIRST_POPUP&amp;HEIGHT=450&amp;WIDTH=450&amp;START_MAXIMIZED=FALS","E&amp;VAR:CALENDAR=US&amp;VAR:SYMBOL=HNZ&amp;VAR:INDEX=0"}</definedName>
    <definedName name="_350__FDSAUDITLINK__" hidden="1">{"fdsup://directions/FAT%20Viewer?VAR:TM=NTMA&amp;VAR:PCT=0.784153&amp;VAR:Y0=2008&amp;VAR:Y1=2009&amp;VAR:V0=16.196896&amp;VAR:V1=14.373654&amp;VAR:V=15.765254&amp;VAR:AUDIT_ID=99900521&amp;VAR:DATE=20080319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Mean&amp;VAR:CHGPERIOD=NA&amp;VAR:FQLFORMULA=FMA_PE&amp;VAR:","CURRENCY=NA&amp;VAR:P=266.525450&amp;VAR:V=15.765254&amp;VAR:null=.html"}</definedName>
    <definedName name="_351__FDSAUDITLINK__" hidden="1">{"fdsup://directions/FAT%20Viewer?VAR:TM=NTMA&amp;VAR:PCT=0.803279&amp;VAR:Y0=2008&amp;VAR:Y1=2009&amp;VAR:V0=16.422228&amp;VAR:V1=14.670380&amp;VAR:V=16.045303&amp;VAR:AUDIT_ID=99900521&amp;VAR:DATE=20080312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Mean&amp;VAR:CHGPERIOD=NA&amp;VAR:FQLFORMULA=FMA_PE&amp;VAR:","CURRENCY=NA&amp;VAR:P=269.294950&amp;VAR:V=16.045303&amp;VAR:null=.html"}</definedName>
    <definedName name="_352__FDSAUDITLINK__" hidden="1">{"fdsup://directions/FAT%20Viewer?VAR:TM=NTMA&amp;VAR:PCT=0.822404&amp;VAR:Y0=2008&amp;VAR:Y1=2009&amp;VAR:V0=16.429740&amp;VAR:V1=14.660866&amp;VAR:V=16.085079&amp;VAR:AUDIT_ID=99900521&amp;VAR:DATE=20080305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Mean&amp;VAR:CHGPERIOD=NA&amp;VAR:FQLFORMULA=FMA_PE&amp;VAR:","CURRENCY=NA&amp;VAR:P=270.151860&amp;VAR:V=16.085079&amp;VAR:null=.html"}</definedName>
    <definedName name="_353__FDSAUDITLINK__" hidden="1">{"fdsup://directions/FAT%20Viewer?VAR:TM=NTMA&amp;VAR:PCT=0.841530&amp;VAR:Y0=2008&amp;VAR:Y1=2009&amp;VAR:V0=16.635480&amp;VAR:V1=14.852702&amp;VAR:V=16.324959&amp;VAR:AUDIT_ID=99900521&amp;VAR:DATE=20080227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Mean&amp;VAR:CHGPERIOD=NA&amp;VAR:FQLFORMULA=FMA_PE&amp;VAR:","CURRENCY=NA&amp;VAR:P=273.699280&amp;VAR:V=16.324959&amp;VAR:null=.html"}</definedName>
    <definedName name="_354__FDSAUDITLINK__" hidden="1">{"fdsup://directions/FAT%20Viewer?VAR:TM=NTMA&amp;VAR:PCT=0.860656&amp;VAR:Y0=2008&amp;VAR:Y1=2009&amp;VAR:V0=16.375843&amp;VAR:V1=14.645003&amp;VAR:V=16.110525&amp;VAR:AUDIT_ID=99900521&amp;VAR:DATE=20080220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Mean&amp;VAR:CHGPERIOD=NA&amp;VAR:FQLFORMULA=FMA_PE&amp;VAR:","CURRENCY=NA&amp;VAR:P=270.695200&amp;VAR:V=16.110525&amp;VAR:null=.html"}</definedName>
    <definedName name="_355__FDSAUDITLINK__" hidden="1">{"fdsup://directions/FAT%20Viewer?VAR:TM=NTMA&amp;VAR:PCT=0.879781&amp;VAR:Y0=2008&amp;VAR:Y1=2009&amp;VAR:V0=15.879928&amp;VAR:V1=14.201557&amp;VAR:V=15.657471&amp;VAR:AUDIT_ID=99900521&amp;VAR:DATE=20080213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Mean&amp;VAR:CHGPERIOD=NA&amp;VAR:FQLFORMULA=FMA_PE&amp;VAR:","CURRENCY=NA&amp;VAR:P=262.231870&amp;VAR:V=15.657471&amp;VAR:null=.html"}</definedName>
    <definedName name="_356__FDSAUDITLINK__" hidden="1">{"fdsup://directions/FAT%20Viewer?VAR:TM=NTMA&amp;VAR:PCT=0.898907&amp;VAR:Y0=2008&amp;VAR:Y1=2009&amp;VAR:V0=15.508599&amp;VAR:V1=13.857264&amp;VAR:V=15.323991&amp;VAR:AUDIT_ID=99900521&amp;VAR:DATE=20080206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Mean&amp;VAR:CHGPERIOD=NA&amp;VAR:FQLFORMULA=FMA_PE&amp;VAR:","CURRENCY=NA&amp;VAR:P=256.462460&amp;VAR:V=15.323991&amp;VAR:null=.html"}</definedName>
    <definedName name="_357__FDSAUDITLINK__" hidden="1">{"fdsup://directions/FAT%20Viewer?VAR:TM=NTMA&amp;VAR:PCT=0.918033&amp;VAR:Y0=2008&amp;VAR:Y1=2009&amp;VAR:V0=15.820139&amp;VAR:V1=14.161811&amp;VAR:V=15.669737&amp;VAR:AUDIT_ID=99900521&amp;VAR:DATE=20080130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Mean&amp;VAR:CHGPERIOD=NA&amp;VAR:FQLFORMULA=FMA_PE&amp;VAR:","CURRENCY=NA&amp;VAR:P=261.085940&amp;VAR:V=15.669737&amp;VAR:null=.html"}</definedName>
    <definedName name="_358__FDSAUDITLINK__" hidden="1">{"fdsup://directions/FAT%20Viewer?VAR:TM=NTMA&amp;VAR:PCT=0.937158&amp;VAR:Y0=2008&amp;VAR:Y1=2009&amp;VAR:V0=15.636823&amp;VAR:V1=14.012746&amp;VAR:V=15.523758&amp;VAR:AUDIT_ID=99900521&amp;VAR:DATE=20080123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Mean&amp;VAR:CHGPERIOD=NA&amp;VAR:FQLFORMULA=FMA_PE&amp;VAR:","CURRENCY=NA&amp;VAR:P=260.543500&amp;VAR:V=15.523758&amp;VAR:null=.html"}</definedName>
    <definedName name="_359__FDSAUDITLINK__" hidden="1">{"fdsup://directions/FAT%20Viewer?VAR:TM=NTMA&amp;VAR:PCT=0.956284&amp;VAR:Y0=2008&amp;VAR:Y1=2009&amp;VAR:V0=16.079758&amp;VAR:V1=14.644607&amp;VAR:V=16.011165&amp;VAR:AUDIT_ID=99900521&amp;VAR:DATE=20080116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Mean&amp;VAR:CHGPERIOD=NA&amp;VAR:FQLFORMULA=FMA_PE&amp;VAR:","CURRENCY=NA&amp;VAR:P=268.408500&amp;VAR:V=16.011165&amp;VAR:null=.html"}</definedName>
    <definedName name="_36__FDSAUDITLINK__" hidden="1">{"fdsup://directions/FAT Viewer?action=UPDATE&amp;creator=factset&amp;DYN_ARGS=TRUE&amp;DOC_NAME=FAT:FQL_AUDITING_CLIENT_TEMPLATE.FAT&amp;display_string=Audit&amp;VAR:KEY=EBMNGHMLCD&amp;VAR:QUERY=RkZfQ0FQRVgoQU5OLDIwMDcp&amp;WINDOW=FIRST_POPUP&amp;HEIGHT=450&amp;WIDTH=450&amp;START_MAXIMIZED=FALS","E&amp;VAR:CALENDAR=US&amp;VAR:SYMBOL=HNZ&amp;VAR:INDEX=0"}</definedName>
    <definedName name="_360__FDSAUDITLINK__" hidden="1">{"fdsup://directions/FAT%20Viewer?VAR:TM=NTMA&amp;VAR:PCT=0.975410&amp;VAR:Y0=2008&amp;VAR:Y1=2009&amp;VAR:V0=16.659729&amp;VAR:V1=15.216158&amp;VAR:V=16.620954&amp;VAR:AUDIT_ID=99900521&amp;VAR:DATE=20080109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Mean&amp;VAR:CHGPERIOD=NA&amp;VAR:FQLFORMULA=FMA_PE&amp;VAR:","CURRENCY=NA&amp;VAR:P=278.102720&amp;VAR:V=16.620954&amp;VAR:null=.html"}</definedName>
    <definedName name="_361__FDSAUDITLINK__" hidden="1">{"fdsup://directions/FAT%20Viewer?VAR:TM=NTMA&amp;VAR:PCT=0.994536&amp;VAR:Y0=2008&amp;VAR:Y1=2009&amp;VAR:V0=16.667515&amp;VAR:V1=15.213072&amp;VAR:V=16.658812&amp;VAR:AUDIT_ID=99900521&amp;VAR:DATE=20080102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Mean&amp;VAR:CHGPERIOD=NA&amp;VAR:FQLFORMULA=FMA_PE&amp;VAR:","CURRENCY=NA&amp;VAR:P=277.731570&amp;VAR:V=16.658812&amp;VAR:null=.html"}</definedName>
    <definedName name="_362__FDSAUDITLINK__" hidden="1">{"fdsup://directions/FAT%20Viewer?VAR:TM=NTMA&amp;VAR:PCT=0.013699&amp;VAR:Y0=2007&amp;VAR:Y1=2008&amp;VAR:V0=18.850600&amp;VAR:V1=17.205479&amp;VAR:V=17.226073&amp;VAR:AUDIT_ID=99900521&amp;VAR:DATE=20071226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Mean&amp;VAR:CHGPERIOD=NA&amp;VAR:FQLFORMULA=FMA_PE&amp;VAR:","CURRENCY=NA&amp;VAR:P=286.910300&amp;VAR:V=17.226073&amp;VAR:null=.html"}</definedName>
    <definedName name="_363__FDSAUDITLINK__" hidden="1">{"fdsup://directions/FAT%20Viewer?VAR:TM=NTMA&amp;VAR:PCT=0.032877&amp;VAR:Y0=2007&amp;VAR:Y1=2008&amp;VAR:V0=18.499262&amp;VAR:V1=16.870832&amp;VAR:V=16.919798&amp;VAR:AUDIT_ID=99900521&amp;VAR:DATE=20071219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Mean&amp;VAR:CHGPERIOD=NA&amp;VAR:FQLFORMULA=FMA_PE&amp;VAR:","CURRENCY=NA&amp;VAR:P=281.074430&amp;VAR:V=16.919798&amp;VAR:null=.html"}</definedName>
    <definedName name="_364__FDSAUDITLINK__" hidden="1">{"fdsup://directions/FAT%20Viewer?VAR:TM=NTMA&amp;VAR:PCT=0.052055&amp;VAR:Y0=2007&amp;VAR:Y1=2008&amp;VAR:V0=18.699453&amp;VAR:V1=17.057913&amp;VAR:V=17.136220&amp;VAR:AUDIT_ID=99900521&amp;VAR:DATE=20071212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Mean&amp;VAR:CHGPERIOD=NA&amp;VAR:FQLFORMULA=FMA_PE&amp;VAR:","CURRENCY=NA&amp;VAR:P=283.955080&amp;VAR:V=17.136220&amp;VAR:null=.html"}</definedName>
    <definedName name="_365__FDSAUDITLINK__" hidden="1">{"fdsup://directions/FAT%20Viewer?VAR:TM=NTMA&amp;VAR:PCT=0.071233&amp;VAR:Y0=2007&amp;VAR:Y1=2008&amp;VAR:V0=18.790188&amp;VAR:V1=17.140797&amp;VAR:V=17.248649&amp;VAR:AUDIT_ID=99900521&amp;VAR:DATE=20071205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Mean&amp;VAR:CHGPERIOD=NA&amp;VAR:FQLFORMULA=FMA_PE&amp;VAR:","CURRENCY=NA&amp;VAR:P=285.214000&amp;VAR:V=17.248649&amp;VAR:null=.html"}</definedName>
    <definedName name="_366__FDSAUDITLINK__" hidden="1">{"fdsup://directions/FAT%20Viewer?VAR:TM=NTMA&amp;VAR:PCT=0.090411&amp;VAR:Y0=2007&amp;VAR:Y1=2008&amp;VAR:V0=18.547665&amp;VAR:V1=16.894430&amp;VAR:V=17.031684&amp;VAR:AUDIT_ID=99900521&amp;VAR:DATE=20071128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Mean&amp;VAR:CHGPERIOD=NA&amp;VAR:FQLFORMULA=FMA_PE&amp;VAR:","CURRENCY=NA&amp;VAR:P=281.391780&amp;VAR:V=17.031684&amp;VAR:null=.html"}</definedName>
    <definedName name="_367__FDSAUDITLINK__" hidden="1">{"fdsup://directions/FAT%20Viewer?VAR:TM=NTMA&amp;VAR:PCT=0.109589&amp;VAR:Y0=2007&amp;VAR:Y1=2008&amp;VAR:V0=17.920048&amp;VAR:V1=16.320467&amp;VAR:V=16.481693&amp;VAR:AUDIT_ID=99900521&amp;VAR:DATE=20071121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Mean&amp;VAR:CHGPERIOD=NA&amp;VAR:FQLFORMULA=FMA_PE&amp;VAR:","CURRENCY=NA&amp;VAR:P=271.485500&amp;VAR:V=16.481693&amp;VAR:null=.html"}</definedName>
    <definedName name="_368__FDSAUDITLINK__" hidden="1">{"fdsup://directions/FAT%20Viewer?VAR:TM=NTMA&amp;VAR:PCT=0.128767&amp;VAR:Y0=2007&amp;VAR:Y1=2008&amp;VAR:V0=18.208857&amp;VAR:V1=16.533370&amp;VAR:V=16.731615&amp;VAR:AUDIT_ID=99900521&amp;VAR:DATE=20071114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Mean&amp;VAR:CHGPERIOD=NA&amp;VAR:FQLFORMULA=FMA_PE&amp;VAR:","CURRENCY=NA&amp;VAR:P=276.152100&amp;VAR:V=16.731615&amp;VAR:null=.html"}</definedName>
    <definedName name="_369__FDSAUDITLINK__" hidden="1">{"fdsup://directions/FAT%20Viewer?VAR:TM=NTMA&amp;VAR:PCT=0.147945&amp;VAR:Y0=2007&amp;VAR:Y1=2008&amp;VAR:V0=17.901570&amp;VAR:V1=16.111599&amp;VAR:V=16.353516&amp;VAR:AUDIT_ID=99900521&amp;VAR:DATE=20071107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Mean&amp;VAR:CHGPERIOD=NA&amp;VAR:FQLFORMULA=FMA_PE&amp;VAR:","CURRENCY=NA&amp;VAR:P=273.168400&amp;VAR:V=16.353516&amp;VAR:null=.html"}</definedName>
    <definedName name="_37__FDSAUDITLINK__" hidden="1">{"fdsup://directions/FAT Viewer?action=UPDATE&amp;creator=factset&amp;DYN_ARGS=TRUE&amp;DOC_NAME=FAT:FQL_AUDITING_CLIENT_TEMPLATE.FAT&amp;display_string=Audit&amp;VAR:KEY=OXWRWBSBSP&amp;VAR:QUERY=RkZfQ0FQRVgoQU5OLDIwMDYp&amp;WINDOW=FIRST_POPUP&amp;HEIGHT=450&amp;WIDTH=450&amp;START_MAXIMIZED=FALS","E&amp;VAR:CALENDAR=US&amp;VAR:SYMBOL=HNZ&amp;VAR:INDEX=0"}</definedName>
    <definedName name="_370__FDSAUDITLINK__" hidden="1">{"fdsup://directions/FAT%20Viewer?VAR:TM=NTMA&amp;VAR:PCT=0.167123&amp;VAR:Y0=2007&amp;VAR:Y1=2008&amp;VAR:V0=18.335846&amp;VAR:V1=16.567320&amp;VAR:V=16.838750&amp;VAR:AUDIT_ID=99900521&amp;VAR:DATE=20071031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Mean&amp;VAR:CHGPERIOD=NA&amp;VAR:FQLFORMULA=FMA_PE&amp;VAR:","CURRENCY=NA&amp;VAR:P=278.046200&amp;VAR:V=16.838750&amp;VAR:null=.html"}</definedName>
    <definedName name="_371__FDSAUDITLINK__" hidden="1">{"fdsup://directions/FAT%20Viewer?VAR:TM=NTMA&amp;VAR:PCT=0.186301&amp;VAR:Y0=2007&amp;VAR:Y1=2008&amp;VAR:V0=18.074087&amp;VAR:V1=16.348827&amp;VAR:V=16.644828&amp;VAR:AUDIT_ID=99900521&amp;VAR:DATE=20071024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Mean&amp;VAR:CHGPERIOD=NA&amp;VAR:FQLFORMULA=FMA_PE&amp;VAR:","CURRENCY=NA&amp;VAR:P=273.713500&amp;VAR:V=16.644828&amp;VAR:null=.html"}</definedName>
    <definedName name="_372__FDSAUDITLINK__" hidden="1">{"fdsup://directions/FAT%20Viewer?VAR:TM=NTMA&amp;VAR:PCT=0.205479&amp;VAR:Y0=2007&amp;VAR:Y1=2008&amp;VAR:V0=18.518175&amp;VAR:V1=16.709450&amp;VAR:V=17.051673&amp;VAR:AUDIT_ID=99900521&amp;VAR:DATE=20071017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Mean&amp;VAR:CHGPERIOD=NA&amp;VAR:FQLFORMULA=FMA_PE&amp;VAR:","CURRENCY=NA&amp;VAR:P=281.507420&amp;VAR:V=17.051673&amp;VAR:null=.html"}</definedName>
    <definedName name="_373__FDSAUDITLINK__" hidden="1">{"fdsup://directions/FAT%20Viewer?VAR:TM=NTMA&amp;VAR:PCT=0.224658&amp;VAR:Y0=2007&amp;VAR:Y1=2008&amp;VAR:V0=18.510822&amp;VAR:V1=16.695372&amp;VAR:V=17.071514&amp;VAR:AUDIT_ID=99900521&amp;VAR:DATE=20071010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Mean&amp;VAR:CHGPERIOD=NA&amp;VAR:FQLFORMULA=FMA_PE&amp;VAR:","CURRENCY=NA&amp;VAR:P=281.565950&amp;VAR:V=17.071514&amp;VAR:null=.html"}</definedName>
    <definedName name="_374__FDSAUDITLINK__" hidden="1">{"fdsup://directions/FAT%20Viewer?VAR:TM=NTMA&amp;VAR:PCT=0.243836&amp;VAR:Y0=2007&amp;VAR:Y1=2008&amp;VAR:V0=18.466623&amp;VAR:V1=16.604008&amp;VAR:V=17.022667&amp;VAR:AUDIT_ID=99900521&amp;VAR:DATE=20071003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Mean&amp;VAR:CHGPERIOD=NA&amp;VAR:FQLFORMULA=FMA_PE&amp;VAR:","CURRENCY=NA&amp;VAR:P=280.736450&amp;VAR:V=17.022667&amp;VAR:null=.html"}</definedName>
    <definedName name="_375__FDSAUDITLINK__" hidden="1">{"fdsup://directions/FAT%20Viewer?VAR:TM=NTMA&amp;VAR:PCT=0.263014&amp;VAR:Y0=2007&amp;VAR:Y1=2008&amp;VAR:V0=18.459190&amp;VAR:V1=16.624170&amp;VAR:V=17.070497&amp;VAR:AUDIT_ID=99900521&amp;VAR:DATE=20070926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Mean&amp;VAR:CHGPERIOD=NA&amp;VAR:FQLFORMULA=FMA_PE&amp;VAR:","CURRENCY=NA&amp;VAR:P=282.134580&amp;VAR:V=17.070497&amp;VAR:null=.html"}</definedName>
    <definedName name="_376__FDSAUDITLINK__" hidden="1">{"fdsup://directions/FAT%20Viewer?VAR:TM=NTMA&amp;VAR:PCT=0.282192&amp;VAR:Y0=2007&amp;VAR:Y1=2008&amp;VAR:V0=18.498785&amp;VAR:V1=16.656920&amp;VAR:V=17.138458&amp;VAR:AUDIT_ID=99900521&amp;VAR:DATE=20070919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Mean&amp;VAR:CHGPERIOD=NA&amp;VAR:FQLFORMULA=FMA_PE&amp;VAR:","CURRENCY=NA&amp;VAR:P=283.287260&amp;VAR:V=17.138458&amp;VAR:null=.html"}</definedName>
    <definedName name="_377__FDSAUDITLINK__" hidden="1">{"fdsup://directions/FAT%20Viewer?VAR:TM=NTMA&amp;VAR:PCT=0.301370&amp;VAR:Y0=2007&amp;VAR:Y1=2008&amp;VAR:V0=18.246530&amp;VAR:V1=16.472788&amp;VAR:V=16.969941&amp;VAR:AUDIT_ID=99900521&amp;VAR:DATE=20070912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Mean&amp;VAR:CHGPERIOD=NA&amp;VAR:FQLFORMULA=FMA_PE&amp;VAR:","CURRENCY=NA&amp;VAR:P=279.531400&amp;VAR:V=16.969941&amp;VAR:null=.html"}</definedName>
    <definedName name="_378__FDSAUDITLINK__" hidden="1">{"fdsup://directions/FAT%20Viewer?VAR:TM=NTMA&amp;VAR:PCT=0.320548&amp;VAR:Y0=2007&amp;VAR:Y1=2008&amp;VAR:V0=17.958393&amp;VAR:V1=16.214987&amp;VAR:V=16.735786&amp;VAR:AUDIT_ID=99900521&amp;VAR:DATE=20070905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Mean&amp;VAR:CHGPERIOD=NA&amp;VAR:FQLFORMULA=FMA_PE&amp;VAR:","CURRENCY=NA&amp;VAR:P=275.286100&amp;VAR:V=16.735786&amp;VAR:null=.html"}</definedName>
    <definedName name="_379__FDSAUDITLINK__" hidden="1">{"fdsup://directions/FAT%20Viewer?VAR:TM=NTMA&amp;VAR:PCT=0.339726&amp;VAR:Y0=2007&amp;VAR:Y1=2008&amp;VAR:V0=17.848612&amp;VAR:V1=16.094786&amp;VAR:V=16.650615&amp;VAR:AUDIT_ID=99900521&amp;VAR:DATE=20070829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Mean&amp;VAR:CHGPERIOD=NA&amp;VAR:FQLFORMULA=FMA_PE&amp;VAR:","CURRENCY=NA&amp;VAR:P=274.074200&amp;VAR:V=16.650615&amp;VAR:null=.html"}</definedName>
    <definedName name="_38__FDSAUDITLINK__" hidden="1">{"fdsup://directions/FAT Viewer?action=UPDATE&amp;creator=factset&amp;DYN_ARGS=TRUE&amp;DOC_NAME=FAT:FQL_AUDITING_CLIENT_TEMPLATE.FAT&amp;display_string=Audit&amp;VAR:KEY=IBIVQNKFUF&amp;VAR:QUERY=RkZfQ0FQRVgoQU5OLDIwMDUp&amp;WINDOW=FIRST_POPUP&amp;HEIGHT=450&amp;WIDTH=450&amp;START_MAXIMIZED=FALS","E&amp;VAR:CALENDAR=US&amp;VAR:SYMBOL=HNZ&amp;VAR:INDEX=0"}</definedName>
    <definedName name="_380__FDSAUDITLINK__" hidden="1">{"fdsup://directions/FAT%20Viewer?VAR:TM=NTMA&amp;VAR:PCT=0.358904&amp;VAR:Y0=2007&amp;VAR:Y1=2008&amp;VAR:V0=17.975657&amp;VAR:V1=16.222952&amp;VAR:V=16.811257&amp;VAR:AUDIT_ID=99900521&amp;VAR:DATE=20070822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Mean&amp;VAR:CHGPERIOD=NA&amp;VAR:FQLFORMULA=FMA_PE&amp;VAR:","CURRENCY=NA&amp;VAR:P=275.932070&amp;VAR:V=16.811257&amp;VAR:null=.html"}</definedName>
    <definedName name="_381__FDSAUDITLINK__" hidden="1">{"fdsup://directions/FAT%20Viewer?VAR:TM=NTMA&amp;VAR:PCT=0.378082&amp;VAR:Y0=2007&amp;VAR:Y1=2008&amp;VAR:V0=17.639212&amp;VAR:V1=15.917626&amp;VAR:V=16.527504&amp;VAR:AUDIT_ID=99900521&amp;VAR:DATE=20070815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Mean&amp;VAR:CHGPERIOD=NA&amp;VAR:FQLFORMULA=FMA_PE&amp;VAR:","CURRENCY=NA&amp;VAR:P=271.136930&amp;VAR:V=16.527504&amp;VAR:null=.html"}</definedName>
    <definedName name="_382__FDSAUDITLINK__" hidden="1">{"fdsup://directions/FAT%20Viewer?VAR:TM=NTMA&amp;VAR:PCT=0.397260&amp;VAR:Y0=2007&amp;VAR:Y1=2008&amp;VAR:V0=18.242659&amp;VAR:V1=16.502161&amp;VAR:V=17.152264&amp;VAR:AUDIT_ID=99900521&amp;VAR:DATE=20070808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Mean&amp;VAR:CHGPERIOD=NA&amp;VAR:FQLFORMULA=FMA_PE&amp;VAR:","CURRENCY=NA&amp;VAR:P=280.943360&amp;VAR:V=17.152264&amp;VAR:null=.html"}</definedName>
    <definedName name="_383__FDSAUDITLINK__" hidden="1">{"fdsup://directions/FAT%20Viewer?VAR:TM=NTMA&amp;VAR:PCT=0.416438&amp;VAR:Y0=2007&amp;VAR:Y1=2008&amp;VAR:V0=17.872564&amp;VAR:V1=16.170176&amp;VAR:V=16.838081&amp;VAR:AUDIT_ID=99900521&amp;VAR:DATE=20070801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Mean&amp;VAR:CHGPERIOD=NA&amp;VAR:FQLFORMULA=FMA_PE&amp;VAR:","CURRENCY=NA&amp;VAR:P=275.080230&amp;VAR:V=16.838081&amp;VAR:null=.html"}</definedName>
    <definedName name="_384__FDSAUDITLINK__" hidden="1">{"fdsup://directions/FAT%20Viewer?VAR:TM=NTMA&amp;VAR:PCT=0.435616&amp;VAR:Y0=2007&amp;VAR:Y1=2008&amp;VAR:V0=18.532412&amp;VAR:V1=16.755241&amp;VAR:V=17.485680&amp;VAR:AUDIT_ID=99900521&amp;VAR:DATE=20070725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Mean&amp;VAR:CHGPERIOD=NA&amp;VAR:FQLFORMULA=FMA_PE&amp;VAR:","CURRENCY=NA&amp;VAR:P=285.709700&amp;VAR:V=17.485680&amp;VAR:null=.html"}</definedName>
    <definedName name="_385__FDSAUDITLINK__" hidden="1">{"fdsup://directions/FAT%20Viewer?VAR:TM=NTMA&amp;VAR:PCT=0.454795&amp;VAR:Y0=2007&amp;VAR:Y1=2008&amp;VAR:V0=18.854593&amp;VAR:V1=17.050499&amp;VAR:V=17.826240&amp;VAR:AUDIT_ID=99900521&amp;VAR:DATE=20070718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Mean&amp;VAR:CHGPERIOD=NA&amp;VAR:FQLFORMULA=FMA_PE&amp;VAR:","CURRENCY=NA&amp;VAR:P=291.152160&amp;VAR:V=17.826240&amp;VAR:null=.html"}</definedName>
    <definedName name="_386__FDSAUDITLINK__" hidden="1">{"fdsup://directions/FAT%20Viewer?VAR:TM=NTMA&amp;VAR:PCT=0.473973&amp;VAR:Y0=2007&amp;VAR:Y1=2008&amp;VAR:V0=18.621643&amp;VAR:V1=16.825040&amp;VAR:V=17.631293&amp;VAR:AUDIT_ID=99900521&amp;VAR:DATE=20070711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Mean&amp;VAR:CHGPERIOD=NA&amp;VAR:FQLFORMULA=FMA_PE&amp;VAR:","CURRENCY=NA&amp;VAR:P=287.525570&amp;VAR:V=17.631293&amp;VAR:null=.html"}</definedName>
    <definedName name="_387__FDSAUDITLINK__" hidden="1">{"fdsup://directions/FAT%20Viewer?VAR:TM=NTMA&amp;VAR:PCT=0.495890&amp;VAR:Y0=2007&amp;VAR:Y1=2008&amp;VAR:V0=18.671167&amp;VAR:V1=16.894857&amp;VAR:V=17.731375&amp;VAR:AUDIT_ID=99900521&amp;VAR:DATE=20070703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Mean&amp;VAR:CHGPERIOD=NA&amp;VAR:FQLFORMULA=FMA_PE&amp;VAR:","CURRENCY=NA&amp;VAR:P=288.317000&amp;VAR:V=17.731375&amp;VAR:null=.html"}</definedName>
    <definedName name="_388__FDSAUDITLINK__" hidden="1">{"fdsup://directions/FAT%20Viewer?VAR:TM=NTMA&amp;VAR:PCT=0.512329&amp;VAR:Y0=2007&amp;VAR:Y1=2008&amp;VAR:V0=18.658270&amp;VAR:V1=16.894001&amp;VAR:V=17.754084&amp;VAR:AUDIT_ID=99900521&amp;VAR:DATE=20070627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Mean&amp;VAR:CHGPERIOD=NA&amp;VAR:FQLFORMULA=FMA_PE&amp;VAR:","CURRENCY=NA&amp;VAR:P=288.145720&amp;VAR:V=17.754084&amp;VAR:null=.html"}</definedName>
    <definedName name="_389__FDSAUDITLINK__" hidden="1">{"fdsup://directions/FAT%20Viewer?VAR:TM=NTMA&amp;VAR:PCT=0.531507&amp;VAR:Y0=2007&amp;VAR:Y1=2008&amp;VAR:V0=18.485548&amp;VAR:V1=16.720116&amp;VAR:V=17.614226&amp;VAR:AUDIT_ID=99900521&amp;VAR:DATE=20070620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Mean&amp;VAR:CHGPERIOD=NA&amp;VAR:FQLFORMULA=FMA_PE&amp;VAR:","CURRENCY=NA&amp;VAR:P=284.949980&amp;VAR:V=17.614226&amp;VAR:null=.html"}</definedName>
    <definedName name="_39__FDSAUDITLINK__" hidden="1">{"fdsup://directions/FAT Viewer?action=UPDATE&amp;creator=factset&amp;DYN_ARGS=TRUE&amp;DOC_NAME=FAT:FQL_AUDITING_CLIENT_TEMPLATE.FAT&amp;display_string=Audit&amp;VAR:KEY=YLAZCZIROH&amp;VAR:QUERY=RkZfQ0FQRVgoQU5OLDIwMDQp&amp;WINDOW=FIRST_POPUP&amp;HEIGHT=450&amp;WIDTH=450&amp;START_MAXIMIZED=FALS","E&amp;VAR:CALENDAR=US&amp;VAR:SYMBOL=HNZ&amp;VAR:INDEX=0"}</definedName>
    <definedName name="_390__FDSAUDITLINK__" hidden="1">{"fdsup://directions/FAT%20Viewer?VAR:TM=NTMA&amp;VAR:PCT=0.550685&amp;VAR:Y0=2007&amp;VAR:Y1=2008&amp;VAR:V0=18.799772&amp;VAR:V1=17.018543&amp;VAR:V=17.955382&amp;VAR:AUDIT_ID=99900521&amp;VAR:DATE=20070613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Mean&amp;VAR:CHGPERIOD=NA&amp;VAR:FQLFORMULA=FMA_PE&amp;VAR:","CURRENCY=NA&amp;VAR:P=289.645870&amp;VAR:V=17.955382&amp;VAR:null=.html"}</definedName>
    <definedName name="_391__FDSAUDITLINK__" hidden="1">{"fdsup://directions/FAT%20Viewer?VAR:TM=NTMA&amp;VAR:PCT=0.569863&amp;VAR:Y0=2007&amp;VAR:Y1=2008&amp;VAR:V0=18.623764&amp;VAR:V1=16.888110&amp;VAR:V=17.835322&amp;VAR:AUDIT_ID=99900521&amp;VAR:DATE=20070606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Mean&amp;VAR:CHGPERIOD=NA&amp;VAR:FQLFORMULA=FMA_PE&amp;VAR:","CURRENCY=NA&amp;VAR:P=287.438050&amp;VAR:V=17.835322&amp;VAR:null=.html"}</definedName>
    <definedName name="_392__FDSAUDITLINK__" hidden="1">{"fdsup://directions/FAT%20Viewer?VAR:TM=NTMA&amp;VAR:PCT=0.589041&amp;VAR:Y0=2007&amp;VAR:Y1=2008&amp;VAR:V0=18.767551&amp;VAR:V1=17.017164&amp;VAR:V=18.006398&amp;VAR:AUDIT_ID=99900521&amp;VAR:DATE=20070530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Mean&amp;VAR:CHGPERIOD=NA&amp;VAR:FQLFORMULA=FMA_PE&amp;VAR:","CURRENCY=NA&amp;VAR:P=289.690220&amp;VAR:V=18.006398&amp;VAR:null=.html"}</definedName>
    <definedName name="_393__FDSAUDITLINK__" hidden="1">{"fdsup://directions/FAT%20Viewer?VAR:TM=NTMA&amp;VAR:PCT=0.608219&amp;VAR:Y0=2007&amp;VAR:Y1=2008&amp;VAR:V0=18.601103&amp;VAR:V1=16.859846&amp;VAR:V=17.877726&amp;VAR:AUDIT_ID=99900521&amp;VAR:DATE=20070523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Mean&amp;VAR:CHGPERIOD=NA&amp;VAR:FQLFORMULA=FMA_PE&amp;VAR:","CURRENCY=NA&amp;VAR:P=287.125430&amp;VAR:V=17.877726&amp;VAR:null=.html"}</definedName>
    <definedName name="_394__FDSAUDITLINK__" hidden="1">{"fdsup://directions/FAT%20Viewer?VAR:TM=NTMA&amp;VAR:PCT=0.627397&amp;VAR:Y0=2007&amp;VAR:Y1=2008&amp;VAR:V0=18.573300&amp;VAR:V1=16.834452&amp;VAR:V=17.884970&amp;VAR:AUDIT_ID=99900521&amp;VAR:DATE=20070516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Mean&amp;VAR:CHGPERIOD=NA&amp;VAR:FQLFORMULA=FMA_PE&amp;VAR:","CURRENCY=NA&amp;VAR:P=286.624100&amp;VAR:V=17.884970&amp;VAR:null=.html"}</definedName>
    <definedName name="_395__FDSAUDITLINK__" hidden="1">{"fdsup://directions/FAT%20Viewer?VAR:TM=NTMA&amp;VAR:PCT=0.646575&amp;VAR:Y0=2007&amp;VAR:Y1=2008&amp;VAR:V0=18.477484&amp;VAR:V1=16.777891&amp;VAR:V=17.838823&amp;VAR:AUDIT_ID=99900521&amp;VAR:DATE=20070509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Mean&amp;VAR:CHGPERIOD=NA&amp;VAR:FQLFORMULA=FMA_PE&amp;VAR:","CURRENCY=NA&amp;VAR:P=285.678400&amp;VAR:V=17.838823&amp;VAR:null=.html"}</definedName>
    <definedName name="_396__FDSAUDITLINK__" hidden="1">{"fdsup://directions/FAT%20Viewer?VAR:TM=NTMA&amp;VAR:PCT=0.665753&amp;VAR:Y0=2007&amp;VAR:Y1=2008&amp;VAR:V0=18.589397&amp;VAR:V1=16.895330&amp;VAR:V=17.986588&amp;VAR:AUDIT_ID=99900521&amp;VAR:DATE=20070502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Mean&amp;VAR:CHGPERIOD=NA&amp;VAR:FQLFORMULA=FMA_PE&amp;VAR:","CURRENCY=NA&amp;VAR:P=287.885930&amp;VAR:V=17.986588&amp;VAR:null=.html"}</definedName>
    <definedName name="_397__FDSAUDITLINK__" hidden="1">{"fdsup://directions/FAT%20Viewer?VAR:TM=NTMA&amp;VAR:PCT=0.684932&amp;VAR:Y0=2007&amp;VAR:Y1=2008&amp;VAR:V0=18.816341&amp;VAR:V1=17.162266&amp;VAR:V=18.261806&amp;VAR:AUDIT_ID=99900521&amp;VAR:DATE=20070425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Mean&amp;VAR:CHGPERIOD=NA&amp;VAR:FQLFORMULA=FMA_PE&amp;VAR:","CURRENCY=NA&amp;VAR:P=291.009520&amp;VAR:V=18.261806&amp;VAR:null=.html"}</definedName>
    <definedName name="_398__FDSAUDITLINK__" hidden="1">{"fdsup://directions/FAT%20Viewer?VAR:TM=NTMA&amp;VAR:PCT=0.704110&amp;VAR:Y0=2007&amp;VAR:Y1=2008&amp;VAR:V0=18.384200&amp;VAR:V1=16.750624&amp;VAR:V=17.868581&amp;VAR:AUDIT_ID=99900521&amp;VAR:DATE=20070418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Mean&amp;VAR:CHGPERIOD=NA&amp;VAR:FQLFORMULA=FMA_PE&amp;VAR:","CURRENCY=NA&amp;VAR:P=283.917970&amp;VAR:V=17.868581&amp;VAR:null=.html"}</definedName>
    <definedName name="_399__FDSAUDITLINK__" hidden="1">{"fdsup://directions/FAT%20Viewer?VAR:TM=NTMA&amp;VAR:PCT=0.723288&amp;VAR:Y0=2007&amp;VAR:Y1=2008&amp;VAR:V0=18.190617&amp;VAR:V1=16.585620&amp;VAR:V=17.716220&amp;VAR:AUDIT_ID=99900521&amp;VAR:DATE=20070411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Mean&amp;VAR:CHGPERIOD=NA&amp;VAR:FQLFORMULA=FMA_PE&amp;VAR:","CURRENCY=NA&amp;VAR:P=281.121250&amp;VAR:V=17.716220&amp;VAR:null=.html"}</definedName>
    <definedName name="_4__123Graph_Aｸﾞﾗﾌ_2" hidden="1">[11]単独!$AR$14:$AR$18</definedName>
    <definedName name="_4__FDSAUDITLINK__" hidden="1">{"fdsup://directions/FAT Viewer?action=UPDATE&amp;creator=factset&amp;DYN_ARGS=TRUE&amp;DOC_NAME=FAT:FQL_AUDITING_CLIENT_TEMPLATE.FAT&amp;display_string=Audit&amp;VAR:KEY=GJMJYJKVYD&amp;VAR:QUERY=RkZfQ0FQRVgoQU5OLDIwMDcp&amp;WINDOW=FIRST_POPUP&amp;HEIGHT=450&amp;WIDTH=450&amp;START_MAXIMIZED=FALS","E&amp;VAR:CALENDAR=US&amp;VAR:SYMBOL=SLE&amp;VAR:INDEX=0"}</definedName>
    <definedName name="_40__FDSAUDITLINK__" hidden="1">{"fdsup://directions/FAT Viewer?action=UPDATE&amp;creator=factset&amp;DYN_ARGS=TRUE&amp;DOC_NAME=FAT:FQL_AUDITING_CLIENT_TEMPLATE.FAT&amp;display_string=Audit&amp;VAR:KEY=UDSRSDSTYH&amp;VAR:QUERY=RkZfQ0FQRVgoQU5OLDIwMDMp&amp;WINDOW=FIRST_POPUP&amp;HEIGHT=450&amp;WIDTH=450&amp;START_MAXIMIZED=FALS","E&amp;VAR:CALENDAR=US&amp;VAR:SYMBOL=HNZ&amp;VAR:INDEX=0"}</definedName>
    <definedName name="_400__FDSAUDITLINK__" hidden="1">{"fdsup://directions/FAT%20Viewer?VAR:TM=NTMA&amp;VAR:PCT=0.742466&amp;VAR:Y0=2007&amp;VAR:Y1=2008&amp;VAR:V0=17.978537&amp;VAR:V1=16.417488&amp;VAR:V=17.548810&amp;VAR:AUDIT_ID=99900521&amp;VAR:DATE=20070404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Mean&amp;VAR:CHGPERIOD=NA&amp;VAR:FQLFORMULA=FMA_PE&amp;VAR:","CURRENCY=NA&amp;VAR:P=278.271420&amp;VAR:V=17.548810&amp;VAR:null=.html"}</definedName>
    <definedName name="_401__FDSAUDITLINK__" hidden="1">{"fdsup://directions/FAT%20Viewer?VAR:TM=NTMA&amp;VAR:PCT=0.761644&amp;VAR:Y0=2007&amp;VAR:Y1=2008&amp;VAR:V0=18.353731&amp;VAR:V1=16.732792&amp;VAR:V=17.939507&amp;VAR:AUDIT_ID=99900521&amp;VAR:DATE=20070328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Mean&amp;VAR:CHGPERIOD=NA&amp;VAR:FQLFORMULA=FMA_PE&amp;VAR:","CURRENCY=NA&amp;VAR:P=277.863800&amp;VAR:V=17.939507&amp;VAR:null=.html"}</definedName>
    <definedName name="_402__FDSAUDITLINK__" hidden="1">{"fdsup://directions/FAT%20Viewer?VAR:TM=NTMA&amp;VAR:PCT=0.780822&amp;VAR:Y0=2007&amp;VAR:Y1=2008&amp;VAR:V0=18.409739&amp;VAR:V1=16.797537&amp;VAR:V=18.030444&amp;VAR:AUDIT_ID=99900521&amp;VAR:DATE=20070321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Mean&amp;VAR:CHGPERIOD=NA&amp;VAR:FQLFORMULA=FMA_PE&amp;VAR:","CURRENCY=NA&amp;VAR:P=277.873000&amp;VAR:V=18.030444&amp;VAR:null=.html"}</definedName>
    <definedName name="_403__FDSAUDITLINK__" hidden="1">{"fdsup://directions/FAT%20Viewer?VAR:TM=NTMA&amp;VAR:PCT=0.800000&amp;VAR:Y0=2007&amp;VAR:Y1=2008&amp;VAR:V0=17.864138&amp;VAR:V1=16.238512&amp;VAR:V=17.513485&amp;VAR:AUDIT_ID=99900521&amp;VAR:DATE=20070314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Mean&amp;VAR:CHGPERIOD=NA&amp;VAR:FQLFORMULA=FMA_PE&amp;VAR:","CURRENCY=NA&amp;VAR:P=268.741060&amp;VAR:V=17.513485&amp;VAR:null=.html"}</definedName>
    <definedName name="_404__FDSAUDITLINK__" hidden="1">{"fdsup://directions/FAT%20Viewer?VAR:TM=NTMA&amp;VAR:PCT=0.819178&amp;VAR:Y0=2007&amp;VAR:Y1=2008&amp;VAR:V0=17.805510&amp;VAR:V1=16.180658&amp;VAR:V=17.487963&amp;VAR:AUDIT_ID=99900521&amp;VAR:DATE=20070307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Mean&amp;VAR:CHGPERIOD=NA&amp;VAR:FQLFORMULA=FMA_PE&amp;VAR:","CURRENCY=NA&amp;VAR:P=267.897130&amp;VAR:V=17.487963&amp;VAR:null=.html"}</definedName>
    <definedName name="_405__FDSAUDITLINK__" hidden="1">{"fdsup://directions/FAT%20Viewer?VAR:TM=NTMA&amp;VAR:PCT=0.838356&amp;VAR:Y0=2007&amp;VAR:Y1=2008&amp;VAR:V0=17.870235&amp;VAR:V1=16.101633&amp;VAR:V=17.558485&amp;VAR:AUDIT_ID=99900521&amp;VAR:DATE=20070228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Mean&amp;VAR:CHGPERIOD=NA&amp;VAR:FQLFORMULA=FMA_PE&amp;VAR:","CURRENCY=NA&amp;VAR:P=271.515840&amp;VAR:V=17.558485&amp;VAR:null=.html"}</definedName>
    <definedName name="_406__FDSAUDITLINK__" hidden="1">{"fdsup://directions/FAT%20Viewer?VAR:TM=NTMA&amp;VAR:PCT=0.857534&amp;VAR:Y0=2007&amp;VAR:Y1=2008&amp;VAR:V0=18.301165&amp;VAR:V1=16.513607&amp;VAR:V=18.023219&amp;VAR:AUDIT_ID=99900521&amp;VAR:DATE=20070221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Mean&amp;VAR:CHGPERIOD=NA&amp;VAR:FQLFORMULA=FMA_PE&amp;VAR:","CURRENCY=NA&amp;VAR:P=278.313020&amp;VAR:V=18.023219&amp;VAR:null=.html"}</definedName>
    <definedName name="_407__FDSAUDITLINK__" hidden="1">{"fdsup://directions/FAT%20Viewer?VAR:TM=NTMA&amp;VAR:PCT=0.876712&amp;VAR:Y0=2007&amp;VAR:Y1=2008&amp;VAR:V0=18.134958&amp;VAR:V1=16.413792&amp;VAR:V=17.903500&amp;VAR:AUDIT_ID=99900521&amp;VAR:DATE=20070214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Mean&amp;VAR:CHGPERIOD=NA&amp;VAR:FQLFORMULA=FMA_PE&amp;VAR:","CURRENCY=NA&amp;VAR:P=274.955020&amp;VAR:V=17.903500&amp;VAR:null=.html"}</definedName>
    <definedName name="_408__FDSAUDITLINK__" hidden="1">{"fdsup://directions/FAT%20Viewer?VAR:TM=NTMA&amp;VAR:PCT=0.895890&amp;VAR:Y0=2007&amp;VAR:Y1=2008&amp;VAR:V0=17.942568&amp;VAR:V1=16.345192&amp;VAR:V=17.761852&amp;VAR:AUDIT_ID=99900521&amp;VAR:DATE=20070207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Mean&amp;VAR:CHGPERIOD=NA&amp;VAR:FQLFORMULA=FMA_PE&amp;VAR:","CURRENCY=NA&amp;VAR:P=271.799650&amp;VAR:V=17.761852&amp;VAR:null=.html"}</definedName>
    <definedName name="_409__FDSAUDITLINK__" hidden="1">{"fdsup://directions/FAT%20Viewer?VAR:TM=NTMA&amp;VAR:PCT=0.915068&amp;VAR:Y0=2007&amp;VAR:Y1=2008&amp;VAR:V0=17.787445&amp;VAR:V1=15.882938&amp;VAR:V=17.608123&amp;VAR:AUDIT_ID=99900521&amp;VAR:DATE=20070131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Mean&amp;VAR:CHGPERIOD=NA&amp;VAR:FQLFORMULA=FMA_PE&amp;VAR:","CURRENCY=NA&amp;VAR:P=269.877720&amp;VAR:V=17.608123&amp;VAR:null=.html"}</definedName>
    <definedName name="_41__FDSAUDITLINK__" hidden="1">{"fdsup://directions/FAT Viewer?action=UPDATE&amp;creator=factset&amp;DYN_ARGS=TRUE&amp;DOC_NAME=FAT:FQL_AUDITING_CLIENT_TEMPLATE.FAT&amp;display_string=Audit&amp;VAR:KEY=MFAXGZWFYZ&amp;VAR:QUERY=RkZfQ0FQRVgoQU5OLDIwMTAp&amp;WINDOW=FIRST_POPUP&amp;HEIGHT=450&amp;WIDTH=450&amp;START_MAXIMIZED=FALS","E&amp;VAR:CALENDAR=US&amp;VAR:SYMBOL=GIS&amp;VAR:INDEX=0"}</definedName>
    <definedName name="_410__FDSAUDITLINK__" hidden="1">{"fdsup://directions/FAT%20Viewer?VAR:TM=NTMA&amp;VAR:PCT=0.934247&amp;VAR:Y0=2007&amp;VAR:Y1=2008&amp;VAR:V0=17.843815&amp;VAR:V1=15.735513&amp;VAR:V=17.687986&amp;VAR:AUDIT_ID=99900521&amp;VAR:DATE=20070124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Mean&amp;VAR:CHGPERIOD=NA&amp;VAR:FQLFORMULA=FMA_PE&amp;VAR:","CURRENCY=NA&amp;VAR:P=269.762660&amp;VAR:V=17.687986&amp;VAR:null=.html"}</definedName>
    <definedName name="_411__FDSAUDITLINK__" hidden="1">{"fdsup://directions/FAT%20Viewer?VAR:TM=NTMA&amp;VAR:PCT=0.953425&amp;VAR:Y0=2007&amp;VAR:Y1=2008&amp;VAR:V0=17.593441&amp;VAR:V1=15.509390&amp;VAR:V=17.484017&amp;VAR:AUDIT_ID=99900521&amp;VAR:DATE=20070117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Mean&amp;VAR:CHGPERIOD=NA&amp;VAR:FQLFORMULA=FMA_PE&amp;VAR:","CURRENCY=NA&amp;VAR:P=266.649600&amp;VAR:V=17.484017&amp;VAR:null=.html"}</definedName>
    <definedName name="_412__FDSAUDITLINK__" hidden="1">{"fdsup://directions/FAT%20Viewer?VAR:TM=NTMA&amp;VAR:PCT=0.972603&amp;VAR:Y0=2007&amp;VAR:Y1=2008&amp;VAR:V0=17.648207&amp;VAR:V1=15.524155&amp;VAR:V=17.582299&amp;VAR:AUDIT_ID=99900521&amp;VAR:DATE=20070110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Mean&amp;VAR:CHGPERIOD=NA&amp;VAR:FQLFORMULA=FMA_PE&amp;VAR:","CURRENCY=NA&amp;VAR:P=267.463870&amp;VAR:V=17.582299&amp;VAR:null=.html"}</definedName>
    <definedName name="_413__FDSAUDITLINK__" hidden="1">{"fdsup://directions/FAT%20Viewer?VAR:TM=NTMA&amp;VAR:PCT=0.991781&amp;VAR:Y0=2007&amp;VAR:Y1=2008&amp;VAR:V0=17.755570&amp;VAR:V1=15.613755&amp;VAR:V=17.735574&amp;VAR:AUDIT_ID=99900521&amp;VAR:DATE=20070103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Mean&amp;VAR:CHGPERIOD=NA&amp;VAR:FQLFORMULA=FMA_PE&amp;VAR:","CURRENCY=NA&amp;VAR:P=269.067930&amp;VAR:V=17.735574&amp;VAR:null=.html"}</definedName>
    <definedName name="_414__FDSAUDITLINK__" hidden="1">{"fdsup://directions/FAT%20Viewer?VAR:TM=NTMA&amp;VAR:PCT=0.010959&amp;VAR:Y0=2006&amp;VAR:Y1=2007&amp;VAR:V0=20.191670&amp;VAR:V1=17.898594&amp;VAR:V=17.920898&amp;VAR:AUDIT_ID=99900521&amp;VAR:DATE=20061227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Mean&amp;VAR:CHGPERIOD=NA&amp;VAR:FQLFORMULA=FMA_PE&amp;VAR:","CURRENCY=NA&amp;VAR:P=270.567600&amp;VAR:V=17.920898&amp;VAR:null=.html"}</definedName>
    <definedName name="_415__FDSAUDITLINK__" hidden="1">{"fdsup://directions/FAT%20Viewer?VAR:TM=NTMA&amp;VAR:PCT=0.030137&amp;VAR:Y0=2006&amp;VAR:Y1=2007&amp;VAR:V0=20.286173&amp;VAR:V1=17.942320&amp;VAR:V=18.005014&amp;VAR:AUDIT_ID=99900521&amp;VAR:DATE=20061220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Mean&amp;VAR:CHGPERIOD=NA&amp;VAR:FQLFORMULA=FMA_PE&amp;VAR:","CURRENCY=NA&amp;VAR:P=270.477360&amp;VAR:V=18.005014&amp;VAR:null=.html"}</definedName>
    <definedName name="_416__FDSAUDITLINK__" hidden="1">{"fdsup://directions/FAT%20Viewer?VAR:TM=NTMA&amp;VAR:PCT=0.049315&amp;VAR:Y0=2006&amp;VAR:Y1=2007&amp;VAR:V0=20.399980&amp;VAR:V1=18.049320&amp;VAR:V=18.152471&amp;VAR:AUDIT_ID=99900521&amp;VAR:DATE=20061213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Mean&amp;VAR:CHGPERIOD=NA&amp;VAR:FQLFORMULA=FMA_PE&amp;VAR:","CURRENCY=NA&amp;VAR:P=271.566800&amp;VAR:V=18.152471&amp;VAR:null=.html"}</definedName>
    <definedName name="_417__FDSAUDITLINK__" hidden="1">{"fdsup://directions/FAT%20Viewer?VAR:TM=NTMA&amp;VAR:PCT=0.068493&amp;VAR:Y0=2006&amp;VAR:Y1=2007&amp;VAR:V0=20.373264&amp;VAR:V1=18.071678&amp;VAR:V=18.212602&amp;VAR:AUDIT_ID=99900521&amp;VAR:DATE=20061206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Mean&amp;VAR:CHGPERIOD=NA&amp;VAR:FQLFORMULA=FMA_PE&amp;VAR:","CURRENCY=NA&amp;VAR:P=271.319000&amp;VAR:V=18.212602&amp;VAR:null=.html"}</definedName>
    <definedName name="_418__FDSAUDITLINK__" hidden="1">{"fdsup://directions/FAT%20Viewer?VAR:TM=NTMA&amp;VAR:PCT=0.087671&amp;VAR:Y0=2006&amp;VAR:Y1=2007&amp;VAR:V0=20.174220&amp;VAR:V1=17.882635&amp;VAR:V=18.062512&amp;VAR:AUDIT_ID=99900521&amp;VAR:DATE=20061129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Mean&amp;VAR:CHGPERIOD=NA&amp;VAR:FQLFORMULA=FMA_PE&amp;VAR:","CURRENCY=NA&amp;VAR:P=268.836730&amp;VAR:V=18.062512&amp;VAR:null=.html"}</definedName>
    <definedName name="_419__FDSAUDITLINK__" hidden="1">{"fdsup://directions/FAT%20Viewer?VAR:TM=NTMA&amp;VAR:PCT=0.106849&amp;VAR:Y0=2006&amp;VAR:Y1=2007&amp;VAR:V0=20.137732&amp;VAR:V1=17.844378&amp;VAR:V=18.064190&amp;VAR:AUDIT_ID=99900521&amp;VAR:DATE=20061122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Mean&amp;VAR:CHGPERIOD=NA&amp;VAR:FQLFORMULA=FMA_PE&amp;VAR:","CURRENCY=NA&amp;VAR:P=268.360140&amp;VAR:V=18.064190&amp;VAR:null=.html"}</definedName>
    <definedName name="_42__FDSAUDITLINK__" hidden="1">{"fdsup://directions/FAT Viewer?action=UPDATE&amp;creator=factset&amp;DYN_ARGS=TRUE&amp;DOC_NAME=FAT:FQL_AUDITING_CLIENT_TEMPLATE.FAT&amp;display_string=Audit&amp;VAR:KEY=EZYXURGNEN&amp;VAR:QUERY=RkZfQ0FQRVgoQU5OLDIwMDkp&amp;WINDOW=FIRST_POPUP&amp;HEIGHT=450&amp;WIDTH=450&amp;START_MAXIMIZED=FALS","E&amp;VAR:CALENDAR=US&amp;VAR:SYMBOL=GIS&amp;VAR:INDEX=0"}</definedName>
    <definedName name="_420__FDSAUDITLINK__" hidden="1">{"fdsup://directions/FAT%20Viewer?VAR:TM=NTMA&amp;VAR:PCT=0.126027&amp;VAR:Y0=2006&amp;VAR:Y1=2007&amp;VAR:V0=20.107658&amp;VAR:V1=17.846767&amp;VAR:V=18.103299&amp;VAR:AUDIT_ID=99900521&amp;VAR:DATE=20061115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Mean&amp;VAR:CHGPERIOD=NA&amp;VAR:FQLFORMULA=FMA_PE&amp;VAR:","CURRENCY=NA&amp;VAR:P=268.443820&amp;VAR:V=18.103299&amp;VAR:null=.html"}</definedName>
    <definedName name="_421__FDSAUDITLINK__" hidden="1">{"fdsup://directions/FAT%20Viewer?VAR:TM=NTMA&amp;VAR:PCT=0.145205&amp;VAR:Y0=2006&amp;VAR:Y1=2007&amp;VAR:V0=20.047466&amp;VAR:V1=17.833778&amp;VAR:V=18.124383&amp;VAR:AUDIT_ID=99900521&amp;VAR:DATE=20061108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Mean&amp;VAR:CHGPERIOD=NA&amp;VAR:FQLFORMULA=FMA_PE&amp;VAR:","CURRENCY=NA&amp;VAR:P=267.806520&amp;VAR:V=18.124383&amp;VAR:null=.html"}</definedName>
    <definedName name="_422__FDSAUDITLINK__" hidden="1">{"fdsup://directions/FAT%20Viewer?VAR:TM=NTMA&amp;VAR:PCT=0.164384&amp;VAR:Y0=2006&amp;VAR:Y1=2007&amp;VAR:V0=20.120020&amp;VAR:V1=17.913776&amp;VAR:V=18.242605&amp;VAR:AUDIT_ID=99900521&amp;VAR:DATE=20061101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Mean&amp;VAR:CHGPERIOD=NA&amp;VAR:FQLFORMULA=FMA_PE&amp;VAR:","CURRENCY=NA&amp;VAR:P=269.732760&amp;VAR:V=18.242605&amp;VAR:null=.html"}</definedName>
    <definedName name="_423__FDSAUDITLINK__" hidden="1">{"fdsup://directions/FAT%20Viewer?VAR:TM=NTMA&amp;VAR:PCT=0.183562&amp;VAR:Y0=2006&amp;VAR:Y1=2007&amp;VAR:V0=20.282522&amp;VAR:V1=18.042002&amp;VAR:V=18.415416&amp;VAR:AUDIT_ID=99900521&amp;VAR:DATE=20061025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Mean&amp;VAR:CHGPERIOD=NA&amp;VAR:FQLFORMULA=FMA_PE&amp;VAR:","CURRENCY=NA&amp;VAR:P=271.814540&amp;VAR:V=18.415416&amp;VAR:null=.html"}</definedName>
    <definedName name="_424__FDSAUDITLINK__" hidden="1">{"fdsup://directions/FAT%20Viewer?VAR:TM=NTMA&amp;VAR:PCT=0.202740&amp;VAR:Y0=2006&amp;VAR:Y1=2007&amp;VAR:V0=19.939766&amp;VAR:V1=17.722445&amp;VAR:V=18.131210&amp;VAR:AUDIT_ID=99900521&amp;VAR:DATE=20061018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Mean&amp;VAR:CHGPERIOD=NA&amp;VAR:FQLFORMULA=FMA_PE&amp;VAR:","CURRENCY=NA&amp;VAR:P=266.846130&amp;VAR:V=18.131210&amp;VAR:null=.html"}</definedName>
    <definedName name="_425__FDSAUDITLINK__" hidden="1">{"fdsup://directions/FAT%20Viewer?VAR:TM=NTMA&amp;VAR:PCT=0.221918&amp;VAR:Y0=2006&amp;VAR:Y1=2007&amp;VAR:V0=19.714008&amp;VAR:V1=17.510462&amp;VAR:V=17.955857&amp;VAR:AUDIT_ID=99900521&amp;VAR:DATE=20061011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Mean&amp;VAR:CHGPERIOD=NA&amp;VAR:FQLFORMULA=FMA_PE&amp;VAR:","CURRENCY=NA&amp;VAR:P=263.951080&amp;VAR:V=17.955857&amp;VAR:null=.html"}</definedName>
    <definedName name="_426__FDSAUDITLINK__" hidden="1">{"fdsup://directions/FAT%20Viewer?VAR:TM=NTMA&amp;VAR:PCT=0.241096&amp;VAR:Y0=2006&amp;VAR:Y1=2007&amp;VAR:V0=19.770760&amp;VAR:V1=17.546944&amp;VAR:V=18.036054&amp;VAR:AUDIT_ID=99900521&amp;VAR:DATE=20061004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Mean&amp;VAR:CHGPERIOD=NA&amp;VAR:FQLFORMULA=FMA_PE&amp;VAR:","CURRENCY=NA&amp;VAR:P=265.155580&amp;VAR:V=18.036054&amp;VAR:null=.html"}</definedName>
    <definedName name="_427__FDSAUDITLINK__" hidden="1">{"fdsup://directions/FAT%20Viewer?VAR:TM=NTMA&amp;VAR:PCT=0.260274&amp;VAR:Y0=2006&amp;VAR:Y1=2007&amp;VAR:V0=19.865290&amp;VAR:V1=17.544683&amp;VAR:V=18.094847&amp;VAR:AUDIT_ID=99900521&amp;VAR:DATE=20060927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Mean&amp;VAR:CHGPERIOD=NA&amp;VAR:FQLFORMULA=FMA_PE&amp;VAR:","CURRENCY=NA&amp;VAR:P=266.543180&amp;VAR:V=18.094847&amp;VAR:null=.html"}</definedName>
    <definedName name="_428__FDSAUDITLINK__" hidden="1">{"fdsup://directions/FAT%20Viewer?VAR:TM=NTMA&amp;VAR:PCT=0.279452&amp;VAR:Y0=2006&amp;VAR:Y1=2007&amp;VAR:V0=19.672733&amp;VAR:V1=17.432768&amp;VAR:V=18.005687&amp;VAR:AUDIT_ID=99900521&amp;VAR:DATE=20060920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Mean&amp;VAR:CHGPERIOD=NA&amp;VAR:FQLFORMULA=FMA_PE&amp;VAR:","CURRENCY=NA&amp;VAR:P=261.457150&amp;VAR:V=18.005687&amp;VAR:null=.html"}</definedName>
    <definedName name="_429__FDSAUDITLINK__" hidden="1">{"fdsup://directions/FAT%20Viewer?VAR:TM=NTMA&amp;VAR:PCT=0.298630&amp;VAR:Y0=2006&amp;VAR:Y1=2007&amp;VAR:V0=19.490250&amp;VAR:V1=17.262224&amp;VAR:V=17.872348&amp;VAR:AUDIT_ID=99900521&amp;VAR:DATE=20060913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Mean&amp;VAR:CHGPERIOD=NA&amp;VAR:FQLFORMULA=FMA_PE&amp;VAR:","CURRENCY=NA&amp;VAR:P=259.800930&amp;VAR:V=17.872348&amp;VAR:null=.html"}</definedName>
    <definedName name="_43__FDSAUDITLINK__" hidden="1">{"fdsup://directions/FAT Viewer?action=UPDATE&amp;creator=factset&amp;DYN_ARGS=TRUE&amp;DOC_NAME=FAT:FQL_AUDITING_CLIENT_TEMPLATE.FAT&amp;display_string=Audit&amp;VAR:KEY=OHONCZKDMX&amp;VAR:QUERY=RkZfQ0FQRVgoQU5OLDIwMDgp&amp;WINDOW=FIRST_POPUP&amp;HEIGHT=450&amp;WIDTH=450&amp;START_MAXIMIZED=FALS","E&amp;VAR:CALENDAR=US&amp;VAR:SYMBOL=GIS&amp;VAR:INDEX=0"}</definedName>
    <definedName name="_430__FDSAUDITLINK__" hidden="1">{"fdsup://directions/FAT%20Viewer?VAR:TM=NTMA&amp;VAR:PCT=0.317808&amp;VAR:Y0=2006&amp;VAR:Y1=2007&amp;VAR:V0=19.881914&amp;VAR:V1=17.648043&amp;VAR:V=18.301554&amp;VAR:AUDIT_ID=99900521&amp;VAR:DATE=20060906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Mean&amp;VAR:CHGPERIOD=NA&amp;VAR:FQLFORMULA=FMA_PE&amp;VAR:","CURRENCY=NA&amp;VAR:P=265.330230&amp;VAR:V=18.301554&amp;VAR:null=.html"}</definedName>
    <definedName name="_431__FDSAUDITLINK__" hidden="1">{"fdsup://directions/FAT%20Viewer?VAR:TM=NTMA&amp;VAR:PCT=0.336986&amp;VAR:Y0=2006&amp;VAR:Y1=2007&amp;VAR:V0=19.894814&amp;VAR:V1=17.661720&amp;VAR:V=18.356038&amp;VAR:AUDIT_ID=99900521&amp;VAR:DATE=20060830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Mean&amp;VAR:CHGPERIOD=NA&amp;VAR:FQLFORMULA=FMA_PE&amp;VAR:","CURRENCY=NA&amp;VAR:P=265.546780&amp;VAR:V=18.356038&amp;VAR:null=.html"}</definedName>
    <definedName name="_432__FDSAUDITLINK__" hidden="1">{"fdsup://directions/FAT%20Viewer?VAR:TM=NTMA&amp;VAR:PCT=0.356164&amp;VAR:Y0=2006&amp;VAR:Y1=2007&amp;VAR:V0=19.734423&amp;VAR:V1=17.572672&amp;VAR:V=18.286105&amp;VAR:AUDIT_ID=99900521&amp;VAR:DATE=20060823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Mean&amp;VAR:CHGPERIOD=NA&amp;VAR:FQLFORMULA=FMA_PE&amp;VAR:","CURRENCY=NA&amp;VAR:P=262.829100&amp;VAR:V=18.286105&amp;VAR:null=.html"}</definedName>
    <definedName name="_433__FDSAUDITLINK__" hidden="1">{"fdsup://directions/FAT%20Viewer?VAR:TM=NTMA&amp;VAR:PCT=0.375342&amp;VAR:Y0=2006&amp;VAR:Y1=2007&amp;VAR:V0=19.669277&amp;VAR:V1=17.518850&amp;VAR:V=18.268515&amp;VAR:AUDIT_ID=99900521&amp;VAR:DATE=20060816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Mean&amp;VAR:CHGPERIOD=NA&amp;VAR:FQLFORMULA=FMA_PE&amp;VAR:","CURRENCY=NA&amp;VAR:P=262.161440&amp;VAR:V=18.268515&amp;VAR:null=.html"}</definedName>
    <definedName name="_434__FDSAUDITLINK__" hidden="1">{"fdsup://directions/FAT%20Viewer?VAR:TM=NTMA&amp;VAR:PCT=0.394521&amp;VAR:Y0=2006&amp;VAR:Y1=2007&amp;VAR:V0=19.522215&amp;VAR:V1=17.401924&amp;VAR:V=18.180951&amp;VAR:AUDIT_ID=99900521&amp;VAR:DATE=20060809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Mean&amp;VAR:CHGPERIOD=NA&amp;VAR:FQLFORMULA=FMA_PE&amp;VAR:","CURRENCY=NA&amp;VAR:P=260.144320&amp;VAR:V=18.180951&amp;VAR:null=.html"}</definedName>
    <definedName name="_435__FDSAUDITLINK__" hidden="1">{"fdsup://directions/FAT%20Viewer?VAR:TM=NTMA&amp;VAR:PCT=0.413699&amp;VAR:Y0=2006&amp;VAR:Y1=2007&amp;VAR:V0=19.197210&amp;VAR:V1=16.969124&amp;VAR:V=17.824993&amp;VAR:AUDIT_ID=99900521&amp;VAR:DATE=20060802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Mean&amp;VAR:CHGPERIOD=NA&amp;VAR:FQLFORMULA=FMA_PE&amp;VAR:","CURRENCY=NA&amp;VAR:P=261.693730&amp;VAR:V=17.824993&amp;VAR:null=.html"}</definedName>
    <definedName name="_436__FDSAUDITLINK__" hidden="1">{"fdsup://directions/FAT%20Viewer?VAR:TM=NTMA&amp;VAR:PCT=0.432877&amp;VAR:Y0=2006&amp;VAR:Y1=2007&amp;VAR:V0=19.171581&amp;VAR:V1=16.819994&amp;VAR:V=17.763159&amp;VAR:AUDIT_ID=99900521&amp;VAR:DATE=20060726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Mean&amp;VAR:CHGPERIOD=NA&amp;VAR:FQLFORMULA=FMA_PE&amp;VAR:","CURRENCY=NA&amp;VAR:P=260.649230&amp;VAR:V=17.763159&amp;VAR:null=.html"}</definedName>
    <definedName name="_437__FDSAUDITLINK__" hidden="1">{"fdsup://directions/FAT%20Viewer?VAR:TM=NTMA&amp;VAR:PCT=0.452055&amp;VAR:Y0=2006&amp;VAR:Y1=2007&amp;VAR:V0=19.154713&amp;VAR:V1=16.796950&amp;VAR:V=17.786665&amp;VAR:AUDIT_ID=99900521&amp;VAR:DATE=20060719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Mean&amp;VAR:CHGPERIOD=NA&amp;VAR:FQLFORMULA=FMA_PE&amp;VAR:","CURRENCY=NA&amp;VAR:P=261.248780&amp;VAR:V=17.786665&amp;VAR:null=.html"}</definedName>
    <definedName name="_438__FDSAUDITLINK__" hidden="1">{"fdsup://directions/FAT%20Viewer?VAR:TM=NTMA&amp;VAR:PCT=0.471233&amp;VAR:Y0=2006&amp;VAR:Y1=2007&amp;VAR:V0=19.212313&amp;VAR:V1=16.878763&amp;VAR:V=17.903496&amp;VAR:AUDIT_ID=99900521&amp;VAR:DATE=20060712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Mean&amp;VAR:CHGPERIOD=NA&amp;VAR:FQLFORMULA=FMA_PE&amp;VAR:","CURRENCY=NA&amp;VAR:P=263.425000&amp;VAR:V=17.903496&amp;VAR:null=.html"}</definedName>
    <definedName name="_439__FDSAUDITLINK__" hidden="1">{"fdsup://directions/FAT%20Viewer?VAR:TM=NTMA&amp;VAR:PCT=0.490411&amp;VAR:Y0=2006&amp;VAR:Y1=2007&amp;VAR:V0=18.960575&amp;VAR:V1=16.677876&amp;VAR:V=17.724348&amp;VAR:AUDIT_ID=99900521&amp;VAR:DATE=20060705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Mean&amp;VAR:CHGPERIOD=NA&amp;VAR:FQLFORMULA=FMA_PE&amp;VAR:","CURRENCY=NA&amp;VAR:P=260.087620&amp;VAR:V=17.724348&amp;VAR:null=.html"}</definedName>
    <definedName name="_44__FDSAUDITLINK__" hidden="1">{"fdsup://directions/FAT Viewer?action=UPDATE&amp;creator=factset&amp;DYN_ARGS=TRUE&amp;DOC_NAME=FAT:FQL_AUDITING_CLIENT_TEMPLATE.FAT&amp;display_string=Audit&amp;VAR:KEY=QDYBAFORYP&amp;VAR:QUERY=RkZfQ0FQRVgoQU5OLDIwMDcp&amp;WINDOW=FIRST_POPUP&amp;HEIGHT=450&amp;WIDTH=450&amp;START_MAXIMIZED=FALS","E&amp;VAR:CALENDAR=US&amp;VAR:SYMBOL=GIS&amp;VAR:INDEX=0"}</definedName>
    <definedName name="_440__FDSAUDITLINK__" hidden="1">{"fdsup://directions/FAT%20Viewer?VAR:TM=NTMA&amp;VAR:PCT=0.509589&amp;VAR:Y0=2006&amp;VAR:Y1=2007&amp;VAR:V0=18.564901&amp;VAR:V1=16.301607&amp;VAR:V=17.381434&amp;VAR:AUDIT_ID=99900521&amp;VAR:DATE=20060628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Mean&amp;VAR:CHGPERIOD=NA&amp;VAR:FQLFORMULA=FMA_PE&amp;VAR:","CURRENCY=NA&amp;VAR:P=254.937710&amp;VAR:V=17.381434&amp;VAR:null=.html"}</definedName>
    <definedName name="_441__FDSAUDITLINK__" hidden="1">{"fdsup://directions/FAT%20Viewer?VAR:TM=NTMA&amp;VAR:PCT=0.528767&amp;VAR:Y0=2006&amp;VAR:Y1=2007&amp;VAR:V0=18.439934&amp;VAR:V1=16.218071&amp;VAR:V=17.321672&amp;VAR:AUDIT_ID=99900521&amp;VAR:DATE=20060621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Mean&amp;VAR:CHGPERIOD=NA&amp;VAR:FQLFORMULA=FMA_PE&amp;VAR:","CURRENCY=NA&amp;VAR:P=253.874800&amp;VAR:V=17.321672&amp;VAR:null=.html"}</definedName>
    <definedName name="_442__FDSAUDITLINK__" hidden="1">{"fdsup://directions/FAT%20Viewer?VAR:TM=NTMA&amp;VAR:PCT=0.547945&amp;VAR:Y0=2006&amp;VAR:Y1=2007&amp;VAR:V0=18.354513&amp;VAR:V1=16.144794&amp;VAR:V=17.285049&amp;VAR:AUDIT_ID=99900521&amp;VAR:DATE=20060614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Mean&amp;VAR:CHGPERIOD=NA&amp;VAR:FQLFORMULA=FMA_PE&amp;VAR:","CURRENCY=NA&amp;VAR:P=253.070630&amp;VAR:V=17.285049&amp;VAR:null=.html"}</definedName>
    <definedName name="_443__FDSAUDITLINK__" hidden="1">{"fdsup://directions/FAT%20Viewer?VAR:TM=NTMA&amp;VAR:PCT=0.567123&amp;VAR:Y0=2006&amp;VAR:Y1=2007&amp;VAR:V0=18.868216&amp;VAR:V1=16.593280&amp;VAR:V=17.811171&amp;VAR:AUDIT_ID=99900521&amp;VAR:DATE=20060607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Mean&amp;VAR:CHGPERIOD=NA&amp;VAR:FQLFORMULA=FMA_PE&amp;VAR:","CURRENCY=NA&amp;VAR:P=260.606320&amp;VAR:V=17.811171&amp;VAR:null=.html"}</definedName>
    <definedName name="_444__FDSAUDITLINK__" hidden="1">{"fdsup://directions/FAT%20Viewer?VAR:TM=NTMA&amp;VAR:PCT=0.586301&amp;VAR:Y0=2006&amp;VAR:Y1=2007&amp;VAR:V0=19.131178&amp;VAR:V1=16.962753&amp;VAR:V=18.170245&amp;VAR:AUDIT_ID=99900521&amp;VAR:DATE=20060531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Mean&amp;VAR:CHGPERIOD=NA&amp;VAR:FQLFORMULA=FMA_PE&amp;VAR:","CURRENCY=NA&amp;VAR:P=261.361200&amp;VAR:V=18.170245&amp;VAR:null=.html"}</definedName>
    <definedName name="_445__FDSAUDITLINK__" hidden="1">{"fdsup://directions/FAT%20Viewer?VAR:TM=NTMA&amp;VAR:PCT=0.605479&amp;VAR:Y0=2006&amp;VAR:Y1=2007&amp;VAR:V0=18.964100&amp;VAR:V1=16.804823&amp;VAR:V=18.049143&amp;VAR:AUDIT_ID=99900521&amp;VAR:DATE=20060524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Mean&amp;VAR:CHGPERIOD=NA&amp;VAR:FQLFORMULA=FMA_PE&amp;VAR:","CURRENCY=NA&amp;VAR:P=259.168580&amp;VAR:V=18.049143&amp;VAR:null=.html"}</definedName>
    <definedName name="_446__FDSAUDITLINK__" hidden="1">{"fdsup://directions/FAT%20Viewer?VAR:TM=NTMA&amp;VAR:PCT=0.624658&amp;VAR:Y0=2006&amp;VAR:Y1=2007&amp;VAR:V0=18.937769&amp;VAR:V1=16.780407&amp;VAR:V=18.065983&amp;VAR:AUDIT_ID=99900521&amp;VAR:DATE=20060517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Mean&amp;VAR:CHGPERIOD=NA&amp;VAR:FQLFORMULA=FMA_PE&amp;VAR:","CURRENCY=NA&amp;VAR:P=258.665530&amp;VAR:V=18.065983&amp;VAR:null=.html"}</definedName>
    <definedName name="_447__FDSAUDITLINK__" hidden="1">{"fdsup://directions/FAT%20Viewer?VAR:TM=NTMA&amp;VAR:PCT=0.643836&amp;VAR:Y0=2006&amp;VAR:Y1=2007&amp;VAR:V0=19.420320&amp;VAR:V1=17.220198&amp;VAR:V=18.575062&amp;VAR:AUDIT_ID=99900521&amp;VAR:DATE=20060510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Mean&amp;VAR:CHGPERIOD=NA&amp;VAR:FQLFORMULA=FMA_PE&amp;VAR:","CURRENCY=NA&amp;VAR:P=265.328550&amp;VAR:V=18.575062&amp;VAR:null=.html"}</definedName>
    <definedName name="_448__FDSAUDITLINK__" hidden="1">{"fdsup://directions/FAT%20Viewer?VAR:TM=NTMA&amp;VAR:PCT=0.663014&amp;VAR:Y0=2006&amp;VAR:Y1=2007&amp;VAR:V0=18.980553&amp;VAR:V1=16.653680&amp;VAR:V=18.127056&amp;VAR:AUDIT_ID=99900521&amp;VAR:DATE=20060503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Mean&amp;VAR:CHGPERIOD=NA&amp;VAR:FQLFORMULA=FMA_PE&amp;VAR:","CURRENCY=NA&amp;VAR:P=260.450320&amp;VAR:V=18.127056&amp;VAR:null=.html"}</definedName>
    <definedName name="_449__FDSAUDITLINK__" hidden="1">{"fdsup://directions/FAT%20Viewer?VAR:TM=NTMA&amp;VAR:PCT=0.682192&amp;VAR:Y0=2006&amp;VAR:Y1=2007&amp;VAR:V0=18.586363&amp;VAR:V1=16.257431&amp;VAR:V=17.777026&amp;VAR:AUDIT_ID=99900521&amp;VAR:DATE=20060426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Mean&amp;VAR:CHGPERIOD=NA&amp;VAR:FQLFORMULA=FMA_PE&amp;VAR:","CURRENCY=NA&amp;VAR:P=250.754140&amp;VAR:V=17.777026&amp;VAR:null=.html"}</definedName>
    <definedName name="_45__FDSAUDITLINK__" hidden="1">{"fdsup://directions/FAT Viewer?action=UPDATE&amp;creator=factset&amp;DYN_ARGS=TRUE&amp;DOC_NAME=FAT:FQL_AUDITING_CLIENT_TEMPLATE.FAT&amp;display_string=Audit&amp;VAR:KEY=QFGVIFYRKN&amp;VAR:QUERY=RkZfQ0FQRVgoQU5OLDIwMDYp&amp;WINDOW=FIRST_POPUP&amp;HEIGHT=450&amp;WIDTH=450&amp;START_MAXIMIZED=FALS","E&amp;VAR:CALENDAR=US&amp;VAR:SYMBOL=GIS&amp;VAR:INDEX=0"}</definedName>
    <definedName name="_450__FDSAUDITLINK__" hidden="1">{"fdsup://directions/FAT%20Viewer?VAR:TM=NTMA&amp;VAR:PCT=0.701370&amp;VAR:Y0=2006&amp;VAR:Y1=2007&amp;VAR:V0=18.244028&amp;VAR:V1=16.122099&amp;VAR:V=17.554073&amp;VAR:AUDIT_ID=99900521&amp;VAR:DATE=20060419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Mean&amp;VAR:CHGPERIOD=NA&amp;VAR:FQLFORMULA=FMA_PE&amp;VAR:","CURRENCY=NA&amp;VAR:P=247.123340&amp;VAR:V=17.554073&amp;VAR:null=.html"}</definedName>
    <definedName name="_451__FDSAUDITLINK__" hidden="1">{"fdsup://directions/FAT%20Viewer?VAR:TM=NTMA&amp;VAR:PCT=0.720548&amp;VAR:Y0=2006&amp;VAR:Y1=2007&amp;VAR:V0=17.958992&amp;VAR:V1=16.009022&amp;VAR:V=17.367818&amp;VAR:AUDIT_ID=99900521&amp;VAR:DATE=20060412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Mean&amp;VAR:CHGPERIOD=NA&amp;VAR:FQLFORMULA=FMA_PE&amp;VAR:","CURRENCY=NA&amp;VAR:P=245.639770&amp;VAR:V=17.367818&amp;VAR:null=.html"}</definedName>
    <definedName name="_452__FDSAUDITLINK__" hidden="1">{"fdsup://directions/FAT%20Viewer?VAR:TM=NTMA&amp;VAR:PCT=0.739726&amp;VAR:Y0=2006&amp;VAR:Y1=2007&amp;VAR:V0=18.259710&amp;VAR:V1=16.321466&amp;VAR:V=17.712248&amp;VAR:AUDIT_ID=99900521&amp;VAR:DATE=20060405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Mean&amp;VAR:CHGPERIOD=NA&amp;VAR:FQLFORMULA=FMA_PE&amp;VAR:","CURRENCY=NA&amp;VAR:P=250.336650&amp;VAR:V=17.712248&amp;VAR:null=.html"}</definedName>
    <definedName name="_453__FDSAUDITLINK__" hidden="1">{"fdsup://directions/FAT%20Viewer?VAR:TM=NTMA&amp;VAR:PCT=0.758904&amp;VAR:Y0=2006&amp;VAR:Y1=2007&amp;VAR:V0=17.982630&amp;VAR:V1=16.020447&amp;VAR:V=17.466844&amp;VAR:AUDIT_ID=99900521&amp;VAR:DATE=20060329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Mean&amp;VAR:CHGPERIOD=NA&amp;VAR:FQLFORMULA=FMA_PE&amp;VAR:","CURRENCY=NA&amp;VAR:P=247.331670&amp;VAR:V=17.466844&amp;VAR:null=.html"}</definedName>
    <definedName name="_454__FDSAUDITLINK__" hidden="1">{"fdsup://directions/FAT%20Viewer?VAR:TM=NTMA&amp;VAR:PCT=0.778082&amp;VAR:Y0=2006&amp;VAR:Y1=2007&amp;VAR:V0=18.100180&amp;VAR:V1=16.098072&amp;VAR:V=17.614036&amp;VAR:AUDIT_ID=99900521&amp;VAR:DATE=20060322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Mean&amp;VAR:CHGPERIOD=NA&amp;VAR:FQLFORMULA=FMA_PE&amp;VAR:","CURRENCY=NA&amp;VAR:P=248.728650&amp;VAR:V=17.614036&amp;VAR:null=.html"}</definedName>
    <definedName name="_455__FDSAUDITLINK__" hidden="1">{"fdsup://directions/FAT%20Viewer?VAR:TM=NTMA&amp;VAR:PCT=0.797260&amp;VAR:Y0=2006&amp;VAR:Y1=2007&amp;VAR:V0=17.699755&amp;VAR:V1=15.881240&amp;VAR:V=17.298175&amp;VAR:AUDIT_ID=99900521&amp;VAR:DATE=20060315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Mean&amp;VAR:CHGPERIOD=NA&amp;VAR:FQLFORMULA=FMA_PE&amp;VAR:","CURRENCY=NA&amp;VAR:P=245.774490&amp;VAR:V=17.298175&amp;VAR:null=.html"}</definedName>
    <definedName name="_456__FDSAUDITLINK__" hidden="1">{"fdsup://directions/FAT%20Viewer?VAR:TM=NTMA&amp;VAR:PCT=0.816438&amp;VAR:Y0=2006&amp;VAR:Y1=2007&amp;VAR:V0=17.311940&amp;VAR:V1=15.484030&amp;VAR:V=16.944752&amp;VAR:AUDIT_ID=99900521&amp;VAR:DATE=20060308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Mean&amp;VAR:CHGPERIOD=NA&amp;VAR:FQLFORMULA=FMA_PE&amp;VAR:","CURRENCY=NA&amp;VAR:P=240.369000&amp;VAR:V=16.944752&amp;VAR:null=.html"}</definedName>
    <definedName name="_457__FDSAUDITLINK__" hidden="1">{"fdsup://directions/FAT%20Viewer?VAR:TM=NTMA&amp;VAR:PCT=0.835616&amp;VAR:Y0=2006&amp;VAR:Y1=2007&amp;VAR:V0=17.227598&amp;VAR:V1=15.339564&amp;VAR:V=16.885949&amp;VAR:AUDIT_ID=99900521&amp;VAR:DATE=20060301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Mean&amp;VAR:CHGPERIOD=NA&amp;VAR:FQLFORMULA=FMA_PE&amp;VAR:","CURRENCY=NA&amp;VAR:P=239.348300&amp;VAR:V=16.885949&amp;VAR:null=.html"}</definedName>
    <definedName name="_458__FDSAUDITLINK__" hidden="1">{"fdsup://directions/FAT%20Viewer?VAR:TM=NTMA&amp;VAR:PCT=0.854795&amp;VAR:Y0=2006&amp;VAR:Y1=2007&amp;VAR:V0=17.115330&amp;VAR:V1=15.270407&amp;VAR:V=16.820248&amp;VAR:AUDIT_ID=99900521&amp;VAR:DATE=20060222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Mean&amp;VAR:CHGPERIOD=NA&amp;VAR:FQLFORMULA=FMA_PE&amp;VAR:","CURRENCY=NA&amp;VAR:P=240.025480&amp;VAR:V=16.820248&amp;VAR:null=.html"}</definedName>
    <definedName name="_459__FDSAUDITLINK__" hidden="1">{"fdsup://directions/FAT%20Viewer?VAR:TM=NTMA&amp;VAR:PCT=0.873973&amp;VAR:Y0=2006&amp;VAR:Y1=2007&amp;VAR:V0=16.898320&amp;VAR:V1=15.047593&amp;VAR:V=16.640389&amp;VAR:AUDIT_ID=99900521&amp;VAR:DATE=20060215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Mean&amp;VAR:CHGPERIOD=NA&amp;VAR:FQLFORMULA=FMA_PE&amp;VAR:","CURRENCY=NA&amp;VAR:P=236.853670&amp;VAR:V=16.640389&amp;VAR:null=.html"}</definedName>
    <definedName name="_46__FDSAUDITLINK__" hidden="1">{"fdsup://directions/FAT Viewer?action=UPDATE&amp;creator=factset&amp;DYN_ARGS=TRUE&amp;DOC_NAME=FAT:FQL_AUDITING_CLIENT_TEMPLATE.FAT&amp;display_string=Audit&amp;VAR:KEY=QPYXONCVQR&amp;VAR:QUERY=RkZfQ0FQRVgoQU5OLDIwMDUp&amp;WINDOW=FIRST_POPUP&amp;HEIGHT=450&amp;WIDTH=450&amp;START_MAXIMIZED=FALS","E&amp;VAR:CALENDAR=US&amp;VAR:SYMBOL=GIS&amp;VAR:INDEX=0"}</definedName>
    <definedName name="_460__FDSAUDITLINK__" hidden="1">{"fdsup://directions/FAT%20Viewer?VAR:TM=NTMA&amp;VAR:PCT=0.893151&amp;VAR:Y0=2006&amp;VAR:Y1=2007&amp;VAR:V0=16.580355&amp;VAR:V1=14.834292&amp;VAR:V=16.374420&amp;VAR:AUDIT_ID=99900521&amp;VAR:DATE=20060208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Mean&amp;VAR:CHGPERIOD=NA&amp;VAR:FQLFORMULA=FMA_PE&amp;VAR:","CURRENCY=NA&amp;VAR:P=232.396620&amp;VAR:V=16.374420&amp;VAR:null=.html"}</definedName>
    <definedName name="_461__FDSAUDITLINK__" hidden="1">{"fdsup://directions/FAT%20Viewer?VAR:TM=NTMA&amp;VAR:PCT=0.912329&amp;VAR:Y0=2006&amp;VAR:Y1=2007&amp;VAR:V0=16.783974&amp;VAR:V1=15.101963&amp;VAR:V=16.621671&amp;VAR:AUDIT_ID=99900521&amp;VAR:DATE=20060201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Mean&amp;VAR:CHGPERIOD=NA&amp;VAR:FQLFORMULA=FMA_PE&amp;VAR:","CURRENCY=NA&amp;VAR:P=235.808150&amp;VAR:V=16.621671&amp;VAR:null=.html"}</definedName>
    <definedName name="_462__FDSAUDITLINK__" hidden="1">{"fdsup://directions/FAT%20Viewer?VAR:TM=NTMA&amp;VAR:PCT=0.931507&amp;VAR:Y0=2006&amp;VAR:Y1=2007&amp;VAR:V0=16.656334&amp;VAR:V1=14.976046&amp;VAR:V=16.529309&amp;VAR:AUDIT_ID=99900521&amp;VAR:DATE=20060125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Mean&amp;VAR:CHGPERIOD=NA&amp;VAR:FQLFORMULA=FMA_PE&amp;VAR:","CURRENCY=NA&amp;VAR:P=233.763340&amp;VAR:V=16.529309&amp;VAR:null=.html"}</definedName>
    <definedName name="_463__FDSAUDITLINK__" hidden="1">{"fdsup://directions/FAT%20Viewer?VAR:TM=NTMA&amp;VAR:PCT=0.950685&amp;VAR:Y0=2006&amp;VAR:Y1=2007&amp;VAR:V0=16.859865&amp;VAR:V1=15.191865&amp;VAR:V=16.769068&amp;VAR:AUDIT_ID=99900521&amp;VAR:DATE=20060118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Mean&amp;VAR:CHGPERIOD=NA&amp;VAR:FQLFORMULA=FMA_PE&amp;VAR:","CURRENCY=NA&amp;VAR:P=237.299330&amp;VAR:V=16.769068&amp;VAR:null=.html"}</definedName>
    <definedName name="_464__FDSAUDITLINK__" hidden="1">{"fdsup://directions/FAT%20Viewer?VAR:TM=NTMA&amp;VAR:PCT=0.969863&amp;VAR:Y0=2006&amp;VAR:Y1=2007&amp;VAR:V0=16.712465&amp;VAR:V1=15.853542&amp;VAR:V=16.685222&amp;VAR:AUDIT_ID=99900521&amp;VAR:DATE=20060111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Mean&amp;VAR:CHGPERIOD=NA&amp;VAR:FQLFORMULA=FMA_PE&amp;VAR:","CURRENCY=NA&amp;VAR:P=234.948870&amp;VAR:V=16.685222&amp;VAR:null=.html"}</definedName>
    <definedName name="_465__FDSAUDITLINK__" hidden="1">{"fdsup://directions/FAT%20Viewer?VAR:TM=NTMA&amp;VAR:PCT=0.989041&amp;VAR:Y0=2006&amp;VAR:Y1=2007&amp;VAR:V0=16.702800&amp;VAR:V1=15.043879&amp;VAR:V=16.682640&amp;VAR:AUDIT_ID=99900521&amp;VAR:DATE=20060104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Mean&amp;VAR:CHGPERIOD=NA&amp;VAR:FQLFORMULA=FMA_PE&amp;VAR:","CURRENCY=NA&amp;VAR:P=235.546500&amp;VAR:V=16.682640&amp;VAR:null=.html"}</definedName>
    <definedName name="_466__FDSAUDITLINK__" hidden="1">{"fdsup://directions/FAT%20Viewer?VAR:TM=NTMA&amp;VAR:PCT=0.008219&amp;VAR:Y0=2005&amp;VAR:Y1=2006&amp;VAR:V0=17.398413&amp;VAR:V1=16.648310&amp;VAR:V=16.654212&amp;VAR:AUDIT_ID=99900521&amp;VAR:DATE=20051228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Mean&amp;VAR:CHGPERIOD=NA&amp;VAR:FQLFORMULA=FMA_PE&amp;VAR:","CURRENCY=NA&amp;VAR:P=234.602430&amp;VAR:V=16.654212&amp;VAR:null=.html"}</definedName>
    <definedName name="_467__FDSAUDITLINK__" hidden="1">{"fdsup://directions/FAT%20Viewer?VAR:TM=NTMA&amp;VAR:PCT=0.027397&amp;VAR:Y0=2005&amp;VAR:Y1=2006&amp;VAR:V0=17.426302&amp;VAR:V1=16.645247&amp;VAR:V=16.665712&amp;VAR:AUDIT_ID=99900521&amp;VAR:DATE=20051221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Mean&amp;VAR:CHGPERIOD=NA&amp;VAR:FQLFORMULA=FMA_PE&amp;VAR:","CURRENCY=NA&amp;VAR:P=235.044850&amp;VAR:V=16.665712&amp;VAR:null=.html"}</definedName>
    <definedName name="_468__FDSAUDITLINK__" hidden="1">{"fdsup://directions/FAT%20Viewer?VAR:TM=NTMA&amp;VAR:PCT=0.046575&amp;VAR:Y0=2005&amp;VAR:Y1=2006&amp;VAR:V0=17.382635&amp;VAR:V1=16.616976&amp;VAR:V=16.651136&amp;VAR:AUDIT_ID=99900521&amp;VAR:DATE=20051214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Mean&amp;VAR:CHGPERIOD=NA&amp;VAR:FQLFORMULA=FMA_PE&amp;VAR:","CURRENCY=NA&amp;VAR:P=234.441270&amp;VAR:V=16.651136&amp;VAR:null=.html"}</definedName>
    <definedName name="_469__FDSAUDITLINK__" hidden="1">{"fdsup://directions/FAT%20Viewer?VAR:TM=NTMA&amp;VAR:PCT=0.065753&amp;VAR:Y0=2005&amp;VAR:Y1=2006&amp;VAR:V0=17.032835&amp;VAR:V1=16.229965&amp;VAR:V=16.280424&amp;VAR:AUDIT_ID=99900521&amp;VAR:DATE=20051207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Mean&amp;VAR:CHGPERIOD=NA&amp;VAR:FQLFORMULA=FMA_PE&amp;VAR:","CURRENCY=NA&amp;VAR:P=230.133940&amp;VAR:V=16.280424&amp;VAR:null=.html"}</definedName>
    <definedName name="_47__FDSAUDITLINK__" hidden="1">{"fdsup://directions/FAT Viewer?action=UPDATE&amp;creator=factset&amp;DYN_ARGS=TRUE&amp;DOC_NAME=FAT:FQL_AUDITING_CLIENT_TEMPLATE.FAT&amp;display_string=Audit&amp;VAR:KEY=EREHSNSJYR&amp;VAR:QUERY=RkZfQ0FQRVgoQU5OLDIwMDQp&amp;WINDOW=FIRST_POPUP&amp;HEIGHT=450&amp;WIDTH=450&amp;START_MAXIMIZED=FALS","E&amp;VAR:CALENDAR=US&amp;VAR:SYMBOL=GIS&amp;VAR:INDEX=0"}</definedName>
    <definedName name="_470__FDSAUDITLINK__" hidden="1">{"fdsup://directions/FAT%20Viewer?VAR:TM=NTMA&amp;VAR:PCT=0.084932&amp;VAR:Y0=2005&amp;VAR:Y1=2006&amp;VAR:V0=17.031126&amp;VAR:V1=16.187574&amp;VAR:V=16.255957&amp;VAR:AUDIT_ID=99900521&amp;VAR:DATE=20051130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Mean&amp;VAR:CHGPERIOD=NA&amp;VAR:FQLFORMULA=FMA_PE&amp;VAR:","CURRENCY=NA&amp;VAR:P=231.017600&amp;VAR:V=16.255957&amp;VAR:null=.html"}</definedName>
    <definedName name="_471__FDSAUDITLINK__" hidden="1">{"fdsup://directions/FAT%20Viewer?VAR:TM=NTMA&amp;VAR:PCT=0.104110&amp;VAR:Y0=2005&amp;VAR:Y1=2006&amp;VAR:V0=17.363358&amp;VAR:V1=16.494726&amp;VAR:V=16.581085&amp;VAR:AUDIT_ID=99900521&amp;VAR:DATE=20051123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Mean&amp;VAR:CHGPERIOD=NA&amp;VAR:FQLFORMULA=FMA_PE&amp;VAR:","CURRENCY=NA&amp;VAR:P=235.452580&amp;VAR:V=16.581085&amp;VAR:null=.html"}</definedName>
    <definedName name="_472__FDSAUDITLINK__" hidden="1">{"fdsup://directions/FAT%20Viewer?VAR:TM=NTMA&amp;VAR:PCT=0.123288&amp;VAR:Y0=2005&amp;VAR:Y1=2006&amp;VAR:V0=17.134596&amp;VAR:V1=16.267416&amp;VAR:V=16.369555&amp;VAR:AUDIT_ID=99900521&amp;VAR:DATE=20051116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Mean&amp;VAR:CHGPERIOD=NA&amp;VAR:FQLFORMULA=FMA_PE&amp;VAR:","CURRENCY=NA&amp;VAR:P=232.393700&amp;VAR:V=16.369555&amp;VAR:null=.html"}</definedName>
    <definedName name="_473__FDSAUDITLINK__" hidden="1">{"fdsup://directions/FAT%20Viewer?VAR:TM=NTMA&amp;VAR:PCT=0.142466&amp;VAR:Y0=2005&amp;VAR:Y1=2006&amp;VAR:V0=17.245787&amp;VAR:V1=16.302370&amp;VAR:V=16.430420&amp;VAR:AUDIT_ID=99900521&amp;VAR:DATE=20051109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Mean&amp;VAR:CHGPERIOD=NA&amp;VAR:FQLFORMULA=FMA_PE&amp;VAR:","CURRENCY=NA&amp;VAR:P=234.483930&amp;VAR:V=16.430420&amp;VAR:null=.html"}</definedName>
    <definedName name="_474__FDSAUDITLINK__" hidden="1">{"fdsup://directions/FAT%20Viewer?VAR:TM=NTMA&amp;VAR:PCT=0.161644&amp;VAR:Y0=2005&amp;VAR:Y1=2006&amp;VAR:V0=17.279894&amp;VAR:V1=16.333320&amp;VAR:V=16.479238&amp;VAR:AUDIT_ID=99900521&amp;VAR:DATE=20051102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Mean&amp;VAR:CHGPERIOD=NA&amp;VAR:FQLFORMULA=FMA_PE&amp;VAR:","CURRENCY=NA&amp;VAR:P=235.301800&amp;VAR:V=16.479238&amp;VAR:null=.html"}</definedName>
    <definedName name="_475__FDSAUDITLINK__" hidden="1">{"fdsup://directions/FAT%20Viewer?VAR:TM=NTMA&amp;VAR:PCT=0.180822&amp;VAR:Y0=2005&amp;VAR:Y1=2006&amp;VAR:V0=17.349413&amp;VAR:V1=16.357113&amp;VAR:V=16.528048&amp;VAR:AUDIT_ID=99900521&amp;VAR:DATE=20051026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Mean&amp;VAR:CHGPERIOD=NA&amp;VAR:FQLFORMULA=FMA_PE&amp;VAR:","CURRENCY=NA&amp;VAR:P=236.901610&amp;VAR:V=16.528048&amp;VAR:null=.html"}</definedName>
    <definedName name="_476__FDSAUDITLINK__" hidden="1">{"fdsup://directions/FAT%20Viewer?VAR:TM=NTMA&amp;VAR:PCT=0.200000&amp;VAR:Y0=2005&amp;VAR:Y1=2006&amp;VAR:V0=17.667595&amp;VAR:V1=16.648285&amp;VAR:V=16.842628&amp;VAR:AUDIT_ID=99900521&amp;VAR:DATE=20051019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Mean&amp;VAR:CHGPERIOD=NA&amp;VAR:FQLFORMULA=FMA_PE&amp;VAR:","CURRENCY=NA&amp;VAR:P=241.344130&amp;VAR:V=16.842628&amp;VAR:null=.html"}</definedName>
    <definedName name="_477__FDSAUDITLINK__" hidden="1">{"fdsup://directions/FAT%20Viewer?VAR:TM=NTMA&amp;VAR:PCT=0.219178&amp;VAR:Y0=2005&amp;VAR:Y1=2006&amp;VAR:V0=17.422440&amp;VAR:V1=16.415330&amp;VAR:V=16.625976&amp;VAR:AUDIT_ID=99900521&amp;VAR:DATE=20051012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Mean&amp;VAR:CHGPERIOD=NA&amp;VAR:FQLFORMULA=FMA_PE&amp;VAR:","CURRENCY=NA&amp;VAR:P=238.094480&amp;VAR:V=16.625976&amp;VAR:null=.html"}</definedName>
    <definedName name="_478__FDSAUDITLINK__" hidden="1">{"fdsup://directions/FAT%20Viewer?VAR:TM=NTMA&amp;VAR:PCT=0.238356&amp;VAR:Y0=2005&amp;VAR:Y1=2006&amp;VAR:V0=17.635181&amp;VAR:V1=16.595190&amp;VAR:V=16.831785&amp;VAR:AUDIT_ID=99900521&amp;VAR:DATE=20051005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Mean&amp;VAR:CHGPERIOD=NA&amp;VAR:FQLFORMULA=FMA_PE&amp;VAR:","CURRENCY=NA&amp;VAR:P=240.953740&amp;VAR:V=16.831785&amp;VAR:null=.html"}</definedName>
    <definedName name="_479__FDSAUDITLINK__" hidden="1">{"fdsup://directions/FAT%20Viewer?VAR:TM=NTMA&amp;VAR:PCT=0.257534&amp;VAR:Y0=2005&amp;VAR:Y1=2006&amp;VAR:V0=17.438484&amp;VAR:V1=16.416327&amp;VAR:V=16.667936&amp;VAR:AUDIT_ID=99900521&amp;VAR:DATE=20050928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Mean&amp;VAR:CHGPERIOD=NA&amp;VAR:FQLFORMULA=FMA_PE&amp;VAR:","CURRENCY=NA&amp;VAR:P=238.358300&amp;VAR:V=16.667936&amp;VAR:null=.html"}</definedName>
    <definedName name="_48__FDSAUDITLINK__" hidden="1">{"fdsup://directions/FAT Viewer?action=UPDATE&amp;creator=factset&amp;DYN_ARGS=TRUE&amp;DOC_NAME=FAT:FQL_AUDITING_CLIENT_TEMPLATE.FAT&amp;display_string=Audit&amp;VAR:KEY=OZARMDSNSH&amp;VAR:QUERY=RkZfQ0FQRVgoQU5OLDIwMDMp&amp;WINDOW=FIRST_POPUP&amp;HEIGHT=450&amp;WIDTH=450&amp;START_MAXIMIZED=FALS","E&amp;VAR:CALENDAR=US&amp;VAR:SYMBOL=GIS&amp;VAR:INDEX=0"}</definedName>
    <definedName name="_480__FDSAUDITLINK__" hidden="1">{"fdsup://directions/FAT%20Viewer?VAR:TM=NTMA&amp;VAR:PCT=0.276712&amp;VAR:Y0=2005&amp;VAR:Y1=2006&amp;VAR:V0=16.780268&amp;VAR:V1=15.831185&amp;VAR:V=16.082894&amp;VAR:AUDIT_ID=99900521&amp;VAR:DATE=20050921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Mean&amp;VAR:CHGPERIOD=NA&amp;VAR:FQLFORMULA=FMA_PE&amp;VAR:","CURRENCY=NA&amp;VAR:P=229.450760&amp;VAR:V=16.082894&amp;VAR:null=.html"}</definedName>
    <definedName name="_481__FDSAUDITLINK__" hidden="1">{"fdsup://directions/FAT%20Viewer?VAR:TM=NTMA&amp;VAR:PCT=0.295890&amp;VAR:Y0=2005&amp;VAR:Y1=2006&amp;VAR:V0=17.365843&amp;VAR:V1=16.346483&amp;VAR:V=16.635415&amp;VAR:AUDIT_ID=99900521&amp;VAR:DATE=20050914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Mean&amp;VAR:CHGPERIOD=NA&amp;VAR:FQLFORMULA=FMA_PE&amp;VAR:","CURRENCY=NA&amp;VAR:P=234.259600&amp;VAR:V=16.635415&amp;VAR:null=.html"}</definedName>
    <definedName name="_482__FDSAUDITLINK__" hidden="1">{"fdsup://directions/FAT%20Viewer?VAR:TM=NTMA&amp;VAR:PCT=0.315068&amp;VAR:Y0=2005&amp;VAR:Y1=2006&amp;VAR:V0=17.685510&amp;VAR:V1=16.573214&amp;VAR:V=16.908262&amp;VAR:AUDIT_ID=99900521&amp;VAR:DATE=20050907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Mean&amp;VAR:CHGPERIOD=NA&amp;VAR:FQLFORMULA=FMA_PE&amp;VAR:","CURRENCY=NA&amp;VAR:P=237.980100&amp;VAR:V=16.908262&amp;VAR:null=.html"}</definedName>
    <definedName name="_483__FDSAUDITLINK__" hidden="1">{"fdsup://directions/FAT%20Viewer?VAR:TM=NTMA&amp;VAR:PCT=0.334247&amp;VAR:Y0=2005&amp;VAR:Y1=2006&amp;VAR:V0=17.549776&amp;VAR:V1=16.450296&amp;VAR:V=16.802138&amp;VAR:AUDIT_ID=99900521&amp;VAR:DATE=20050831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Mean&amp;VAR:CHGPERIOD=NA&amp;VAR:FQLFORMULA=FMA_PE&amp;VAR:","CURRENCY=NA&amp;VAR:P=236.395500&amp;VAR:V=16.802138&amp;VAR:null=.html"}</definedName>
    <definedName name="_484__FDSAUDITLINK__" hidden="1">{"fdsup://directions/FAT%20Viewer?VAR:TM=NTMA&amp;VAR:PCT=0.353425&amp;VAR:Y0=2005&amp;VAR:Y1=2006&amp;VAR:V0=17.595854&amp;VAR:V1=16.480465&amp;VAR:V=16.858144&amp;VAR:AUDIT_ID=99900521&amp;VAR:DATE=20050824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Mean&amp;VAR:CHGPERIOD=NA&amp;VAR:FQLFORMULA=FMA_PE&amp;VAR:","CURRENCY=NA&amp;VAR:P=237.117920&amp;VAR:V=16.858144&amp;VAR:null=.html"}</definedName>
    <definedName name="_485__FDSAUDITLINK__" hidden="1">{"fdsup://directions/FAT%20Viewer?VAR:TM=NTMA&amp;VAR:PCT=0.372603&amp;VAR:Y0=2005&amp;VAR:Y1=2006&amp;VAR:V0=17.610502&amp;VAR:V1=16.443650&amp;VAR:V=16.859891&amp;VAR:AUDIT_ID=99900521&amp;VAR:DATE=20050817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Mean&amp;VAR:CHGPERIOD=NA&amp;VAR:FQLFORMULA=FMA_PE&amp;VAR:","CURRENCY=NA&amp;VAR:P=237.687520&amp;VAR:V=16.859891&amp;VAR:null=.html"}</definedName>
    <definedName name="_486__FDSAUDITLINK__" hidden="1">{"fdsup://directions/FAT%20Viewer?VAR:TM=NTMA&amp;VAR:PCT=0.391781&amp;VAR:Y0=2005&amp;VAR:Y1=2006&amp;VAR:V0=17.811062&amp;VAR:V1=16.728012&amp;VAR:V=17.136254&amp;VAR:AUDIT_ID=99900521&amp;VAR:DATE=20050810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Mean&amp;VAR:CHGPERIOD=NA&amp;VAR:FQLFORMULA=FMA_PE&amp;VAR:","CURRENCY=NA&amp;VAR:P=239.054140&amp;VAR:V=17.136254&amp;VAR:null=.html"}</definedName>
    <definedName name="_487__FDSAUDITLINK__" hidden="1">{"fdsup://directions/FAT%20Viewer?VAR:TM=NTMA&amp;VAR:PCT=0.410959&amp;VAR:Y0=2005&amp;VAR:Y1=2006&amp;VAR:V0=17.781730&amp;VAR:V1=16.624207&amp;VAR:V=17.081160&amp;VAR:AUDIT_ID=99900521&amp;VAR:DATE=20050803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Mean&amp;VAR:CHGPERIOD=NA&amp;VAR:FQLFORMULA=FMA_PE&amp;VAR:","CURRENCY=NA&amp;VAR:P=241.079570&amp;VAR:V=17.081160&amp;VAR:null=.html"}</definedName>
    <definedName name="_488__FDSAUDITLINK__" hidden="1">{"fdsup://directions/FAT%20Viewer?VAR:TM=NTMA&amp;VAR:PCT=0.430137&amp;VAR:Y0=2005&amp;VAR:Y1=2006&amp;VAR:V0=17.964739&amp;VAR:V1=16.644798&amp;VAR:V=17.188006&amp;VAR:AUDIT_ID=99900521&amp;VAR:DATE=20050727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Mean&amp;VAR:CHGPERIOD=NA&amp;VAR:FQLFORMULA=FMA_PE&amp;VAR:","CURRENCY=NA&amp;VAR:P=240.979000&amp;VAR:V=17.188006&amp;VAR:null=.html"}</definedName>
    <definedName name="_489__FDSAUDITLINK__" hidden="1">{"fdsup://directions/FAT%20Viewer?VAR:TM=NTMA&amp;VAR:PCT=0.449315&amp;VAR:Y0=2005&amp;VAR:Y1=2006&amp;VAR:V0=17.736576&amp;VAR:V1=16.432228&amp;VAR:V=16.993746&amp;VAR:AUDIT_ID=99900521&amp;VAR:DATE=20050720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Mean&amp;VAR:CHGPERIOD=NA&amp;VAR:FQLFORMULA=FMA_PE&amp;VAR:","CURRENCY=NA&amp;VAR:P=237.882280&amp;VAR:V=16.993746&amp;VAR:null=.html"}</definedName>
    <definedName name="_49__FDSAUDITLINK__" hidden="1">{"fdsup://directions/FAT Viewer?action=UPDATE&amp;creator=factset&amp;DYN_ARGS=TRUE&amp;DOC_NAME=FAT:FQL_AUDITING_CLIENT_TEMPLATE.FAT&amp;display_string=Audit&amp;VAR:KEY=YDOXMTYZYR&amp;VAR:QUERY=RkZfQ0FQRVgoQU5OLDIwMTAp&amp;WINDOW=FIRST_POPUP&amp;HEIGHT=450&amp;WIDTH=450&amp;START_MAXIMIZED=FALS","E&amp;VAR:CALENDAR=US&amp;VAR:SYMBOL=CPB&amp;VAR:INDEX=0"}</definedName>
    <definedName name="_490__FDSAUDITLINK__" hidden="1">{"fdsup://directions/FAT%20Viewer?VAR:TM=NTMA&amp;VAR:PCT=0.468493&amp;VAR:Y0=2005&amp;VAR:Y1=2006&amp;VAR:V0=17.584045&amp;VAR:V1=16.281150&amp;VAR:V=16.866644&amp;VAR:AUDIT_ID=99900521&amp;VAR:DATE=20050713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Mean&amp;VAR:CHGPERIOD=NA&amp;VAR:FQLFORMULA=FMA_PE&amp;VAR:","CURRENCY=NA&amp;VAR:P=236.321500&amp;VAR:V=16.866644&amp;VAR:null=.html"}</definedName>
    <definedName name="_491__FDSAUDITLINK__" hidden="1">{"fdsup://directions/FAT%20Viewer?VAR:TM=NTMA&amp;VAR:PCT=0.487671&amp;VAR:Y0=2005&amp;VAR:Y1=2006&amp;VAR:V0=17.410536&amp;VAR:V1=16.116058&amp;VAR:V=16.722386&amp;VAR:AUDIT_ID=99900521&amp;VAR:DATE=20050706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Mean&amp;VAR:CHGPERIOD=NA&amp;VAR:FQLFORMULA=FMA_PE&amp;VAR:","CURRENCY=NA&amp;VAR:P=233.964430&amp;VAR:V=16.722386&amp;VAR:null=.html"}</definedName>
    <definedName name="_492__FDSAUDITLINK__" hidden="1">{"fdsup://directions/FAT%20Viewer?VAR:TM=NTMA&amp;VAR:PCT=0.506849&amp;VAR:Y0=2005&amp;VAR:Y1=2006&amp;VAR:V0=17.492052&amp;VAR:V1=16.186201&amp;VAR:V=16.822745&amp;VAR:AUDIT_ID=99900521&amp;VAR:DATE=20050629&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Mean&amp;VAR:CHGPERIOD=NA&amp;VAR:FQLFORMULA=FMA_PE&amp;VAR:","CURRENCY=NA&amp;VAR:P=236.432710&amp;VAR:V=16.822745&amp;VAR:null=.html"}</definedName>
    <definedName name="_493__FDSAUDITLINK__" hidden="1">{"fdsup://directions/FAT%20Viewer?VAR:TM=NTMA&amp;VAR:PCT=0.526027&amp;VAR:Y0=2005&amp;VAR:Y1=2006&amp;VAR:V0=17.889849&amp;VAR:V1=16.358171&amp;VAR:V=17.129638&amp;VAR:AUDIT_ID=99900521&amp;VAR:DATE=20050622&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Mean&amp;VAR:CHGPERIOD=NA&amp;VAR:FQLFORMULA=FMA_PE&amp;VAR:","CURRENCY=NA&amp;VAR:P=242.730560&amp;VAR:V=17.129638&amp;VAR:null=.html"}</definedName>
    <definedName name="_494__FDSAUDITLINK__" hidden="1">{"fdsup://directions/FAT%20Viewer?VAR:TM=NTMA&amp;VAR:PCT=0.545205&amp;VAR:Y0=2005&amp;VAR:Y1=2006&amp;VAR:V0=17.905245&amp;VAR:V1=16.370500&amp;VAR:V=17.173034&amp;VAR:AUDIT_ID=99900521&amp;VAR:DATE=20050615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Mean&amp;VAR:CHGPERIOD=NA&amp;VAR:FQLFORMULA=FMA_PE&amp;VAR:","CURRENCY=NA&amp;VAR:P=242.968520&amp;VAR:V=17.173034&amp;VAR:null=.html"}</definedName>
    <definedName name="_495__FDSAUDITLINK__" hidden="1">{"fdsup://directions/FAT%20Viewer?VAR:TM=NTMA&amp;VAR:PCT=0.564384&amp;VAR:Y0=2005&amp;VAR:Y1=2006&amp;VAR:V0=17.896673&amp;VAR:V1=16.362984&amp;VAR:V=17.194617&amp;VAR:AUDIT_ID=99900521&amp;VAR:DATE=20050608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Mean&amp;VAR:CHGPERIOD=NA&amp;VAR:FQLFORMULA=FMA_PE&amp;VAR:","CURRENCY=NA&amp;VAR:P=243.235380&amp;VAR:V=17.194617&amp;VAR:null=.html"}</definedName>
    <definedName name="_496__FDSAUDITLINK__" hidden="1">{"fdsup://directions/FAT%20Viewer?VAR:TM=NTMA&amp;VAR:PCT=0.583562&amp;VAR:Y0=2005&amp;VAR:Y1=2006&amp;VAR:V0=17.861500&amp;VAR:V1=16.162820&amp;VAR:V=17.112538&amp;VAR:AUDIT_ID=99900521&amp;VAR:DATE=20050601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Mean&amp;VAR:CHGPERIOD=NA&amp;VAR:FQLFORMULA=FMA_PE&amp;VAR:","CURRENCY=NA&amp;VAR:P=244.977940&amp;VAR:V=17.112538&amp;VAR:null=.html"}</definedName>
    <definedName name="_497__FDSAUDITLINK__" hidden="1">{"fdsup://directions/FAT%20Viewer?VAR:TM=NTMA&amp;VAR:PCT=0.602740&amp;VAR:Y0=2005&amp;VAR:Y1=2006&amp;VAR:V0=17.874346&amp;VAR:V1=16.116442&amp;VAR:V=17.131995&amp;VAR:AUDIT_ID=99900521&amp;VAR:DATE=20050525&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Mean&amp;VAR:CHGPERIOD=NA&amp;VAR:FQLFORMULA=FMA_PE&amp;VAR:","CURRENCY=NA&amp;VAR:P=245.550300&amp;VAR:V=17.131995&amp;VAR:null=.html"}</definedName>
    <definedName name="_498__FDSAUDITLINK__" hidden="1">{"fdsup://directions/FAT%20Viewer?VAR:TM=NTMA&amp;VAR:PCT=0.621918&amp;VAR:Y0=2005&amp;VAR:Y1=2006&amp;VAR:V0=17.945686&amp;VAR:V1=16.251478&amp;VAR:V=17.265181&amp;VAR:AUDIT_ID=99900521&amp;VAR:DATE=20050518&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Mean&amp;VAR:CHGPERIOD=NA&amp;VAR:FQLFORMULA=FMA_PE&amp;VAR:","CURRENCY=NA&amp;VAR:P=246.475310&amp;VAR:V=17.265181&amp;VAR:null=.html"}</definedName>
    <definedName name="_499__FDSAUDITLINK__" hidden="1">{"fdsup://directions/FAT%20Viewer?VAR:TM=NTMA&amp;VAR:PCT=0.641096&amp;VAR:Y0=2005&amp;VAR:Y1=2006&amp;VAR:V0=17.832483&amp;VAR:V1=16.156742&amp;VAR:V=17.192497&amp;VAR:AUDIT_ID=99900521&amp;VAR:DATE=20050511&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Mean&amp;VAR:CHGPERIOD=NA&amp;VAR:FQLFORMULA=FMA_PE&amp;VAR:","CURRENCY=NA&amp;VAR:P=245.015850&amp;VAR:V=17.192497&amp;VAR:null=.html"}</definedName>
    <definedName name="_5__123Graph_Aｸﾞﾗﾌ_1" hidden="1">[12]ｾｸﾞﾒﾝﾄ!$E$164:$I$164</definedName>
    <definedName name="_5__123Graph_Bｸﾞﾗﾌ_1" hidden="1">[11]ｾｸﾞﾒﾝﾄ!$E$165:$I$165</definedName>
    <definedName name="_5__FDSAUDITLINK__" hidden="1">{"fdsup://directions/FAT Viewer?action=UPDATE&amp;creator=factset&amp;DYN_ARGS=TRUE&amp;DOC_NAME=FAT:FQL_AUDITING_CLIENT_TEMPLATE.FAT&amp;display_string=Audit&amp;VAR:KEY=CXKBWVWTSZ&amp;VAR:QUERY=RkZfQ0FQRVgoQU5OLDIwMDYp&amp;WINDOW=FIRST_POPUP&amp;HEIGHT=450&amp;WIDTH=450&amp;START_MAXIMIZED=FALS","E&amp;VAR:CALENDAR=US&amp;VAR:SYMBOL=SLE&amp;VAR:INDEX=0"}</definedName>
    <definedName name="_50__FDSAUDITLINK__" hidden="1">{"fdsup://directions/FAT Viewer?action=UPDATE&amp;creator=factset&amp;DYN_ARGS=TRUE&amp;DOC_NAME=FAT:FQL_AUDITING_CLIENT_TEMPLATE.FAT&amp;display_string=Audit&amp;VAR:KEY=ALUZCJWDUV&amp;VAR:QUERY=RkZfQ0FQRVgoQU5OLDIwMDkp&amp;WINDOW=FIRST_POPUP&amp;HEIGHT=450&amp;WIDTH=450&amp;START_MAXIMIZED=FALS","E&amp;VAR:CALENDAR=US&amp;VAR:SYMBOL=CPB&amp;VAR:INDEX=0"}</definedName>
    <definedName name="_500__FDSAUDITLINK__" hidden="1">{"fdsup://directions/FAT%20Viewer?VAR:TM=NTMA&amp;VAR:PCT=0.660274&amp;VAR:Y0=2005&amp;VAR:Y1=2006&amp;VAR:V0=17.882496&amp;VAR:V1=16.164461&amp;VAR:V=17.259303&amp;VAR:AUDIT_ID=99900521&amp;VAR:DATE=20050504&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Mean&amp;VAR:CHGPERIOD=NA&amp;VAR:FQLFORMULA=FMA_PE&amp;VAR:","CURRENCY=NA&amp;VAR:P=245.968570&amp;VAR:V=17.259303&amp;VAR:null=.html"}</definedName>
    <definedName name="_501__FDSAUDITLINK__" hidden="1">{"fdsup://directions/FAT%20Viewer?VAR:TM=NTMA&amp;VAR:PCT=0.679452&amp;VAR:Y0=2005&amp;VAR:Y1=2006&amp;VAR:V0=17.544466&amp;VAR:V1=15.973762&amp;VAR:V=17.008370&amp;VAR:AUDIT_ID=99900521&amp;VAR:DATE=20050427&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Mean&amp;VAR:CHGPERIOD=NA&amp;VAR:FQLFORMULA=FMA_PE&amp;VAR:","CURRENCY=NA&amp;VAR:P=244.387220&amp;VAR:V=17.008370&amp;VAR:null=.html"}</definedName>
    <definedName name="_502__FDSAUDITLINK__" hidden="1">{"fdsup://directions/FAT%20Viewer?VAR:TM=NTMA&amp;VAR:PCT=0.698630&amp;VAR:Y0=2005&amp;VAR:Y1=2006&amp;VAR:V0=16.892880&amp;VAR:V1=15.422864&amp;VAR:V=16.421185&amp;VAR:AUDIT_ID=99900521&amp;VAR:DATE=20050420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Mean&amp;VAR:CHGPERIOD=NA&amp;VAR:FQLFORMULA=FMA_PE&amp;VAR:","CURRENCY=NA&amp;VAR:P=236.601930&amp;VAR:V=16.421185&amp;VAR:null=.html"}</definedName>
    <definedName name="_503__FDSAUDITLINK__" hidden="1">{"fdsup://directions/FAT%20Viewer?VAR:TM=NTMA&amp;VAR:PCT=0.717808&amp;VAR:Y0=2005&amp;VAR:Y1=2006&amp;VAR:V0=17.333189&amp;VAR:V1=15.781102&amp;VAR:V=16.865117&amp;VAR:AUDIT_ID=99900521&amp;VAR:DATE=20050413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Mean&amp;VAR:CHGPERIOD=NA&amp;VAR:FQLFORMULA=FMA_PE&amp;VAR:","CURRENCY=NA&amp;VAR:P=242.589280&amp;VAR:V=16.865117&amp;VAR:null=.html"}</definedName>
    <definedName name="_504__FDSAUDITLINK__" hidden="1">{"fdsup://directions/FAT%20Viewer?VAR:TM=NTMA&amp;VAR:PCT=0.736986&amp;VAR:Y0=2005&amp;VAR:Y1=2006&amp;VAR:V0=17.352318&amp;VAR:V1=15.836831&amp;VAR:V=16.926303&amp;VAR:AUDIT_ID=99900521&amp;VAR:DATE=20050406&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Mean&amp;VAR:CHGPERIOD=NA&amp;VAR:FQLFORMULA=FMA_PE&amp;VAR:","CURRENCY=NA&amp;VAR:P=243.132900&amp;VAR:V=16.926303&amp;VAR:null=.html"}</definedName>
    <definedName name="_505__FDSAUDITLINK__" hidden="1">{"fdsup://directions/FAT%20Viewer?VAR:TM=NTMA&amp;VAR:PCT=0.756164&amp;VAR:Y0=2005&amp;VAR:Y1=2006&amp;VAR:V0=17.553919&amp;VAR:V1=16.044294&amp;VAR:V=17.160216&amp;VAR:AUDIT_ID=99900521&amp;VAR:DATE=20050330&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Mean&amp;VAR:CHGPERIOD=NA&amp;VAR:FQLFORMULA=FMA_PE&amp;VAR:","CURRENCY=NA&amp;VAR:P=246.068080&amp;VAR:V=17.160216&amp;VAR:null=.html"}</definedName>
    <definedName name="_506__FDSAUDITLINK__" hidden="1">{"fdsup://directions/FAT%20Viewer?VAR:TM=NTMA&amp;VAR:PCT=0.775342&amp;VAR:Y0=2005&amp;VAR:Y1=2006&amp;VAR:V0=17.504333&amp;VAR:V1=15.982777&amp;VAR:V=17.137801&amp;VAR:AUDIT_ID=99900521&amp;VAR:DATE=20050323&amp;action=UPDATE&amp;creator=factset&amp;DOC_NAME=FAT:FMA_AUDIT_TM.FAT&amp;DISPLAY_STRING=Displ","ay Audit for Price to Earnings Ratio&amp;DYN_ARGS=TRUE&amp;WINDOW=first_popup&amp;START_MAXIMIZED=FALSE&amp;WIDTH=475&amp;HEIGHT=525&amp;TITLEBAR=FactSet Market Aggregates&amp;VAR:MEASURE=PE_MEAN&amp;VAR:CALC_MODE=PORTFOLIO&amp;VAR:MDESC=PE - Mean&amp;VAR:CHGPERIOD=NA&amp;VAR:FQLFORMULA=FMA_PE&amp;VAR:","CURRENCY=NA&amp;VAR:P=245.587700&amp;VAR:V=17.137801&amp;VAR:null=.html"}</definedName>
    <definedName name="_51__FDSAUDITLINK__" hidden="1">{"fdsup://directions/FAT Viewer?action=UPDATE&amp;creator=factset&amp;DYN_ARGS=TRUE&amp;DOC_NAME=FAT:FQL_AUDITING_CLIENT_TEMPLATE.FAT&amp;display_string=Audit&amp;VAR:KEY=CJGDSXSZKL&amp;VAR:QUERY=RkZfQ0FQRVgoQU5OLDIwMDgp&amp;WINDOW=FIRST_POPUP&amp;HEIGHT=450&amp;WIDTH=450&amp;START_MAXIMIZED=FALS","E&amp;VAR:CALENDAR=US&amp;VAR:SYMBOL=CPB&amp;VAR:INDEX=0"}</definedName>
    <definedName name="_52__FDSAUDITLINK__" hidden="1">{"fdsup://directions/FAT Viewer?action=UPDATE&amp;creator=factset&amp;DYN_ARGS=TRUE&amp;DOC_NAME=FAT:FQL_AUDITING_CLIENT_TEMPLATE.FAT&amp;display_string=Audit&amp;VAR:KEY=UPEXGZWXUB&amp;VAR:QUERY=RkZfQ0FQRVgoQU5OLDIwMDcp&amp;WINDOW=FIRST_POPUP&amp;HEIGHT=450&amp;WIDTH=450&amp;START_MAXIMIZED=FALS","E&amp;VAR:CALENDAR=US&amp;VAR:SYMBOL=CPB&amp;VAR:INDEX=0"}</definedName>
    <definedName name="_53__FDSAUDITLINK__" hidden="1">{"fdsup://directions/FAT Viewer?action=UPDATE&amp;creator=factset&amp;DYN_ARGS=TRUE&amp;DOC_NAME=FAT:FQL_AUDITING_CLIENT_TEMPLATE.FAT&amp;display_string=Audit&amp;VAR:KEY=WTIFSRWZIF&amp;VAR:QUERY=RkZfQ0FQRVgoQU5OLDIwMDYp&amp;WINDOW=FIRST_POPUP&amp;HEIGHT=450&amp;WIDTH=450&amp;START_MAXIMIZED=FALS","E&amp;VAR:CALENDAR=US&amp;VAR:SYMBOL=CPB&amp;VAR:INDEX=0"}</definedName>
    <definedName name="_54__FDSAUDITLINK__" hidden="1">{"fdsup://directions/FAT Viewer?action=UPDATE&amp;creator=factset&amp;DYN_ARGS=TRUE&amp;DOC_NAME=FAT:FQL_AUDITING_CLIENT_TEMPLATE.FAT&amp;display_string=Audit&amp;VAR:KEY=SPSBGDOHIV&amp;VAR:QUERY=RkZfQ0FQRVgoQU5OLDIwMDUp&amp;WINDOW=FIRST_POPUP&amp;HEIGHT=450&amp;WIDTH=450&amp;START_MAXIMIZED=FALS","E&amp;VAR:CALENDAR=US&amp;VAR:SYMBOL=CPB&amp;VAR:INDEX=0"}</definedName>
    <definedName name="_55__FDSAUDITLINK__" hidden="1">{"fdsup://directions/FAT Viewer?action=UPDATE&amp;creator=factset&amp;DYN_ARGS=TRUE&amp;DOC_NAME=FAT:FQL_AUDITING_CLIENT_TEMPLATE.FAT&amp;display_string=Audit&amp;VAR:KEY=IHSTEBSXWT&amp;VAR:QUERY=RkZfQ0FQRVgoQU5OLDIwMDQp&amp;WINDOW=FIRST_POPUP&amp;HEIGHT=450&amp;WIDTH=450&amp;START_MAXIMIZED=FALS","E&amp;VAR:CALENDAR=US&amp;VAR:SYMBOL=CPB&amp;VAR:INDEX=0"}</definedName>
    <definedName name="_56__FDSAUDITLINK__" hidden="1">{"fdsup://directions/FAT Viewer?action=UPDATE&amp;creator=factset&amp;DYN_ARGS=TRUE&amp;DOC_NAME=FAT:FQL_AUDITING_CLIENT_TEMPLATE.FAT&amp;display_string=Audit&amp;VAR:KEY=KXUJUXSVQJ&amp;VAR:QUERY=RkZfQ0FQRVgoQU5OLDIwMDMp&amp;WINDOW=FIRST_POPUP&amp;HEIGHT=450&amp;WIDTH=450&amp;START_MAXIMIZED=FALS","E&amp;VAR:CALENDAR=US&amp;VAR:SYMBOL=CPB&amp;VAR:INDEX=0"}</definedName>
    <definedName name="_57__FDSAUDITLINK__" hidden="1">{"fdsup://directions/FAT Viewer?action=UPDATE&amp;creator=factset&amp;DYN_ARGS=TRUE&amp;DOC_NAME=FAT:FQL_AUDITING_CLIENT_TEMPLATE.FAT&amp;display_string=Audit&amp;VAR:KEY=SVGXOPGVGB&amp;VAR:QUERY=RkZfQ0FQRVgoQU5OLDIwMTAp&amp;WINDOW=FIRST_POPUP&amp;HEIGHT=450&amp;WIDTH=450&amp;START_MAXIMIZED=FALS","E&amp;VAR:CALENDAR=US&amp;VAR:SYMBOL=CAG&amp;VAR:INDEX=0"}</definedName>
    <definedName name="_58__FDSAUDITLINK__" hidden="1">{"fdsup://directions/FAT Viewer?action=UPDATE&amp;creator=factset&amp;DYN_ARGS=TRUE&amp;DOC_NAME=FAT:FQL_AUDITING_CLIENT_TEMPLATE.FAT&amp;display_string=Audit&amp;VAR:KEY=GNONUHOXSB&amp;VAR:QUERY=RkZfQ0FQRVgoQU5OLDIwMDkp&amp;WINDOW=FIRST_POPUP&amp;HEIGHT=450&amp;WIDTH=450&amp;START_MAXIMIZED=FALS","E&amp;VAR:CALENDAR=US&amp;VAR:SYMBOL=CAG&amp;VAR:INDEX=0"}</definedName>
    <definedName name="_59__FDSAUDITLINK__" hidden="1">{"fdsup://directions/FAT Viewer?action=UPDATE&amp;creator=factset&amp;DYN_ARGS=TRUE&amp;DOC_NAME=FAT:FQL_AUDITING_CLIENT_TEMPLATE.FAT&amp;display_string=Audit&amp;VAR:KEY=QPMRIVQFKD&amp;VAR:QUERY=RkZfQ0FQRVgoQU5OLDIwMDgp&amp;WINDOW=FIRST_POPUP&amp;HEIGHT=450&amp;WIDTH=450&amp;START_MAXIMIZED=FALS","E&amp;VAR:CALENDAR=US&amp;VAR:SYMBOL=CAG&amp;VAR:INDEX=0"}</definedName>
    <definedName name="_6__123Graph_Aｸﾞﾗﾌ_2" hidden="1">[12]単独!$AR$14:$AR$18</definedName>
    <definedName name="_6__123Graph_Dｸﾞﾗﾌ_1" hidden="1">[11]ｾｸﾞﾒﾝﾄ!$E$167:$I$167</definedName>
    <definedName name="_6__FDSAUDITLINK__" hidden="1">{"fdsup://directions/FAT Viewer?action=UPDATE&amp;creator=factset&amp;DYN_ARGS=TRUE&amp;DOC_NAME=FAT:FQL_AUDITING_CLIENT_TEMPLATE.FAT&amp;display_string=Audit&amp;VAR:KEY=KVMZCRGXMX&amp;VAR:QUERY=RkZfQ0FQRVgoQU5OLDIwMDUp&amp;WINDOW=FIRST_POPUP&amp;HEIGHT=450&amp;WIDTH=450&amp;START_MAXIMIZED=FALS","E&amp;VAR:CALENDAR=US&amp;VAR:SYMBOL=SLE&amp;VAR:INDEX=0"}</definedName>
    <definedName name="_60__FDSAUDITLINK__" hidden="1">{"fdsup://directions/FAT Viewer?action=UPDATE&amp;creator=factset&amp;DYN_ARGS=TRUE&amp;DOC_NAME=FAT:FQL_AUDITING_CLIENT_TEMPLATE.FAT&amp;display_string=Audit&amp;VAR:KEY=GNGNGJQRCF&amp;VAR:QUERY=RkZfQ0FQRVgoQU5OLDIwMDcp&amp;WINDOW=FIRST_POPUP&amp;HEIGHT=450&amp;WIDTH=450&amp;START_MAXIMIZED=FALS","E&amp;VAR:CALENDAR=US&amp;VAR:SYMBOL=CAG&amp;VAR:INDEX=0"}</definedName>
    <definedName name="_61__FDSAUDITLINK__" hidden="1">{"fdsup://directions/FAT Viewer?action=UPDATE&amp;creator=factset&amp;DYN_ARGS=TRUE&amp;DOC_NAME=FAT:FQL_AUDITING_CLIENT_TEMPLATE.FAT&amp;display_string=Audit&amp;VAR:KEY=AVYBIVYBGN&amp;VAR:QUERY=RkZfQ0FQRVgoQU5OLDIwMDYp&amp;WINDOW=FIRST_POPUP&amp;HEIGHT=450&amp;WIDTH=450&amp;START_MAXIMIZED=FALS","E&amp;VAR:CALENDAR=US&amp;VAR:SYMBOL=CAG&amp;VAR:INDEX=0"}</definedName>
    <definedName name="_62__FDSAUDITLINK__" hidden="1">{"fdsup://directions/FAT Viewer?action=UPDATE&amp;creator=factset&amp;DYN_ARGS=TRUE&amp;DOC_NAME=FAT:FQL_AUDITING_CLIENT_TEMPLATE.FAT&amp;display_string=Audit&amp;VAR:KEY=OXMFCVWPOX&amp;VAR:QUERY=RkZfQ0FQRVgoQU5OLDIwMDUp&amp;WINDOW=FIRST_POPUP&amp;HEIGHT=450&amp;WIDTH=450&amp;START_MAXIMIZED=FALS","E&amp;VAR:CALENDAR=US&amp;VAR:SYMBOL=CAG&amp;VAR:INDEX=0"}</definedName>
    <definedName name="_63__FDSAUDITLINK__" hidden="1">{"fdsup://directions/FAT Viewer?action=UPDATE&amp;creator=factset&amp;DYN_ARGS=TRUE&amp;DOC_NAME=FAT:FQL_AUDITING_CLIENT_TEMPLATE.FAT&amp;display_string=Audit&amp;VAR:KEY=IFATGFALSH&amp;VAR:QUERY=RkZfQ0FQRVgoQU5OLDIwMDQp&amp;WINDOW=FIRST_POPUP&amp;HEIGHT=450&amp;WIDTH=450&amp;START_MAXIMIZED=FALS","E&amp;VAR:CALENDAR=US&amp;VAR:SYMBOL=CAG&amp;VAR:INDEX=0"}</definedName>
    <definedName name="_64__FDSAUDITLINK__" hidden="1">{"fdsup://directions/FAT Viewer?action=UPDATE&amp;creator=factset&amp;DYN_ARGS=TRUE&amp;DOC_NAME=FAT:FQL_AUDITING_CLIENT_TEMPLATE.FAT&amp;display_string=Audit&amp;VAR:KEY=CROVSXIFKH&amp;VAR:QUERY=RkZfQ0FQRVgoQU5OLDIwMDMp&amp;WINDOW=FIRST_POPUP&amp;HEIGHT=450&amp;WIDTH=450&amp;START_MAXIMIZED=FALS","E&amp;VAR:CALENDAR=US&amp;VAR:SYMBOL=CAG&amp;VAR:INDEX=0"}</definedName>
    <definedName name="_65__FDSAUDITLINK__" hidden="1">{"fdsup://directions/FAT Viewer?action=UPDATE&amp;creator=factset&amp;DYN_ARGS=TRUE&amp;DOC_NAME=FAT:FQL_AUDITING_CLIENT_TEMPLATE.FAT&amp;display_string=Audit&amp;VAR:KEY=FQHUNMTKZA&amp;VAR:QUERY=Q1NGX0NPR1MoQU5OLDIwMTAp&amp;WINDOW=FIRST_POPUP&amp;HEIGHT=450&amp;WIDTH=450&amp;START_MAXIMIZED=FALS","E&amp;VAR:CALENDAR=US&amp;VAR:SYMBOL=SLE&amp;VAR:INDEX=0"}</definedName>
    <definedName name="_66__FDSAUDITLINK__" hidden="1">{"fdsup://directions/FAT Viewer?action=UPDATE&amp;creator=factset&amp;DYN_ARGS=TRUE&amp;DOC_NAME=FAT:FQL_AUDITING_CLIENT_TEMPLATE.FAT&amp;display_string=Audit&amp;VAR:KEY=HKHIVGDAHY&amp;VAR:QUERY=Q1NGX0NPR1MoQU5OLDIwMDkp&amp;WINDOW=FIRST_POPUP&amp;HEIGHT=450&amp;WIDTH=450&amp;START_MAXIMIZED=FALS","E&amp;VAR:CALENDAR=US&amp;VAR:SYMBOL=SLE&amp;VAR:INDEX=0"}</definedName>
    <definedName name="_67__FDSAUDITLINK__" hidden="1">{"fdsup://directions/FAT Viewer?action=UPDATE&amp;creator=factset&amp;DYN_ARGS=TRUE&amp;DOC_NAME=FAT:FQL_AUDITING_CLIENT_TEMPLATE.FAT&amp;display_string=Audit&amp;VAR:KEY=ZWNMDWRGBM&amp;VAR:QUERY=Q1NGX0NPR1MoQU5OLDIwMDgp&amp;WINDOW=FIRST_POPUP&amp;HEIGHT=450&amp;WIDTH=450&amp;START_MAXIMIZED=FALS","E&amp;VAR:CALENDAR=US&amp;VAR:SYMBOL=SLE&amp;VAR:INDEX=0"}</definedName>
    <definedName name="_68__FDSAUDITLINK__" hidden="1">{"fdsup://directions/FAT Viewer?action=UPDATE&amp;creator=factset&amp;DYN_ARGS=TRUE&amp;DOC_NAME=FAT:FQL_AUDITING_CLIENT_TEMPLATE.FAT&amp;display_string=Audit&amp;VAR:KEY=ZWTIHYNWLS&amp;VAR:QUERY=Q1NGX0NPR1MoQU5OLDIwMDcp&amp;WINDOW=FIRST_POPUP&amp;HEIGHT=450&amp;WIDTH=450&amp;START_MAXIMIZED=FALS","E&amp;VAR:CALENDAR=US&amp;VAR:SYMBOL=SLE&amp;VAR:INDEX=0"}</definedName>
    <definedName name="_69__FDSAUDITLINK__" hidden="1">{"fdsup://directions/FAT Viewer?action=UPDATE&amp;creator=factset&amp;DYN_ARGS=TRUE&amp;DOC_NAME=FAT:FQL_AUDITING_CLIENT_TEMPLATE.FAT&amp;display_string=Audit&amp;VAR:KEY=HWNKXQDSVE&amp;VAR:QUERY=Q1NGX0NPR1MoQU5OLDIwMDYp&amp;WINDOW=FIRST_POPUP&amp;HEIGHT=450&amp;WIDTH=450&amp;START_MAXIMIZED=FALS","E&amp;VAR:CALENDAR=US&amp;VAR:SYMBOL=SLE&amp;VAR:INDEX=0"}</definedName>
    <definedName name="_7__123Graph_Bｸﾞﾗﾌ_1" hidden="1">[12]ｾｸﾞﾒﾝﾄ!$E$165:$I$165</definedName>
    <definedName name="_7__FDSAUDITLINK__" hidden="1">{"fdsup://directions/FAT Viewer?action=UPDATE&amp;creator=factset&amp;DYN_ARGS=TRUE&amp;DOC_NAME=FAT:FQL_AUDITING_CLIENT_TEMPLATE.FAT&amp;display_string=Audit&amp;VAR:KEY=MLOVQRMPQV&amp;VAR:QUERY=RkZfQ0FQRVgoQU5OLDIwMDQp&amp;WINDOW=FIRST_POPUP&amp;HEIGHT=450&amp;WIDTH=450&amp;START_MAXIMIZED=FALS","E&amp;VAR:CALENDAR=US&amp;VAR:SYMBOL=SLE&amp;VAR:INDEX=0"}</definedName>
    <definedName name="_70__FDSAUDITLINK__" hidden="1">{"fdsup://directions/FAT Viewer?action=UPDATE&amp;creator=factset&amp;DYN_ARGS=TRUE&amp;DOC_NAME=FAT:FQL_AUDITING_CLIENT_TEMPLATE.FAT&amp;display_string=Audit&amp;VAR:KEY=VALGFGXQJS&amp;VAR:QUERY=Q1NGX0NPR1MoQU5OLDIwMDUp&amp;WINDOW=FIRST_POPUP&amp;HEIGHT=450&amp;WIDTH=450&amp;START_MAXIMIZED=FALS","E&amp;VAR:CALENDAR=US&amp;VAR:SYMBOL=SLE&amp;VAR:INDEX=0"}</definedName>
    <definedName name="_71__FDSAUDITLINK__" hidden="1">{"fdsup://directions/FAT Viewer?action=UPDATE&amp;creator=factset&amp;DYN_ARGS=TRUE&amp;DOC_NAME=FAT:FQL_AUDITING_CLIENT_TEMPLATE.FAT&amp;display_string=Audit&amp;VAR:KEY=PSNEHUFAJI&amp;VAR:QUERY=Q1NGX0NPR1MoQU5OLDIwMDQp&amp;WINDOW=FIRST_POPUP&amp;HEIGHT=450&amp;WIDTH=450&amp;START_MAXIMIZED=FALS","E&amp;VAR:CALENDAR=US&amp;VAR:SYMBOL=SLE&amp;VAR:INDEX=0"}</definedName>
    <definedName name="_72__FDSAUDITLINK__" hidden="1">{"fdsup://directions/FAT Viewer?action=UPDATE&amp;creator=factset&amp;DYN_ARGS=TRUE&amp;DOC_NAME=FAT:FQL_AUDITING_CLIENT_TEMPLATE.FAT&amp;display_string=Audit&amp;VAR:KEY=BQPSDSPOHQ&amp;VAR:QUERY=Q1NGX0NPR1MoQU5OLDIwMTAp&amp;WINDOW=FIRST_POPUP&amp;HEIGHT=450&amp;WIDTH=450&amp;START_MAXIMIZED=FALS","E&amp;VAR:CALENDAR=US&amp;VAR:SYMBOL=KFT&amp;VAR:INDEX=0"}</definedName>
    <definedName name="_73__FDSAUDITLINK__" hidden="1">{"fdsup://directions/FAT Viewer?action=UPDATE&amp;creator=factset&amp;DYN_ARGS=TRUE&amp;DOC_NAME=FAT:FQL_AUDITING_CLIENT_TEMPLATE.FAT&amp;display_string=Audit&amp;VAR:KEY=ZUPCNSBCRM&amp;VAR:QUERY=Q1NGX0NPR1MoQU5OLDIwMDkp&amp;WINDOW=FIRST_POPUP&amp;HEIGHT=450&amp;WIDTH=450&amp;START_MAXIMIZED=FALS","E&amp;VAR:CALENDAR=US&amp;VAR:SYMBOL=KFT&amp;VAR:INDEX=0"}</definedName>
    <definedName name="_74__FDSAUDITLINK__" hidden="1">{"fdsup://directions/FAT Viewer?action=UPDATE&amp;creator=factset&amp;DYN_ARGS=TRUE&amp;DOC_NAME=FAT:FQL_AUDITING_CLIENT_TEMPLATE.FAT&amp;display_string=Audit&amp;VAR:KEY=NGDKFURGLM&amp;VAR:QUERY=Q1NGX0NPR1MoQU5OLDIwMDgp&amp;WINDOW=FIRST_POPUP&amp;HEIGHT=450&amp;WIDTH=450&amp;START_MAXIMIZED=FALS","E&amp;VAR:CALENDAR=US&amp;VAR:SYMBOL=KFT&amp;VAR:INDEX=0"}</definedName>
    <definedName name="_75__FDSAUDITLINK__" hidden="1">{"fdsup://directions/FAT Viewer?action=UPDATE&amp;creator=factset&amp;DYN_ARGS=TRUE&amp;DOC_NAME=FAT:FQL_AUDITING_CLIENT_TEMPLATE.FAT&amp;display_string=Audit&amp;VAR:KEY=BEHMDWNSPC&amp;VAR:QUERY=Q1NGX0NPR1MoQU5OLDIwMDcp&amp;WINDOW=FIRST_POPUP&amp;HEIGHT=450&amp;WIDTH=450&amp;START_MAXIMIZED=FALS","E&amp;VAR:CALENDAR=US&amp;VAR:SYMBOL=KFT&amp;VAR:INDEX=0"}</definedName>
    <definedName name="_76__FDSAUDITLINK__" hidden="1">{"fdsup://directions/FAT Viewer?action=UPDATE&amp;creator=factset&amp;DYN_ARGS=TRUE&amp;DOC_NAME=FAT:FQL_AUDITING_CLIENT_TEMPLATE.FAT&amp;display_string=Audit&amp;VAR:KEY=PIJSJEHCNG&amp;VAR:QUERY=Q1NGX0NPR1MoQU5OLDIwMDYp&amp;WINDOW=FIRST_POPUP&amp;HEIGHT=450&amp;WIDTH=450&amp;START_MAXIMIZED=FALS","E&amp;VAR:CALENDAR=US&amp;VAR:SYMBOL=KFT&amp;VAR:INDEX=0"}</definedName>
    <definedName name="_77__FDSAUDITLINK__" hidden="1">{"fdsup://directions/FAT Viewer?action=UPDATE&amp;creator=factset&amp;DYN_ARGS=TRUE&amp;DOC_NAME=FAT:FQL_AUDITING_CLIENT_TEMPLATE.FAT&amp;display_string=Audit&amp;VAR:KEY=VIBIDOJMTG&amp;VAR:QUERY=Q1NGX0NPR1MoQU5OLDIwMDUp&amp;WINDOW=FIRST_POPUP&amp;HEIGHT=450&amp;WIDTH=450&amp;START_MAXIMIZED=FALS","E&amp;VAR:CALENDAR=US&amp;VAR:SYMBOL=KFT&amp;VAR:INDEX=0"}</definedName>
    <definedName name="_78__FDSAUDITLINK__" hidden="1">{"fdsup://directions/FAT Viewer?action=UPDATE&amp;creator=factset&amp;DYN_ARGS=TRUE&amp;DOC_NAME=FAT:FQL_AUDITING_CLIENT_TEMPLATE.FAT&amp;display_string=Audit&amp;VAR:KEY=HSXCPOFWVW&amp;VAR:QUERY=Q1NGX0NPR1MoQU5OLDIwMDQp&amp;WINDOW=FIRST_POPUP&amp;HEIGHT=450&amp;WIDTH=450&amp;START_MAXIMIZED=FALS","E&amp;VAR:CALENDAR=US&amp;VAR:SYMBOL=KFT&amp;VAR:INDEX=0"}</definedName>
    <definedName name="_79__FDSAUDITLINK__" hidden="1">{"fdsup://directions/FAT Viewer?action=UPDATE&amp;creator=factset&amp;DYN_ARGS=TRUE&amp;DOC_NAME=FAT:FQL_AUDITING_CLIENT_TEMPLATE.FAT&amp;display_string=Audit&amp;VAR:KEY=LOTQTSTIDC&amp;VAR:QUERY=Q1NGX0NPR1MoQU5OLDIwMTAp&amp;WINDOW=FIRST_POPUP&amp;HEIGHT=450&amp;WIDTH=450&amp;START_MAXIMIZED=FALS","E&amp;VAR:CALENDAR=US&amp;VAR:SYMBOL=K&amp;VAR:INDEX=0"}</definedName>
    <definedName name="_8__123Graph_Dｸﾞﾗﾌ_1" hidden="1">[12]ｾｸﾞﾒﾝﾄ!$E$167:$I$167</definedName>
    <definedName name="_8__FDSAUDITLINK__" hidden="1">{"fdsup://directions/FAT Viewer?action=UPDATE&amp;creator=factset&amp;DYN_ARGS=TRUE&amp;DOC_NAME=FAT:FQL_AUDITING_CLIENT_TEMPLATE.FAT&amp;display_string=Audit&amp;VAR:KEY=ALQZYPINAJ&amp;VAR:QUERY=RkZfQ0FQRVgoQU5OLDIwMDMp&amp;WINDOW=FIRST_POPUP&amp;HEIGHT=450&amp;WIDTH=450&amp;START_MAXIMIZED=FALS","E&amp;VAR:CALENDAR=US&amp;VAR:SYMBOL=SLE&amp;VAR:INDEX=0"}</definedName>
    <definedName name="_80__FDSAUDITLINK__" hidden="1">{"fdsup://directions/FAT Viewer?action=UPDATE&amp;creator=factset&amp;DYN_ARGS=TRUE&amp;DOC_NAME=FAT:FQL_AUDITING_CLIENT_TEMPLATE.FAT&amp;display_string=Audit&amp;VAR:KEY=XKLADGXUPE&amp;VAR:QUERY=Q1NGX0NPR1MoQU5OLDIwMDkp&amp;WINDOW=FIRST_POPUP&amp;HEIGHT=450&amp;WIDTH=450&amp;START_MAXIMIZED=FALS","E&amp;VAR:CALENDAR=US&amp;VAR:SYMBOL=K&amp;VAR:INDEX=0"}</definedName>
    <definedName name="_81__FDSAUDITLINK__" hidden="1">{"fdsup://directions/FAT Viewer?action=UPDATE&amp;creator=factset&amp;DYN_ARGS=TRUE&amp;DOC_NAME=FAT:FQL_AUDITING_CLIENT_TEMPLATE.FAT&amp;display_string=Audit&amp;VAR:KEY=FOBMDEHELC&amp;VAR:QUERY=Q1NGX0NPR1MoQU5OLDIwMDgp&amp;WINDOW=FIRST_POPUP&amp;HEIGHT=450&amp;WIDTH=450&amp;START_MAXIMIZED=FALS","E&amp;VAR:CALENDAR=US&amp;VAR:SYMBOL=K&amp;VAR:INDEX=0"}</definedName>
    <definedName name="_82__FDSAUDITLINK__" hidden="1">{"fdsup://directions/FAT Viewer?action=UPDATE&amp;creator=factset&amp;DYN_ARGS=TRUE&amp;DOC_NAME=FAT:FQL_AUDITING_CLIENT_TEMPLATE.FAT&amp;display_string=Audit&amp;VAR:KEY=BEBODWDSZK&amp;VAR:QUERY=Q1NGX0NPR1MoQU5OLDIwMDcp&amp;WINDOW=FIRST_POPUP&amp;HEIGHT=450&amp;WIDTH=450&amp;START_MAXIMIZED=FALS","E&amp;VAR:CALENDAR=US&amp;VAR:SYMBOL=K&amp;VAR:INDEX=0"}</definedName>
    <definedName name="_83__FDSAUDITLINK__" hidden="1">{"fdsup://directions/FAT Viewer?action=UPDATE&amp;creator=factset&amp;DYN_ARGS=TRUE&amp;DOC_NAME=FAT:FQL_AUDITING_CLIENT_TEMPLATE.FAT&amp;display_string=Audit&amp;VAR:KEY=VAHQFKHKJW&amp;VAR:QUERY=Q1NGX0NPR1MoQU5OLDIwMDYp&amp;WINDOW=FIRST_POPUP&amp;HEIGHT=450&amp;WIDTH=450&amp;START_MAXIMIZED=FALS","E&amp;VAR:CALENDAR=US&amp;VAR:SYMBOL=K&amp;VAR:INDEX=0"}</definedName>
    <definedName name="_84__FDSAUDITLINK__" hidden="1">{"fdsup://directions/FAT Viewer?action=UPDATE&amp;creator=factset&amp;DYN_ARGS=TRUE&amp;DOC_NAME=FAT:FQL_AUDITING_CLIENT_TEMPLATE.FAT&amp;display_string=Audit&amp;VAR:KEY=BAVSVYHYBU&amp;VAR:QUERY=Q1NGX0NPR1MoQU5OLDIwMDUp&amp;WINDOW=FIRST_POPUP&amp;HEIGHT=450&amp;WIDTH=450&amp;START_MAXIMIZED=FALS","E&amp;VAR:CALENDAR=US&amp;VAR:SYMBOL=K&amp;VAR:INDEX=0"}</definedName>
    <definedName name="_85__FDSAUDITLINK__" hidden="1">{"fdsup://directions/FAT Viewer?action=UPDATE&amp;creator=factset&amp;DYN_ARGS=TRUE&amp;DOC_NAME=FAT:FQL_AUDITING_CLIENT_TEMPLATE.FAT&amp;display_string=Audit&amp;VAR:KEY=ZKJMRYDQFW&amp;VAR:QUERY=Q1NGX0NPR1MoQU5OLDIwMDQp&amp;WINDOW=FIRST_POPUP&amp;HEIGHT=450&amp;WIDTH=450&amp;START_MAXIMIZED=FALS","E&amp;VAR:CALENDAR=US&amp;VAR:SYMBOL=K&amp;VAR:INDEX=0"}</definedName>
    <definedName name="_86__FDSAUDITLINK__" hidden="1">{"fdsup://directions/FAT Viewer?action=UPDATE&amp;creator=factset&amp;DYN_ARGS=TRUE&amp;DOC_NAME=FAT:FQL_AUDITING_CLIENT_TEMPLATE.FAT&amp;display_string=Audit&amp;VAR:KEY=TKHKLIPQLE&amp;VAR:QUERY=Q1NGX0NPR1MoQU5OLDIwMTAp&amp;WINDOW=FIRST_POPUP&amp;HEIGHT=450&amp;WIDTH=450&amp;START_MAXIMIZED=FALS","E&amp;VAR:CALENDAR=US&amp;VAR:SYMBOL=HSY&amp;VAR:INDEX=0"}</definedName>
    <definedName name="_87__FDSAUDITLINK__" hidden="1">{"fdsup://directions/FAT Viewer?action=UPDATE&amp;creator=factset&amp;DYN_ARGS=TRUE&amp;DOC_NAME=FAT:FQL_AUDITING_CLIENT_TEMPLATE.FAT&amp;display_string=Audit&amp;VAR:KEY=VWXEXIXAHO&amp;VAR:QUERY=Q1NGX0NPR1MoQU5OLDIwMDkp&amp;WINDOW=FIRST_POPUP&amp;HEIGHT=450&amp;WIDTH=450&amp;START_MAXIMIZED=FALS","E&amp;VAR:CALENDAR=US&amp;VAR:SYMBOL=HSY&amp;VAR:INDEX=0"}</definedName>
    <definedName name="_88__FDSAUDITLINK__" hidden="1">{"fdsup://directions/FAT Viewer?action=UPDATE&amp;creator=factset&amp;DYN_ARGS=TRUE&amp;DOC_NAME=FAT:FQL_AUDITING_CLIENT_TEMPLATE.FAT&amp;display_string=Audit&amp;VAR:KEY=TOHATYFAJE&amp;VAR:QUERY=Q1NGX0NPR1MoQU5OLDIwMDgp&amp;WINDOW=FIRST_POPUP&amp;HEIGHT=450&amp;WIDTH=450&amp;START_MAXIMIZED=FALS","E&amp;VAR:CALENDAR=US&amp;VAR:SYMBOL=HSY&amp;VAR:INDEX=0"}</definedName>
    <definedName name="_89__FDSAUDITLINK__" hidden="1">{"fdsup://directions/FAT Viewer?action=UPDATE&amp;creator=factset&amp;DYN_ARGS=TRUE&amp;DOC_NAME=FAT:FQL_AUDITING_CLIENT_TEMPLATE.FAT&amp;display_string=Audit&amp;VAR:KEY=XUDITCLUFU&amp;VAR:QUERY=Q1NGX0NPR1MoQU5OLDIwMDcp&amp;WINDOW=FIRST_POPUP&amp;HEIGHT=450&amp;WIDTH=450&amp;START_MAXIMIZED=FALS","E&amp;VAR:CALENDAR=US&amp;VAR:SYMBOL=HSY&amp;VAR:INDEX=0"}</definedName>
    <definedName name="_9__FDSAUDITLINK__" hidden="1">{"fdsup://directions/FAT Viewer?action=UPDATE&amp;creator=factset&amp;DYN_ARGS=TRUE&amp;DOC_NAME=FAT:FQL_AUDITING_CLIENT_TEMPLATE.FAT&amp;display_string=Audit&amp;VAR:KEY=IJSPGRGNSV&amp;VAR:QUERY=RkZfQ0FQRVgoQU5OLDIwMTAp&amp;WINDOW=FIRST_POPUP&amp;HEIGHT=450&amp;WIDTH=450&amp;START_MAXIMIZED=FALS","E&amp;VAR:CALENDAR=US&amp;VAR:SYMBOL=KFT&amp;VAR:INDEX=0"}</definedName>
    <definedName name="_90__FDSAUDITLINK__" hidden="1">{"fdsup://directions/FAT Viewer?action=UPDATE&amp;creator=factset&amp;DYN_ARGS=TRUE&amp;DOC_NAME=FAT:FQL_AUDITING_CLIENT_TEMPLATE.FAT&amp;display_string=Audit&amp;VAR:KEY=BSDATEZUHK&amp;VAR:QUERY=Q1NGX0NPR1MoQU5OLDIwMDYp&amp;WINDOW=FIRST_POPUP&amp;HEIGHT=450&amp;WIDTH=450&amp;START_MAXIMIZED=FALS","E&amp;VAR:CALENDAR=US&amp;VAR:SYMBOL=HSY&amp;VAR:INDEX=0"}</definedName>
    <definedName name="_91__FDSAUDITLINK__" hidden="1">{"fdsup://directions/FAT Viewer?action=UPDATE&amp;creator=factset&amp;DYN_ARGS=TRUE&amp;DOC_NAME=FAT:FQL_AUDITING_CLIENT_TEMPLATE.FAT&amp;display_string=Audit&amp;VAR:KEY=NUJMZMBOXO&amp;VAR:QUERY=Q1NGX0NPR1MoQU5OLDIwMDUp&amp;WINDOW=FIRST_POPUP&amp;HEIGHT=450&amp;WIDTH=450&amp;START_MAXIMIZED=FALS","E&amp;VAR:CALENDAR=US&amp;VAR:SYMBOL=HSY&amp;VAR:INDEX=0"}</definedName>
    <definedName name="_92__FDSAUDITLINK__" hidden="1">{"fdsup://directions/FAT Viewer?action=UPDATE&amp;creator=factset&amp;DYN_ARGS=TRUE&amp;DOC_NAME=FAT:FQL_AUDITING_CLIENT_TEMPLATE.FAT&amp;display_string=Audit&amp;VAR:KEY=FWZIXIRAFI&amp;VAR:QUERY=Q1NGX0NPR1MoQU5OLDIwMDQp&amp;WINDOW=FIRST_POPUP&amp;HEIGHT=450&amp;WIDTH=450&amp;START_MAXIMIZED=FALS","E&amp;VAR:CALENDAR=US&amp;VAR:SYMBOL=HSY&amp;VAR:INDEX=0"}</definedName>
    <definedName name="_93__FDSAUDITLINK__" hidden="1">{"fdsup://directions/FAT Viewer?action=UPDATE&amp;creator=factset&amp;DYN_ARGS=TRUE&amp;DOC_NAME=FAT:FQL_AUDITING_CLIENT_TEMPLATE.FAT&amp;display_string=Audit&amp;VAR:KEY=TSDYXUTOJA&amp;VAR:QUERY=Q1NGX0NPR1MoQU5OLDIwMTAp&amp;WINDOW=FIRST_POPUP&amp;HEIGHT=450&amp;WIDTH=450&amp;START_MAXIMIZED=FALS","E&amp;VAR:CALENDAR=US&amp;VAR:SYMBOL=HNZ&amp;VAR:INDEX=0"}</definedName>
    <definedName name="_94__FDSAUDITLINK__" hidden="1">{"fdsup://directions/FAT Viewer?action=UPDATE&amp;creator=factset&amp;DYN_ARGS=TRUE&amp;DOC_NAME=FAT:FQL_AUDITING_CLIENT_TEMPLATE.FAT&amp;display_string=Audit&amp;VAR:KEY=FKBCXSVMFI&amp;VAR:QUERY=Q1NGX0NPR1MoQU5OLDIwMDkp&amp;WINDOW=FIRST_POPUP&amp;HEIGHT=450&amp;WIDTH=450&amp;START_MAXIMIZED=FALS","E&amp;VAR:CALENDAR=US&amp;VAR:SYMBOL=HNZ&amp;VAR:INDEX=0"}</definedName>
    <definedName name="_95__FDSAUDITLINK__" hidden="1">{"fdsup://directions/FAT Viewer?action=UPDATE&amp;creator=factset&amp;DYN_ARGS=TRUE&amp;DOC_NAME=FAT:FQL_AUDITING_CLIENT_TEMPLATE.FAT&amp;display_string=Audit&amp;VAR:KEY=ZQRIBMLOBM&amp;VAR:QUERY=Q1NGX0NPR1MoQU5OLDIwMDgp&amp;WINDOW=FIRST_POPUP&amp;HEIGHT=450&amp;WIDTH=450&amp;START_MAXIMIZED=FALS","E&amp;VAR:CALENDAR=US&amp;VAR:SYMBOL=HNZ&amp;VAR:INDEX=0"}</definedName>
    <definedName name="_96__FDSAUDITLINK__" hidden="1">{"fdsup://directions/FAT Viewer?action=UPDATE&amp;creator=factset&amp;DYN_ARGS=TRUE&amp;DOC_NAME=FAT:FQL_AUDITING_CLIENT_TEMPLATE.FAT&amp;display_string=Audit&amp;VAR:KEY=VYDWFQZKXI&amp;VAR:QUERY=Q1NGX0NPR1MoQU5OLDIwMDcp&amp;WINDOW=FIRST_POPUP&amp;HEIGHT=450&amp;WIDTH=450&amp;START_MAXIMIZED=FALS","E&amp;VAR:CALENDAR=US&amp;VAR:SYMBOL=HNZ&amp;VAR:INDEX=0"}</definedName>
    <definedName name="_97__FDSAUDITLINK__" hidden="1">{"fdsup://directions/FAT Viewer?action=UPDATE&amp;creator=factset&amp;DYN_ARGS=TRUE&amp;DOC_NAME=FAT:FQL_AUDITING_CLIENT_TEMPLATE.FAT&amp;display_string=Audit&amp;VAR:KEY=TGTUZSHSZA&amp;VAR:QUERY=Q1NGX0NPR1MoQU5OLDIwMDYp&amp;WINDOW=FIRST_POPUP&amp;HEIGHT=450&amp;WIDTH=450&amp;START_MAXIMIZED=FALS","E&amp;VAR:CALENDAR=US&amp;VAR:SYMBOL=HNZ&amp;VAR:INDEX=0"}</definedName>
    <definedName name="_98__FDSAUDITLINK__" hidden="1">{"fdsup://directions/FAT Viewer?action=UPDATE&amp;creator=factset&amp;DYN_ARGS=TRUE&amp;DOC_NAME=FAT:FQL_AUDITING_CLIENT_TEMPLATE.FAT&amp;display_string=Audit&amp;VAR:KEY=VSPKPMVONG&amp;VAR:QUERY=Q1NGX0NPR1MoQU5OLDIwMDUp&amp;WINDOW=FIRST_POPUP&amp;HEIGHT=450&amp;WIDTH=450&amp;START_MAXIMIZED=FALS","E&amp;VAR:CALENDAR=US&amp;VAR:SYMBOL=HNZ&amp;VAR:INDEX=0"}</definedName>
    <definedName name="_99__FDSAUDITLINK__" hidden="1">{"fdsup://directions/FAT Viewer?action=UPDATE&amp;creator=factset&amp;DYN_ARGS=TRUE&amp;DOC_NAME=FAT:FQL_AUDITING_CLIENT_TEMPLATE.FAT&amp;display_string=Audit&amp;VAR:KEY=XSBEVSZQXW&amp;VAR:QUERY=Q1NGX0NPR1MoQU5OLDIwMDQp&amp;WINDOW=FIRST_POPUP&amp;HEIGHT=450&amp;WIDTH=450&amp;START_MAXIMIZED=FALS","E&amp;VAR:CALENDAR=US&amp;VAR:SYMBOL=HNZ&amp;VAR:INDEX=0"}</definedName>
    <definedName name="_abc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Acq1">[8]Inputs!$F$11</definedName>
    <definedName name="_bdm.004F82E472AE4A3E8CB967853942167F.edm" hidden="1" xml:space="preserve"> '[13]US Tobacco EV-EBITDA post-spin'!$A:$IV</definedName>
    <definedName name="_bdm.00F1CAEDB1474187B05D18C25C47CC46.edm" hidden="1">[14]IRI_SOUP!$A:$IV</definedName>
    <definedName name="_bdm.01F8906006E94A9BB88369D6FDCD26C0.edm" hidden="1">'[14]SALES Old'!$A:$IV</definedName>
    <definedName name="_bdm.02ABA6E5CCDF4C89842BC2B65A7CA03F.edm" hidden="1" xml:space="preserve">                                                                    [15]C2500!$A:$IV</definedName>
    <definedName name="_bdm.02E29E7B1053433EA3CCCBE4E5141596.edm" hidden="1">[16]Sheet1!$A:$IV</definedName>
    <definedName name="_bdm.0431866D4E8147249F4C8AAEF434118A.edm" hidden="1">[17]RAI_BS!$A:$IV</definedName>
    <definedName name="_bdm.050EB5DFCCC3450198BC1EE2D3BD3265.edm" hidden="1">'[15]Quarterly Leverage'!$IV$1</definedName>
    <definedName name="_bdm.05337F83103D4DEAAE9F26DF907C4423.edm" hidden="1" xml:space="preserve">                             '[15]C3400 (2)'!$A:$IV</definedName>
    <definedName name="_bdm.06BEA796CC2648A29DFC28CE81679921.edm" hidden="1" xml:space="preserve">      '[18]IS Quarterly'!$A:$IV</definedName>
    <definedName name="_bdm.08BC4D22F4EF4BD7808A43FF01CBD027.edm" hidden="1">'[19]Fwd PE vs. Staples 2005'!$A:$IV</definedName>
    <definedName name="_bdm.08E3DCC180CE4B3089C30CBE4CC309F0.edm" hidden="1">'[15]Pricing Impact'!$A:$IV</definedName>
    <definedName name="_bdm.095015CC33C949A9943C7DFFA029DC4A.edm" hidden="1" xml:space="preserve">                '[20]Preview CURRENT'!$A:$IV</definedName>
    <definedName name="_bdm.0A4FF775F5774977991AAE93D7F12284.edm" hidden="1">'[19]Valuation Summary'!$A:$IV</definedName>
    <definedName name="_bdm.0ACEB39856D442D282F94FF56FFAFBE3.edm" hidden="1" xml:space="preserve"> '[13]Total return chart 4'!$A:$IV</definedName>
    <definedName name="_bdm.0B3F823BE2384DF1B6C0DDB12EAD47B9.edm" hidden="1">[21]Valuation!$A:$IV</definedName>
    <definedName name="_bdm.0B53437E4D074B2DA5D33825775E5974.edm" hidden="1">'[19]2000 Sector PE2'!$A:$IV</definedName>
    <definedName name="_bdm.0D238433A18345EDB80C599198C40638.edm" hidden="1">[14]IRI_RTS!$A:$IV</definedName>
    <definedName name="_bdm.0E1FB0ADA41B49C4A55DCE5250BB2F47.edm" hidden="1" xml:space="preserve"> '[13]Total return chart 2'!$A:$IV</definedName>
    <definedName name="_bdm.0E36DD3CAEB44B029A3E73F9037C60D6.edm" hidden="1" xml:space="preserve">      '[18]Sheet1 (2)'!$A:$IV</definedName>
    <definedName name="_bdm.1181E25FEC3F4749B3B3FE220FD97A1C.edm" hidden="1">[15]C1071!$IV$1</definedName>
    <definedName name="_bdm.1191B59C84DD4A5199A8968FB187AE26.edm" hidden="1" xml:space="preserve">      '[18]Preview CURRENT'!$A:$IV</definedName>
    <definedName name="_bdm.11C561ABC9AF4B3289E9B3EFFC7EAD66.edm" hidden="1" xml:space="preserve">                                                                                                                                                                 [15]Sheet6!$A:$IV</definedName>
    <definedName name="_bdm.1213FE9C7126428285A855CC8F3CA5E4.edm" hidden="1">'[22]Tables for notes'!$A:$IV</definedName>
    <definedName name="_bdm.123673250BDC4D1EB4E76BE955858466.edm" hidden="1">'[15]Quarterly Leverage'!$IV$1</definedName>
    <definedName name="_bdm.12E9845348264607BE31B97840CE6BD5.edm" hidden="1">'[15]Russia - PM Premium Vol Growth'!$IV$1</definedName>
    <definedName name="_bdm.139A6CB0A89D42C58CA3D70EDEA093E6.edm" hidden="1">[23]OverallGrowth!$A:$IV</definedName>
    <definedName name="_bdm.156043627C8B4DBF8D04B5A852FD0D00.edm" hidden="1">'[21]Urology &amp; Gynaecology'!$A:$IV</definedName>
    <definedName name="_bdm.15B01301D38D4E0EA48B6F97379969D4.edm" hidden="1" xml:space="preserve">      [18]Sheet1!$A:$IV</definedName>
    <definedName name="_bdm.160E63AEEA49498789DB3C6CC7A6E735.edm" hidden="1">'[24]Cash Flow'!$A:$IV</definedName>
    <definedName name="_bdm.166B85CC575A4C2BAA39D329AECAF7C2.edm" hidden="1">[15]L2005!$IV$1</definedName>
    <definedName name="_bdm.19245141AB4C4DEC9C4CBDB45A34437A.edm" hidden="1" xml:space="preserve"> '[13]US Tobacco EV-EBITDA post-s (5)'!$A:$IV</definedName>
    <definedName name="_bdm.19A3C36B56B24D31A96FA6C5AE545E83.edm" hidden="1">'[25]Financial Summary'!$A:$IV</definedName>
    <definedName name="_bdm.1A996FBFD1FC4B9AB512C11F93836301.edm" hidden="1" xml:space="preserve"> '[13]Industry Relative PE2'!$A:$IV</definedName>
    <definedName name="_bdm.1ACB2C145B154F9E9352ADE5362D9CE8.edm" hidden="1">[15]Pricing!$IV$1</definedName>
    <definedName name="_bdm.1B4264E70D2449F389272027212ED0A5.edm" hidden="1">'[24]Balance Sheet'!$A:$IV</definedName>
    <definedName name="_bdm.1BFAE520EF99483F877127704CE6D3EC.edm" hidden="1">[14]IRI_Condensed!$A:$IV</definedName>
    <definedName name="_bdm.1DA8050A51034B6CABBF43EC6D7EF376.edm" hidden="1" xml:space="preserve"> '[13]Industry Relative PE2'!$A:$IV</definedName>
    <definedName name="_bdm.1DD80DF39FC244C0A8A275FCE8455180.edm" hidden="1" xml:space="preserve">          [19]R2000!$A:$IV</definedName>
    <definedName name="_bdm.1DED84ED321C4E268253309C96D01093.edm" hidden="1">'[26]P&amp;L'!$A:$IV</definedName>
    <definedName name="_bdm.1E1C25276E314FC7923C62D151713D0B.edm" hidden="1" xml:space="preserve"> '[13]US Tobacco PE Rel to SP500'!$A:$IV</definedName>
    <definedName name="_bdm.1E4907CC4EB84BEF86BA904F6F30AFA8.edm" hidden="1" xml:space="preserve">                               '[15]EU Price Gaps'!$A:$IV</definedName>
    <definedName name="_bdm.1ECA09EBBF0E4256A19746757E15BB40.edm" hidden="1">'[27]DF FCF Walk'!$A:$IV</definedName>
    <definedName name="_bdm.1F0AFA36DA76463482827051B1420B6E.edm" hidden="1">[15]Pricing!$IV$1</definedName>
    <definedName name="_bdm.214563592B1B451D94511CAF9A9BE328.edm" hidden="1" xml:space="preserve"> '[13]US Tobacco EV-EBITDA post-spin'!$A:$IV</definedName>
    <definedName name="_bdm.219723A99FB24D4AA7C57A5A43C913B8.edm" hidden="1">'[25]BCT - Navigant'!$A:$IV</definedName>
    <definedName name="_bdm.21F97590B625451BA749E6350B7F780E.edm" hidden="1">'[15]Quarterly Repo'!$A:$IV</definedName>
    <definedName name="_bdm.25411ED0C71B401C8AF3BE929823BB47.edm" hidden="1">'[15]Organic Volume-OCI Growth'!$IV$1</definedName>
    <definedName name="_bdm.255A41EA4AEB46C98C2FFE0C9CE0CEB9.edm" hidden="1" xml:space="preserve">  [15]Sheet2!$A:$IV</definedName>
    <definedName name="_bdm.256149C917A34B6DA898DE8AC61E8D74.edm" hidden="1">'[24]Revenue Model'!$A:$IV</definedName>
    <definedName name="_bdm.261112BAE8204F8280374C78A1E02552.edm" hidden="1" xml:space="preserve"> '[28]Organic Milk Market Share Chart'!$A:$IV</definedName>
    <definedName name="_bdm.275D5A66E8864101A4973C6DAB6BDC26.edm" hidden="1" xml:space="preserve">                                                                                                                        '[15]Key Market share summary'!$A:$IV</definedName>
    <definedName name="_bdm.292DD9F1FF5E47029C303FEBB7E38F72.edm" hidden="1">'[15]L2005 (3)'!$IV$1</definedName>
    <definedName name="_bdm.2A0FE0B72CAD420796BEEA22D6B3B077.edm" hidden="1">'[6]BAL SHEET'!$A:$IV</definedName>
    <definedName name="_bdm.2A1A8AC2EA174B03911CB376ED7C9BA5.edm" hidden="1" xml:space="preserve">      '[18]IS Quarterly'!$A:$IV</definedName>
    <definedName name="_bdm.2AA8F777D8B04F84A33A3886C8DE66D2.edm" hidden="1" xml:space="preserve">                                                                                                    '[15]Regional Mix by Company'!$A:$IV</definedName>
    <definedName name="_bdm.2B18F5F448C142408B9737E84B54492B.edm" hidden="1">[22]Fruit!$A:$IV</definedName>
    <definedName name="_bdm.2E276F4CDDEE491FB493D8F054FC9936.edm" hidden="1">[14]IS!$A:$IV</definedName>
    <definedName name="_bdm.2E7FA35FD3A4420C874AE53FC680F6F6.edm" hidden="1">[15]L2005!$IV$1</definedName>
    <definedName name="_bdm.2F04D232E330406D9D90DEDA0858009B.edm" hidden="1" xml:space="preserve"> '[13]US Tobacco EV-EBITDA post-s (5)'!$A:$IV</definedName>
    <definedName name="_bdm.2F0F436AD6F5487BA7E8EE959CF1250D.edm" hidden="1" xml:space="preserve"> '[13]EV-EBITDA US Only'!$A:$IV</definedName>
    <definedName name="_bdm.31C9E6C86BBB463E9B59155FB154BD43.edm" hidden="1" xml:space="preserve">                    '[19]Front Page'!$A:$IV</definedName>
    <definedName name="_bdm.327ED4CBECD442418DE900068BCD55C5.edm" hidden="1" xml:space="preserve">  '[15]Organic Volume-OCI Growth'!$A:$IV</definedName>
    <definedName name="_bdm.3300928266314A558A5EA09CFDDE6E98.edm" hidden="1" xml:space="preserve">      '[11]IS Quarterly'!$A:$IV</definedName>
    <definedName name="_bdm.3354894BC54346CD8C68234ED9E7CAF8.edm" hidden="1" xml:space="preserve">          '[19]Front Page'!$A:$IV</definedName>
    <definedName name="_bdm.33D0DB969D014B229B9CDDCBD389FCAF.edm" hidden="1" xml:space="preserve">                                                                '[15]Key Market share summary'!$A:$IV</definedName>
    <definedName name="_bdm.35ACF92D640F4FE78B619703E9117837.edm" hidden="1" xml:space="preserve">                                                                                                                        '[15]Org Growth'!$A:$IV</definedName>
    <definedName name="_bdm.36AA7562549E487590FBFD9BC7A0802F.edm" hidden="1">'[21]P&amp;L'!$A:$IV</definedName>
    <definedName name="_bdm.37067B1A3F79498988F5D69D3294234E.edm" hidden="1">[14]IRI_Cookies!$A:$IV</definedName>
    <definedName name="_bdm.38027C2FE1584F0C875A38C6D258DF53.edm" hidden="1">'[15]Quarterly Leverage'!$IV$1</definedName>
    <definedName name="_bdm.38C292F73EBA41C79A81D0B1A079538E.edm" hidden="1" xml:space="preserve">                                 '[15]Volume Decline Market Breakdown'!$A:$IV</definedName>
    <definedName name="_bdm.39594D0B43B94D48AD1A9F1F0115C804.edm" hidden="1">'[15]Organic Volume-OCI Growth (2)'!$IV$1</definedName>
    <definedName name="_bdm.3A2DE73C00304816B279121FD26526AA.edm" hidden="1">[23]PE_Growth_Scatter!$IV$1</definedName>
    <definedName name="_bdm.3A45EB024005448386335373B062971C.edm" hidden="1" xml:space="preserve">      '[18]1Q11 Preview'!$A:$IV</definedName>
    <definedName name="_bdm.3A51A67E21304190A00B3DD6646D2FCC.edm" hidden="1">[14]IRI_Crackers!$A:$IV</definedName>
    <definedName name="_bdm.3B193084C89A421098906F09D60E065A.edm" hidden="1">[15]L2005!$IV$1</definedName>
    <definedName name="_bdm.3B28A83B1C984E59AF48933D46773345.edm" hidden="1">[15]C1001!$IV$1</definedName>
    <definedName name="_bdm.3B34C3F36F47422FA1F5D06B8C1480BA.edm" hidden="1" xml:space="preserve">  [15]Sheet2!$A:$IV</definedName>
    <definedName name="_bdm.3E0955313026406EBA42B9A650532C05.edm" hidden="1">'[25]Balance Sheet'!$A:$IV</definedName>
    <definedName name="_bdm.40039FB0B3704EC286E9AD3FD51DB0B7.edm" hidden="1">'[29]Upgrade charts'!$A:$IV</definedName>
    <definedName name="_bdm.4145915199384EBABAB064AFB3B2AF35.edm" hidden="1">[23]GIS!$A:$IV</definedName>
    <definedName name="_bdm.417AE618BBD14F3F80D91FBE759BFAC2.edm" hidden="1" xml:space="preserve">      [18]Sheet1!$A:$IV</definedName>
    <definedName name="_bdm.41C4E5074F0B440FA723088627ECA83C.edm" hidden="1">[30]Sheet3!$A:$IV</definedName>
    <definedName name="_bdm.41E1D173E48E4EA5B079F34CDF11DB68.edm" hidden="1" xml:space="preserve">  '[15]Organic Volume-OCI Growth'!$A:$IV</definedName>
    <definedName name="_bdm.42AD0750D4F34261AFF8129FC7590B15.edm" hidden="1" xml:space="preserve">  '[15]OCI Split By Region'!$A:$IV</definedName>
    <definedName name="_bdm.4313A7002BED45338EE45F4959135D86.edm" hidden="1">'[15]Cash Returns Chart'!$IV$1</definedName>
    <definedName name="_bdm.43EC14C03BE44910B3010E52E514DA77.edm" hidden="1">'[19]Costs v. Volume'!$A:$IV</definedName>
    <definedName name="_bdm.44EC9C9463AA42CDBB89C032BB167BBF.edm" hidden="1" xml:space="preserve"> '[13]US Tobacco EV-EBITDA post-spin'!$A:$IV</definedName>
    <definedName name="_bdm.462C671541D3430AAF58B624F8BC58E6.edm" hidden="1" xml:space="preserve"> '[13]Total return chart 4'!$A:$IV</definedName>
    <definedName name="_bdm.4680BDEE24CC4FCFB06DA6887AB88541.edm" hidden="1" xml:space="preserve"> '[13]NTM PE US Only'!$A:$IV</definedName>
    <definedName name="_bdm.47A38DB20AFE4849BBF96E9A3D576E14.edm" hidden="1">[19]PE!$A:$IV</definedName>
    <definedName name="_bdm.484C0178BA5B493482D94A0675C13042.edm" hidden="1">'[24]P&amp;L'!$A:$IV</definedName>
    <definedName name="_bdm.4859114C6D00425E92FFB9D4B5D2C581.edm" hidden="1">'[15]Annual Repo'!$IV$1</definedName>
    <definedName name="_bdm.492002F5E61E4F3BA9BEC2D3311CC4F1.edm" hidden="1">'[15]Organic Volume-OCI Growth (2)'!$IV$1</definedName>
    <definedName name="_bdm.4973B7F864AC4AA78DCA1FA4388DEB86.edm" hidden="1">'[26]Tables for notes'!$A:$IV</definedName>
    <definedName name="_bdm.4A56BDC9D3164CA6ABCD7AA862D50CC2.edm" hidden="1">[14]ROIC!$A:$IV</definedName>
    <definedName name="_bdm.4C809C07A48C495FB93C3619C76B4094.edm" hidden="1">'[25]Cash Flow'!$A:$IV</definedName>
    <definedName name="_bdm.4CC5709389984FFDAEFEA4DF47B809A3.edm" hidden="1">'[19]Dividend Yields Over 10YR'!$A:$IV</definedName>
    <definedName name="_bdm.4DA0EFC14FB94FB096CC800F088EEE10.edm" hidden="1" xml:space="preserve">                                                                                                  '[15]Share Growth Contribution'!$A:$IV</definedName>
    <definedName name="_bdm.4EA3A972B89B41CD9FEA8C7E7030E32A.edm" hidden="1">[14]Segment_Data!$A:$IV</definedName>
    <definedName name="_bdm.4EB72688B5574BE4BC787ED2C5B5CB73.edm" hidden="1">[15]Pricing!$IV$1</definedName>
    <definedName name="_bdm.4FC9ABA395264209A6C00EE6A573D214.edm" hidden="1">[19]L1000!$A:$IV</definedName>
    <definedName name="_bdm.4FE861B3FFD44715AEEBB9D8C2B30036.edm" hidden="1">[21]Sensitivity!$A:$IV</definedName>
    <definedName name="_bdm.50A40AF85B934138840ED8655429F306.edm" hidden="1" xml:space="preserve">      '[18]IS Quarterly'!$A:$IV</definedName>
    <definedName name="_bdm.515C94E09BBC415ABC0B430891F75891.edm" hidden="1">[15]L2005!$IV$1</definedName>
    <definedName name="_bdm.51D53338B1CE44AE845D66F4041006E1.edm" hidden="1">'[15]Organic Volume-OCI Growth (2)'!$IV$1</definedName>
    <definedName name="_bdm.5328DDCDBAD7480CB925F2CE9EF3CB02.edm" hidden="1" xml:space="preserve">      '[18]IS Quarterly'!$A:$IV</definedName>
    <definedName name="_bdm.53DEFC2B9E324CE98FEF870D11E2E182.edm" hidden="1">'[15]Russia - PM Premium Vol Growth'!$IV$1</definedName>
    <definedName name="_bdm.53E19E04A5C04C729ED4BDE9AD56AF79.edm" hidden="1" xml:space="preserve"> '[13]US Tobacco PE'!$A:$IV</definedName>
    <definedName name="_bdm.54EED85B916F4258A235E80154C24507.edm" hidden="1">[31]CPB!$A:$IV</definedName>
    <definedName name="_bdm.55321C6E0D2E4A5D8D808C9043E12EA9.edm" hidden="1">'[17]MWA RR'!$A:$IV</definedName>
    <definedName name="_bdm.55ACA67E3F2842ADA0A8733D9ADC5F6D.edm" hidden="1">[15]C2500!$IV$1</definedName>
    <definedName name="_bdm.55AF8F6A17484271B1980A131B91F95F.edm" hidden="1">'[15]Cash Returns Chart'!$IV$1</definedName>
    <definedName name="_bdm.5607217BC4B041C6A0D60C2980F12114.edm" hidden="1" xml:space="preserve">         '[18]Sheet1 (2)'!$A:$IV</definedName>
    <definedName name="_bdm.56648171583143E6ACA6BAA0EC7CF3EE.edm" hidden="1">[17]RAI_CF!$A:$IV</definedName>
    <definedName name="_bdm.579B988055564D43852599617FE5D0B7.edm" hidden="1">[15]L2005!$IV$1</definedName>
    <definedName name="_bdm.581C4048578841A6AA615CE97A091148.edm" hidden="1" xml:space="preserve"> '[13]NTM PE US Only'!$A:$IV</definedName>
    <definedName name="_bdm.59B93557328343B8BD2810E7B7886885.edm" hidden="1">'[15]Cash Returns Chart'!$IV$1</definedName>
    <definedName name="_bdm.59DAE95C438A45BCAAC5BE8FD0F1D4C4.edm" hidden="1">[32]ShareChart!$A:$IV</definedName>
    <definedName name="_bdm.5A4EDF5344704700BC9D0E02E8A0869B.edm" hidden="1">#REF!</definedName>
    <definedName name="_bdm.5A9E1FA2C9A34E6BA2A51BD01290A1EE.edm" hidden="1">'[19]Dividend Increases'!$A:$IV</definedName>
    <definedName name="_bdm.5AA0AA4430D44613935CDC0CEFF44DB5.edm" hidden="1" xml:space="preserve"> '[13]PM v US Tobacco 2'!$A:$IV</definedName>
    <definedName name="_bdm.5C9B90EE51304570851FAE702E0A4997.edm" hidden="1" xml:space="preserve"> '[13]US Tobacco PE Rel to SP Staples'!$A:$IV</definedName>
    <definedName name="_bdm.5CB0062C52D04A65898EDCA5637DA4B0.edm" hidden="1">'[30]FOR NOTE'!$A:$IV</definedName>
    <definedName name="_bdm.5D63F7530BB24112A9DEA08B775B9623.edm" hidden="1" xml:space="preserve"> '[13]Total return chart 2'!$A:$IV</definedName>
    <definedName name="_bdm.5E441393E6364BEDB9BBF4D601777982.edm" hidden="1">[23]EMDMGrowth!$A:$IV</definedName>
    <definedName name="_bdm.5EB5FD89CB0B46448B93A368F6AEE215.edm" hidden="1">'[15]Annual Repo'!$IV$1</definedName>
    <definedName name="_bdm.5EC4E60A19BA41F1A220CD999E5CD6BC.edm" hidden="1">'[21]Cash Flow'!$A:$IV</definedName>
    <definedName name="_bdm.6222FC7C657E4F6D973E38CCF4F2E006.edm" hidden="1">[17]RAI_IS!$A:$IV</definedName>
    <definedName name="_bdm.63831ABF8F9C4B03A7CA1EAD28DC0A07.edm" hidden="1">'[15]FX EBIT Impact'!$A:$IV</definedName>
    <definedName name="_bdm.64D4D31BE10E479E8BFF8F4EE76F91F8.edm" hidden="1" xml:space="preserve">      '[18]Sheet1 (2)'!$A:$IV</definedName>
    <definedName name="_bdm.65CEDB9B7B9647F194D0762A42D781EF.edm" hidden="1">[26]BHI!$A:$IV</definedName>
    <definedName name="_bdm.65DC0EC2876A4C8E9DB36AE335D268C1.edm" hidden="1" xml:space="preserve"> '[13]EV-EBITDA US Only'!$A:$IV</definedName>
    <definedName name="_bdm.679B151C810B47ACB68B404D563E417B.edm" hidden="1">'[19]Call-out'!$A:$IV</definedName>
    <definedName name="_bdm.67A622A3630748AB871FA73149D780FF.edm" hidden="1">[14]GEOGRAPHY!$A:$IV</definedName>
    <definedName name="_bdm.697F31BF71F24F678A576D22E3F37698.edm" hidden="1">[33]cashflow!$A:$IV</definedName>
    <definedName name="_bdm.69EF9011438843429DC57C19555A23A6.edm" hidden="1">'[15]C3400 (3)'!$IV$1</definedName>
    <definedName name="_bdm.6AB3823FDCA34C099B07300EF90F43FA.edm" hidden="1">'[19]Div Yield Spread'!$A:$IV</definedName>
    <definedName name="_bdm.6B624D66BD1144DEACC5CC1E250B1D96.edm" localSheetId="4" hidden="1">BS!$A$8:$P$69</definedName>
    <definedName name="_bdm.6BF40283E9C04644B95B8469E01DA5B7.edm" hidden="1">'[26]Earnings Drive'!$A:$IV</definedName>
    <definedName name="_bdm.6CC8B71BF7054D0FA9FC44412F060CA3.edm" hidden="1" xml:space="preserve"> '[13]NTM PE US Only'!$A:$IV</definedName>
    <definedName name="_bdm.6D332C55DF0C450E91787BD86CDAB583.edm" hidden="1">'[15]Initiation charts'!$A:$IV</definedName>
    <definedName name="_bdm.6D46124956A0402AA7673C586B7DACC9.edm" hidden="1" xml:space="preserve"> '[13]LO EV-EBITDA vs RAI'!$A:$IV</definedName>
    <definedName name="_bdm.6DC13A2FCBB842EC88A5AFF02F75B9F3.edm" hidden="1">[21]RI!$A:$IV</definedName>
    <definedName name="_bdm.6E34A1B9195A4C449C557F910EC95C86.edm" hidden="1">'[34]big report'!$A:$IV</definedName>
    <definedName name="_bdm.6E97B9E336094E80AD9704F07B0649EC.edm" hidden="1" xml:space="preserve"> '[13]US Tobacco PE Rel to SP Staples'!$A:$IV</definedName>
    <definedName name="_bdm.7073E98A91B042169CF2AAE6436919FC.edm" hidden="1">[29]QTRLY_COMBINED!$A:$IV</definedName>
    <definedName name="_bdm.72A9A49A5FB54913BEEF337B1E34A704.edm" hidden="1" xml:space="preserve">      '[18]IS Quarterly'!$A:$IV</definedName>
    <definedName name="_bdm.72F04C1F592C4763B6691FE6F195F511.edm" hidden="1" xml:space="preserve"> '[13]Total return chart 1'!$A:$IV</definedName>
    <definedName name="_bdm.73409849E6B04ECE9A8420EB0F90A1D8.edm" hidden="1">'[15]Cash Returns Chart'!$IV$1</definedName>
    <definedName name="_bdm.74BAB37C0632429BB1965C5D6946DFA0.edm" hidden="1" xml:space="preserve">                                                                                                                                                                [15]Sheet5!$A:$IV</definedName>
    <definedName name="_bdm.74E4DA309691480F90859E34B08FCBC0.edm" hidden="1" xml:space="preserve">                                                                                                                                                                 '[15]Volume Decline Market Breakdown'!$A:$IV</definedName>
    <definedName name="_bdm.74F2786B82404404B74761D8EF7A379F.edm" hidden="1" xml:space="preserve"> '[13]US Tobacco EV-EBITDA post-s (2)'!$A:$IV</definedName>
    <definedName name="_bdm.76E184D2112C4659915D5B52B2B33E9D.edm" hidden="1" xml:space="preserve"> '[13]US Tobacco EV-EBITDA post-s (5)'!$A:$IV</definedName>
    <definedName name="_bdm.7858812972E04EB5B421A4E72106D930.edm" hidden="1">'[19]2008 Sector PE2'!$A:$IV</definedName>
    <definedName name="_bdm.79CAE5BD6A034787AE2FC855A12336BB.edm" hidden="1" xml:space="preserve">                                                                    '[15]Volume Decline Market Breakdown'!$A:$IV</definedName>
    <definedName name="_bdm.7B0E7E258EE54981A4C4379D6A89E26D.edm" hidden="1" xml:space="preserve">      '[18]IS Quarterly'!$A:$IV</definedName>
    <definedName name="_bdm.7B231EEBAE3B48718261B6F719D3D0AB.edm" hidden="1" xml:space="preserve">      '[11]IS Quarterly'!$A:$IV</definedName>
    <definedName name="_bdm.7BD016AAE53546DFB0F09562A3DCF548.edm" hidden="1" xml:space="preserve">                                                                    '[15]PM Overall SOM'!$A:$IV</definedName>
    <definedName name="_bdm.7CDA8F7BADF64A16BC605BB57F6FD725.edm" hidden="1" xml:space="preserve">                              '[15]Organic Volume-OCI Growth (2)'!$A:$IV</definedName>
    <definedName name="_bdm.7E628D60F28A45B5B8D9D743CE91FA2E.edm" hidden="1" xml:space="preserve">                                                                                             '[15]C3400 (3)'!$A:$IV</definedName>
    <definedName name="_bdm.7F9938B068604E569ADDFCA3AE03C358.edm" hidden="1" xml:space="preserve">                                                                                                '[15]Key Market share summary'!$A:$IV</definedName>
    <definedName name="_bdm.82D8C4D6225F4FC6B7AE865EC111C93E.edm" localSheetId="3" hidden="1">IS!$A$8:$BD$78</definedName>
    <definedName name="_bdm.831DFA8E2CC6422CBC92C284585A9E90.edm" hidden="1">[15]C2500!$IV$1</definedName>
    <definedName name="_bdm.840F4BE856FD4FE09A0A55A74C58EE16.edm" hidden="1" xml:space="preserve">                                                                                                                                                                                    '[15]Leverage Calcs_Reported'!$A:$IV</definedName>
    <definedName name="_bdm.842E44D2366248CD9C5F90A9DE8015D0.edm" hidden="1">'[15]Cash Returns Chart'!$IV$1</definedName>
    <definedName name="_bdm.848E6215BC7B4F3FAAF03EEB88BEC22D.edm" hidden="1">[31]Total_Food_Promo!$A:$IV</definedName>
    <definedName name="_bdm.8583A0C05AFC4BB997BFBB96ED76BC44.edm" hidden="1">[14]BS!$A:$IV</definedName>
    <definedName name="_bdm.86C0ACFFA6144521BBFFF7DF4D8E98E7.edm" hidden="1">'[26]Summary Charts'!$A:$IV</definedName>
    <definedName name="_bdm.88B802999E714C539638A5BF25955D9B.edm" hidden="1" xml:space="preserve"> '[13]US Tobacco EV-EBITDA post-s (5)'!$A:$IV</definedName>
    <definedName name="_bdm.898021A1EB2040C98F6677D2F898CCB0.edm" hidden="1">[31]CPB_2yr!$A:$IV</definedName>
    <definedName name="_bdm.89A38750217F44BAAA7B126B5C09A3DD.edm" hidden="1" xml:space="preserve">          '[19]Front Page'!$A:$IV</definedName>
    <definedName name="_bdm.8AA1C43EA3684222800AD6DF2361D186.edm" hidden="1">[21]ENT!$A:$IV</definedName>
    <definedName name="_bdm.8B7BD849F8E042B6B0D7E87A3B83E25A.edm" hidden="1">[14]CF!$A:$IV</definedName>
    <definedName name="_bdm.8BD8BA1E4EC04DDB89C4BDA0E2370C21.edm" hidden="1">'[15]FX Impact EPS v2'!$IV$1</definedName>
    <definedName name="_bdm.8D3DE101F7A64914B149CF8261A3DFD3.edm" localSheetId="4" hidden="1">BS!$1:$1048576</definedName>
    <definedName name="_bdm.8D3DFC59E6FA4212A52CE958A1371F52.edm" hidden="1" xml:space="preserve"> '[13]US Tobacco EV-EBITDA post-spin'!$A:$IV</definedName>
    <definedName name="_bdm.8D78E835B23241089E015EC61659E6D4.edm" hidden="1">[14]Report!$A:$IV</definedName>
    <definedName name="_bdm.8D8B83237C7744608349A50871FF1B42.edm" hidden="1">'[15]Quarterly Leverage'!$IV$1</definedName>
    <definedName name="_bdm.8E3457EC78D3420C819DC3B2D63D0A09.edm" hidden="1">'[19]L1000 (2)'!$IV$1</definedName>
    <definedName name="_bdm.8EF118A936CF4E2092A64936FED467F7.edm" hidden="1">[17]Sheet1!$A:$IV</definedName>
    <definedName name="_bdm.8FB212DD90AF447184E1DF05CCB7008A.edm" hidden="1" xml:space="preserve">         '[18]IS Quarterly'!$A:$IV</definedName>
    <definedName name="_bdm.903BEA7EFC7E449083E171C3914A08E0.edm" hidden="1" xml:space="preserve">  '[15]Regional Mix by Company'!$A:$IV</definedName>
    <definedName name="_bdm.946B7F4EEA5E495593DB5CAC12ECF457.edm" hidden="1">[33]balance!$A:$IV</definedName>
    <definedName name="_bdm.94A9CF8DD2C94787855FFBC36251ED48.edm" hidden="1">'[24]Financial Summary'!$A:$IV</definedName>
    <definedName name="_bdm.95D97703F0B44275930D649261210A38.edm" hidden="1">'[28]Organic Milk Market Share Chart'!$A:$IV</definedName>
    <definedName name="_bdm.96F576FE0DDC45699E2763AAE473AC17.edm" hidden="1" xml:space="preserve">  '[15]Cash Returns Chart'!$A:$IV</definedName>
    <definedName name="_bdm.97E2A1324A9C44AA93D3ADF2AB9952BD.edm" hidden="1" xml:space="preserve">                                                                     [15]C2500!$A:$IV</definedName>
    <definedName name="_bdm.984D515152A340888EDA8DD157A8356B.edm" hidden="1" xml:space="preserve"> '[13]PM v US Tobacco 2'!$A:$IV</definedName>
    <definedName name="_bdm.990E426947EA4BA295067A5D4F92BAB9.edm" hidden="1" xml:space="preserve"> '[13]RAI NTM PE'!$A:$IV</definedName>
    <definedName name="_bdm.99213745640F44A093570D399400C6B2.edm" hidden="1" xml:space="preserve"> '[13]US Tobacco EV-EBITDA post-s (2)'!$A:$IV</definedName>
    <definedName name="_bdm.99E3C789E8CC440AB30DB9FCFC3E5CDE.edm" hidden="1" xml:space="preserve"> '[13]US Tobacco EV-EBITDA post-s (3)'!$A:$IV</definedName>
    <definedName name="_bdm.9A77C43ADB6F4914891D317F31E72930.edm" hidden="1">'[25]EBIT analysis'!$A:$IV</definedName>
    <definedName name="_bdm.9C52D5DE5F2F4FA68D5FD483A826906B.edm" hidden="1">'[19]WITP Summary'!$A:$IV</definedName>
    <definedName name="_bdm.9CCE99E8901F4C1B916453C1AD414306.edm" hidden="1">[35]Commodity!$A:$IV</definedName>
    <definedName name="_bdm.9CF1EC782CA246C5B743B60E78EFF75A.edm" hidden="1">[36]L2005!$A:$IV</definedName>
    <definedName name="_bdm.9DBD8933A435479A8A8A7AD079B5B83F.edm" hidden="1" xml:space="preserve">     '[13]EV-EBITDA Chart'!$A:$IV</definedName>
    <definedName name="_bdm.9E04F6A73BFB4FC6B36F14055BB521B8.edm" localSheetId="3" hidden="1">IS!$A$8:$DK$61</definedName>
    <definedName name="_bdm.9E3435CFDF7E42188CC6D9334EC6568E.edm" hidden="1" xml:space="preserve">  '[15]Top 10 Markets'!$A:$IV</definedName>
    <definedName name="_bdm.9FD35D4351AB40B1BE8C2BD3B83E9FBF.edm" hidden="1" xml:space="preserve">                                                                                                 '[15]L2005 (2)'!$A:$IV</definedName>
    <definedName name="_bdm.A077FB67B38643B9953264CA900F4992.edm" hidden="1">'[15]Top 10 Markets'!$IV$1</definedName>
    <definedName name="_bdm.A0DC2E73A33540C88C7AF3BE12B55E4A.edm" hidden="1">[36]C2000!$A:$IV</definedName>
    <definedName name="_bdm.A0F3C3A4D49940A482231383AE73EE60.edm" hidden="1">[14]Sales!$A:$IV</definedName>
    <definedName name="_bdm.A106504CA66B47B7904CEFF9C0B62489.edm" hidden="1">'[15]FX Impact EPS v2'!$IV$1</definedName>
    <definedName name="_bdm.A235E07DDECA4D898BAA68CC2BCFAAFB.edm" hidden="1">'[14]SALES _Old'!$A:$IV</definedName>
    <definedName name="_bdm.A45FCE8191094D43B73736C93B4426BB.edm" hidden="1" xml:space="preserve">                                                                                                                                                                '[15]Key Market share summary'!$A:$IV</definedName>
    <definedName name="_bdm.A4D62BD4F6504082AD9CE13FC67F31E8.edm" hidden="1">'[19]Div Quadrants'!$A:$IV</definedName>
    <definedName name="_bdm.A4F6C087CB9048BFB199D62F30209610.edm" hidden="1">[15]L2005!$IV$1</definedName>
    <definedName name="_bdm.A5F075227996461B86D188C13D7DC27F.edm" hidden="1">'[21]Financial Summary'!$A:$IV</definedName>
    <definedName name="_bdm.A7446514FA9E4FAC99880144283835EF.edm" hidden="1">'[37]Bad debt'!$A:$IV</definedName>
    <definedName name="_bdm.A81C94296AF74395B1950C5178FA65CB.edm" hidden="1">'[15]Russia - PMI Premium &amp; Overall'!$IV$1</definedName>
    <definedName name="_bdm.A8313BB2BC30458E997B0B05C45B2CD4.edm" hidden="1" xml:space="preserve"> '[13]US Tobacco EV-EBITDA post-s (2)'!$A:$IV</definedName>
    <definedName name="_bdm.A851812BEB4843CF8E2516F7C37AB945.edm" hidden="1">[15]Summary!$A:$IV</definedName>
    <definedName name="_bdm.AA38E94AA41D4F11BE4484CA5CED47FC.edm" hidden="1" xml:space="preserve">      '[18]1Q11 Preview'!$A:$IV</definedName>
    <definedName name="_bdm.AA694D17E7FB47439A4BC66565044E7C.edm" hidden="1" xml:space="preserve">                                                                                                                        '[15]Cash Returns Chart'!$A:$IV</definedName>
    <definedName name="_bdm.AA793DF6C89C4991A1B838F72B37973D.edm" hidden="1" xml:space="preserve"> '[13]PM v Staples1'!$A:$IV</definedName>
    <definedName name="_bdm.AAFD5CA08A29401BB7DD139B44913737.edm" hidden="1" xml:space="preserve"> '[13]NTM PE US Only 2005 (4)'!$A:$IV</definedName>
    <definedName name="_bdm.AB22FD79CEA14DECAE64D9D7B0BFE99C.edm" hidden="1">[25]LBO!$A:$IV</definedName>
    <definedName name="_bdm.AC0F9998E3674B1694F217E331C3AF60.edm" hidden="1">[30]Sheet4!$A:$IV</definedName>
    <definedName name="_bdm.AC42DFCF7D4B431F88127625897F01D9.edm" hidden="1" xml:space="preserve"> '[13]US Tobacco PE'!$A:$IV</definedName>
    <definedName name="_bdm.ADCBC751531841CF8662DB212982849A.edm" localSheetId="5" hidden="1">CF!$A$8:$M$52</definedName>
    <definedName name="_bdm.AE07295AF060413DA7D8140A3DFADDFE.edm" hidden="1" xml:space="preserve">                                                                               '[15]Russia - PMI Premium &amp; Overall'!$A:$IV</definedName>
    <definedName name="_bdm.AF82B1B5C6854D2A95E8D42EF377A8E7.edm" hidden="1">'[17]Conwood acq'!$A:$IV</definedName>
    <definedName name="_bdm.AF86081AA6704F45BAC9F6FB8D23AF19.edm" hidden="1" xml:space="preserve"> '[13]NTM PE US Only 2005 (3)'!$A:$IV</definedName>
    <definedName name="_bdm.B217C7AFFA474740960BC825422D2186.edm" hidden="1">'[38]Theoretical Earnings Impact'!$A:$IV</definedName>
    <definedName name="_bdm.B5AF3EE1EBCA452AB486B6244119B4D2.edm" hidden="1">'[15]Organic Volume-OCI Growth (2)'!$IV$1</definedName>
    <definedName name="_bdm.B63013A4AE7B45428A6F485C88687531.edm" hidden="1" xml:space="preserve">  '[15]Cash Returns Chart'!$A:$IV</definedName>
    <definedName name="_bdm.B63905E306144E688A327AF3C4D60554.edm" hidden="1" xml:space="preserve">                                                                                                '[15]OCI Split By Region'!$A:$IV</definedName>
    <definedName name="_bdm.B6D721EE55AE4D3DA40D4089C94D41CE.edm" hidden="1">[25]Sensitivity!$A:$IV</definedName>
    <definedName name="_bdm.B7ABD310F4744DAA8794C71B9D3A60C5.edm" hidden="1">'[15]Cash Returns Chart'!$IV$1</definedName>
    <definedName name="_bdm.B9EECCDC70664EEC9486B34BEE9F917A.edm" hidden="1" xml:space="preserve"> '[13]US Tobacco EV-EBITDA post-s (3)'!$A:$IV</definedName>
    <definedName name="_bdm.BA451FF5052448FEAC2EAE5F49DB4A24.edm" hidden="1">'[15]Organic EBIT data'!$A:$IV</definedName>
    <definedName name="_bdm.BAC342C40D38499B9C996845EDD2DDE6.edm" hidden="1" xml:space="preserve">                                     '[39]C1500 (2)'!$A:$IV</definedName>
    <definedName name="_bdm.BB56A265C8F048DDA1734C25CD100023.edm" hidden="1" xml:space="preserve">      '[18]2Q11 Preview'!$A:$IV</definedName>
    <definedName name="_bdm.BB7A6755049C40D994514CA465C63988.edm" hidden="1">'[15]Reg''l Share Changes - Chart'!$IV$1</definedName>
    <definedName name="_bdm.BBA81B08F9CD4178B7D81A6D63331C62.edm" hidden="1">'[15]OCI Split By Region'!$IV$1</definedName>
    <definedName name="_bdm.BC693BE46F494002AADB47DD039CF326.edm" hidden="1">'[15]Cash Returns Chart'!$IV$1</definedName>
    <definedName name="_bdm.BDE34BEC28DA4785963DB7E272F2FCDD.edm" hidden="1">'[19]Rel PE'!$A:$IV</definedName>
    <definedName name="_bdm.BEEB6969E3DC43B99859D113B3568E2E.edm" hidden="1">'[15]Organic Volume-OCI Growth (2)'!$IV$1</definedName>
    <definedName name="_bdm.BEEF4D98BCB54D4F8428AE3612BE9264.edm" hidden="1" xml:space="preserve">                                                                    '[15]PM Overall SOM'!$A:$IV</definedName>
    <definedName name="_bdm.BFDB38D57D2841CF82E3F53A7F018A7B.edm" hidden="1" xml:space="preserve"> '[13]Total return chart 3'!$A:$IV</definedName>
    <definedName name="_bdm.C18D7288EB6A440CB6341E345F6F31F8.edm" hidden="1" xml:space="preserve"> '[13]US Tobacco EV-EBITDA post-s (5)'!$A:$IV</definedName>
    <definedName name="_bdm.C1C978CA0558425F8ABBC97E49A03CDE.edm" hidden="1" xml:space="preserve">                            '[15]Regional Mix by Company'!$A:$IV</definedName>
    <definedName name="_bdm.C20023B108374E129591D5AD4FBDD51C.edm" hidden="1">'[15]OCI Split By Region'!$IV$1</definedName>
    <definedName name="_bdm.C26B5ACAACEF4BE89D331155545F3BE8.edm" hidden="1">[14]Sheet1!$A:$IV</definedName>
    <definedName name="_bdm.C3A04F0B50EC46F69186F81B33367D5A.edm" hidden="1">'[15]Quarterly Leverage'!$IV$1</definedName>
    <definedName name="_bdm.C47004BD966D4E868AB51556CCCD5DF4.edm" hidden="1" xml:space="preserve">      '[18]IS Quarterly'!$A:$IV</definedName>
    <definedName name="_bdm.C5C4464C4E0C438ABBFECD86C5D80083.edm" hidden="1" xml:space="preserve">  [15]Sheet2!$A:$IV</definedName>
    <definedName name="_bdm.C72351D29FAC4D68BAAAFC79AA221D9A.edm" hidden="1">[37]Valuation!$A:$IV</definedName>
    <definedName name="_bdm.C80E966B1A054DC9BA20AD5E75AF5DD5.edm" hidden="1" xml:space="preserve">               '[39]C1500 (2)'!$A:$IV</definedName>
    <definedName name="_bdm.C825162F000945EFA663813DD17BD510.edm" hidden="1" xml:space="preserve">                                                                   '[15]L2005 (2)'!$A:$IV</definedName>
    <definedName name="_bdm.CA164527CF464B1D9F0A2AEF946FA200.edm" hidden="1">[25]Products!$A:$IV</definedName>
    <definedName name="_bdm.CBDE002188F840BB8DBB7C620D4985A6.edm" hidden="1" xml:space="preserve">                                           '[39]C1500 (2)'!$A:$IV</definedName>
    <definedName name="_bdm.CDBF71D15BB54E71BC829E2CDE16C287.edm" hidden="1">[19]SET!$A:$IV</definedName>
    <definedName name="_bdm.CED54DFF16044C4EAEA76833EF69A357.edm" localSheetId="5" hidden="1">CF!$1:$1048576</definedName>
    <definedName name="_bdm.CF7DD72F33C849E596BEB9DBF10660EF.edm" hidden="1">'[19]Non-Controllable Costs Per Pack'!$A:$IV</definedName>
    <definedName name="_bdm.CF8BDAAE66A84CC88C65A6E23F52CE8C.edm" hidden="1" xml:space="preserve">      '[18]IS Quarterly'!$A:$IV</definedName>
    <definedName name="_bdm.CF8F4395E1B2446B827A865ED9857377.edm" hidden="1" xml:space="preserve"> '[13]Industry PE'!$A:$IV</definedName>
    <definedName name="_bdm.CF9247C66BA146FC8E0CF9A9D1303D7F.edm" hidden="1">'[15]FX Impact EPS v2'!$IV$1</definedName>
    <definedName name="_bdm.D08634BC1FB748A397CEAB26E3AEAE76.edm" hidden="1">'[19]Retail gaps'!$A:$IV</definedName>
    <definedName name="_bdm.D285FA30E169445682A21BBC7CA2BB3B.edm" hidden="1" xml:space="preserve"> '[13]US Tobacco EV-EBITDA post-s (2)'!$A:$IV</definedName>
    <definedName name="_bdm.D4FD0E032F4746FFAF86BA56795ACBF2.edm" hidden="1" xml:space="preserve">                                                                                               '[15]C3400 (3)'!$A:$IV</definedName>
    <definedName name="_bdm.D775F42BB457422FB024B4F81D08B418.edm" hidden="1">'[19]EPS Changes'!$A:$IV</definedName>
    <definedName name="_bdm.D7C0117860C04AA0ABBF3C014C80E279.edm" hidden="1" xml:space="preserve">                               '[39]C1500 (3)'!$A:$IV</definedName>
    <definedName name="_bdm.D987351F059E4784A1698E5BF2C6CF49.edm" hidden="1" xml:space="preserve">                                                                                                    '[15]Key Market share summary'!$A:$IV</definedName>
    <definedName name="_bdm.DA7C978AB37F45FA941FA6FE4171004E.edm" hidden="1">'[15]Russia - PMI Premium &amp; Overall'!$IV$1</definedName>
    <definedName name="_bdm.DABF2B6B40814E0499929BAB2673A690.edm" hidden="1" xml:space="preserve">      '[18]IS Quarterly'!$A:$IV</definedName>
    <definedName name="_bdm.DB55A89FAEB5470F915528AECBCEC288.edm" hidden="1" xml:space="preserve">                                                                                                                        '[15]Div Increase'!$A:$IV</definedName>
    <definedName name="_bdm.DB92BAE8036B4B928AF3768A0AD271B0.edm" hidden="1" xml:space="preserve">                                                                                                                                                                [15]Sheet5!$A:$IV</definedName>
    <definedName name="_bdm.DB935D2644FB4ACDBF12A369E57E7E30.edm" hidden="1">[24]mwareSettings!$A:$IV</definedName>
    <definedName name="_bdm.DBEF83A7736741DE903FB1EEAFB98D3E.edm" hidden="1" xml:space="preserve">                                                                                                                                                                                     '[15]Leverage Calcs_Reported'!$A:$IV</definedName>
    <definedName name="_bdm.DFDADE2620D2484386FAA5DD095A9EE4.edm" hidden="1">[24]Comps!$A:$IV</definedName>
    <definedName name="_bdm.E089E8B521E24B85AC2F9801A13681AF.edm" hidden="1">[25]Valuation!$A:$IV</definedName>
    <definedName name="_bdm.E0F673440E434A2DBA33D85C268FDED3.edm" hidden="1">'[15]OCI Split By Region'!$IV$1</definedName>
    <definedName name="_bdm.E1421D7AE007452FAA61BE4FADDC5896.edm" hidden="1">[24]Valuation!$A:$IV</definedName>
    <definedName name="_bdm.E2330CBE12F4460DA00F4BC0A4917780.edm" hidden="1">[21]Surgical!$A:$IV</definedName>
    <definedName name="_bdm.E2CFBA503B7A406495A711C256ED9C4D.edm" hidden="1">'[26]BHI Tables'!$A:$IV</definedName>
    <definedName name="_bdm.E3CEB9249476446ABE5592E00C6A37CD.edm" hidden="1" xml:space="preserve">      '[18]IS Quarterly'!$A:$IV</definedName>
    <definedName name="_bdm.E5148BBAB01940CEA994C5F125F2AF7A.edm" hidden="1" xml:space="preserve">        [20]Valuation!$A:$IV</definedName>
    <definedName name="_bdm.E56AF6FDE398418F962327761CBA629F.edm" hidden="1" xml:space="preserve"> '[13]EV-EBITDA Chart'!$A:$IV</definedName>
    <definedName name="_bdm.E7418BD2E776497EA12566C26F68FE50.edm" hidden="1">'[25]P&amp;L'!$A:$IV</definedName>
    <definedName name="_bdm.E75F15DD23254948BC7C11148520DB64.edm" hidden="1">'[19]2008 Sector PE1'!$A:$IV</definedName>
    <definedName name="_bdm.E86A047AF7154980B2ACB0CC2032A30A.edm" hidden="1" xml:space="preserve"> '[13]EV-EBITDA US Only'!$A:$IV</definedName>
    <definedName name="_bdm.E9854A754359460A94E0806A3CF3BD2D.edm" hidden="1">'[15]Russia - PMI Premium &amp; Overall'!$IV$1</definedName>
    <definedName name="_bdm.EAA46D8FF652457980BB0F16FB6F8E02.edm" hidden="1">[14]DIVISIONAL!$A:$IV</definedName>
    <definedName name="_bdm.ECA61142313A4C21A6F9AD3E7E6D2790.edm" hidden="1" xml:space="preserve">      '[18]IS Quarterly'!$A:$IV</definedName>
    <definedName name="_bdm.ED945F38D2444740AB69FD23BD61DB5F.edm" hidden="1">'[21]Balance Sheet'!$A:$IV</definedName>
    <definedName name="_bdm.EE294BE9A0914F9FA5F8884C91164144.edm" hidden="1" xml:space="preserve">  '[15]Quarterly Leverage'!$A:$IV</definedName>
    <definedName name="_bdm.EF2FF78A1DB047C6A644EAB88D9F4B48.edm" hidden="1">[15]PMI_Germany!$A:$IV</definedName>
    <definedName name="_bdm.F0CBD270390A4E8B983B36698544438C.edm" hidden="1">"Formula removed, name can be deleted."</definedName>
    <definedName name="_bdm.F2D92754E091471E8986BC8B0C24DC3C.edm" hidden="1" xml:space="preserve">  '[15]FCF-Dividends'!$A:$IV</definedName>
    <definedName name="_bdm.F4397DE7978545E7A17EC514FB2E2301.edm" hidden="1" xml:space="preserve">      '[18]IS Quarterly'!$A:$IV</definedName>
    <definedName name="_bdm.F61E964E8ADB4170822C0504894D2064.edm" hidden="1" xml:space="preserve">  '[15]1H10 Volume Decline Chart'!$A:$IV</definedName>
    <definedName name="_bdm.F68214BA16CB4135BDD556BE4D58BC63.edm" hidden="1">[23]Lowest_Level!$A:$IV</definedName>
    <definedName name="_bdm.F74BE6FBF3FD40F79E5C56B4732BE85C.edm" hidden="1">[25]Services!$A:$IV</definedName>
    <definedName name="_bdm.F7BD0AA87DB342428710254DCEDBEA89.edm" hidden="1">[22]Summary!$A:$IV</definedName>
    <definedName name="_bdm.F7E2F8610A084EF59AD26289971CA0D6.edm" hidden="1">'[14]QTRLY '!$A:$IV</definedName>
    <definedName name="_bdm.FA342AB47E404E1791D48B254FB21F07.edm" hidden="1">'[15]Cash Returns Chart'!$IV$1</definedName>
    <definedName name="_bdm.FDAC40E40CCF4C169EC10DDFC7877CF6.edm" hidden="1" xml:space="preserve">      '[18]IS Quarterly'!$A:$IV</definedName>
    <definedName name="_bdm.FF31FDC167E24EFD8EA9CF3AC8A96AC6.edm" hidden="1" xml:space="preserve">      '[18]IS Quarterly'!$A:$IV</definedName>
    <definedName name="_bdm.FF6AC6EE76224C4AAB28C2A2441D3F59.edm" hidden="1" xml:space="preserve"> '[13]US Tobacco EV-EBITDA post-s (6)'!$A:$IV</definedName>
    <definedName name="_CMS1">{"CMS"}</definedName>
    <definedName name="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DPS01">[1]WELLA_YEAR!$G$25</definedName>
    <definedName name="_DPS05">[1]WELLA_YEAR!$O$25</definedName>
    <definedName name="_ds2">OFFSET('[3]Europe - LC Sales Growth'!$AA$12,0,0,COUNTIF('[3]Europe - LC Sales Growth'!$Z$12:$Z$1232,"&lt;&gt;false"),1)</definedName>
    <definedName name="_ds3">OFFSET('[3]Europe - LC Sales Growth'!$Z$12,0,0,COUNTIF('[3]Europe - LC Sales Growth'!$Z$12:$Z$1232,"&lt;&gt;false"),1)</definedName>
    <definedName name="_ds6">INDEX(MktCapLst,[40]Val_MW!$Y$1)</definedName>
    <definedName name="_ds66">INDEX(MktCapLst,[40]Val_MW!$Y$1)</definedName>
    <definedName name="_EPS01">'[41]P&amp;L'!$G$25</definedName>
    <definedName name="_EPS05">'[5]P&amp;L'!$O$35</definedName>
    <definedName name="_irr1">'[6]LBO Summary'!$O$18</definedName>
    <definedName name="_Key1" hidden="1">[12]単独!$U$1</definedName>
    <definedName name="_Order1" hidden="1">255</definedName>
    <definedName name="_Order2" hidden="1">255</definedName>
    <definedName name="_PL5">[42]Bakery!$A$1:$B$75</definedName>
    <definedName name="_PMIQuarterlyUnitVol">'[15]Organic EBIT data'!$A$43:$G$45</definedName>
    <definedName name="_Pr1">[7]Breakup!$A$1:$L$34</definedName>
    <definedName name="_prt1">[7]Breakup!$A$1:$L$34</definedName>
    <definedName name="_qw2" hidden="1">{0,0,0,0;0,0,0,0;0,0,0,0;0,0,0,0;0,0,0,0;0,0,0,0}</definedName>
    <definedName name="_Regression_Int" hidden="1">1</definedName>
    <definedName name="_ROE01">[5]Ratios!$E$14</definedName>
    <definedName name="_ROE02">[5]Ratios!$F$14</definedName>
    <definedName name="_ROE03">[5]Ratios!$G$14</definedName>
    <definedName name="_ROE04">[5]Ratios!$H$14</definedName>
    <definedName name="_ROE05">[5]Ratios!$I$14</definedName>
    <definedName name="_ROE06">[5]Ratios!$J$14</definedName>
    <definedName name="_scenchg_count">1</definedName>
    <definedName name="_Sort" hidden="1">[12]単独!$A$512:$AC$552</definedName>
    <definedName name="_TAB1">[43]NA_ANNUAL!$A$1:$J$46</definedName>
    <definedName name="_TAB2">[43]NA_ANNUAL!$A$48:$I$88</definedName>
    <definedName name="_Tar1">[8]Inputs!$F$13</definedName>
    <definedName name="_UnderlyingOpInc">'[15]Organic EBIT data'!$A$4:$E$15</definedName>
    <definedName name="_w2" hidden="1">{"Model Summary",#N/A,FALSE,"Print Chart";"Holdco",#N/A,FALSE,"Print Chart";"Genco",#N/A,FALSE,"Print Chart";"Servco",#N/A,FALSE,"Print Chart";"Genco_Detail",#N/A,FALSE,"Summary Financials";"Servco_Detail",#N/A,FALSE,"Summary Financials"}</definedName>
    <definedName name="_Z04" hidden="1">{#N/A,#N/A,FALSE,"Australia";#N/A,#N/A,FALSE,"Austria";#N/A,#N/A,FALSE,"Belgium";#N/A,#N/A,FALSE,"Canada";#N/A,#N/A,FALSE,"France";#N/A,#N/A,FALSE,"Germany";#N/A,#N/A,FALSE,"Hong Kong";#N/A,#N/A,FALSE,"Italy";#N/A,#N/A,FALSE,"Japan";#N/A,#N/A,FALSE,"Korea";#N/A,#N/A,FALSE,"Mexico";#N/A,#N/A,FALSE,"Poland";#N/A,#N/A,FALSE,"Spain";#N/A,#N/A,FALSE,"Switzerland";#N/A,#N/A,FALSE,"UK"}</definedName>
    <definedName name="_Z05" hidden="1">{#N/A,#N/A,FALSE,"Australia";#N/A,#N/A,FALSE,"Austria";#N/A,#N/A,FALSE,"Belgium";#N/A,#N/A,FALSE,"Canada";#N/A,#N/A,FALSE,"France";#N/A,#N/A,FALSE,"Germany";#N/A,#N/A,FALSE,"Hong Kong";#N/A,#N/A,FALSE,"Italy";#N/A,#N/A,FALSE,"Japan";#N/A,#N/A,FALSE,"Korea";#N/A,#N/A,FALSE,"Mexico";#N/A,#N/A,FALSE,"Poland";#N/A,#N/A,FALSE,"Spain";#N/A,#N/A,FALSE,"Switzerland";#N/A,#N/A,FALSE,"UK"}</definedName>
    <definedName name="a">{"Pulp Production",#N/A,FALSE,"Pulp";"Pulp Earnings",#N/A,FALSE,"Pulp"}</definedName>
    <definedName name="aaa" hidden="1">{#N/A,#N/A,FALSE,"DCF Summary";#N/A,#N/A,FALSE,"Casema";#N/A,#N/A,FALSE,"Casema NoTel";#N/A,#N/A,FALSE,"UK";#N/A,#N/A,FALSE,"RCF";#N/A,#N/A,FALSE,"Intercable CZ";#N/A,#N/A,FALSE,"Interkabel P"}</definedName>
    <definedName name="AAA_DOCTOPS" hidden="1">"AAA_SET"</definedName>
    <definedName name="AAA_duser" hidden="1">"OFF"</definedName>
    <definedName name="aaaa">{13}</definedName>
    <definedName name="aaaaaa">{"BMC"}</definedName>
    <definedName name="aaaaaaaaaaaaaaaaaaaaaaaaaaaaaaaa" hidden="1">{#N/A,#N/A,FALSE,"DCF Summary";#N/A,#N/A,FALSE,"Casema";#N/A,#N/A,FALSE,"Casema NoTel";#N/A,#N/A,FALSE,"UK";#N/A,#N/A,FALSE,"RCF";#N/A,#N/A,FALSE,"Intercable CZ";#N/A,#N/A,FALSE,"Interkabel P"}</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cess_Button" hidden="1">"Vacation_VACATION98_List"</definedName>
    <definedName name="AccessDatabase" hidden="1">"S:\MONTHLY\FCST97.mdb"</definedName>
    <definedName name="acqprice">'[44]Sources &amp; Uses'!$AC$10</definedName>
    <definedName name="actinput">'[45]2015 Act'!$D$6:$P$192</definedName>
    <definedName name="Actual" hidden="1">{#N/A,#N/A,TRUE,"Historicals";#N/A,#N/A,TRUE,"Charts";#N/A,#N/A,TRUE,"Forecasts"}</definedName>
    <definedName name="Actual1" hidden="1">{#N/A,#N/A,TRUE,"Historicals";#N/A,#N/A,TRUE,"Charts";#N/A,#N/A,TRUE,"Forecasts"}</definedName>
    <definedName name="AdditionalInstructions">IndexInformation!$B$42</definedName>
    <definedName name="Address" localSheetId="0">ImportantDisclosures!$A$2:$A$2</definedName>
    <definedName name="adfk">{"Price","YBTVA","LC125/LC126","N","0","0","V"}</definedName>
    <definedName name="AllTab">{1}</definedName>
    <definedName name="Alltable">{1}</definedName>
    <definedName name="AllTables">{2}</definedName>
    <definedName name="alltables1">{5}</definedName>
    <definedName name="AllTables2">{15}</definedName>
    <definedName name="alyson" hidden="1">{#N/A,#N/A,FALSE,"Australia";#N/A,#N/A,FALSE,"Austria";#N/A,#N/A,FALSE,"Belgium";#N/A,#N/A,FALSE,"Canada";#N/A,#N/A,FALSE,"France";#N/A,#N/A,FALSE,"Germany";#N/A,#N/A,FALSE,"Hong Kong";#N/A,#N/A,FALSE,"Italy";#N/A,#N/A,FALSE,"Japan";#N/A,#N/A,FALSE,"Korea";#N/A,#N/A,FALSE,"Mexico";#N/A,#N/A,FALSE,"Poland";#N/A,#N/A,FALSE,"Spain";#N/A,#N/A,FALSE,"Switzerland";#N/A,#N/A,FALSE,"UK"}</definedName>
    <definedName name="ANA" localSheetId="7">ModPubIndex!$A$7</definedName>
    <definedName name="anscount" hidden="1">1</definedName>
    <definedName name="AS2DocOpenMode" hidden="1">"AS2DocumentEdit"</definedName>
    <definedName name="AS2NamedRange" hidden="1">74</definedName>
    <definedName name="AS2ReportLS" hidden="1">1</definedName>
    <definedName name="AS2SyncStepLS" hidden="1">0</definedName>
    <definedName name="AS2VersionLS" hidden="1">300</definedName>
    <definedName name="asdff" hidden="1">{#N/A,#N/A,FALSE,"DCF Summary";#N/A,#N/A,FALSE,"Casema";#N/A,#N/A,FALSE,"Casema NoTel";#N/A,#N/A,FALSE,"UK";#N/A,#N/A,FALSE,"RCF";#N/A,#N/A,FALSE,"Intercable CZ";#N/A,#N/A,FALSE,"Interkabel P"}</definedName>
    <definedName name="asdr" hidden="1">{#N/A,#N/A,FALSE,"DCF Summary";#N/A,#N/A,FALSE,"Casema";#N/A,#N/A,FALSE,"Casema NoTel";#N/A,#N/A,FALSE,"UK";#N/A,#N/A,FALSE,"RCF";#N/A,#N/A,FALSE,"Intercable CZ";#N/A,#N/A,FALSE,"Interkabel P"}</definedName>
    <definedName name="asfa" hidden="1">{#N/A,#N/A,FALSE,"MKTSUM95";#N/A,#N/A,FALSE,"MKTADM95";#N/A,#N/A,FALSE,"MKTD&amp;C95";#N/A,#N/A,FALSE,"MKTPRD95";#N/A,#N/A,FALSE,"MKTCHL95"}</definedName>
    <definedName name="asfa1" hidden="1">{#N/A,#N/A,FALSE,"MKTSUM95";#N/A,#N/A,FALSE,"MKTADM95";#N/A,#N/A,FALSE,"MKTD&amp;C95";#N/A,#N/A,FALSE,"MKTPRD95";#N/A,#N/A,FALSE,"MKTCHL95"}</definedName>
    <definedName name="ASSUMPTIONS">[6]Leases!$B$51</definedName>
    <definedName name="ASSUMPTIONS1">[46]Leases!$B$51</definedName>
    <definedName name="Authors" localSheetId="0">ImportantDisclosures!$A$7</definedName>
    <definedName name="Authors" localSheetId="6">IndexInformation!$B$18</definedName>
    <definedName name="b" hidden="1">{#N/A,#N/A,FALSE,"Australia";#N/A,#N/A,FALSE,"Austria";#N/A,#N/A,FALSE,"Belgium";#N/A,#N/A,FALSE,"Canada";#N/A,#N/A,FALSE,"France";#N/A,#N/A,FALSE,"Germany";#N/A,#N/A,FALSE,"Hong Kong";#N/A,#N/A,FALSE,"Italy";#N/A,#N/A,FALSE,"Japan";#N/A,#N/A,FALSE,"Korea";#N/A,#N/A,FALSE,"Mexico";#N/A,#N/A,FALSE,"Poland";#N/A,#N/A,FALSE,"Spain";#N/A,#N/A,FALSE,"Switzerland";#N/A,#N/A,FALSE,"UK"}</definedName>
    <definedName name="balance">[47]RJR_BS!$A$1:$J$69</definedName>
    <definedName name="Balance_Sheet">[6]Leases!$L$61</definedName>
    <definedName name="Balance_Sheet1">[46]Leases!$L$61</definedName>
    <definedName name="berry" hidden="1">{#N/A,#N/A,FALSE,"Taxblinc";#N/A,#N/A,FALSE,"Rsvsacls"}</definedName>
    <definedName name="BG_Del" hidden="1">15</definedName>
    <definedName name="BG_Ins" hidden="1">4</definedName>
    <definedName name="BG_Mod" hidden="1">6</definedName>
    <definedName name="bid_2">'[48]Addn''l Spend'!$O$5:$Q$265</definedName>
    <definedName name="BLPH10005" hidden="1">'[49]Graph Data'!$C$7</definedName>
    <definedName name="BLPH21" hidden="1">[50]L3M!$T$3</definedName>
    <definedName name="BLPH22" hidden="1">[50]L3M!$Y$4</definedName>
    <definedName name="BLPH23" hidden="1">[50]L3M!$U$3</definedName>
    <definedName name="BLPH24" hidden="1">[50]L3M!$Y$3</definedName>
    <definedName name="bondDataSources">OFFSET([51]Lookup!$B$3,0,0,COUNTA([51]Lookup!$B$1:$B$65536),1)</definedName>
    <definedName name="BRO" localSheetId="7">ModPubIndex!$A$1</definedName>
    <definedName name="Buttons" localSheetId="1">CircularReferenceAlert!$B$13:$B$15</definedName>
    <definedName name="CALA">[52]Switches!$J$23</definedName>
    <definedName name="Cashflow_Sweep">'[53]Cashflow Model'!$C$5</definedName>
    <definedName name="cat" hidden="1">{#N/A,#N/A,FALSE,"Taxblinc";#N/A,#N/A,FALSE,"Rsvsacls"}</definedName>
    <definedName name="cboCurrHist">"cboActivityType"</definedName>
    <definedName name="ccc" hidden="1">{#N/A,#N/A,FALSE,"DCF Summary";#N/A,#N/A,FALSE,"Casema";#N/A,#N/A,FALSE,"Casema NoTel";#N/A,#N/A,FALSE,"UK";#N/A,#N/A,FALSE,"RCF";#N/A,#N/A,FALSE,"Intercable CZ";#N/A,#N/A,FALSE,"Interkabel P"}</definedName>
    <definedName name="ceps_03">[54]B!$S$38</definedName>
    <definedName name="CEPS03">[1]WELLA_YEAR!$K$24</definedName>
    <definedName name="CEPS07">[1]WELLA_YEAR!$S$24</definedName>
    <definedName name="cf" localSheetId="5">CF!$A$25</definedName>
    <definedName name="Changeme">{"Client Name or Project Name"}</definedName>
    <definedName name="ChangeRange" hidden="1">[55]!ChangeRange</definedName>
    <definedName name="chik" hidden="1">{#N/A,#N/A,FALSE,"Summary";#N/A,#N/A,FALSE,"1991";#N/A,#N/A,FALSE,"91 AMT";#N/A,#N/A,FALSE,"1992";#N/A,#N/A,FALSE,"92 AMT";#N/A,#N/A,FALSE,"1993";#N/A,#N/A,FALSE,"93 AMT"}</definedName>
    <definedName name="Choices_Wrapper">[56]!Choices_Wrapper</definedName>
    <definedName name="CIQWBGuid" hidden="1">"98aba7dc-8f67-43b4-984b-499d70120dcc"</definedName>
    <definedName name="CMS">{"CMS"}</definedName>
    <definedName name="COGS13">[57]Sheet5!$A$1:$A$4</definedName>
    <definedName name="Columns">[58]Control!$D$13:$D$67</definedName>
    <definedName name="conflict" hidden="1">{#N/A,#N/A,FALSE,"DCF Summary";#N/A,#N/A,FALSE,"Casema";#N/A,#N/A,FALSE,"Casema NoTel";#N/A,#N/A,FALSE,"UK";#N/A,#N/A,FALSE,"RCF";#N/A,#N/A,FALSE,"Intercable CZ";#N/A,#N/A,FALSE,"Interkabel P"}</definedName>
    <definedName name="ConsolidatedW">{"Client Name or Project Name"}</definedName>
    <definedName name="ContentsHelp" hidden="1">[55]!ContentsHelp</definedName>
    <definedName name="CopyrightStamp" localSheetId="0">ImportantDisclosures!$A$27</definedName>
    <definedName name="CopyrightStamp">[33]ImportantDisclosures!$A$27</definedName>
    <definedName name="COU" localSheetId="7">ModPubIndex!$A$5</definedName>
    <definedName name="CQEnd" localSheetId="6">IndexInformation!$B$31</definedName>
    <definedName name="CreateTable" hidden="1">[55]!CreateTable</definedName>
    <definedName name="_xlnm.Criteria">[59]Q!$BN$10:$BP$51</definedName>
    <definedName name="Currency" localSheetId="6">IndexInformation!$B$24</definedName>
    <definedName name="Currency">'[60]PV Graph Data'!$E$3</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vby" hidden="1">{#N/A,#N/A,FALSE,"DCF Summary";#N/A,#N/A,FALSE,"Casema";#N/A,#N/A,FALSE,"Casema NoTel";#N/A,#N/A,FALSE,"UK";#N/A,#N/A,FALSE,"RCF";#N/A,#N/A,FALSE,"Intercable CZ";#N/A,#N/A,FALSE,"Interkabel P"}</definedName>
    <definedName name="CYEnd" localSheetId="6">IndexInformation!$B$30</definedName>
    <definedName name="d" hidden="1">{#N/A,#N/A,FALSE,"Valuation";#N/A,#N/A,FALSE,"P&amp;L";#N/A,#N/A,FALSE,"Balance Sheet";#N/A,#N/A,FALSE,"Cash Flow";#N/A,#N/A,FALSE,"Revenue Model";#N/A,#N/A,FALSE,"Consumables";#N/A,#N/A,FALSE,"Instruments";#N/A,#N/A,FALSE,"Genomics";#N/A,#N/A,FALSE,"PreAnalytix JV";#N/A,#N/A,FALSE,"DCF Valuation"}</definedName>
    <definedName name="danceps_eu03">[61]B!$X$49</definedName>
    <definedName name="danceps98">[61]B!$F$122</definedName>
    <definedName name="dandps_eu02">[61]B!$V$50</definedName>
    <definedName name="dandps01">[61]B!$T$123</definedName>
    <definedName name="daneps_eu03">[61]B!$X$45</definedName>
    <definedName name="daneps98">[61]B!$F$120</definedName>
    <definedName name="dataseries4">OFFSET([62]c1!$G$12,0,0,COUNTA([62]c1!$G$12:$G$31),1)</definedName>
    <definedName name="Date" localSheetId="0">ImportantDisclosures!$A$8</definedName>
    <definedName name="date">[63]Inputs!$C$10</definedName>
    <definedName name="DCF" hidden="1">{#N/A,#N/A,FALSE,"DCF Summary";#N/A,#N/A,FALSE,"Casema";#N/A,#N/A,FALSE,"Casema NoTel";#N/A,#N/A,FALSE,"UK";#N/A,#N/A,FALSE,"RCF";#N/A,#N/A,FALSE,"Intercable CZ";#N/A,#N/A,FALSE,"Interkabel P"}</definedName>
    <definedName name="ddd">{13}</definedName>
    <definedName name="dddd" hidden="1">{#N/A,#N/A,FALSE,"DCF Summary";#N/A,#N/A,FALSE,"Casema";#N/A,#N/A,FALSE,"Casema NoTel";#N/A,#N/A,FALSE,"UK";#N/A,#N/A,FALSE,"RCF";#N/A,#N/A,FALSE,"Intercable CZ";#N/A,#N/A,FALSE,"Interkabel P"}</definedName>
    <definedName name="ddddd">{"BMC"}</definedName>
    <definedName name="dddddd" hidden="1">{#N/A,#N/A,FALSE,"DCF Summary";#N/A,#N/A,FALSE,"Casema";#N/A,#N/A,FALSE,"Casema NoTel";#N/A,#N/A,FALSE,"UK";#N/A,#N/A,FALSE,"RCF";#N/A,#N/A,FALSE,"Intercable CZ";#N/A,#N/A,FALSE,"Interkabel P"}</definedName>
    <definedName name="ddddddd" hidden="1">{#N/A,#N/A,TRUE,"DCF Summary";#N/A,#N/A,TRUE,"Casema";#N/A,#N/A,TRUE,"UK";#N/A,#N/A,TRUE,"RCF";#N/A,#N/A,TRUE,"Intercable CZ";#N/A,#N/A,TRUE,"Interkabel P";#N/A,#N/A,TRUE,"LBO-Total";#N/A,#N/A,TRUE,"LBO-Casema"}</definedName>
    <definedName name="debt">'[64]USD Model'!$C$148:$DP$148</definedName>
    <definedName name="debtfees1">'[6]LBO Summary'!$I$10</definedName>
    <definedName name="debtp">[65]IPOcalc!$G$11</definedName>
    <definedName name="DefRevenue">'[2]Euro Model'!$A$630</definedName>
    <definedName name="Deleted" localSheetId="6">IndexInformation!$B$27</definedName>
    <definedName name="DeleteRange" hidden="1">[55]!DeleteRange</definedName>
    <definedName name="DeleteTable" hidden="1">[55]!DeleteTable</definedName>
    <definedName name="DepreciationAcq" hidden="1">{"Quarterly Analysis",#N/A,FALSE,"Income"}</definedName>
    <definedName name="DepTang">'[2]Euro Model'!$A$637</definedName>
    <definedName name="derf" hidden="1">{#N/A,#N/A,TRUE,"DCF Summary";#N/A,#N/A,TRUE,"Casema";#N/A,#N/A,TRUE,"UK";#N/A,#N/A,TRUE,"RCF";#N/A,#N/A,TRUE,"Intercable CZ";#N/A,#N/A,TRUE,"Interkabel P";#N/A,#N/A,TRUE,"LBO-Total";#N/A,#N/A,TRUE,"LBO-Casema"}</definedName>
    <definedName name="des" hidden="1">{#N/A,#N/A,FALSE,"DCF Summary";#N/A,#N/A,FALSE,"Casema";#N/A,#N/A,FALSE,"Casema NoTel";#N/A,#N/A,FALSE,"UK";#N/A,#N/A,FALSE,"RCF";#N/A,#N/A,FALSE,"Intercable CZ";#N/A,#N/A,FALSE,"Interkabel P"}</definedName>
    <definedName name="Description" localSheetId="6">IndexInformation!$B$7</definedName>
    <definedName name="dfasd">{"Project PPaids"}</definedName>
    <definedName name="dfgt" hidden="1">{#N/A,#N/A,FALSE,"DCF Summary";#N/A,#N/A,FALSE,"Casema";#N/A,#N/A,FALSE,"Casema NoTel";#N/A,#N/A,FALSE,"UK";#N/A,#N/A,FALSE,"RCF";#N/A,#N/A,FALSE,"Intercable CZ";#N/A,#N/A,FALSE,"Interkabel P"}</definedName>
    <definedName name="Discipline" localSheetId="6">IndexInformation!$B$3</definedName>
    <definedName name="DISCIPLINE" localSheetId="7">ModPubIndex!$A$12</definedName>
    <definedName name="DisclosuresText" localSheetId="0">ImportantDisclosures!$A$22</definedName>
    <definedName name="DisclosuresText">[33]ImportantDisclosures!$A$22</definedName>
    <definedName name="Distribution" localSheetId="6">IndexInformation!$B$26</definedName>
    <definedName name="DistTable" localSheetId="0">ImportantDisclosures!#REF!</definedName>
    <definedName name="DistTablePreamble" localSheetId="0">ImportantDisclosures!#REF!</definedName>
    <definedName name="divisional">[17]Quarterly!$A$1:$V$120</definedName>
    <definedName name="DOCDAT" localSheetId="7">ModPubIndex!$A$2</definedName>
    <definedName name="DOCTIME" localSheetId="7">ModPubIndex!$A$3</definedName>
    <definedName name="DocType" localSheetId="6">IndexInformation!$B$5</definedName>
    <definedName name="dog" hidden="1">{#N/A,#N/A,FALSE,"91NOLCB";#N/A,#N/A,FALSE,"92NOLCB";#N/A,#N/A,FALSE,"93NOLCB"}</definedName>
    <definedName name="dom_units">'[17]Per Unit'!$A$88:$G$204</definedName>
    <definedName name="domestic_percent">[17]Volumes!$A$136:$R$184</definedName>
    <definedName name="DOMESTIC_UNITS">[17]Volumes!$A$1:$R$132</definedName>
    <definedName name="DOT">[57]Sheet5!$H$1:$H$2</definedName>
    <definedName name="dps_03">[54]B!$S$40</definedName>
    <definedName name="dsf" hidden="1">{"Variance Q3",#N/A,FALSE,"Var"}</definedName>
    <definedName name="dso">'[64]USD Model'!$C$112:$DP$112</definedName>
    <definedName name="DYNO">"TARGET"</definedName>
    <definedName name="dzsf">{"Client Name or Project Name"}</definedName>
    <definedName name="e">{"Client Name or Project Name"}</definedName>
    <definedName name="ebit_1998">[61]B!$F$97</definedName>
    <definedName name="ebit_plc_02">[66]D!$AG$23</definedName>
    <definedName name="EBIT03">[1]WELLA_YEAR!$K$6</definedName>
    <definedName name="EBIT07">[1]WELLA_YEAR!$S$6</definedName>
    <definedName name="ebitda_eu00">[61]B!$R$13</definedName>
    <definedName name="ebitda_eu99">[61]B!$L$13</definedName>
    <definedName name="EBITDA03">[1]WELLA_YEAR!$K$5</definedName>
    <definedName name="EBITDA07">[1]WELLA_YEAR!$S$5</definedName>
    <definedName name="EBITMargin01">[1]WELLA_YEAR!$G$7</definedName>
    <definedName name="EBITMargin05">[1]WELLA_YEAR!$O$7</definedName>
    <definedName name="EBITMargin99">[1]WELLA_YEAR!$C$7</definedName>
    <definedName name="edr" hidden="1">{#N/A,#N/A,FALSE,"DCF Summary";#N/A,#N/A,FALSE,"Casema";#N/A,#N/A,FALSE,"Casema NoTel";#N/A,#N/A,FALSE,"UK";#N/A,#N/A,FALSE,"RCF";#N/A,#N/A,FALSE,"Intercable CZ";#N/A,#N/A,FALSE,"Interkabel P"}</definedName>
    <definedName name="edrt" hidden="1">{#N/A,#N/A,FALSE,"DCF Summary";#N/A,#N/A,FALSE,"Casema";#N/A,#N/A,FALSE,"Casema NoTel";#N/A,#N/A,FALSE,"UK";#N/A,#N/A,FALSE,"RCF";#N/A,#N/A,FALSE,"Intercable CZ";#N/A,#N/A,FALSE,"Interkabel P"}</definedName>
    <definedName name="edwin">{"EMC Financial Projections"}</definedName>
    <definedName name="eee" hidden="1">{#N/A,#N/A,FALSE,"DCF Summary";#N/A,#N/A,FALSE,"Casema";#N/A,#N/A,FALSE,"Casema NoTel";#N/A,#N/A,FALSE,"UK";#N/A,#N/A,FALSE,"RCF";#N/A,#N/A,FALSE,"Intercable CZ";#N/A,#N/A,FALSE,"Interkabel P"}</definedName>
    <definedName name="Elim">{5}</definedName>
    <definedName name="EMAIL_ALERT" localSheetId="7">ModPubIndex!$A$10</definedName>
    <definedName name="EmailAlert" localSheetId="6">IndexInformation!$B$28</definedName>
    <definedName name="emea">'[64]USD Model'!$C$8:$IV$8</definedName>
    <definedName name="Entergy">segments</definedName>
    <definedName name="eps_03">[61]B!$X$120</definedName>
    <definedName name="EPSord02">[1]WELLA_YEAR!$I$21</definedName>
    <definedName name="EPSord06">[1]WELLA_YEAR!$Q$21</definedName>
    <definedName name="EPSpref00">[1]WELLA_YEAR!$E$22</definedName>
    <definedName name="EPSpref04">[1]WELLA_YEAR!$M$22</definedName>
    <definedName name="EPSpref98">[1]WELLA_YEAR!$B$22</definedName>
    <definedName name="ERR.MSG">"Calculation not valid for total year."</definedName>
    <definedName name="esrt" hidden="1">{#N/A,#N/A,FALSE,"DCF Summary";#N/A,#N/A,FALSE,"Casema";#N/A,#N/A,FALSE,"Casema NoTel";#N/A,#N/A,FALSE,"UK";#N/A,#N/A,FALSE,"RCF";#N/A,#N/A,FALSE,"Intercable CZ";#N/A,#N/A,FALSE,"Interkabel P"}</definedName>
    <definedName name="EssAliasTable">"Default"</definedName>
    <definedName name="EssLatest">"December"</definedName>
    <definedName name="EssOptions">"A2100100000131101000001100000_01000"</definedName>
    <definedName name="estinput">'[45]2015 Est'!$D$6:$P$191</definedName>
    <definedName name="eurocash">'[64]USD Model'!$C$104:$DP$104</definedName>
    <definedName name="Euroeps">'[64]USD Model'!$C$101:$DP$101</definedName>
    <definedName name="eurototeq">'[64]USD Model'!$C$105:$DP$105</definedName>
    <definedName name="ev.Calculation" hidden="1">-4105</definedName>
    <definedName name="ev.Initialized" hidden="1">FALSE</definedName>
    <definedName name="excf" hidden="1">{#N/A,#N/A,FALSE,"DCF Summary";#N/A,#N/A,FALSE,"Casema";#N/A,#N/A,FALSE,"Casema NoTel";#N/A,#N/A,FALSE,"UK";#N/A,#N/A,FALSE,"RCF";#N/A,#N/A,FALSE,"Intercable CZ";#N/A,#N/A,FALSE,"Interkabel P"}</definedName>
    <definedName name="extr" hidden="1">{"P&amp;L",#N/A,TRUE,"HC";"P&amp;L Percents",#N/A,TRUE,"P&amp;L";"M&amp;A3 P&amp;L",#N/A,TRUE,"HC";"M&amp;A3 Pipeline",#N/A,TRUE,"HC";"Franchises",#N/A,TRUE,"HC";"CF&amp;BS",#N/A,TRUE,"HC"}</definedName>
    <definedName name="extr1" hidden="1">{"P&amp;L",#N/A,TRUE,"HC";"P&amp;L Percents",#N/A,TRUE,"P&amp;L";"M&amp;A3 P&amp;L",#N/A,TRUE,"HC";"M&amp;A3 Pipeline",#N/A,TRUE,"HC";"Franchises",#N/A,TRUE,"HC";"CF&amp;BS",#N/A,TRUE,"HC"}</definedName>
    <definedName name="ｆ" hidden="1">"iQShowAnnual"</definedName>
    <definedName name="Falc">{"Inco"}</definedName>
    <definedName name="FDDMarginInt">'[27]Milk Inflation - FDD OM'!$D$47</definedName>
    <definedName name="FDDMarginSlope">'[27]Milk Inflation - FDD OM'!$D$46</definedName>
    <definedName name="ffff" hidden="1">{#N/A,#N/A,FALSE,"DCF Summary";#N/A,#N/A,FALSE,"Casema";#N/A,#N/A,FALSE,"Casema NoTel";#N/A,#N/A,FALSE,"UK";#N/A,#N/A,FALSE,"RCF";#N/A,#N/A,FALSE,"Intercable CZ";#N/A,#N/A,FALSE,"Interkabel P"}</definedName>
    <definedName name="ffffffffff" hidden="1">{#N/A,#N/A,FALSE,"DCF Summary";#N/A,#N/A,FALSE,"Casema";#N/A,#N/A,FALSE,"Casema NoTel";#N/A,#N/A,FALSE,"UK";#N/A,#N/A,FALSE,"RCF";#N/A,#N/A,FALSE,"Intercable CZ";#N/A,#N/A,FALSE,"Interkabel P"}</definedName>
    <definedName name="fffffffffffffffffffffff" hidden="1">{#N/A,#N/A,FALSE,"DCF Summary";#N/A,#N/A,FALSE,"Casema";#N/A,#N/A,FALSE,"Casema NoTel";#N/A,#N/A,FALSE,"UK";#N/A,#N/A,FALSE,"RCF";#N/A,#N/A,FALSE,"Intercable CZ";#N/A,#N/A,FALSE,"Interkabel P"}</definedName>
    <definedName name="ffffffffffffffffffffffff" hidden="1">{#N/A,#N/A,TRUE,"DCF Summary";#N/A,#N/A,TRUE,"Casema";#N/A,#N/A,TRUE,"UK";#N/A,#N/A,TRUE,"RCF";#N/A,#N/A,TRUE,"Intercable CZ";#N/A,#N/A,TRUE,"Interkabel P";#N/A,#N/A,TRUE,"LBO-Total";#N/A,#N/A,TRUE,"LBO-Casema"}</definedName>
    <definedName name="ffffffffffffffffffffffffffffffff" hidden="1">{#N/A,#N/A,FALSE,"DCF Summary";#N/A,#N/A,FALSE,"Casema";#N/A,#N/A,FALSE,"Casema NoTel";#N/A,#N/A,FALSE,"UK";#N/A,#N/A,FALSE,"RCF";#N/A,#N/A,FALSE,"Intercable CZ";#N/A,#N/A,FALSE,"Interkabel P"}</definedName>
    <definedName name="fgghg" hidden="1">{#N/A,#N/A,FALSE,"DCF Summary";#N/A,#N/A,FALSE,"Casema";#N/A,#N/A,FALSE,"Casema NoTel";#N/A,#N/A,FALSE,"UK";#N/A,#N/A,FALSE,"RCF";#N/A,#N/A,FALSE,"Intercable CZ";#N/A,#N/A,FALSE,"Interkabel P"}</definedName>
    <definedName name="fgl">{"Client Name or Project Name"}</definedName>
    <definedName name="fincase">'[53]Cashflow Model'!$C$4</definedName>
    <definedName name="FiveYearGrowthRate" localSheetId="6">IndexInformation!$B$16</definedName>
    <definedName name="Flag">'[67]NPV Summ. Sheet'!$B$16</definedName>
    <definedName name="Flag4">'[67]NPV Summ. Sheet'!$T$16</definedName>
    <definedName name="fn">[1]Model_Template!$B$779</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get" hidden="1">{#N/A,#N/A,FALSE,"Australia";#N/A,#N/A,FALSE,"Austria";#N/A,#N/A,FALSE,"Belgium";#N/A,#N/A,FALSE,"Canada";#N/A,#N/A,FALSE,"France";#N/A,#N/A,FALSE,"Germany";#N/A,#N/A,FALSE,"Hong Kong";#N/A,#N/A,FALSE,"Italy";#N/A,#N/A,FALSE,"Japan";#N/A,#N/A,FALSE,"Korea";#N/A,#N/A,FALSE,"Mexico";#N/A,#N/A,FALSE,"Poland";#N/A,#N/A,FALSE,"Spain";#N/A,#N/A,FALSE,"Switzerland";#N/A,#N/A,FALSE,"UK"}</definedName>
    <definedName name="gcxs" hidden="1">{#N/A,#N/A,FALSE,"DCF Summary";#N/A,#N/A,FALSE,"Casema";#N/A,#N/A,FALSE,"Casema NoTel";#N/A,#N/A,FALSE,"UK";#N/A,#N/A,FALSE,"RCF";#N/A,#N/A,FALSE,"Intercable CZ";#N/A,#N/A,FALSE,"Interkabel P"}</definedName>
    <definedName name="gh" hidden="1">{"view1",#N/A,FALSE,"EARN (US$)";"view1",#N/A,FALSE,"DASTBS (US$)";"view1",#N/A,FALSE,"DASTCF (US$)"}</definedName>
    <definedName name="grinc">'[64]USD Model'!$C$44:$DP$44</definedName>
    <definedName name="gt" hidden="1">{#N/A,#N/A,FALSE,"DCF Summary";#N/A,#N/A,FALSE,"Casema";#N/A,#N/A,FALSE,"Casema NoTel";#N/A,#N/A,FALSE,"UK";#N/A,#N/A,FALSE,"RCF";#N/A,#N/A,FALSE,"Intercable CZ";#N/A,#N/A,FALSE,"Interkabel P"}</definedName>
    <definedName name="gyh" hidden="1">{#N/A,#N/A,FALSE,"DCF Summary";#N/A,#N/A,FALSE,"Casema";#N/A,#N/A,FALSE,"Casema NoTel";#N/A,#N/A,FALSE,"UK";#N/A,#N/A,FALSE,"RCF";#N/A,#N/A,FALSE,"Intercable CZ";#N/A,#N/A,FALSE,"Interkabel P"}</definedName>
    <definedName name="ha" hidden="1">{"Reader",#N/A,FALSE,"Summary";"Reader",#N/A,FALSE,"Buildup";"Reader",#N/A,FALSE,"Financials";"Reader",#N/A,FALSE,"Debt &amp; Other"}</definedName>
    <definedName name="hc">'[64]USD Model'!$C$107:$DP$107</definedName>
    <definedName name="hhh">{"Client Name or Project Name"}</definedName>
    <definedName name="Historical_Calculations">[6]Leases!$B$2</definedName>
    <definedName name="Historical_Calculations1">[46]Leases!$B$2</definedName>
    <definedName name="HK" hidden="1">{"Reader",#N/A,FALSE,"Summary";"Reader",#N/A,FALSE,"Buildup";"Reader",#N/A,FALSE,"Financials";"Reader",#N/A,FALSE,"Debt &amp; Other"}</definedName>
    <definedName name="hka" hidden="1">{"Reader",#N/A,FALSE,"Summary";"Reader",#N/A,FALSE,"Buildup";"Reader",#N/A,FALSE,"Financials";"Reader",#N/A,FALSE,"Debt &amp; Other"}</definedName>
    <definedName name="HL" localSheetId="7">ModPubIndex!$A$8</definedName>
    <definedName name="hn.ExtDb" hidden="1">FALSE</definedName>
    <definedName name="hn.ModelType" hidden="1">"DEAL"</definedName>
    <definedName name="hn.ModelVersion" hidden="1">1</definedName>
    <definedName name="hn.NoUpload" hidden="1">0</definedName>
    <definedName name="hp">{4}</definedName>
    <definedName name="HPQ">{13}</definedName>
    <definedName name="i" hidden="1">{"Qtr Op Mgd Q3",#N/A,FALSE,"Qtr-Op (Mng)";"Qtr Op Rpt Q3",#N/A,FALSE,"Qtr-Op (Rpt)";"Operating Vs Reported",#N/A,FALSE,"Rpt-Op Inc"}</definedName>
    <definedName name="iii" hidden="1">{#N/A,#N/A,FALSE,"DCF Summary";#N/A,#N/A,FALSE,"Casema";#N/A,#N/A,FALSE,"Casema NoTel";#N/A,#N/A,FALSE,"UK";#N/A,#N/A,FALSE,"RCF";#N/A,#N/A,FALSE,"Intercable CZ";#N/A,#N/A,FALSE,"Interkabel P"}</definedName>
    <definedName name="Income_Statement">[6]Leases!$B$61</definedName>
    <definedName name="Income_Statement1">[46]Leases!$B$61</definedName>
    <definedName name="IND" localSheetId="7">ModPubIndex!$A$9</definedName>
    <definedName name="Industry" localSheetId="0">ImportantDisclosures!$A$12</definedName>
    <definedName name="IndustryId" localSheetId="6">IndexInformation!$B$40</definedName>
    <definedName name="IndustryId">[68]IndexInformation!$B$40</definedName>
    <definedName name="IndustryRating" localSheetId="0">ImportantDisclosures!$A$13</definedName>
    <definedName name="Inputs">[69]Inputs!$D$7:$AN$59</definedName>
    <definedName name="INSTR_ebitda00">'[70]p&amp;leuro'!$J$39</definedName>
    <definedName name="INSTR_ebitda97">'[70]p&amp;leuro'!$J$15</definedName>
    <definedName name="INSTR_ebitda98">'[70]p&amp;leuro'!$J$23</definedName>
    <definedName name="INSTR_ebitda99">'[70]p&amp;leuro'!$J$31</definedName>
    <definedName name="int">'[64]USD Model'!$C$62:$DP$62</definedName>
    <definedName name="interest1">'[6]LBO Summary'!$E$28</definedName>
    <definedName name="interest21">'[6]LBO Summary'!$E$29</definedName>
    <definedName name="Invoice">[71]JDE!$C$1:$D$65536</definedName>
    <definedName name="ipoProceeds">'[72]WWAV CF'!$L$58</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DIVIDEND" hidden="1">"c229"</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ACT_OR_EST_THOM" hidden="1">"c5312"</definedName>
    <definedName name="IQ_BV_SHARE_EST" hidden="1">"c3541"</definedName>
    <definedName name="IQ_BV_SHARE_EST_REUT" hidden="1">"c5439"</definedName>
    <definedName name="IQ_BV_SHARE_EST_THOM" hidden="1">"c4020"</definedName>
    <definedName name="IQ_BV_SHARE_HIGH_EST" hidden="1">"c3542"</definedName>
    <definedName name="IQ_BV_SHARE_HIGH_EST_REUT" hidden="1">"c5441"</definedName>
    <definedName name="IQ_BV_SHARE_HIGH_EST_THOM" hidden="1">"c4022"</definedName>
    <definedName name="IQ_BV_SHARE_LOW_EST" hidden="1">"c3543"</definedName>
    <definedName name="IQ_BV_SHARE_LOW_EST_REUT" hidden="1">"c5442"</definedName>
    <definedName name="IQ_BV_SHARE_LOW_EST_THOM" hidden="1">"c4023"</definedName>
    <definedName name="IQ_BV_SHARE_MEDIAN_EST" hidden="1">"c3544"</definedName>
    <definedName name="IQ_BV_SHARE_MEDIAN_EST_REUT" hidden="1">"c5440"</definedName>
    <definedName name="IQ_BV_SHARE_MEDIAN_EST_THOM" hidden="1">"c4021"</definedName>
    <definedName name="IQ_BV_SHARE_NUM_EST" hidden="1">"c3539"</definedName>
    <definedName name="IQ_BV_SHARE_NUM_EST_REUT" hidden="1">"c5443"</definedName>
    <definedName name="IQ_BV_SHARE_NUM_EST_THOM" hidden="1">"c4024"</definedName>
    <definedName name="IQ_BV_SHARE_STDDEV_EST" hidden="1">"c3540"</definedName>
    <definedName name="IQ_BV_SHARE_STDDEV_EST_REUT" hidden="1">"c5444"</definedName>
    <definedName name="IQ_BV_SHARE_STDDEV_EST_THOM" hidden="1">"c4025"</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Q_EST_THOM" hidden="1">"c6804"</definedName>
    <definedName name="IQ_CAL_Y" hidden="1">"c102"</definedName>
    <definedName name="IQ_CAL_Y_EST" hidden="1">"c6797"</definedName>
    <definedName name="IQ_CAL_Y_EST_CIQ" hidden="1">"c6809"</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ACT_OR_EST_THOM" hidden="1">"c5546"</definedName>
    <definedName name="IQ_CAPEX_BNK" hidden="1">"c110"</definedName>
    <definedName name="IQ_CAPEX_BR" hidden="1">"c111"</definedName>
    <definedName name="IQ_CAPEX_EST" hidden="1">"c3523"</definedName>
    <definedName name="IQ_CAPEX_EST_REUT" hidden="1">"c3969"</definedName>
    <definedName name="IQ_CAPEX_EST_THOM" hidden="1">"c5502"</definedName>
    <definedName name="IQ_CAPEX_FIN" hidden="1">"c112"</definedName>
    <definedName name="IQ_CAPEX_HIGH_EST" hidden="1">"c3524"</definedName>
    <definedName name="IQ_CAPEX_HIGH_EST_REUT" hidden="1">"c3971"</definedName>
    <definedName name="IQ_CAPEX_HIGH_EST_THOM" hidden="1">"c5504"</definedName>
    <definedName name="IQ_CAPEX_INS" hidden="1">"c113"</definedName>
    <definedName name="IQ_CAPEX_LOW_EST" hidden="1">"c3525"</definedName>
    <definedName name="IQ_CAPEX_LOW_EST_REUT" hidden="1">"c3972"</definedName>
    <definedName name="IQ_CAPEX_LOW_EST_THOM" hidden="1">"c5505"</definedName>
    <definedName name="IQ_CAPEX_MEDIAN_EST" hidden="1">"c3526"</definedName>
    <definedName name="IQ_CAPEX_MEDIAN_EST_REUT" hidden="1">"c3970"</definedName>
    <definedName name="IQ_CAPEX_MEDIAN_EST_THOM" hidden="1">"c5503"</definedName>
    <definedName name="IQ_CAPEX_NUM_EST" hidden="1">"c3521"</definedName>
    <definedName name="IQ_CAPEX_NUM_EST_REUT" hidden="1">"c3973"</definedName>
    <definedName name="IQ_CAPEX_NUM_EST_THOM" hidden="1">"c5506"</definedName>
    <definedName name="IQ_CAPEX_STDDEV_EST" hidden="1">"c3522"</definedName>
    <definedName name="IQ_CAPEX_STDDEV_EST_REUT" hidden="1">"c3974"</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ACT_OR_EST_THOM" hidden="1">"c5301"</definedName>
    <definedName name="IQ_CFPS_EST" hidden="1">"c1667"</definedName>
    <definedName name="IQ_CFPS_EST_REUT" hidden="1">"c3844"</definedName>
    <definedName name="IQ_CFPS_EST_THOM" hidden="1">"c4006"</definedName>
    <definedName name="IQ_CFPS_HIGH_EST" hidden="1">"c1669"</definedName>
    <definedName name="IQ_CFPS_HIGH_EST_REUT" hidden="1">"c3846"</definedName>
    <definedName name="IQ_CFPS_HIGH_EST_THOM" hidden="1">"c4008"</definedName>
    <definedName name="IQ_CFPS_LOW_EST" hidden="1">"c1670"</definedName>
    <definedName name="IQ_CFPS_LOW_EST_REUT" hidden="1">"c3847"</definedName>
    <definedName name="IQ_CFPS_LOW_EST_THOM" hidden="1">"c4009"</definedName>
    <definedName name="IQ_CFPS_MEDIAN_EST" hidden="1">"c1668"</definedName>
    <definedName name="IQ_CFPS_MEDIAN_EST_REUT" hidden="1">"c3845"</definedName>
    <definedName name="IQ_CFPS_MEDIAN_EST_THOM" hidden="1">"c4007"</definedName>
    <definedName name="IQ_CFPS_NUM_EST" hidden="1">"c1671"</definedName>
    <definedName name="IQ_CFPS_NUM_EST_REUT" hidden="1">"c3848"</definedName>
    <definedName name="IQ_CFPS_NUM_EST_THOM" hidden="1">"c4010"</definedName>
    <definedName name="IQ_CFPS_STDDEV_EST" hidden="1">"c1672"</definedName>
    <definedName name="IQ_CFPS_STDDEV_EST_REUT" hidden="1">"c3849"</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ACT_OR_EST_THOM" hidden="1">"c5302"</definedName>
    <definedName name="IQ_DPS_EST" hidden="1">"c1674"</definedName>
    <definedName name="IQ_DPS_EST_BOTTOM_UP_REUT" hidden="1">"c5501"</definedName>
    <definedName name="IQ_DPS_EST_REUT" hidden="1">"c3851"</definedName>
    <definedName name="IQ_DPS_EST_THOM" hidden="1">"c4013"</definedName>
    <definedName name="IQ_DPS_HIGH_EST" hidden="1">"c1676"</definedName>
    <definedName name="IQ_DPS_HIGH_EST_REUT" hidden="1">"c3853"</definedName>
    <definedName name="IQ_DPS_HIGH_EST_THOM" hidden="1">"c4015"</definedName>
    <definedName name="IQ_DPS_LOW_EST" hidden="1">"c1677"</definedName>
    <definedName name="IQ_DPS_LOW_EST_REUT" hidden="1">"c3854"</definedName>
    <definedName name="IQ_DPS_LOW_EST_THOM" hidden="1">"c4016"</definedName>
    <definedName name="IQ_DPS_MEDIAN_EST" hidden="1">"c1675"</definedName>
    <definedName name="IQ_DPS_MEDIAN_EST_REUT" hidden="1">"c3852"</definedName>
    <definedName name="IQ_DPS_MEDIAN_EST_THOM" hidden="1">"c4014"</definedName>
    <definedName name="IQ_DPS_NUM_EST" hidden="1">"c1678"</definedName>
    <definedName name="IQ_DPS_NUM_EST_REUT" hidden="1">"c3855"</definedName>
    <definedName name="IQ_DPS_NUM_EST_THOM" hidden="1">"c4017"</definedName>
    <definedName name="IQ_DPS_STDDEV_EST" hidden="1">"c1679"</definedName>
    <definedName name="IQ_DPS_STDDEV_EST_REUT" hidden="1">"c3856"</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ACT_OR_EST_THOM" hidden="1">"c5303"</definedName>
    <definedName name="IQ_EBIT_EQ_INC" hidden="1">"c3498"</definedName>
    <definedName name="IQ_EBIT_EQ_INC_EXCL_SBC" hidden="1">"c3502"</definedName>
    <definedName name="IQ_EBIT_EST" hidden="1">"c1681"</definedName>
    <definedName name="IQ_EBIT_EST_REUT" hidden="1">"c5333"</definedName>
    <definedName name="IQ_EBIT_EST_THOM" hidden="1">"c5105"</definedName>
    <definedName name="IQ_EBIT_EXCL_SBC" hidden="1">"c3082"</definedName>
    <definedName name="IQ_EBIT_GROWTH_1" hidden="1">"c157"</definedName>
    <definedName name="IQ_EBIT_GROWTH_2" hidden="1">"c161"</definedName>
    <definedName name="IQ_EBIT_GW_ACT_OR_EST" hidden="1">"c4306"</definedName>
    <definedName name="IQ_EBIT_HIGH_EST" hidden="1">"c1683"</definedName>
    <definedName name="IQ_EBIT_HIGH_EST_REUT" hidden="1">"c5335"</definedName>
    <definedName name="IQ_EBIT_HIGH_EST_THOM" hidden="1">"c5107"</definedName>
    <definedName name="IQ_EBIT_INT" hidden="1">"c360"</definedName>
    <definedName name="IQ_EBIT_LOW_EST" hidden="1">"c1684"</definedName>
    <definedName name="IQ_EBIT_LOW_EST_REUT" hidden="1">"c5336"</definedName>
    <definedName name="IQ_EBIT_LOW_EST_THOM" hidden="1">"c5108"</definedName>
    <definedName name="IQ_EBIT_MARGIN" hidden="1">"c359"</definedName>
    <definedName name="IQ_EBIT_MEDIAN_EST" hidden="1">"c1682"</definedName>
    <definedName name="IQ_EBIT_MEDIAN_EST_REUT" hidden="1">"c5334"</definedName>
    <definedName name="IQ_EBIT_MEDIAN_EST_THOM" hidden="1">"c5106"</definedName>
    <definedName name="IQ_EBIT_NUM_EST" hidden="1">"c1685"</definedName>
    <definedName name="IQ_EBIT_NUM_EST_REUT" hidden="1">"c5337"</definedName>
    <definedName name="IQ_EBIT_NUM_EST_THOM" hidden="1">"c5109"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_STDDEV_EST_REUT" hidden="1">"c5338"</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REUT" hidden="1">"c5462"</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O_EST" hidden="1">"c267"</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REUT" hidden="1">"c5460"</definedName>
    <definedName name="IQ_EPS_ACT_OR_EST_THOM" hidden="1">"c5298"</definedName>
    <definedName name="IQ_EPS_AP" hidden="1">"c8880"</definedName>
    <definedName name="IQ_EPS_AP_ABS" hidden="1">"c8899"</definedName>
    <definedName name="IQ_EPS_EST" hidden="1">"c399"</definedName>
    <definedName name="IQ_EPS_EST_1" hidden="1">"c189"</definedName>
    <definedName name="IQ_EPS_EST_BOTTOM_UP" hidden="1">"c5489"</definedName>
    <definedName name="IQ_EPS_EST_BOTTOM_UP_REUT" hidden="1">"c5497"</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ACT_OR_EST_REUT" hidden="1">"c5469"</definedName>
    <definedName name="IQ_EPS_GW_EST" hidden="1">"c1737"</definedName>
    <definedName name="IQ_EPS_GW_EST_BOTTOM_UP_REUT" hidden="1">"c5499"</definedName>
    <definedName name="IQ_EPS_GW_EST_CIQ" hidden="1">"c4723"</definedName>
    <definedName name="IQ_EPS_GW_EST_REUT" hidden="1">"c5389"</definedName>
    <definedName name="IQ_EPS_GW_EST_THOM" hidden="1">"c5133"</definedName>
    <definedName name="IQ_EPS_GW_HIGH_EST" hidden="1">"c1739"</definedName>
    <definedName name="IQ_EPS_GW_HIGH_EST_CIQ" hidden="1">"c4725"</definedName>
    <definedName name="IQ_EPS_GW_HIGH_EST_REUT" hidden="1">"c5391"</definedName>
    <definedName name="IQ_EPS_GW_HIGH_EST_THOM" hidden="1">"c5135"</definedName>
    <definedName name="IQ_EPS_GW_LOW_EST" hidden="1">"c1740"</definedName>
    <definedName name="IQ_EPS_GW_LOW_EST_CIQ" hidden="1">"c4726"</definedName>
    <definedName name="IQ_EPS_GW_LOW_EST_REUT" hidden="1">"c5392"</definedName>
    <definedName name="IQ_EPS_GW_LOW_EST_THOM" hidden="1">"c5136"</definedName>
    <definedName name="IQ_EPS_GW_MEDIAN_EST" hidden="1">"c1738"</definedName>
    <definedName name="IQ_EPS_GW_MEDIAN_EST_CIQ" hidden="1">"c4724"</definedName>
    <definedName name="IQ_EPS_GW_MEDIAN_EST_REUT" hidden="1">"c5390"</definedName>
    <definedName name="IQ_EPS_GW_MEDIAN_EST_THOM" hidden="1">"c5134"</definedName>
    <definedName name="IQ_EPS_GW_NUM_EST" hidden="1">"c1741"</definedName>
    <definedName name="IQ_EPS_GW_NUM_EST_CIQ" hidden="1">"c4727"</definedName>
    <definedName name="IQ_EPS_GW_NUM_EST_REUT" hidden="1">"c5393"</definedName>
    <definedName name="IQ_EPS_GW_NUM_EST_THOM" hidden="1">"c5137"</definedName>
    <definedName name="IQ_EPS_GW_STDDEV_EST" hidden="1">"c1742"</definedName>
    <definedName name="IQ_EPS_GW_STDDEV_EST_CIQ" hidden="1">"c4728"</definedName>
    <definedName name="IQ_EPS_GW_STDDEV_EST_REUT" hidden="1">"c5394"</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REUT" hidden="1">"c5498"</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NUM_EST_THOM" hidden="1">"c5288"</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 hidden="1">"c2224"</definedName>
    <definedName name="IQ_EPS_REPORT_ACT_OR_EST_CIQ" hidden="1">"c5067"</definedName>
    <definedName name="IQ_EPS_REPORT_ACT_OR_EST_REUT" hidden="1">"c5470"</definedName>
    <definedName name="IQ_EPS_REPORT_ACT_OR_EST_THOM" hidden="1">"c5307"</definedName>
    <definedName name="IQ_EPS_REPORTED_EST" hidden="1">"c1744"</definedName>
    <definedName name="IQ_EPS_REPORTED_EST_BOTTOM_UP_REUT" hidden="1">"c5500"</definedName>
    <definedName name="IQ_EPS_REPORTED_EST_CIQ" hidden="1">"c4730"</definedName>
    <definedName name="IQ_EPS_REPORTED_EST_REUT" hidden="1">"c5396"</definedName>
    <definedName name="IQ_EPS_REPORTED_EST_THOM" hidden="1">"c5140"</definedName>
    <definedName name="IQ_EPS_REPORTED_HIGH_EST" hidden="1">"c1746"</definedName>
    <definedName name="IQ_EPS_REPORTED_HIGH_EST_CIQ" hidden="1">"c4732"</definedName>
    <definedName name="IQ_EPS_REPORTED_HIGH_EST_REUT" hidden="1">"c5398"</definedName>
    <definedName name="IQ_EPS_REPORTED_HIGH_EST_THOM" hidden="1">"c5142"</definedName>
    <definedName name="IQ_EPS_REPORTED_LOW_EST" hidden="1">"c1747"</definedName>
    <definedName name="IQ_EPS_REPORTED_LOW_EST_CIQ" hidden="1">"c4733"</definedName>
    <definedName name="IQ_EPS_REPORTED_LOW_EST_REUT" hidden="1">"c5399"</definedName>
    <definedName name="IQ_EPS_REPORTED_LOW_EST_THOM" hidden="1">"c5143"</definedName>
    <definedName name="IQ_EPS_REPORTED_MEDIAN_EST" hidden="1">"c1745"</definedName>
    <definedName name="IQ_EPS_REPORTED_MEDIAN_EST_CIQ" hidden="1">"c4731"</definedName>
    <definedName name="IQ_EPS_REPORTED_MEDIAN_EST_REUT" hidden="1">"c5397"</definedName>
    <definedName name="IQ_EPS_REPORTED_MEDIAN_EST_THOM" hidden="1">"c5141"</definedName>
    <definedName name="IQ_EPS_REPORTED_NUM_EST" hidden="1">"c1748"</definedName>
    <definedName name="IQ_EPS_REPORTED_NUM_EST_CIQ" hidden="1">"c4734"</definedName>
    <definedName name="IQ_EPS_REPORTED_NUM_EST_REUT" hidden="1">"c5400"</definedName>
    <definedName name="IQ_EPS_REPORTED_NUM_EST_THOM" hidden="1">"c5144"</definedName>
    <definedName name="IQ_EPS_REPORTED_STDDEV_EST" hidden="1">"c1749"</definedName>
    <definedName name="IQ_EPS_REPORTED_STDDEV_EST_CIQ" hidden="1">"c4735"</definedName>
    <definedName name="IQ_EPS_REPORTED_STDDEV_EST_REUT" hidden="1">"c5401"</definedName>
    <definedName name="IQ_EPS_REPORTED_STDDEV_EST_THOM" hidden="1">"c5145"</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REUT" hidden="1">"c5445"</definedName>
    <definedName name="IQ_EST_ACT_BV_SHARE_THOM" hidden="1">"c4026"</definedName>
    <definedName name="IQ_EST_ACT_CAPEX" hidden="1">"c3546"</definedName>
    <definedName name="IQ_EST_ACT_CAPEX_REUT" hidden="1">"c3975"</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REUT" hidden="1">"c3850"</definedName>
    <definedName name="IQ_EST_ACT_CFPS_THOM" hidden="1">"c4012"</definedName>
    <definedName name="IQ_EST_ACT_DPS" hidden="1">"c1680"</definedName>
    <definedName name="IQ_EST_ACT_DPS_REUT" hidden="1">"c3857"</definedName>
    <definedName name="IQ_EST_ACT_DPS_THOM" hidden="1">"c4019"</definedName>
    <definedName name="IQ_EST_ACT_EBIT" hidden="1">"c1687"</definedName>
    <definedName name="IQ_EST_ACT_EBIT_REUT" hidden="1">"c5339"</definedName>
    <definedName name="IQ_EST_ACT_EBIT_THOM" hidden="1">"c5111"</definedName>
    <definedName name="IQ_EST_ACT_EBITDA" hidden="1">"c1664"</definedName>
    <definedName name="IQ_EST_ACT_EBITDA_REUT" hidden="1">"c3836"</definedName>
    <definedName name="IQ_EST_ACT_EBITDA_THOM" hidden="1">"c3998"</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GW_THOM" hidden="1">"c5139"</definedName>
    <definedName name="IQ_EST_ACT_EPS_NORM" hidden="1">"c2232"</definedName>
    <definedName name="IQ_EST_ACT_EPS_NORM_CIQ" hidden="1">"c4673"</definedName>
    <definedName name="IQ_EST_ACT_EPS_NORM_REUT" hidden="1">"c5332"</definedName>
    <definedName name="IQ_EST_ACT_EPS_PRIMARY" hidden="1">"c2232"</definedName>
    <definedName name="IQ_EST_ACT_EPS_REPORTED" hidden="1">"c1750"</definedName>
    <definedName name="IQ_EST_ACT_EPS_REPORTED_CIQ" hidden="1">"c4736"</definedName>
    <definedName name="IQ_EST_ACT_EPS_REPORTED_REUT" hidden="1">"c5402"</definedName>
    <definedName name="IQ_EST_ACT_EPS_REPORTED_THOM" hidden="1">"c5146"</definedName>
    <definedName name="IQ_EST_ACT_EPS_REUT" hidden="1">"c5457"</definedName>
    <definedName name="IQ_EST_ACT_EPS_THOM" hidden="1">"c5294"</definedName>
    <definedName name="IQ_EST_ACT_FFO" hidden="1">"c1666"</definedName>
    <definedName name="IQ_EST_ACT_FFO_REUT" hidden="1">"c3843"</definedName>
    <definedName name="IQ_EST_ACT_FFO_SHARE_SHARE_THOM" hidden="1">"c4005"</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SHARE_REUT" hidden="1">"c5616"</definedName>
    <definedName name="IQ_EST_ACT_NAV_THOM" hidden="1">"c5600"</definedName>
    <definedName name="IQ_EST_ACT_NET_DEBT" hidden="1">"c3545"</definedName>
    <definedName name="IQ_EST_ACT_NET_DEBT_REUT" hidden="1">"c5446"</definedName>
    <definedName name="IQ_EST_ACT_NET_DEBT_THOM" hidden="1">"c4033"</definedName>
    <definedName name="IQ_EST_ACT_NI" hidden="1">"c1722"</definedName>
    <definedName name="IQ_EST_ACT_NI_GW" hidden="1">"c1729"</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THOM" hidden="1">"c5132"</definedName>
    <definedName name="IQ_EST_ACT_OPER_INC" hidden="1">"c1694"</definedName>
    <definedName name="IQ_EST_ACT_OPER_INC_REUT" hidden="1">"c5346"</definedName>
    <definedName name="IQ_EST_ACT_OPER_INC_THOM" hidden="1">"c5118"</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INC_THOM" hidden="1">"c5125"</definedName>
    <definedName name="IQ_EST_ACT_PRETAX_REPORT_INC" hidden="1">"c1715"</definedName>
    <definedName name="IQ_EST_ACT_PRETAX_REPORT_INC_REUT" hidden="1">"c5367"</definedName>
    <definedName name="IQ_EST_ACT_RECURRING_PROFIT" hidden="1">"c4411"</definedName>
    <definedName name="IQ_EST_ACT_RETURN_ASSETS" hidden="1">"c3547"</definedName>
    <definedName name="IQ_EST_ACT_RETURN_ASSETS_REUT" hidden="1">"c3996"</definedName>
    <definedName name="IQ_EST_ACT_RETURN_ASSETS_THOM" hidden="1">"c4040"</definedName>
    <definedName name="IQ_EST_ACT_RETURN_EQUITY" hidden="1">"c3548"</definedName>
    <definedName name="IQ_EST_ACT_RETURN_EQUITY_REUT" hidden="1">"c3989"</definedName>
    <definedName name="IQ_EST_ACT_RETURN_EQUITY_THOM" hidden="1">"c5287"</definedName>
    <definedName name="IQ_EST_ACT_REV" hidden="1">"c2113"</definedName>
    <definedName name="IQ_EST_ACT_REV_REUT" hidden="1">"c3835"</definedName>
    <definedName name="IQ_EST_ACT_REV_THOM" hidden="1">"c3997"</definedName>
    <definedName name="IQ_EST_CAPEX_GROWTH_1YR" hidden="1">"c3588"</definedName>
    <definedName name="IQ_EST_CAPEX_GROWTH_1YR_REUT" hidden="1">"c5447"</definedName>
    <definedName name="IQ_EST_CAPEX_GROWTH_1YR_THOM" hidden="1">"c5542"</definedName>
    <definedName name="IQ_EST_CAPEX_GROWTH_2YR" hidden="1">"c3589"</definedName>
    <definedName name="IQ_EST_CAPEX_GROWTH_2YR_REUT" hidden="1">"c5448"</definedName>
    <definedName name="IQ_EST_CAPEX_GROWTH_2YR_THOM" hidden="1">"c5543"</definedName>
    <definedName name="IQ_EST_CAPEX_GROWTH_Q_1YR" hidden="1">"c3590"</definedName>
    <definedName name="IQ_EST_CAPEX_GROWTH_Q_1YR_REUT" hidden="1">"c5449"</definedName>
    <definedName name="IQ_EST_CAPEX_GROWTH_Q_1YR_THOM" hidden="1">"c5544"</definedName>
    <definedName name="IQ_EST_CAPEX_SEQ_GROWTH_Q" hidden="1">"c3591"</definedName>
    <definedName name="IQ_EST_CAPEX_SEQ_GROWTH_Q_REUT" hidden="1">"c5450"</definedName>
    <definedName name="IQ_EST_CAPEX_SEQ_GROWTH_Q_THOM" hidden="1">"c5545"</definedName>
    <definedName name="IQ_EST_CFPS_DIFF" hidden="1">"c1871"</definedName>
    <definedName name="IQ_EST_CFPS_DIFF_REUT" hidden="1">"c3892"</definedName>
    <definedName name="IQ_EST_CFPS_DIFF_THOM" hidden="1">"c5188"</definedName>
    <definedName name="IQ_EST_CFPS_GROWTH_1YR" hidden="1">"c1774"</definedName>
    <definedName name="IQ_EST_CFPS_GROWTH_1YR_REUT" hidden="1">"c3878"</definedName>
    <definedName name="IQ_EST_CFPS_GROWTH_1YR_THOM" hidden="1">"c5174"</definedName>
    <definedName name="IQ_EST_CFPS_GROWTH_2YR" hidden="1">"c1775"</definedName>
    <definedName name="IQ_EST_CFPS_GROWTH_2YR_REUT" hidden="1">"c3879"</definedName>
    <definedName name="IQ_EST_CFPS_GROWTH_2YR_THOM" hidden="1">"c5175"</definedName>
    <definedName name="IQ_EST_CFPS_GROWTH_Q_1YR" hidden="1">"c1776"</definedName>
    <definedName name="IQ_EST_CFPS_GROWTH_Q_1YR_REUT" hidden="1">"c3880"</definedName>
    <definedName name="IQ_EST_CFPS_GROWTH_Q_1YR_THOM" hidden="1">"c5176"</definedName>
    <definedName name="IQ_EST_CFPS_SEQ_GROWTH_Q" hidden="1">"c1777"</definedName>
    <definedName name="IQ_EST_CFPS_SEQ_GROWTH_Q_REUT" hidden="1">"c3881"</definedName>
    <definedName name="IQ_EST_CFPS_SEQ_GROWTH_Q_THOM" hidden="1">"c5177"</definedName>
    <definedName name="IQ_EST_CFPS_SURPRISE_PERCENT" hidden="1">"c1872"</definedName>
    <definedName name="IQ_EST_CFPS_SURPRISE_PERCENT_REUT" hidden="1">"c3893"</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PS_DIFF" hidden="1">"c1873"</definedName>
    <definedName name="IQ_EST_DPS_DIFF_REUT" hidden="1">"c3894"</definedName>
    <definedName name="IQ_EST_DPS_DIFF_THOM" hidden="1">"c5190"</definedName>
    <definedName name="IQ_EST_DPS_GROWTH_1YR" hidden="1">"c1778"</definedName>
    <definedName name="IQ_EST_DPS_GROWTH_1YR_REUT" hidden="1">"c3882"</definedName>
    <definedName name="IQ_EST_DPS_GROWTH_1YR_THOM" hidden="1">"c5178"</definedName>
    <definedName name="IQ_EST_DPS_GROWTH_2YR" hidden="1">"c1779"</definedName>
    <definedName name="IQ_EST_DPS_GROWTH_2YR_REUT" hidden="1">"c3883"</definedName>
    <definedName name="IQ_EST_DPS_GROWTH_2YR_THOM" hidden="1">"c5179"</definedName>
    <definedName name="IQ_EST_DPS_GROWTH_Q_1YR" hidden="1">"c1780"</definedName>
    <definedName name="IQ_EST_DPS_GROWTH_Q_1YR_REUT" hidden="1">"c3884"</definedName>
    <definedName name="IQ_EST_DPS_GROWTH_Q_1YR_THOM" hidden="1">"c5180"</definedName>
    <definedName name="IQ_EST_DPS_SEQ_GROWTH_Q" hidden="1">"c1781"</definedName>
    <definedName name="IQ_EST_DPS_SEQ_GROWTH_Q_REUT" hidden="1">"c3885"</definedName>
    <definedName name="IQ_EST_DPS_SEQ_GROWTH_Q_THOM" hidden="1">"c5181"</definedName>
    <definedName name="IQ_EST_DPS_SURPRISE_PERCENT" hidden="1">"c1874"</definedName>
    <definedName name="IQ_EST_DPS_SURPRISE_PERCENT_REUT" hidden="1">"c3895"</definedName>
    <definedName name="IQ_EST_DPS_SURPRISE_PERCENT_THOM" hidden="1">"c5191"</definedName>
    <definedName name="IQ_EST_EBIT_DIFF" hidden="1">"c1875"</definedName>
    <definedName name="IQ_EST_EBIT_DIFF_REUT" hidden="1">"c5413"</definedName>
    <definedName name="IQ_EST_EBIT_DIFF_THOM" hidden="1">"c5192"</definedName>
    <definedName name="IQ_EST_EBIT_SURPRISE_PERCENT" hidden="1">"c1876"</definedName>
    <definedName name="IQ_EST_EBIT_SURPRISE_PERCENT_REUT" hidden="1">"c5414"</definedName>
    <definedName name="IQ_EST_EBIT_SURPRISE_PERCENT_THOM" hidden="1">"c5193"</definedName>
    <definedName name="IQ_EST_EBITDA_DIFF" hidden="1">"c1867"</definedName>
    <definedName name="IQ_EST_EBITDA_DIFF_REUT" hidden="1">"c3888"</definedName>
    <definedName name="IQ_EST_EBITDA_DIFF_THOM" hidden="1">"c5184"</definedName>
    <definedName name="IQ_EST_EBITDA_GROWTH_1YR" hidden="1">"c1766"</definedName>
    <definedName name="IQ_EST_EBITDA_GROWTH_1YR_REUT" hidden="1">"c3864"</definedName>
    <definedName name="IQ_EST_EBITDA_GROWTH_1YR_THOM" hidden="1">"c5161"</definedName>
    <definedName name="IQ_EST_EBITDA_GROWTH_2YR" hidden="1">"c1767"</definedName>
    <definedName name="IQ_EST_EBITDA_GROWTH_2YR_REUT" hidden="1">"c3865"</definedName>
    <definedName name="IQ_EST_EBITDA_GROWTH_2YR_THOM" hidden="1">"c5162"</definedName>
    <definedName name="IQ_EST_EBITDA_GROWTH_Q_1YR" hidden="1">"c1768"</definedName>
    <definedName name="IQ_EST_EBITDA_GROWTH_Q_1YR_REUT" hidden="1">"c3866"</definedName>
    <definedName name="IQ_EST_EBITDA_GROWTH_Q_1YR_THOM" hidden="1">"c5163"</definedName>
    <definedName name="IQ_EST_EBITDA_SEQ_GROWTH_Q" hidden="1">"c1769"</definedName>
    <definedName name="IQ_EST_EBITDA_SEQ_GROWTH_Q_REUT" hidden="1">"c3867"</definedName>
    <definedName name="IQ_EST_EBITDA_SEQ_GROWTH_Q_THOM" hidden="1">"c5164"</definedName>
    <definedName name="IQ_EST_EBITDA_SURPRISE_PERCENT" hidden="1">"c1868"</definedName>
    <definedName name="IQ_EST_EBITDA_SURPRISE_PERCENT_REUT" hidden="1">"c3889"</definedName>
    <definedName name="IQ_EST_EBITDA_SURPRISE_PERCENT_THOM" hidden="1">"c5185"</definedName>
    <definedName name="IQ_EST_EPS_DIFF" hidden="1">"c1864"</definedName>
    <definedName name="IQ_EST_EPS_DIFF_REUT" hidden="1">"c5458"</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REUT" hidden="1">"c3858"</definedName>
    <definedName name="IQ_EST_EPS_GROWTH_2YR_THOM" hidden="1">"c5154"</definedName>
    <definedName name="IQ_EST_EPS_GROWTH_5YR" hidden="1">"c1655"</definedName>
    <definedName name="IQ_EST_EPS_GROWTH_5YR_BOTTOM_UP_REUT" hidden="1">"c5495"</definedName>
    <definedName name="IQ_EST_EPS_GROWTH_5YR_CIQ" hidden="1">"c3615"</definedName>
    <definedName name="IQ_EST_EPS_GROWTH_5YR_HIGH" hidden="1">"c1657"</definedName>
    <definedName name="IQ_EST_EPS_GROWTH_5YR_HIGH_CIQ" hidden="1">"c4663"</definedName>
    <definedName name="IQ_EST_EPS_GROWTH_5YR_HIGH_REUT" hidden="1">"c5322"</definedName>
    <definedName name="IQ_EST_EPS_GROWTH_5YR_HIGH_THOM" hidden="1">"c5101"</definedName>
    <definedName name="IQ_EST_EPS_GROWTH_5YR_LOW" hidden="1">"c1658"</definedName>
    <definedName name="IQ_EST_EPS_GROWTH_5YR_LOW_CIQ" hidden="1">"c4664"</definedName>
    <definedName name="IQ_EST_EPS_GROWTH_5YR_LOW_REUT" hidden="1">"c5323"</definedName>
    <definedName name="IQ_EST_EPS_GROWTH_5YR_LOW_THOM" hidden="1">"c5102"</definedName>
    <definedName name="IQ_EST_EPS_GROWTH_5YR_MEDIAN" hidden="1">"c1656"</definedName>
    <definedName name="IQ_EST_EPS_GROWTH_5YR_MEDIAN_CIQ" hidden="1">"c5480"</definedName>
    <definedName name="IQ_EST_EPS_GROWTH_5YR_MEDIAN_REUT" hidden="1">"c5321"</definedName>
    <definedName name="IQ_EST_EPS_GROWTH_5YR_MEDIAN_THOM" hidden="1">"c5100"</definedName>
    <definedName name="IQ_EST_EPS_GROWTH_5YR_NUM" hidden="1">"c1659"</definedName>
    <definedName name="IQ_EST_EPS_GROWTH_5YR_NUM_CIQ" hidden="1">"c4665"</definedName>
    <definedName name="IQ_EST_EPS_GROWTH_5YR_NUM_REUT" hidden="1">"c5324"</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REUT" hidden="1">"c5325"</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REUT" hidden="1">"c5429"</definedName>
    <definedName name="IQ_EST_EPS_GW_DIFF_THOM" hidden="1">"c5200"</definedName>
    <definedName name="IQ_EST_EPS_GW_SURPRISE_PERCENT" hidden="1">"c1892"</definedName>
    <definedName name="IQ_EST_EPS_GW_SURPRISE_PERCENT_CIQ" hidden="1">"c4762"</definedName>
    <definedName name="IQ_EST_EPS_GW_SURPRISE_PERCENT_REUT" hidden="1">"c5430"</definedName>
    <definedName name="IQ_EST_EPS_GW_SURPRISE_PERCENT_THOM" hidden="1">"c5201"</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REUT" hidden="1">"c5432"</definedName>
    <definedName name="IQ_EST_EPS_REPORT_SURPRISE_PERCENT_THOM" hidden="1">"c5203"</definedName>
    <definedName name="IQ_EST_EPS_SEQ_GROWTH_Q" hidden="1">"c1764"</definedName>
    <definedName name="IQ_EST_EPS_SEQ_GROWTH_Q_REUT" hidden="1">"c3859"</definedName>
    <definedName name="IQ_EST_EPS_SEQ_GROWTH_Q_THOM" hidden="1">"c5156"</definedName>
    <definedName name="IQ_EST_EPS_SURPRISE" hidden="1">"c1635"</definedName>
    <definedName name="IQ_EST_EPS_SURPRISE_PERCENT" hidden="1">"c1635"</definedName>
    <definedName name="IQ_EST_EPS_SURPRISE_PERCENT_REUT" hidden="1">"c5459"</definedName>
    <definedName name="IQ_EST_EPS_SURPRISE_PERCENT_THOM" hidden="1">"c5296"</definedName>
    <definedName name="IQ_EST_FFO_DIFF" hidden="1">"c1869"</definedName>
    <definedName name="IQ_EST_FFO_DIFF_REUT" hidden="1">"c3890"</definedName>
    <definedName name="IQ_EST_FFO_DIFF_THOM" hidden="1">"c5186"</definedName>
    <definedName name="IQ_EST_FFO_GROWTH_1YR" hidden="1">"c1770"</definedName>
    <definedName name="IQ_EST_FFO_GROWTH_1YR_REUT" hidden="1">"c3874"</definedName>
    <definedName name="IQ_EST_FFO_GROWTH_1YR_THOM" hidden="1">"c5170"</definedName>
    <definedName name="IQ_EST_FFO_GROWTH_2YR" hidden="1">"c1771"</definedName>
    <definedName name="IQ_EST_FFO_GROWTH_2YR_REUT" hidden="1">"c3875"</definedName>
    <definedName name="IQ_EST_FFO_GROWTH_2YR_THOM" hidden="1">"c5171"</definedName>
    <definedName name="IQ_EST_FFO_GROWTH_Q_1YR" hidden="1">"c1772"</definedName>
    <definedName name="IQ_EST_FFO_GROWTH_Q_1YR_REUT" hidden="1">"c3876"</definedName>
    <definedName name="IQ_EST_FFO_GROWTH_Q_1YR_THOM" hidden="1">"c5172"</definedName>
    <definedName name="IQ_EST_FFO_SEQ_GROWTH_Q" hidden="1">"c1773"</definedName>
    <definedName name="IQ_EST_FFO_SEQ_GROWTH_Q_REUT" hidden="1">"c3877"</definedName>
    <definedName name="IQ_EST_FFO_SEQ_GROWTH_Q_THOM" hidden="1">"c5173"</definedName>
    <definedName name="IQ_EST_FFO_SHARE_SHARE_DIFF_THOM" hidden="1">"c5186"</definedName>
    <definedName name="IQ_EST_FFO_SHARE_SHARE_SURPRISE_PERCENT_THOM" hidden="1">"c5187"</definedName>
    <definedName name="IQ_EST_FFO_SURPRISE_PERCENT" hidden="1">"c1870"</definedName>
    <definedName name="IQ_EST_FFO_SURPRISE_PERCENT_REUT" hidden="1">"c3891"</definedName>
    <definedName name="IQ_EST_FFO_SURPRISE_PERCENT_THOM" hidden="1">"c5187"</definedName>
    <definedName name="IQ_EST_FOOTNOTE" hidden="1">"c4540"</definedName>
    <definedName name="IQ_EST_FOOTNOTE_REUT" hidden="1">"c5478"</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REUT" hidden="1">"c5423"</definedName>
    <definedName name="IQ_EST_NI_DIFF_THOM" hidden="1">"c5198"</definedName>
    <definedName name="IQ_EST_NI_GW_DIFF" hidden="1">"c1887"</definedName>
    <definedName name="IQ_EST_NI_GW_DIFF_REUT" hidden="1">"c5425"</definedName>
    <definedName name="IQ_EST_NI_GW_SURPRISE_PERCENT" hidden="1">"c1888"</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URPRISE_PERCENT" hidden="1">"c1886"</definedName>
    <definedName name="IQ_EST_NI_SURPRISE_PERCENT_REUT" hidden="1">"c5424"</definedName>
    <definedName name="IQ_EST_NI_SURPRISE_PERCENT_THOM" hidden="1">"c5199"</definedName>
    <definedName name="IQ_EST_NUM_BUY" hidden="1">"c1759"</definedName>
    <definedName name="IQ_EST_NUM_HIGH_REC" hidden="1">"c5649"</definedName>
    <definedName name="IQ_EST_NUM_HIGH_REC_REUT" hidden="1">"c3870"</definedName>
    <definedName name="IQ_EST_NUM_HIGH_REC_THOM" hidden="1">"c5166"</definedName>
    <definedName name="IQ_EST_NUM_HIGHEST_REC" hidden="1">"c5648"</definedName>
    <definedName name="IQ_EST_NUM_HIGHEST_REC_REUT" hidden="1">"c3869"</definedName>
    <definedName name="IQ_EST_NUM_HIGHEST_REC_THOM" hidden="1">"c5165"</definedName>
    <definedName name="IQ_EST_NUM_HOLD" hidden="1">"c1761"</definedName>
    <definedName name="IQ_EST_NUM_LOW_REC" hidden="1">"c5651"</definedName>
    <definedName name="IQ_EST_NUM_LOW_REC_REUT" hidden="1">"c3872"</definedName>
    <definedName name="IQ_EST_NUM_LOW_REC_THOM" hidden="1">"c5168"</definedName>
    <definedName name="IQ_EST_NUM_LOWEST_REC" hidden="1">"c5652"</definedName>
    <definedName name="IQ_EST_NUM_LOWEST_REC_REUT" hidden="1">"c3873"</definedName>
    <definedName name="IQ_EST_NUM_LOWEST_REC_THOM" hidden="1">"c5169"</definedName>
    <definedName name="IQ_EST_NUM_NEUTRAL_REC" hidden="1">"c5650"</definedName>
    <definedName name="IQ_EST_NUM_NEUTRAL_REC_REUT" hidden="1">"c3871"</definedName>
    <definedName name="IQ_EST_NUM_NEUTRAL_REC_THOM" hidden="1">"c5167"</definedName>
    <definedName name="IQ_EST_NUM_NO_OPINION" hidden="1">"c1758"</definedName>
    <definedName name="IQ_EST_NUM_NO_OPINION_REUT" hidden="1">"c3868"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REUT" hidden="1">"c5415"</definedName>
    <definedName name="IQ_EST_OPER_INC_DIFF_THOM" hidden="1">"c5194"</definedName>
    <definedName name="IQ_EST_OPER_INC_SURPRISE_PERCENT" hidden="1">"c1878"</definedName>
    <definedName name="IQ_EST_OPER_INC_SURPRISE_PERCENT_REUT" hidden="1">"c5416"</definedName>
    <definedName name="IQ_EST_OPER_INC_SURPRISE_PERCENT_THOM" hidden="1">"c5195"</definedName>
    <definedName name="IQ_EST_PRE_TAX_DIFF" hidden="1">"c1879"</definedName>
    <definedName name="IQ_EST_PRE_TAX_DIFF_REUT" hidden="1">"c5417"</definedName>
    <definedName name="IQ_EST_PRE_TAX_DIFF_THOM" hidden="1">"c5196"</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PRE_TAX_SURPRISE_PERCENT_THOM" hidden="1">"c5197"</definedName>
    <definedName name="IQ_EST_REV_DIFF" hidden="1">"c1865"</definedName>
    <definedName name="IQ_EST_REV_DIFF_REUT" hidden="1">"c3886"</definedName>
    <definedName name="IQ_EST_REV_DIFF_THOM" hidden="1">"c5182"</definedName>
    <definedName name="IQ_EST_REV_GROWTH_1YR" hidden="1">"c1638"</definedName>
    <definedName name="IQ_EST_REV_GROWTH_1YR_REUT" hidden="1">"c3860"</definedName>
    <definedName name="IQ_EST_REV_GROWTH_1YR_THOM" hidden="1">"c5157"</definedName>
    <definedName name="IQ_EST_REV_GROWTH_2YR" hidden="1">"c1639"</definedName>
    <definedName name="IQ_EST_REV_GROWTH_2YR_REUT" hidden="1">"c3861"</definedName>
    <definedName name="IQ_EST_REV_GROWTH_2YR_THOM" hidden="1">"c5158"</definedName>
    <definedName name="IQ_EST_REV_GROWTH_Q_1YR" hidden="1">"c1640"</definedName>
    <definedName name="IQ_EST_REV_GROWTH_Q_1YR_REUT" hidden="1">"c3862"</definedName>
    <definedName name="IQ_EST_REV_GROWTH_Q_1YR_THOM" hidden="1">"c5159"</definedName>
    <definedName name="IQ_EST_REV_SEQ_GROWTH_Q" hidden="1">"c1765"</definedName>
    <definedName name="IQ_EST_REV_SEQ_GROWTH_Q_REUT" hidden="1">"c3863"</definedName>
    <definedName name="IQ_EST_REV_SEQ_GROWTH_Q_THOM" hidden="1">"c5160"</definedName>
    <definedName name="IQ_EST_REV_SURPRISE_PERCENT" hidden="1">"c1866"</definedName>
    <definedName name="IQ_EST_REV_SURPRISE_PERCENT_REUT" hidden="1">"c3887"</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"02wz998"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"c4970"</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REUT" hidden="1">"c3837"</definedName>
    <definedName name="IQ_FFO_EST_THOM" hidden="1">"c3999"</definedName>
    <definedName name="IQ_FFO_HIGH_EST" hidden="1">"c419"</definedName>
    <definedName name="IQ_FFO_HIGH_EST_CIQ" hidden="1">"c4977"</definedName>
    <definedName name="IQ_FFO_HIGH_EST_REUT" hidden="1">"c3839"</definedName>
    <definedName name="IQ_FFO_HIGH_EST_THOM" hidden="1">"c4001"</definedName>
    <definedName name="IQ_FFO_LOW_EST" hidden="1">"c420"</definedName>
    <definedName name="IQ_FFO_LOW_EST_CIQ" hidden="1">"c4978"</definedName>
    <definedName name="IQ_FFO_LOW_EST_REUT" hidden="1">"c3840"</definedName>
    <definedName name="IQ_FFO_LOW_EST_THOM" hidden="1">"c4002"</definedName>
    <definedName name="IQ_FFO_MEDIAN_EST" hidden="1">"c1665"</definedName>
    <definedName name="IQ_FFO_MEDIAN_EST_CIQ" hidden="1">"c4979"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"c4980"</definedName>
    <definedName name="IQ_FFO_NUM_EST_REUT" hidden="1">"c3841"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 hidden="1">"c422"</definedName>
    <definedName name="IQ_FFO_STDDEV_EST_CIQ" hidden="1">"c4981"</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Q_EST_THOM" hidden="1">"c6802"</definedName>
    <definedName name="IQ_FISCAL_Y" hidden="1">"c441"</definedName>
    <definedName name="IQ_FISCAL_Y_EST" hidden="1">"c6795"</definedName>
    <definedName name="IQ_FISCAL_Y_EST_CIQ" hidden="1">"c6807"</definedName>
    <definedName name="IQ_FISCAL_Y_EST_REUT" hidden="1">"c6799"</definedName>
    <definedName name="IQ_FISCAL_Y_EST_THOM" hidden="1">"c6803"</definedName>
    <definedName name="IQ_FIVE_PERCENT_AMOUNT" hidden="1">"c240"</definedName>
    <definedName name="IQ_FIVE_PERCENT_OWNER" hidden="1">"c442"</definedName>
    <definedName name="IQ_FIVE_YEAR_FIXED_AND_FLOATING_RATE_FDIC" hidden="1">"c6422"</definedName>
    <definedName name="IQ_FIVE_YEAR_MORTGAGE_PASS_THROUGHS_FDIC" hidden="1">"c6414"</definedName>
    <definedName name="IQ_FIVEPERCENT_OWNER" hidden="1">"c239"</definedName>
    <definedName name="IQ_FIVEPERCENT_PERCENT" hidden="1">"c443"</definedName>
    <definedName name="IQ_FIVEPERCENT_SHARES" hidden="1">"c444"</definedName>
    <definedName name="IQ_FIX_FREQUENCY" hidden="1">"c8964"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 hidden="1">"c225"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PROVIDED_DIVIDEND" hidden="1">"c19252"</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AMOUNT" hidden="1">"c236"</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"c151"</definedName>
    <definedName name="IQ_LAST_EBITDA_MARGIN" hidden="1">"c150"</definedName>
    <definedName name="IQ_LAST_GROSS_MARGIN" hidden="1">"c149"</definedName>
    <definedName name="IQ_LAST_NET_INC_MARGIN" hidden="1">"c152"</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TCAP" hidden="1">"c258"</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40883.4153009259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_REUT" hidden="1">"c5623"</definedName>
    <definedName name="IQ_NAV_SHARE_EST_REUT" hidden="1">"c5617"</definedName>
    <definedName name="IQ_NAV_SHARE_HIGH_EST_REUT" hidden="1">"c5620"</definedName>
    <definedName name="IQ_NAV_SHARE_LOW_EST_REUT" hidden="1">"c5621"</definedName>
    <definedName name="IQ_NAV_SHARE_MEDIAN_EST_REUT" hidden="1">"c5618"</definedName>
    <definedName name="IQ_NAV_SHARE_NUM_EST_REUT" hidden="1">"c5622"</definedName>
    <definedName name="IQ_NAV_SHARE_STDDEV_EST_REUT" hidden="1">"c5619"</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EST_THOM" hidden="1">"c4027"</definedName>
    <definedName name="IQ_NET_DEBT_HIGH_EST" hidden="1">"c3518"</definedName>
    <definedName name="IQ_NET_DEBT_HIGH_EST_REUT" hidden="1">"c3978"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EST_THOM" hidden="1">"c4030"</definedName>
    <definedName name="IQ_NET_DEBT_MEDIAN_EST" hidden="1">"c3520"</definedName>
    <definedName name="IQ_NET_DEBT_MEDIAN_EST_REUT" hidden="1">"c3977"</definedName>
    <definedName name="IQ_NET_DEBT_MEDIAN_EST_THOM" hidden="1">"c4028"</definedName>
    <definedName name="IQ_NET_DEBT_NUM_EST" hidden="1">"c3515"</definedName>
    <definedName name="IQ_NET_DEBT_NUM_EST_REUT" hidden="1">"c3980"</definedName>
    <definedName name="IQ_NET_DEBT_NUM_EST_THOM" hidden="1">"c4031"</definedName>
    <definedName name="IQ_NET_DEBT_STDDEV_EST" hidden="1">"c3516"</definedName>
    <definedName name="IQ_NET_DEBT_STDDEV_EST_REUT" hidden="1">"c3981"</definedName>
    <definedName name="IQ_NET_DEBT_STDDEV_EST_THOM" hidden="1">"c4032"</definedName>
    <definedName name="IQ_NET_EARNED" hidden="1">"c2734"</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REUT" hidden="1">"c5368"</definedName>
    <definedName name="IQ_NI_EST_THOM" hidden="1">"c5126"</definedName>
    <definedName name="IQ_NI_GW_EST" hidden="1">"c1723"</definedName>
    <definedName name="IQ_NI_GW_EST_REUT" hidden="1">"c5375"</definedName>
    <definedName name="IQ_NI_GW_HIGH_EST" hidden="1">"c1725"</definedName>
    <definedName name="IQ_NI_GW_HIGH_EST_REUT" hidden="1">"c5377"</definedName>
    <definedName name="IQ_NI_GW_LOW_EST" hidden="1">"c1726"</definedName>
    <definedName name="IQ_NI_GW_LOW_EST_REUT" hidden="1">"c5378"</definedName>
    <definedName name="IQ_NI_GW_MEDIAN_EST" hidden="1">"c1724"</definedName>
    <definedName name="IQ_NI_GW_MEDIAN_EST_REUT" hidden="1">"c5376"</definedName>
    <definedName name="IQ_NI_GW_NUM_EST" hidden="1">"c1727"</definedName>
    <definedName name="IQ_NI_GW_NUM_EST_REUT" hidden="1">"c5379"</definedName>
    <definedName name="IQ_NI_GW_STDDEV_EST" hidden="1">"c1728"</definedName>
    <definedName name="IQ_NI_GW_STDDEV_EST_REUT" hidden="1">"c5380"</definedName>
    <definedName name="IQ_NI_HIGH_EST" hidden="1">"c1718"</definedName>
    <definedName name="IQ_NI_HIGH_EST_REUT" hidden="1">"c5370"</definedName>
    <definedName name="IQ_NI_HIGH_EST_THOM" hidden="1">"c5128"</definedName>
    <definedName name="IQ_NI_LOW_EST" hidden="1">"c1719"</definedName>
    <definedName name="IQ_NI_LOW_EST_REUT" hidden="1">"c5371"</definedName>
    <definedName name="IQ_NI_LOW_EST_THOM" hidden="1">"c5129"</definedName>
    <definedName name="IQ_NI_MARGIN" hidden="1">"c794"</definedName>
    <definedName name="IQ_NI_MEDIAN_EST" hidden="1">"c1717"</definedName>
    <definedName name="IQ_NI_MEDIAN_EST_REUT" hidden="1">"c5369"</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NUM_EST_THOM" hidden="1">"c5130"</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TDDEV_EST_REUT" hidden="1">"c5373"</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"c11750"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REUT" hidden="1">"c5466"</definedName>
    <definedName name="IQ_OPER_INC_ACT_OR_EST_THOM" hidden="1">"c5304"</definedName>
    <definedName name="IQ_OPER_INC_BR" hidden="1">"c850"</definedName>
    <definedName name="IQ_OPER_INC_EST" hidden="1">"c1688"</definedName>
    <definedName name="IQ_OPER_INC_EST_REUT" hidden="1">"c5340"</definedName>
    <definedName name="IQ_OPER_INC_EST_THOM" hidden="1">"c5112"</definedName>
    <definedName name="IQ_OPER_INC_FIN" hidden="1">"c851"</definedName>
    <definedName name="IQ_OPER_INC_HIGH_EST" hidden="1">"c1690"</definedName>
    <definedName name="IQ_OPER_INC_HIGH_EST_REUT" hidden="1">"c5342"</definedName>
    <definedName name="IQ_OPER_INC_HIGH_EST_THOM" hidden="1">"c5114"</definedName>
    <definedName name="IQ_OPER_INC_INS" hidden="1">"c852"</definedName>
    <definedName name="IQ_OPER_INC_LOW_EST" hidden="1">"c1691"</definedName>
    <definedName name="IQ_OPER_INC_LOW_EST_REUT" hidden="1">"c5343"</definedName>
    <definedName name="IQ_OPER_INC_LOW_EST_THOM" hidden="1">"c5115"</definedName>
    <definedName name="IQ_OPER_INC_MARGIN" hidden="1">"c1448"</definedName>
    <definedName name="IQ_OPER_INC_MEDIAN_EST" hidden="1">"c1689"</definedName>
    <definedName name="IQ_OPER_INC_MEDIAN_EST_REUT" hidden="1">"c5341"</definedName>
    <definedName name="IQ_OPER_INC_MEDIAN_EST_THOM" hidden="1">"c5113"</definedName>
    <definedName name="IQ_OPER_INC_NUM_EST" hidden="1">"c1692"</definedName>
    <definedName name="IQ_OPER_INC_NUM_EST_REUT" hidden="1">"c5344"</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INING_REVENUE_COAL" hidden="1">"c15931"</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ŒEIGN" hidden="1">"c3199"</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REUT" hidden="1">"c3959"</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REUT" hidden="1">"c3960"</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REUT" hidden="1">"c3956"</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REUT" hidden="1">"c3957"</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REUT" hidden="1">"c3958"</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REUT" hidden="1">"c3954"</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REUT" hidden="1">"c3955"</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REUT" hidden="1">"c5435"</definedName>
    <definedName name="IQ_PERCENT_CHANGE_EST_5YR_GROWTH_RATE_WEEK_THOM" hidden="1">"c5277"</definedName>
    <definedName name="IQ_PERCENT_CHANGE_EST_CFPS_12MONTHS" hidden="1">"c1812"</definedName>
    <definedName name="IQ_PERCENT_CHANGE_EST_CFPS_12MONTHS_REUT" hidden="1">"c3924"</definedName>
    <definedName name="IQ_PERCENT_CHANGE_EST_CFPS_12MONTHS_THOM" hidden="1">"c5234"</definedName>
    <definedName name="IQ_PERCENT_CHANGE_EST_CFPS_18MONTHS" hidden="1">"c1813"</definedName>
    <definedName name="IQ_PERCENT_CHANGE_EST_CFPS_18MONTHS_REUT" hidden="1">"c3925"</definedName>
    <definedName name="IQ_PERCENT_CHANGE_EST_CFPS_18MONTHS_THOM" hidden="1">"c5235"</definedName>
    <definedName name="IQ_PERCENT_CHANGE_EST_CFPS_3MONTHS" hidden="1">"c1809"</definedName>
    <definedName name="IQ_PERCENT_CHANGE_EST_CFPS_3MONTHS_REUT" hidden="1">"c3921"</definedName>
    <definedName name="IQ_PERCENT_CHANGE_EST_CFPS_3MONTHS_THOM" hidden="1">"c5231"</definedName>
    <definedName name="IQ_PERCENT_CHANGE_EST_CFPS_6MONTHS" hidden="1">"c1810"</definedName>
    <definedName name="IQ_PERCENT_CHANGE_EST_CFPS_6MONTHS_REUT" hidden="1">"c3922"</definedName>
    <definedName name="IQ_PERCENT_CHANGE_EST_CFPS_6MONTHS_THOM" hidden="1">"c5232"</definedName>
    <definedName name="IQ_PERCENT_CHANGE_EST_CFPS_9MONTHS" hidden="1">"c1811"</definedName>
    <definedName name="IQ_PERCENT_CHANGE_EST_CFPS_9MONTHS_REUT" hidden="1">"c3923"</definedName>
    <definedName name="IQ_PERCENT_CHANGE_EST_CFPS_9MONTHS_THOM" hidden="1">"c5233"</definedName>
    <definedName name="IQ_PERCENT_CHANGE_EST_CFPS_DAY" hidden="1">"c1806"</definedName>
    <definedName name="IQ_PERCENT_CHANGE_EST_CFPS_DAY_REUT" hidden="1">"c3919"</definedName>
    <definedName name="IQ_PERCENT_CHANGE_EST_CFPS_DAY_THOM" hidden="1">"c5229"</definedName>
    <definedName name="IQ_PERCENT_CHANGE_EST_CFPS_MONTH" hidden="1">"c1808"</definedName>
    <definedName name="IQ_PERCENT_CHANGE_EST_CFPS_MONTH_REUT" hidden="1">"c3920"</definedName>
    <definedName name="IQ_PERCENT_CHANGE_EST_CFPS_MONTH_THOM" hidden="1">"c5230"</definedName>
    <definedName name="IQ_PERCENT_CHANGE_EST_CFPS_WEEK" hidden="1">"c1807"</definedName>
    <definedName name="IQ_PERCENT_CHANGE_EST_CFPS_WEEK_REUT" hidden="1">"c3962"</definedName>
    <definedName name="IQ_PERCENT_CHANGE_EST_CFPS_WEEK_THOM" hidden="1">"c5272"</definedName>
    <definedName name="IQ_PERCENT_CHANGE_EST_DPS_12MONTHS" hidden="1">"c1820"</definedName>
    <definedName name="IQ_PERCENT_CHANGE_EST_DPS_12MONTHS_REUT" hidden="1">"c3931"</definedName>
    <definedName name="IQ_PERCENT_CHANGE_EST_DPS_12MONTHS_THOM" hidden="1">"c5241"</definedName>
    <definedName name="IQ_PERCENT_CHANGE_EST_DPS_18MONTHS" hidden="1">"c1821"</definedName>
    <definedName name="IQ_PERCENT_CHANGE_EST_DPS_18MONTHS_REUT" hidden="1">"c3932"</definedName>
    <definedName name="IQ_PERCENT_CHANGE_EST_DPS_18MONTHS_THOM" hidden="1">"c5242"</definedName>
    <definedName name="IQ_PERCENT_CHANGE_EST_DPS_3MONTHS" hidden="1">"c1817"</definedName>
    <definedName name="IQ_PERCENT_CHANGE_EST_DPS_3MONTHS_REUT" hidden="1">"c3928"</definedName>
    <definedName name="IQ_PERCENT_CHANGE_EST_DPS_3MONTHS_THOM" hidden="1">"c5238"</definedName>
    <definedName name="IQ_PERCENT_CHANGE_EST_DPS_6MONTHS" hidden="1">"c1818"</definedName>
    <definedName name="IQ_PERCENT_CHANGE_EST_DPS_6MONTHS_REUT" hidden="1">"c3929"</definedName>
    <definedName name="IQ_PERCENT_CHANGE_EST_DPS_6MONTHS_THOM" hidden="1">"c5239"</definedName>
    <definedName name="IQ_PERCENT_CHANGE_EST_DPS_9MONTHS" hidden="1">"c1819"</definedName>
    <definedName name="IQ_PERCENT_CHANGE_EST_DPS_9MONTHS_REUT" hidden="1">"c3930"</definedName>
    <definedName name="IQ_PERCENT_CHANGE_EST_DPS_9MONTHS_THOM" hidden="1">"c5240"</definedName>
    <definedName name="IQ_PERCENT_CHANGE_EST_DPS_DAY" hidden="1">"c1814"</definedName>
    <definedName name="IQ_PERCENT_CHANGE_EST_DPS_DAY_REUT" hidden="1">"c3926"</definedName>
    <definedName name="IQ_PERCENT_CHANGE_EST_DPS_DAY_THOM" hidden="1">"c5236"</definedName>
    <definedName name="IQ_PERCENT_CHANGE_EST_DPS_MONTH" hidden="1">"c1816"</definedName>
    <definedName name="IQ_PERCENT_CHANGE_EST_DPS_MONTH_REUT" hidden="1">"c3927"</definedName>
    <definedName name="IQ_PERCENT_CHANGE_EST_DPS_MONTH_THOM" hidden="1">"c5237"</definedName>
    <definedName name="IQ_PERCENT_CHANGE_EST_DPS_WEEK" hidden="1">"c1815"</definedName>
    <definedName name="IQ_PERCENT_CHANGE_EST_DPS_WEEK_REUT" hidden="1">"c3963"</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REUT" hidden="1">"c3917"</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REUT" hidden="1">"c3918"</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REUT" hidden="1">"c3914"</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REUT" hidden="1">"c3915"</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REUT" hidden="1">"c3916"</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REUT" hidden="1">"c3912"</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REUT" hidden="1">"c3913"</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REUT" hidden="1">"c3961"</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REUT" hidden="1">"c3902"</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REUT" hidden="1">"c3903"</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REUT" hidden="1">"c3899"</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REUT" hidden="1">"c3900"</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REUT" hidden="1">"c3901"</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REUT" hidden="1">"c3896"</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REUT" hidden="1">"c3898"</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REUT" hidden="1">"c3897"</definedName>
    <definedName name="IQ_PERCENT_CHANGE_EST_EPS_WEEK_THOM" hidden="1">"c5207"</definedName>
    <definedName name="IQ_PERCENT_CHANGE_EST_FFO_12MONTHS" hidden="1">"c1828"</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REUT" hidden="1">"c3952"</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REUT" hidden="1">"c3953"</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REUT" hidden="1">"c3949"</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REUT" hidden="1">"c3950"</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REUT" hidden="1">"c3951"</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REUT" hidden="1">"c3947"</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REUT" hidden="1">"c3948"</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REUT" hidden="1">"c3967"</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REUT" hidden="1">"c3945"</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REUT" hidden="1">"c3946"</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REUT" hidden="1">"c3942"</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REUT" hidden="1">"c3943"</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REUT" hidden="1">"c3944"</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REUT" hidden="1">"c3940"</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REUT" hidden="1">"c3941"</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REUT" hidden="1">"c3966"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REUT" hidden="1">"c3910"</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REUT" hidden="1">"c3911"</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REUT" hidden="1">"c3907"</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REUT" hidden="1">"c3908"</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REUT" hidden="1">"c3909"</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REUT" hidden="1">"c3904"</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REUT" hidden="1">"c3906"</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REUT" hidden="1">"c3905"</definedName>
    <definedName name="IQ_PERCENT_CHANGE_EST_REV_WEEK_THOM" hidden="1">"c5215"</definedName>
    <definedName name="IQ_PERCENT_FLOAT" hidden="1">"c227"</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REUT" hidden="1">"c5467"</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REUT" hidden="1">"c5347"</definedName>
    <definedName name="IQ_PRETAX_INC_EST_THOM" hidden="1">"c5119"</definedName>
    <definedName name="IQ_PRETAX_INC_HIGH_EST" hidden="1">"c1697"</definedName>
    <definedName name="IQ_PRETAX_INC_HIGH_EST_REUT" hidden="1">"c5349"</definedName>
    <definedName name="IQ_PRETAX_INC_HIGH_EST_THOM" hidden="1">"c5121"</definedName>
    <definedName name="IQ_PRETAX_INC_LOW_EST" hidden="1">"c1698"</definedName>
    <definedName name="IQ_PRETAX_INC_LOW_EST_REUT" hidden="1">"c5350"</definedName>
    <definedName name="IQ_PRETAX_INC_LOW_EST_THOM" hidden="1">"c5122"</definedName>
    <definedName name="IQ_PRETAX_INC_MEDIAN_EST" hidden="1">"c1696"</definedName>
    <definedName name="IQ_PRETAX_INC_MEDIAN_EST_REUT" hidden="1">"c5348"</definedName>
    <definedName name="IQ_PRETAX_INC_MEDIAN_EST_THOM" hidden="1">"c5120"</definedName>
    <definedName name="IQ_PRETAX_INC_NUM_EST" hidden="1">"c1699"</definedName>
    <definedName name="IQ_PRETAX_INC_NUM_EST_REUT" hidden="1">"c5351"</definedName>
    <definedName name="IQ_PRETAX_INC_NUM_EST_THOM" hidden="1">"c5123"</definedName>
    <definedName name="IQ_PRETAX_INC_STDDEV_EST" hidden="1">"c1700"</definedName>
    <definedName name="IQ_PRETAX_INC_STDDEV_EST_REUT" hidden="1">"c5352"</definedName>
    <definedName name="IQ_PRETAX_INC_STDDEV_EST_THOM" hidden="1">"c5124"</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REUT" hidden="1">"c4053"</definedName>
    <definedName name="IQ_PRICE_CFPS_FWD_THOM" hidden="1">"c4060"</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REUT" hidden="1">"c5494"</definedName>
    <definedName name="IQ_PRICE_TARGET_CIQ" hidden="1">"c3613"</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REUT" hidden="1">"c5475"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REUT" hidden="1">"c3992"</definedName>
    <definedName name="IQ_RETURN_ASSETS_HIGH_EST_THOM" hidden="1">"c4036"</definedName>
    <definedName name="IQ_RETURN_ASSETS_LOW_EST" hidden="1">"c3531"</definedName>
    <definedName name="IQ_RETURN_ASSETS_LOW_EST_REUT" hidden="1">"c3993"</definedName>
    <definedName name="IQ_RETURN_ASSETS_LOW_EST_THOM" hidden="1">"c4037"</definedName>
    <definedName name="IQ_RETURN_ASSETS_MEDIAN_EST" hidden="1">"c3532"</definedName>
    <definedName name="IQ_RETURN_ASSETS_MEDIAN_EST_REUT" hidden="1">"c3991"</definedName>
    <definedName name="IQ_RETURN_ASSETS_MEDIAN_EST_THOM" hidden="1">"c4035"</definedName>
    <definedName name="IQ_RETURN_ASSETS_NUM_EST" hidden="1">"c3527"</definedName>
    <definedName name="IQ_RETURN_ASSETS_NUM_EST_REUT" hidden="1">"c3994"</definedName>
    <definedName name="IQ_RETURN_ASSETS_NUM_EST_THOM" hidden="1">"c4038"</definedName>
    <definedName name="IQ_RETURN_ASSETS_STDDEV_EST" hidden="1">"c3528"</definedName>
    <definedName name="IQ_RETURN_ASSETS_STDDEV_EST_REUT" hidden="1">"c3995"</definedName>
    <definedName name="IQ_RETURN_ASSETS_STDDEV_EST_THOM" hidden="1">"c4039"</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ACT_OR_EST_REUT" hidden="1">"c5476"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REUT" hidden="1">"c3985"</definedName>
    <definedName name="IQ_RETURN_EQUITY_HIGH_EST_THOM" hidden="1">"c5283"</definedName>
    <definedName name="IQ_RETURN_EQUITY_LOW_EST" hidden="1">"c3537"</definedName>
    <definedName name="IQ_RETURN_EQUITY_LOW_EST_REUT" hidden="1">"c3986"</definedName>
    <definedName name="IQ_RETURN_EQUITY_LOW_EST_THOM" hidden="1">"c5284"</definedName>
    <definedName name="IQ_RETURN_EQUITY_MEDIAN_EST" hidden="1">"c3538"</definedName>
    <definedName name="IQ_RETURN_EQUITY_MEDIAN_EST_REUT" hidden="1">"c3984"</definedName>
    <definedName name="IQ_RETURN_EQUITY_MEDIAN_EST_THOM" hidden="1">"c5282"</definedName>
    <definedName name="IQ_RETURN_EQUITY_NUM_EST" hidden="1">"c3533"</definedName>
    <definedName name="IQ_RETURN_EQUITY_NUM_EST_REUT" hidden="1">"c3987"</definedName>
    <definedName name="IQ_RETURN_EQUITY_NUM_EST_THOM" hidden="1">"c5285"</definedName>
    <definedName name="IQ_RETURN_EQUITY_STDDEV_EST" hidden="1">"c3534"</definedName>
    <definedName name="IQ_RETURN_EQUITY_STDDEV_EST_REUT" hidden="1">"c3988"</definedName>
    <definedName name="IQ_RETURN_EQUITY_STDDEV_EST_THOM" hidden="1">"c5286"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REUT" hidden="1">"c5461"</definedName>
    <definedName name="IQ_REVENUE_ACT_OR_EST_THOM" hidden="1">"c5299"</definedName>
    <definedName name="IQ_REVENUE_EST" hidden="1">"c1126"</definedName>
    <definedName name="IQ_REVENUE_EST_1" hidden="1">"c190"</definedName>
    <definedName name="IQ_REVENUE_EST_BOTTOM_UP_REUT" hidden="1">"c5496"</definedName>
    <definedName name="IQ_REVENUE_EST_CIQ" hidden="1">"c3616"</definedName>
    <definedName name="IQ_REVENUE_EST_REUT" hidden="1">"c3634"</definedName>
    <definedName name="IQ_REVENUE_EST_THOM" hidden="1">"c3652"</definedName>
    <definedName name="IQ_REVENUE_GROWTH_1" hidden="1">"c155"</definedName>
    <definedName name="IQ_REVENUE_GROWTH_2" hidden="1">"c159"</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O_EST" hidden="1">"c263"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hidden="1">39800.6689467593</definedName>
    <definedName name="IQ_RISK_ADJ_BANK_ASSETS" hidden="1">"c2670"</definedName>
    <definedName name="IQ_RISK_WEIGHTED_ASSETS_FDIC" hidden="1">"c6370"</definedName>
    <definedName name="IQ_ROYALTY_REVENUE_COAL" hidden="1">"c15932"</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I_WorkspaceId" hidden="1">"543db58733184a12bef28cd31b9af05a"</definedName>
    <definedName name="IsColHidden" hidden="1">FALSE</definedName>
    <definedName name="IsLTMColHidden" hidden="1">FALSE</definedName>
    <definedName name="IWI">'[71]IWI Report (EView)'!$C$1:$D$65536</definedName>
    <definedName name="jdk" hidden="1">0</definedName>
    <definedName name="jkl" hidden="1">{#N/A,#N/A,TRUE,"DCF Summary";#N/A,#N/A,TRUE,"Casema";#N/A,#N/A,TRUE,"UK";#N/A,#N/A,TRUE,"RCF";#N/A,#N/A,TRUE,"Intercable CZ";#N/A,#N/A,TRUE,"Interkabel P";#N/A,#N/A,TRUE,"LBO-Total";#N/A,#N/A,TRUE,"LBO-Casema"}</definedName>
    <definedName name="juk" hidden="1">{#N/A,#N/A,TRUE,"DCF Summary";#N/A,#N/A,TRUE,"Casema";#N/A,#N/A,TRUE,"UK";#N/A,#N/A,TRUE,"RCF";#N/A,#N/A,TRUE,"Intercable CZ";#N/A,#N/A,TRUE,"Interkabel P";#N/A,#N/A,TRUE,"LBO-Total";#N/A,#N/A,TRUE,"LBO-Casema"}</definedName>
    <definedName name="K2__LOCKEDCVW__" hidden="1">"MAIN,OTHERREV,ACTUAL,USD,E.2990,ALL_JOBS,ALL_ORGS,ALL_PROD,2004.JAN,PERIODIC,;"</definedName>
    <definedName name="K2__LOCKSTATUS__" hidden="1">2</definedName>
    <definedName name="K2__MAXEXPCOLS__" hidden="1">100</definedName>
    <definedName name="K2__MAXEXPROWS__" hidden="1">1000</definedName>
    <definedName name="K2__WBEVMODE__" hidden="1">0</definedName>
    <definedName name="K2__WBREFOPTIONS__" hidden="1">134217728</definedName>
    <definedName name="K2_WBEVMODE" hidden="1">-1</definedName>
    <definedName name="KeepVersions" localSheetId="6">IndexInformation!$B$8</definedName>
    <definedName name="kkkkk" hidden="1">{#N/A,#N/A,FALSE,"1230";#N/A,#N/A,FALSE,"1235";#N/A,#N/A,FALSE,"1240";#N/A,#N/A,FALSE,"1245";#N/A,#N/A,FALSE,"1250";#N/A,#N/A,FALSE,"1255";#N/A,#N/A,FALSE,"1256"}</definedName>
    <definedName name="L_\LIBRARY\LONG\FMC\Aug98\_fbpd_model1.xls_5_Year_DCF__07_28_98__10_03_AM">"DCF2"</definedName>
    <definedName name="L_\LIBRARY\LONG\FMC\Aug98\_fbpd_model1.xls_Combined__PF_BS__07_28_98__10_01_AM">"DCF1"</definedName>
    <definedName name="LanguageCode" localSheetId="6">IndexInformation!$B$38</definedName>
    <definedName name="LanguageCode">[68]IndexInformation!$B$38</definedName>
    <definedName name="LastCell" localSheetId="0">ImportantDisclosures!$A$22</definedName>
    <definedName name="lbosum1">'[6]LBO Summary'!$A$1:$O$60</definedName>
    <definedName name="Line2">"_____ "</definedName>
    <definedName name="Line3">"__________ "</definedName>
    <definedName name="Linking_10">IS!$A$8:$BX$136</definedName>
    <definedName name="Linking_12">IS!$A$8:$U$95</definedName>
    <definedName name="Linking_13">IS!$A$8:$U$90</definedName>
    <definedName name="Linking_14">IS!$A$8:$U$120</definedName>
    <definedName name="Linking_147">IS!$A$8:$V$90</definedName>
    <definedName name="Linking_15" xml:space="preserve">                                '[73]Implied Cold Value'!$A$1:$F$16</definedName>
    <definedName name="Linking_16" xml:space="preserve">                                '[73]Implied Cold Value'!$A$1:$F$16</definedName>
    <definedName name="Linking_17" xml:space="preserve">                '[73]Implied Cold Value'!$A$1:$F$16</definedName>
    <definedName name="Linking_18" xml:space="preserve">                                '[73]Implied Cold Value'!$A$1:$F$16</definedName>
    <definedName name="Linking_19" xml:space="preserve">                                '[73]Implied Cold Value'!$A$1:$F$16</definedName>
    <definedName name="Linking_2">CF!$A$8:$S$52</definedName>
    <definedName name="Linking_20" xml:space="preserve">                                '[73]Implied Cold Value'!$A$1:$F$16</definedName>
    <definedName name="Linking_21" xml:space="preserve">                '[73]Implied Mix Headwind'!$B$8:$K$22</definedName>
    <definedName name="Linking_22" xml:space="preserve">                [73]Variance!$A$2:$E$40</definedName>
    <definedName name="Linking_23" xml:space="preserve">                                [73]Variance!$A$2:$E$40</definedName>
    <definedName name="Linking_24" xml:space="preserve">                [74]IS!$A$8:$K$110</definedName>
    <definedName name="Linking_25" xml:space="preserve">                [74]BS!$A$8:$K$50</definedName>
    <definedName name="Linking_258">BS!$A$8:$X$69</definedName>
    <definedName name="Linking_26" xml:space="preserve">                [74]CF!$A$8:$K$52</definedName>
    <definedName name="Linking_27" xml:space="preserve">                [73]Variance!$L$2:$U$40</definedName>
    <definedName name="Linking_28" xml:space="preserve">                [73]Variance!$A$2:$E$99</definedName>
    <definedName name="Linking_29" xml:space="preserve">                [74]IS!$A$8:$AD$142</definedName>
    <definedName name="Linking_30" xml:space="preserve">                '[73]Machine Top-line'!$A$8:$R$146</definedName>
    <definedName name="Linking_31" xml:space="preserve">                '[73]Machine Top-line'!$A$8:$U$146</definedName>
    <definedName name="Linking_32" xml:space="preserve">                [74]IS!$A$8:$I$64</definedName>
    <definedName name="Linking_33" xml:space="preserve">                [74]IS!$A$8:$I$94</definedName>
    <definedName name="Linking_34" xml:space="preserve">                '[73]Implied Mix Headwind'!$B$8:$K$21</definedName>
    <definedName name="Linking_369">CF!$A$8:$U$52</definedName>
    <definedName name="Linking_7">IS!$A$8:$BX$110</definedName>
    <definedName name="Linking_8">BS!$A$8:$V$69</definedName>
    <definedName name="Linking_9">CF!$A$8:$S$75</definedName>
    <definedName name="Linking_Range_10" localSheetId="5">CF!$A$8:$N$52</definedName>
    <definedName name="Linking_Range_100">IS!$A$8:$U$110</definedName>
    <definedName name="Linking_Range_101">0</definedName>
    <definedName name="Linking_Range_11" localSheetId="4">BS!$A$5:$Q$69</definedName>
    <definedName name="Linking_Range_14">[14]Bolthouse!$A$59:$F$77</definedName>
    <definedName name="Linking_Range_200">BS!$A$8:$W$69</definedName>
    <definedName name="Linking_Range_23">#REF!</definedName>
    <definedName name="Linking_Range_24">#REF!</definedName>
    <definedName name="Linking_Range_300">CF!$A$8:$T$52</definedName>
    <definedName name="Linking_Range_43">BS!$A$8:$S$69</definedName>
    <definedName name="Linking_Range_44">CF!$A$8:$P$52</definedName>
    <definedName name="Linking_Range_48">BS!$A$8:$S$89</definedName>
    <definedName name="Linking_Range_5">[14]BS!$A$8:$N$53</definedName>
    <definedName name="Linking_Range_56">IS!$A$8:$Q$94</definedName>
    <definedName name="Linking_Range_6">[14]CF!$A$8:$N$55</definedName>
    <definedName name="Linking_Range_66">IS!$A$8:$R$136</definedName>
    <definedName name="Linking_Range_67">BS!$A$8:$T$69</definedName>
    <definedName name="Linking_Range_68">CF!$A$8:$Q$52</definedName>
    <definedName name="Linking_Range_76">IS!$A$8:$S$110</definedName>
    <definedName name="Linking_Range_77">BS!$A$8:$U$69</definedName>
    <definedName name="Linking_Range_78">CF!$A$8:$R$52</definedName>
    <definedName name="Linking_Range_79">IS!$A$8:$R$57</definedName>
    <definedName name="Linking_Range_8">#REF!</definedName>
    <definedName name="Linking_Range_81">IS!$A$8:$S$120</definedName>
    <definedName name="Linking_Range_87">IS!$A$8:$BX$120</definedName>
    <definedName name="Linking_Range_88">CF!$A$8:$R$75</definedName>
    <definedName name="Linking_Range_9" localSheetId="4">BS!$A$8:$Q$69</definedName>
    <definedName name="ListOffset" hidden="1">1</definedName>
    <definedName name="ll" hidden="1">{#N/A,#N/A,FALSE,"DCF Summary";#N/A,#N/A,FALSE,"Casema";#N/A,#N/A,FALSE,"Casema NoTel";#N/A,#N/A,FALSE,"UK";#N/A,#N/A,FALSE,"RCF";#N/A,#N/A,FALSE,"Intercable CZ";#N/A,#N/A,FALSE,"Interkabel P"}</definedName>
    <definedName name="lrev">'[64]USD Model'!$C$22:$DP$22</definedName>
    <definedName name="ltd">[75]NKEBALST!$BH$24:$BO$24</definedName>
    <definedName name="ltmlrev">'[64]USD Model'!$C$95:$DP$95</definedName>
    <definedName name="ltmopmgn">'[64]USD Model'!$C$94:$DP$94</definedName>
    <definedName name="ltmrnd">'[64]USD Model'!$C$97:$DP$97</definedName>
    <definedName name="MacroVersion" localSheetId="6">IndexInformation!$B$1</definedName>
    <definedName name="MACRS_schedule">[75]Analysis!$C$2</definedName>
    <definedName name="MACRSoptions">[75]MACRS!$C$4:$C$8</definedName>
    <definedName name="market.premium">0.072</definedName>
    <definedName name="marketing" hidden="1">{#N/A,#N/A,FALSE,"MKTSUM95";#N/A,#N/A,FALSE,"MKTADM95";#N/A,#N/A,FALSE,"MKTD&amp;C95";#N/A,#N/A,FALSE,"MKTPRD95";#N/A,#N/A,FALSE,"MKTCHL95"}</definedName>
    <definedName name="markval">[75]NKEBALST!$BH$66:$BO$72</definedName>
    <definedName name="mat1q95eps">[76]MATQTRS!$I$70</definedName>
    <definedName name="mat1q96eps">[76]MATQTRS!$J$64</definedName>
    <definedName name="mat1q97eps">[76]MATQTRS!$K$64</definedName>
    <definedName name="mat2q95eps">[76]MATQTRS!$I$153</definedName>
    <definedName name="mat2q96eps">[76]MATQTRS!$J$147</definedName>
    <definedName name="mat2q97eps">[76]MATQTRS!$K$147</definedName>
    <definedName name="mat3q95eps">[76]MATQTRS!$I$238</definedName>
    <definedName name="mat3q96eps">[76]MATQTRS!$J$232</definedName>
    <definedName name="mat3q97eps">[76]MATQTRS!$K$232</definedName>
    <definedName name="mat4q95eps">[76]MATQTRS!$I$317</definedName>
    <definedName name="mat4q96eps">[76]MATQTRS!$J$317</definedName>
    <definedName name="mat4q97eps">[76]MATQTRS!$K$317</definedName>
    <definedName name="mat5YEARROE">'[76]UNIV-EBS DATA'!$K$4</definedName>
    <definedName name="mat5YREPS">'[76]UNIV-EBS DATA'!$F$6</definedName>
    <definedName name="mat95bookvalshare">'[76]UNIV-EBS DATA'!$D$18</definedName>
    <definedName name="mat95casheps">'[76]UNIV-EBS DATA'!$D$17</definedName>
    <definedName name="mat95roe">'[76]UNIV-EBS DATA'!$D$25</definedName>
    <definedName name="mat96bookvalshare">'[76]UNIV-EBS DATA'!$E$18</definedName>
    <definedName name="mat96casheps">'[76]UNIV-EBS DATA'!$E$17</definedName>
    <definedName name="mat96roe">'[76]UNIV-EBS DATA'!$E$25</definedName>
    <definedName name="mat97bookvalshare">'[76]UNIV-EBS DATA'!$F$18</definedName>
    <definedName name="mat97casheps">'[76]UNIV-EBS DATA'!$F$17</definedName>
    <definedName name="mat97roe">'[76]UNIV-EBS DATA'!$F$25</definedName>
    <definedName name="matcomments">'[76]UNIV-EBS DATA'!$D$26</definedName>
    <definedName name="matNORMORE">'[76]UNIV-EBS DATA'!$K$5</definedName>
    <definedName name="matNORMROE">'[76]UNIV-EBS DATA'!$K$5</definedName>
    <definedName name="matROE">'[76]UNIV-EBS DATA'!$K$4</definedName>
    <definedName name="Mattel__Inc.">[76]MATQTRS!$A$258:$U$340</definedName>
    <definedName name="MaxChange" localSheetId="1">CircularReferenceAlert!$B$9</definedName>
    <definedName name="MaxIterations" localSheetId="1">CircularReferenceAlert!$B$8</definedName>
    <definedName name="mcs03g.ReqArray">{"Price","YBTVA","LC125/LC126","N","0","0","V"}</definedName>
    <definedName name="MerrillPrintIt" hidden="1">[55]!MerrillPrintIt</definedName>
    <definedName name="Mgmt_Fee">'[53]Cashflow Model'!$Q$75</definedName>
    <definedName name="millions">[26]BHI!$Z$10:$AF$152</definedName>
    <definedName name="Minorities00">[1]WELLA_YEAR!$E$14</definedName>
    <definedName name="Minorities04">[1]WELLA_YEAR!$M$14</definedName>
    <definedName name="Minorities98">[1]WELLA_YEAR!$B$14</definedName>
    <definedName name="mint">'[64]USD Model'!$C$71:$DP$71</definedName>
    <definedName name="mju" hidden="1">{#N/A,#N/A,FALSE,"DCF Summary";#N/A,#N/A,FALSE,"Casema";#N/A,#N/A,FALSE,"Casema NoTel";#N/A,#N/A,FALSE,"UK";#N/A,#N/A,FALSE,"RCF";#N/A,#N/A,FALSE,"Intercable CZ";#N/A,#N/A,FALSE,"Interkabel P"}</definedName>
    <definedName name="mmm" hidden="1">{#N/A,#N/A,FALSE,"DCF Summary";#N/A,#N/A,FALSE,"Casema";#N/A,#N/A,FALSE,"Casema NoTel";#N/A,#N/A,FALSE,"UK";#N/A,#N/A,FALSE,"RCF";#N/A,#N/A,FALSE,"Intercable CZ";#N/A,#N/A,FALSE,"Interkabel P"}</definedName>
    <definedName name="ModelPrice" localSheetId="0">ImportantDisclosures!$A$14</definedName>
    <definedName name="MonitorRow">1</definedName>
    <definedName name="Monthlies_title">#N/A</definedName>
    <definedName name="MtCap">10000000000</definedName>
    <definedName name="Multiplier" localSheetId="6">IndexInformation!$B$35</definedName>
    <definedName name="multSecurities_L">[77]MultipleSecurities!$A$2:$A$17</definedName>
    <definedName name="name">[78]inputs!$C$3</definedName>
    <definedName name="namelookup">[58]Control!$D$13:$E$67</definedName>
    <definedName name="net_profit_98">[79]B!$I$28</definedName>
    <definedName name="NetDebt_02">'[80]Ratios, Margins &amp; Multiples'!$I$36</definedName>
    <definedName name="NetIncome_00">'[81]P&amp;L'!$F$57</definedName>
    <definedName name="NetIncome_01">'[81]P&amp;L'!$G$57</definedName>
    <definedName name="NetIncome_02">'[81]P&amp;L'!$H$57</definedName>
    <definedName name="NetIncome_03">'[81]P&amp;L'!$I$57</definedName>
    <definedName name="NetIncome_04">'[81]P&amp;L'!$J$57</definedName>
    <definedName name="NetIncome_05">'[81]P&amp;L'!$K$57</definedName>
    <definedName name="NetIncome_06">'[81]P&amp;L'!$L$57</definedName>
    <definedName name="NetIncome_07">'[81]P&amp;L'!$M$57</definedName>
    <definedName name="NetIncome_08">'[81]P&amp;L'!$N$57</definedName>
    <definedName name="NetIncome_96">'[81]P&amp;L'!$B$57</definedName>
    <definedName name="NetIncome_97">'[81]P&amp;L'!$C$57</definedName>
    <definedName name="NetIncome_98">'[81]P&amp;L'!$D$57</definedName>
    <definedName name="NetIncome_99">'[81]P&amp;L'!$E$57</definedName>
    <definedName name="Netincome00">[1]WELLA_YEAR!$E$15</definedName>
    <definedName name="Netincome04">[1]WELLA_YEAR!$M$15</definedName>
    <definedName name="Netincome98">[1]WELLA_YEAR!$B$15</definedName>
    <definedName name="NetIncometocommon">[82]Model!$A$150:$IV$150</definedName>
    <definedName name="newer" hidden="1">{#N/A,#N/A,FALSE,"Aging Summary";#N/A,#N/A,FALSE,"Ratio Analysis";#N/A,#N/A,FALSE,"Test 120 Day Accts";#N/A,#N/A,FALSE,"Tickmarks"}</definedName>
    <definedName name="newProjectName">{"Client Name or Project Name"}</definedName>
    <definedName name="NewProjName">{"Client Name or Project Name"}</definedName>
    <definedName name="NewRange" hidden="1">[55]!NewRange</definedName>
    <definedName name="NextYearEPS" localSheetId="6">IndexInformation!$B$13</definedName>
    <definedName name="NextYearTotalRevenue" localSheetId="6">IndexInformation!$B$12</definedName>
    <definedName name="NextYearTotalRevenueActual" localSheetId="6">IndexInformation!$B$33</definedName>
    <definedName name="ni">'[64]USD Model'!$C$74:$DP$74</definedName>
    <definedName name="nnn" hidden="1">{#N/A,#N/A,TRUE,"DCF Summary";#N/A,#N/A,TRUE,"Casema";#N/A,#N/A,TRUE,"UK";#N/A,#N/A,TRUE,"RCF";#N/A,#N/A,TRUE,"Intercable CZ";#N/A,#N/A,TRUE,"Interkabel P";#N/A,#N/A,TRUE,"LBO-Total";#N/A,#N/A,TRUE,"LBO-Casema"}</definedName>
    <definedName name="NOVZ_NtDbt98">'[83]Balance Sheet'!$D$42</definedName>
    <definedName name="ntmeps">'[64]USD Model'!$C$99:$DP$99</definedName>
    <definedName name="ntmrev">'[64]USD Model'!$C$98:$DP$98</definedName>
    <definedName name="num">{126}</definedName>
    <definedName name="NumCUSIP">{1}</definedName>
    <definedName name="NumCUSIP_New_Drugs">{1}</definedName>
    <definedName name="NumCUSIPMissing">{0}</definedName>
    <definedName name="NumCUSIPMissing_New_Drugs">{0}</definedName>
    <definedName name="NumInst">{126}</definedName>
    <definedName name="NumInst_New">{126}</definedName>
    <definedName name="NumInstCSUM">{25}</definedName>
    <definedName name="NvsASD">"V2002-03-31"</definedName>
    <definedName name="NvsAutoDrillOk">"VN"</definedName>
    <definedName name="NvsElapsedTime">0.00107638888584916</definedName>
    <definedName name="NvsEndTime">37356.5468287037</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"%,X,RZF..R00B,CZF..C00B"</definedName>
    <definedName name="NvsPanelBusUnit">"V"</definedName>
    <definedName name="NvsPanelEffdt">"V1990-01-01"</definedName>
    <definedName name="NvsPanelSetid">"VSHARE"</definedName>
    <definedName name="NvsReqBU">"V00100"</definedName>
    <definedName name="NvsReqBUOnly">"VY"</definedName>
    <definedName name="NvsTransLed">"VN"</definedName>
    <definedName name="NvsTreeASD">"V2002-03-31"</definedName>
    <definedName name="o" hidden="1">{"P&amp;L",#N/A,TRUE,"HC";"P&amp;L Percents",#N/A,TRUE,"P&amp;L";"M&amp;A3 P&amp;L",#N/A,TRUE,"HC";"M&amp;A3 Pipeline",#N/A,TRUE,"HC";"Franchises",#N/A,TRUE,"HC";"CF&amp;BS",#N/A,TRUE,"HC"}</definedName>
    <definedName name="ObjectType" localSheetId="6">IndexInformation!$B$37</definedName>
    <definedName name="ObjectType">[68]IndexInformation!$B$37</definedName>
    <definedName name="oooo" hidden="1">{#N/A,#N/A,FALSE,"DCF Summary";#N/A,#N/A,FALSE,"Casema";#N/A,#N/A,FALSE,"Casema NoTel";#N/A,#N/A,FALSE,"UK";#N/A,#N/A,FALSE,"RCF";#N/A,#N/A,FALSE,"Intercable CZ";#N/A,#N/A,FALSE,"Interkabel P"}</definedName>
    <definedName name="op">'[64]USD Model'!$C$58:$DP$58</definedName>
    <definedName name="OpDay_printarea">#N/A</definedName>
    <definedName name="OPEN">{1}</definedName>
    <definedName name="Operating_Case">'[53]Cashflow Model'!$C$7</definedName>
    <definedName name="ophj" hidden="1">{#N/A,#N/A,FALSE,"DCF Summary";#N/A,#N/A,FALSE,"Casema";#N/A,#N/A,FALSE,"Casema NoTel";#N/A,#N/A,FALSE,"UK";#N/A,#N/A,FALSE,"RCF";#N/A,#N/A,FALSE,"Intercable CZ";#N/A,#N/A,FALSE,"Interkabel P"}</definedName>
    <definedName name="opmgn">'[64]USD Model'!$C$59:$DP$59</definedName>
    <definedName name="opsbybusiness">[47]RJR_IS!$A$1:$Q$74</definedName>
    <definedName name="ordshares00">[1]WELLA_YEAR!$E$18</definedName>
    <definedName name="ordshares04">[1]WELLA_YEAR!$M$18</definedName>
    <definedName name="ordshares98">[1]WELLA_YEAR!$B$18</definedName>
    <definedName name="orject">{"Project Cork LBO"}</definedName>
    <definedName name="page1">[76]MATINC!$A$2:$T$79</definedName>
    <definedName name="Page10">[76]RELPE!$B$2:$Y$72</definedName>
    <definedName name="page14">'[76]UNIV-EBS DATA'!$A$2:$H$28</definedName>
    <definedName name="page15">[76]Ratios!$A$5:$K$43</definedName>
    <definedName name="Page16">[76]Ratios!$A$46:$K$95</definedName>
    <definedName name="Page1A">[76]MATINC!$A$80:$S$112</definedName>
    <definedName name="PAGE2">[76]MATQTRS!$A$5:$K$85</definedName>
    <definedName name="PAGE3">[76]MATQTRS!$A$87:$V$169</definedName>
    <definedName name="PAGE4">[76]MATQTRS!$A$171:$V$254</definedName>
    <definedName name="PAGE5">[76]MATQTRS!$A$258:$V$340</definedName>
    <definedName name="Page6">[76]SALESCAT!$A$2:$J$57</definedName>
    <definedName name="PAGE7">[76]MATBAL!$A$5:$AG$97</definedName>
    <definedName name="Page7a">[76]MATBAL!$AN$5:$AY$101</definedName>
    <definedName name="PAGE8">[76]MATCASH!$A$4:$O$46</definedName>
    <definedName name="Page9">[76]FinSum!$A$3:$P$81</definedName>
    <definedName name="PANA" localSheetId="7">ModPubIndex!$A$11</definedName>
    <definedName name="PathName" localSheetId="6">IndexInformation!$B$25</definedName>
    <definedName name="paydiv">[65]CalcsMO!$G$115</definedName>
    <definedName name="per_unit">'[17]Per Unit'!$A$88:$G$206</definedName>
    <definedName name="Period">[48]Period!$A$2:$E$1100</definedName>
    <definedName name="periods_for_index">'[84]staffing dashboard data'!$B$6:$B$9</definedName>
    <definedName name="PL_00">'[85]P&amp;L'!$Q$1:$Q$65536</definedName>
    <definedName name="PL_01">'[85]P&amp;L'!$V$1:$V$65536</definedName>
    <definedName name="PL_02">'[85]P&amp;L'!$AA$1:$AA$65536</definedName>
    <definedName name="PL_03">'[85]P&amp;L'!$AF$1:$AF$65536</definedName>
    <definedName name="PL_04">'[85]P&amp;L'!$AK$1:$AK$65536</definedName>
    <definedName name="PL_05">'[85]P&amp;L'!$AP$1:$AP$65536</definedName>
    <definedName name="PL_95">'[9]P&amp;L'!$C$1:$C$65536</definedName>
    <definedName name="PL_96">'[9]P&amp;L'!$D$1:$D$65536</definedName>
    <definedName name="PL_97">'[9]P&amp;L'!$E$1:$E$65536</definedName>
    <definedName name="PL_98">'[85]P&amp;L'!$G$1:$G$65536</definedName>
    <definedName name="PL_99">'[85]P&amp;L'!$L$1:$L$65536</definedName>
    <definedName name="PL_Amort_Gwill">'[9]P&amp;L'!$A$47:$IV$47</definedName>
    <definedName name="PL_Cap_Gain">'[85]P&amp;L'!$A$37:$IV$37</definedName>
    <definedName name="PL_Costs_RD">'[85]P&amp;L'!$A$18:$IV$18</definedName>
    <definedName name="PL_Costs_SGA">'[85]P&amp;L'!$A$17:$IV$17</definedName>
    <definedName name="PL_Dev_Exp_Capitalised">'[85]P&amp;L'!$A$35:$IV$35</definedName>
    <definedName name="PL_EBIT">'[85]P&amp;L'!$A$24:$IV$24</definedName>
    <definedName name="PL_EBIT_Adjusted">'[85]P&amp;L'!$A$33:$IV$33</definedName>
    <definedName name="PL_EBIT_Reported">'[85]P&amp;L'!$A$38:$IV$38</definedName>
    <definedName name="PL_EPS_Adjusted">'[85]P&amp;L'!$A$50:$IV$50</definedName>
    <definedName name="PL_EPS_Reported">'[85]P&amp;L'!$A$49:$IV$49</definedName>
    <definedName name="PL_Exp_Fin">'[85]P&amp;L'!$A$40:$IV$40</definedName>
    <definedName name="PL_Extraord_AccChg">'[9]P&amp;L'!$A$68:$IV$68</definedName>
    <definedName name="PL_Extraord_Ops_Discont">'[9]P&amp;L'!$A$66:$IV$66</definedName>
    <definedName name="PL_Fin_PreTax_Excep">'[85]P&amp;L'!$A$34:$IV$34</definedName>
    <definedName name="PL_Inc_Assoc">'[85]P&amp;L'!$A$23:$IV$23</definedName>
    <definedName name="PL_Inc_Fin">'[85]P&amp;L'!$A$39:$IV$39</definedName>
    <definedName name="PL_Int_Exp">'[9]P&amp;L'!$A$58:$IV$58</definedName>
    <definedName name="PL_Int_Inc">'[9]P&amp;L'!$A$57:$IV$57</definedName>
    <definedName name="PL_Int_Net">'[9]P&amp;L'!$A$56:$IV$56</definedName>
    <definedName name="PL_Min_Int">'[85]P&amp;L'!$A$45:$IV$45</definedName>
    <definedName name="PL_Min_Int_PreTax">'[85]P&amp;L'!$A$41:$IV$41</definedName>
    <definedName name="PL_NI_Adjusted">'[85]P&amp;L'!$A$47:$IV$47</definedName>
    <definedName name="PL_NI_Reported">'[85]P&amp;L'!$A$46:$IV$46</definedName>
    <definedName name="PL_PBT_Adjusted">'[85]P&amp;L'!$A$43:$IV$43</definedName>
    <definedName name="PL_PBT_Reported">'[85]P&amp;L'!$A$42:$IV$42</definedName>
    <definedName name="PL_Profit_Gross">'[85]P&amp;L'!$A$16:$IV$16</definedName>
    <definedName name="PL_Restructure">'[85]P&amp;L'!$A$36:$IV$36</definedName>
    <definedName name="PL_Revenue">'[85]P&amp;L'!$A$13:$IV$13</definedName>
    <definedName name="PL_Revenues">'[9]P&amp;L'!$A$22:$IV$22</definedName>
    <definedName name="PL_Shares">'[85]P&amp;L'!$A$48:$IV$48</definedName>
    <definedName name="PL_Shares_ave">'[9]P&amp;L'!$A$71:$IV$71</definedName>
    <definedName name="PL_Shares_ave_dil">'[9]P&amp;L'!$A$72:$IV$72</definedName>
    <definedName name="PL_Tax">'[85]P&amp;L'!$A$44:$IV$44</definedName>
    <definedName name="PL_Tax_PreExcep">'[9]P&amp;L'!$A$63:$IV$63</definedName>
    <definedName name="plo" hidden="1">{#N/A,#N/A,TRUE,"DCF Summary";#N/A,#N/A,TRUE,"Casema";#N/A,#N/A,TRUE,"UK";#N/A,#N/A,TRUE,"RCF";#N/A,#N/A,TRUE,"Intercable CZ";#N/A,#N/A,TRUE,"Interkabel P";#N/A,#N/A,TRUE,"LBO-Total";#N/A,#N/A,TRUE,"LBO-Casema"}</definedName>
    <definedName name="pn">{"Client Name or Project Name"}</definedName>
    <definedName name="ppp" hidden="1">{#N/A,#N/A,FALSE,"DCF Summary";#N/A,#N/A,FALSE,"Casema";#N/A,#N/A,FALSE,"Casema NoTel";#N/A,#N/A,FALSE,"UK";#N/A,#N/A,FALSE,"RCF";#N/A,#N/A,FALSE,"Intercable CZ";#N/A,#N/A,FALSE,"Interkabel P"}</definedName>
    <definedName name="prefshares01">[1]WELLA_YEAR!$G$19</definedName>
    <definedName name="prefshares05">[1]WELLA_YEAR!$O$19</definedName>
    <definedName name="prefshares99">[1]WELLA_YEAR!$C$19</definedName>
    <definedName name="prem11">'[6]LBO Summary'!$O$8</definedName>
    <definedName name="PremOutPut1">'[6]LBO Summary'!$D$70:$D$78</definedName>
    <definedName name="_xlnm.Print_Area" localSheetId="4">BS!$A$1:$W$198</definedName>
    <definedName name="_xlnm.Print_Area" localSheetId="5">CF!$A$1:$T$75</definedName>
    <definedName name="_xlnm.Print_Area" localSheetId="3">IS!$A$1:$CF$241</definedName>
    <definedName name="_xlnm.Print_Area" localSheetId="2">Sales!$A$1:$CF$125</definedName>
    <definedName name="_xlnm.Print_Area">[42]CENMODEL!#REF!</definedName>
    <definedName name="Print_Area_Reset">OFFSET('[86]Broker Net Sales Growth 2015'!$B$1:$E$65536,2,0,COUNTA('[86]Broker Net Sales Growth 2015'!$B$1:$B$65536)+1)</definedName>
    <definedName name="Print_HardRock">[87]!Print_HardRock</definedName>
    <definedName name="Print_ibt">[88]!Print_ibt</definedName>
    <definedName name="Print_image">[88]!Print_image</definedName>
    <definedName name="_xlnm.Print_Titles">#REF!</definedName>
    <definedName name="Print_valmat">[88]!Print_valmat</definedName>
    <definedName name="Print_Valmax">[89]!Print_Valmax</definedName>
    <definedName name="PrintModel">'[1]PG Earn'!$A$1:$CY$85,'[1]PG Earn'!$A$248:$R$280,'[1]PG Earn'!$A$292:$R$357</definedName>
    <definedName name="PrintModelReports">[90]!PrintModelReports</definedName>
    <definedName name="PrintPreviewModelReports">[90]!PrintPreviewModelReports</definedName>
    <definedName name="PRODUCT" localSheetId="7">ModPubIndex!$A$6</definedName>
    <definedName name="profit">[75]NKEBALST!$BH$60:$BO$62</definedName>
    <definedName name="proj">[91]Manager!$F$2</definedName>
    <definedName name="Proj_Name">{"Client Name or Project Name"}</definedName>
    <definedName name="Proj_Name_2">{"Client Name or Project Name"}</definedName>
    <definedName name="Proj_Name_3">{"Client Name or Project Name"}</definedName>
    <definedName name="Proj_Name_4">{"Client Name or Project Name"}</definedName>
    <definedName name="proj_name2">{"Client Name or Project Name"}</definedName>
    <definedName name="project">[63]Inputs!$B$1</definedName>
    <definedName name="ProjectName" localSheetId="4">{"Client Name or Project Name"}</definedName>
    <definedName name="ProjectName" localSheetId="5">{"Client Name or Project Name"}</definedName>
    <definedName name="ProjectName" localSheetId="3">{"Client Name or Project Name"}</definedName>
    <definedName name="ProjectName">{"Client Name or Project Name"}</definedName>
    <definedName name="ProjectName_New">{"Atrium Medical Corporation"}</definedName>
    <definedName name="ProjectName_Options">{"Client Name or Project Name"}</definedName>
    <definedName name="ProjectName1" localSheetId="4">{"Client Name or Project Name"}</definedName>
    <definedName name="ProjectName1" localSheetId="5">{"Client Name or Project Name"}</definedName>
    <definedName name="ProjectName1" localSheetId="3">{"Client Name or Project Name"}</definedName>
    <definedName name="ProjectName1">{"Client Name or Project Name"}</definedName>
    <definedName name="ProjectName2">{"Client Name or Project Name"}</definedName>
    <definedName name="projectnamez">{"Client Name or Project Name"}</definedName>
    <definedName name="ProjektName">{"Client Name or Project Name"}</definedName>
    <definedName name="PSYM" localSheetId="7">ModPubIndex!$A$4</definedName>
    <definedName name="PUB_FileID" hidden="1">"L10004026.xls"</definedName>
    <definedName name="PUB_UserID" hidden="1">"MAYERX"</definedName>
    <definedName name="PublishDate" localSheetId="6">IndexInformation!$B$2</definedName>
    <definedName name="q" hidden="1">{"Qtr Op Mgd Q2",#N/A,FALSE,"Qtr-Op (Mng)";"Qtr Op Rpt Q2",#N/A,FALSE,"Qtr-Op (Rpt)";"Operating Vs Reported",#N/A,FALSE,"Rpt-Op Inc"}</definedName>
    <definedName name="q_1993">[75]NKEQTRIN!$BH$6:$BO$39</definedName>
    <definedName name="q_1994">[75]NKEQTRIN!$BP$6:$BW$39</definedName>
    <definedName name="q_1995">[75]NKEQTRIN!$BX$6:$CK$39</definedName>
    <definedName name="q_1996">[75]NKEQTRIN!$CN$6:$DA$39</definedName>
    <definedName name="Q2EP" hidden="1">{#N/A,#N/A,FALSE,"Aging Summary";#N/A,#N/A,FALSE,"Ratio Analysis";#N/A,#N/A,FALSE,"Test 120 Day Accts";#N/A,#N/A,FALSE,"Tickmarks"}</definedName>
    <definedName name="qase" hidden="1">{#N/A,#N/A,TRUE,"DCF Summary";#N/A,#N/A,TRUE,"Casema";#N/A,#N/A,TRUE,"UK";#N/A,#N/A,TRUE,"RCF";#N/A,#N/A,TRUE,"Intercable CZ";#N/A,#N/A,TRUE,"Interkabel P";#N/A,#N/A,TRUE,"LBO-Total";#N/A,#N/A,TRUE,"LBO-Casema"}</definedName>
    <definedName name="QINC1">'[92]Qtr Income'!$A$1:$X$214</definedName>
    <definedName name="QMARGIN">'[92] Qtr Margin'!$A$1:$O$110</definedName>
    <definedName name="qq" hidden="1">{#N/A,#N/A,FALSE,"DCF Summary";#N/A,#N/A,FALSE,"Casema";#N/A,#N/A,FALSE,"Casema NoTel";#N/A,#N/A,FALSE,"UK";#N/A,#N/A,FALSE,"RCF";#N/A,#N/A,FALSE,"Intercable CZ";#N/A,#N/A,FALSE,"Interkabel P"}</definedName>
    <definedName name="qqqq" hidden="1">{#N/A,#N/A,FALSE,"DCF Summary";#N/A,#N/A,FALSE,"Casema";#N/A,#N/A,FALSE,"Casema NoTel";#N/A,#N/A,FALSE,"UK";#N/A,#N/A,FALSE,"RCF";#N/A,#N/A,FALSE,"Intercable CZ";#N/A,#N/A,FALSE,"Interkabel P"}</definedName>
    <definedName name="QSALES1">'[92]Qtr Sales'!$A$1:$AO$179</definedName>
    <definedName name="QSALES2">'[92]Qtr Sales'!$AU$1:$CA$179</definedName>
    <definedName name="QSALES3">'[93]Qrt Sales'!$BZ$3:$DV$113</definedName>
    <definedName name="QSALES4">'[93]Qrt Sales'!$DX$3:$EL$113</definedName>
    <definedName name="qtr_is">[68]Income!$AY$2:$BI$155</definedName>
    <definedName name="rate1">'[6]LBO Summary'!$F$11</definedName>
    <definedName name="Rating" localSheetId="6">IndexInformation!$B$9</definedName>
    <definedName name="RatingsDefined" localSheetId="0">ImportantDisclosures!$A$21</definedName>
    <definedName name="RatingsDefs" localSheetId="0">ImportantDisclosures!#REF!</definedName>
    <definedName name="rec">[75]NKEBALST!$BH$20:$BO$20</definedName>
    <definedName name="_xlnm.Recorder">[76]Macro2!$A$1:$A$65536</definedName>
    <definedName name="RedefinePrintTableRange" hidden="1">[55]!RedefinePrintTableRange</definedName>
    <definedName name="redo" hidden="1">{#N/A,#N/A,FALSE,"ACQ_GRAPHS";#N/A,#N/A,FALSE,"T_1 GRAPHS";#N/A,#N/A,FALSE,"T_2 GRAPHS";#N/A,#N/A,FALSE,"COMB_GRAPHS"}</definedName>
    <definedName name="Ref">'[94]BU_Object (Group)'!$A$1:$D$314</definedName>
    <definedName name="RegACDisclosure" localSheetId="0">ImportantDisclosures!#REF!</definedName>
    <definedName name="relconNEW">{2}</definedName>
    <definedName name="rep" hidden="1">{#N/A,#N/A,FALSE,"COVER";#N/A,#N/A,FALSE,"VALUATION";#N/A,#N/A,FALSE,"FORECAST";#N/A,#N/A,FALSE,"FY ANALYSIS ";#N/A,#N/A,FALSE," HY ANALYSIS"}</definedName>
    <definedName name="RepairedName0001">"Formula removed, name can be deleted."</definedName>
    <definedName name="ReportCreated">TRUE</definedName>
    <definedName name="res">[95]res!$A:$IV</definedName>
    <definedName name="ResearchTopic" localSheetId="6">IndexInformation!$B$4</definedName>
    <definedName name="resemp">'[64]USD Model'!$C$113:$DP$113</definedName>
    <definedName name="resrev">'[64]USD Model'!$C$114:$DP$114</definedName>
    <definedName name="rev">'[64]USD Model'!$C$37:$DP$37</definedName>
    <definedName name="revemp">'[64]USD Model'!$C$109:$DP$109</definedName>
    <definedName name="Revolver">'[96]GAP Model'!$C$361</definedName>
    <definedName name="rft" hidden="1">{#N/A,#N/A,FALSE,"DCF Summary";#N/A,#N/A,FALSE,"Casema";#N/A,#N/A,FALSE,"Casema NoTel";#N/A,#N/A,FALSE,"UK";#N/A,#N/A,FALSE,"RCF";#N/A,#N/A,FALSE,"Intercable CZ";#N/A,#N/A,FALSE,"Interkabel P"}</definedName>
    <definedName name="rfty" hidden="1">{#N/A,#N/A,FALSE,"DCF Summary";#N/A,#N/A,FALSE,"Casema";#N/A,#N/A,FALSE,"Casema NoTel";#N/A,#N/A,FALSE,"UK";#N/A,#N/A,FALSE,"RCF";#N/A,#N/A,FALSE,"Intercable CZ";#N/A,#N/A,FALSE,"Interkabel P"}</definedName>
    <definedName name="RIC" localSheetId="6">IndexInformation!$B$21</definedName>
    <definedName name="risk.free.rate">0.065</definedName>
    <definedName name="rjr_tobacco">'[17]Domestic Cigarette'!$B$1:$R$150</definedName>
    <definedName name="rmcCategory">35247</definedName>
    <definedName name="rmcName">930</definedName>
    <definedName name="RMCOptions">"*100000000000000"</definedName>
    <definedName name="rmcPeriod">9312</definedName>
    <definedName name="rnd">'[64]USD Model'!$C$47:$DP$47</definedName>
    <definedName name="roce_1998">[61]Ratios!$N$8</definedName>
    <definedName name="roce00">[61]Ratios!$P$8</definedName>
    <definedName name="roce01">[97]Ratios!$Q$8</definedName>
    <definedName name="roce02">[97]Ratios!$R$8</definedName>
    <definedName name="roce03">[97]Ratios!$S$8</definedName>
    <definedName name="roce04">[97]Ratios!$T$8</definedName>
    <definedName name="rowheight">[75]NKEQTRIN!$A$6:$IV$39</definedName>
    <definedName name="RPT_CREATIONDATE">[98]Criteria!$A$3</definedName>
    <definedName name="RPT_TITLE">[98]Criteria!$A$2</definedName>
    <definedName name="rr">'[81]P&amp;L'!$B$29</definedName>
    <definedName name="rrr" hidden="1">{#N/A,#N/A,FALSE,"DCF Summary";#N/A,#N/A,FALSE,"Casema";#N/A,#N/A,FALSE,"Casema NoTel";#N/A,#N/A,FALSE,"UK";#N/A,#N/A,FALSE,"RCF";#N/A,#N/A,FALSE,"Intercable CZ";#N/A,#N/A,FALSE,"Interkabel P"}</definedName>
    <definedName name="rrrevenue">[82]Model!$A$126:$IV$126</definedName>
    <definedName name="rty" hidden="1">{#N/A,#N/A,FALSE,"DCF Summary";#N/A,#N/A,FALSE,"Casema";#N/A,#N/A,FALSE,"Casema NoTel";#N/A,#N/A,FALSE,"UK";#N/A,#N/A,FALSE,"RCF";#N/A,#N/A,FALSE,"Intercable CZ";#N/A,#N/A,FALSE,"Interkabel P"}</definedName>
    <definedName name="Rwvu.Report1." hidden="1">'[99]detail9''96_oh'!$I$1:$J$65536,'[99]detail9''96_oh'!$M$1:$M$65536</definedName>
    <definedName name="Rwvu.Standard._.Report." hidden="1">'[99]detail9''96_oh'!$C$1:$D$65536,'[99]detail9''96_oh'!$J$1:$J$65536,'[99]detail9''96_oh'!$M$1:$M$65536</definedName>
    <definedName name="s">{13}</definedName>
    <definedName name="SALES">[100]J!$B$1:$K$72</definedName>
    <definedName name="Sales_00">'[81]P&amp;L'!$F$13</definedName>
    <definedName name="Sales_01">'[81]P&amp;L'!$G$13</definedName>
    <definedName name="Sales_02">'[81]P&amp;L'!$H$13</definedName>
    <definedName name="Sales_03">'[81]P&amp;L'!$I$13</definedName>
    <definedName name="Sales_04">'[81]P&amp;L'!$J$13</definedName>
    <definedName name="Sales_05">'[81]P&amp;L'!$K$13</definedName>
    <definedName name="Sales_06">'[81]P&amp;L'!$L$13</definedName>
    <definedName name="Sales_07">'[81]P&amp;L'!$M$13</definedName>
    <definedName name="Sales_08">'[81]P&amp;L'!$N$13</definedName>
    <definedName name="sales_2001">'[101]P&amp;L'!$H$4</definedName>
    <definedName name="sales_2002">'[101]P&amp;L'!$K$4</definedName>
    <definedName name="sales_2003">'[101]P&amp;L'!$M$4</definedName>
    <definedName name="sales_2004">'[101]P&amp;L'!$O$4</definedName>
    <definedName name="Sales_96">'[81]P&amp;L'!$B$13</definedName>
    <definedName name="Sales_98">'[81]P&amp;L'!$D$13</definedName>
    <definedName name="Sales_99">'[81]P&amp;L'!$E$13</definedName>
    <definedName name="sales_eu_01">[102]B!$X$11</definedName>
    <definedName name="sales_eu_02">[102]B!$AD$11</definedName>
    <definedName name="sales_eu_03">[102]B!$AF$11</definedName>
    <definedName name="sales_eu_04">[102]B!$AH$11</definedName>
    <definedName name="Sales00">[1]WELLA_YEAR!$E$4</definedName>
    <definedName name="Sales01">[1]WELLA_YEAR!$G$4</definedName>
    <definedName name="Sales02">[1]WELLA_YEAR!$I$4</definedName>
    <definedName name="Sales03">[1]WELLA_YEAR!$K$4</definedName>
    <definedName name="Sales04">[1]WELLA_YEAR!$M$4</definedName>
    <definedName name="Sales05">[1]WELLA_YEAR!$O$4</definedName>
    <definedName name="Sales06">[1]WELLA_YEAR!$Q$4</definedName>
    <definedName name="Sales07">[1]WELLA_YEAR!$S$4</definedName>
    <definedName name="Sales98">[1]WELLA_YEAR!$B$4</definedName>
    <definedName name="Sales99">[1]WELLA_YEAR!$C$4</definedName>
    <definedName name="SAPBEXdnldView" hidden="1">"3YPDU3QUROXECWVOQV8IEZR4C"</definedName>
    <definedName name="SAPBEXrevision" hidden="1">1</definedName>
    <definedName name="SAPBEXsysID" hidden="1">"BWG"</definedName>
    <definedName name="SAPBEXwbID" hidden="1">"3P9RIBDX808FQVPLLC8WO2EZU"</definedName>
    <definedName name="scenario">'[65]Sensitivity Tables'!$B$7</definedName>
    <definedName name="sdjlk" hidden="1">{#N/A,#N/A,FALSE,"1230";#N/A,#N/A,FALSE,"1235";#N/A,#N/A,FALSE,"1240";#N/A,#N/A,FALSE,"1245";#N/A,#N/A,FALSE,"1250";#N/A,#N/A,FALSE,"1255";#N/A,#N/A,FALSE,"1256"}</definedName>
    <definedName name="SECSettlement" localSheetId="0">ImportantDisclosures!#REF!</definedName>
    <definedName name="section">[91]Manager!$F$3</definedName>
    <definedName name="SEDOL" localSheetId="6">IndexInformation!$B$22</definedName>
    <definedName name="sencount" hidden="1">1</definedName>
    <definedName name="SeqGrowth">'[2]Euro Model'!$A$143</definedName>
    <definedName name="ser" hidden="1">{#N/A,#N/A,TRUE,"DCF Summary";#N/A,#N/A,TRUE,"Casema";#N/A,#N/A,TRUE,"UK";#N/A,#N/A,TRUE,"RCF";#N/A,#N/A,TRUE,"Intercable CZ";#N/A,#N/A,TRUE,"Interkabel P";#N/A,#N/A,TRUE,"LBO-Total";#N/A,#N/A,TRUE,"LBO-Casema"}</definedName>
    <definedName name="sert" hidden="1">{#N/A,#N/A,FALSE,"DCF Summary";#N/A,#N/A,FALSE,"Casema";#N/A,#N/A,FALSE,"Casema NoTel";#N/A,#N/A,FALSE,"UK";#N/A,#N/A,FALSE,"RCF";#N/A,#N/A,FALSE,"Intercable CZ";#N/A,#N/A,FALSE,"Interkabel P"}</definedName>
    <definedName name="SFDDSFDASFDSFDASFDAS" hidden="1">{"Analysis",#N/A,FALSE,"DETAIL"}</definedName>
    <definedName name="shares">'[103]Old BKS'!$A$592:$U$606</definedName>
    <definedName name="shares_00">[103]B!$M$30</definedName>
    <definedName name="shares_01">[97]B!$X$41</definedName>
    <definedName name="shares_02">[97]B!$AD$41</definedName>
    <definedName name="shares_03">[97]B!$AF$41</definedName>
    <definedName name="shares_04">'[63]P&amp;L'!$U$30</definedName>
    <definedName name="shares_99">[61]B!$L$41</definedName>
    <definedName name="shares_plc_00">[66]D!$U$45</definedName>
    <definedName name="shares_plc_01">[66]D!$AE$45</definedName>
    <definedName name="Shares01">'[4]P&amp;L'!$G$24</definedName>
    <definedName name="shares02">'[5]P&amp;L'!$I$34</definedName>
    <definedName name="shares03">'[5]P&amp;L'!$K$34</definedName>
    <definedName name="shares04">'[5]P&amp;L'!$M$34</definedName>
    <definedName name="shares05">'[5]P&amp;L'!$O$34</definedName>
    <definedName name="shares06">'[5]P&amp;L'!$Q$34</definedName>
    <definedName name="sheq">[75]NKEBALST!$BH$27:$BO$27</definedName>
    <definedName name="shirley" hidden="1">{#N/A,#N/A,FALSE,"MKTSUM95";#N/A,#N/A,FALSE,"MKTADM95";#N/A,#N/A,FALSE,"MKTD&amp;C95";#N/A,#N/A,FALSE,"MKTPRD95";#N/A,#N/A,FALSE,"MKTCHL95"}</definedName>
    <definedName name="shs">'[64]USD Model'!$C$76:$DP$76</definedName>
    <definedName name="SID" hidden="1">"Cpavan"</definedName>
    <definedName name="slscost">'[64]USD Model'!$C$42:$DP$42</definedName>
    <definedName name="snm">'[64]USD Model'!$C$48:$DP$48</definedName>
    <definedName name="solver_adj" localSheetId="3" hidden="1">IS!$AQ$43</definedName>
    <definedName name="solver_cvg" localSheetId="3" hidden="1">0.0001</definedName>
    <definedName name="solver_drv" localSheetId="3" hidden="1">1</definedName>
    <definedName name="solver_est" localSheetId="3" hidden="1">1</definedName>
    <definedName name="solver_itr" localSheetId="3" hidden="1">100</definedName>
    <definedName name="solver_lin" localSheetId="3" hidden="1">2</definedName>
    <definedName name="solver_neg" localSheetId="3" hidden="1">2</definedName>
    <definedName name="solver_num" localSheetId="3" hidden="1">0</definedName>
    <definedName name="solver_nwt" localSheetId="3" hidden="1">1</definedName>
    <definedName name="solver_pre" localSheetId="3" hidden="1">0.000001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3" hidden="1">3</definedName>
    <definedName name="solver_val" localSheetId="3" hidden="1">0</definedName>
    <definedName name="sose">[1]Model_Template!$A$543</definedName>
    <definedName name="source">[63]Inputs!$B$10</definedName>
    <definedName name="SourceDefined" localSheetId="0">ImportantDisclosures!$A$19</definedName>
    <definedName name="Spaces">"      "</definedName>
    <definedName name="SPWD" hidden="1">"pepsico"</definedName>
    <definedName name="ssss" hidden="1">{#N/A,#N/A,FALSE,"DCF Summary";#N/A,#N/A,FALSE,"Casema";#N/A,#N/A,FALSE,"Casema NoTel";#N/A,#N/A,FALSE,"UK";#N/A,#N/A,FALSE,"RCF";#N/A,#N/A,FALSE,"Intercable CZ";#N/A,#N/A,FALSE,"Interkabel P"}</definedName>
    <definedName name="ssssssssssssssssssssssssssssssssssssss" hidden="1">{#N/A,#N/A,FALSE,"DCF Summary";#N/A,#N/A,FALSE,"Casema";#N/A,#N/A,FALSE,"Casema NoTel";#N/A,#N/A,FALSE,"UK";#N/A,#N/A,FALSE,"RCF";#N/A,#N/A,FALSE,"Intercable CZ";#N/A,#N/A,FALSE,"Interkabel P"}</definedName>
    <definedName name="STAMP">[8]Inputs!$F$8</definedName>
    <definedName name="Start_Comps">'[58]Trading Comps'!$D$20</definedName>
    <definedName name="state">{"Client Name or Project Name"}</definedName>
    <definedName name="States">{"Client Name or Project Name"}</definedName>
    <definedName name="states_new">{"Client Name or Project Name"}</definedName>
    <definedName name="StockRating" localSheetId="0">ImportantDisclosures!$A$11</definedName>
    <definedName name="Stocks1">'[6]LBO Summary'!$C$70:$C$78</definedName>
    <definedName name="StocksData1">'[6]LBO Summary'!$D$69:$G$69</definedName>
    <definedName name="SubjectCode" localSheetId="6">IndexInformation!$B$6</definedName>
    <definedName name="SubmitterUserId" localSheetId="6">IndexInformation!$B$39</definedName>
    <definedName name="SubmitterUserId">[68]IndexInformation!$B$39</definedName>
    <definedName name="subpart" hidden="1">{#N/A,#N/A,FALSE,"Summary";#N/A,#N/A,FALSE,"Fed.State Prov";#N/A,#N/A,FALSE,"Foreign Prov";#N/A,#N/A,FALSE,"Thera Fgrn";#N/A,#N/A,FALSE,"CCD Fgrn";#N/A,#N/A,FALSE,"Biocine Fgrn";#N/A,#N/A,FALSE,"Vision Fgrn";#N/A,#N/A,FALSE,"Frgn vs Dom"}</definedName>
    <definedName name="SUPPRESSED" localSheetId="7">ModPubIndex!$A$13</definedName>
    <definedName name="svcrev">'[64]USD Model'!$C$33:$DP$33</definedName>
    <definedName name="Synergy_Toggle">'[53]Cashflow Model'!$C$6</definedName>
    <definedName name="Table_10">'[104]Cash Flow-Industrial'!$A$1:$R$55</definedName>
    <definedName name="Table_11">[104]Geo!$A$1:$T$52</definedName>
    <definedName name="Table_13">[104]DCF!$A$1:$X$56</definedName>
    <definedName name="Table_1b">'[104]Annual-consolidated'!A$76:T$156</definedName>
    <definedName name="Table_3b">'[104]Qtrly Inc St'!$A$76:$BD$157</definedName>
    <definedName name="Table_4b">'[104]Qtrly Inc St'!$A$185:$BD$239</definedName>
    <definedName name="Table_7">'[104]Bal Sheet - Cons.'!$A$1:$R$59</definedName>
    <definedName name="Table_8">'[104]Bal Sheet-Industrial'!$A$1:$R$67</definedName>
    <definedName name="Table_9">'[104]Cash Flow - Cons.'!$A$1:$R$61</definedName>
    <definedName name="TargetPrice" localSheetId="0">ImportantDisclosures!$A$15</definedName>
    <definedName name="Tarprice">'[44]Sources &amp; Uses'!$AE$10</definedName>
    <definedName name="taxes">'[64]USD Model'!$C$68:$DP$68</definedName>
    <definedName name="Taxes___HC">"ssflat"</definedName>
    <definedName name="taxrate">[65]Control!$D$11</definedName>
    <definedName name="Taxrate_00">'[105]P&amp;L'!$F$43</definedName>
    <definedName name="Taxrate_97">'[105]P&amp;L'!$C$43</definedName>
    <definedName name="Taxrate_98">'[105]P&amp;L'!$D$43</definedName>
    <definedName name="Taxrate_99">'[105]P&amp;L'!$E$43</definedName>
    <definedName name="TCredo" hidden="1">{#N/A,#N/A,FALSE,"ACQ_GRAPHS";#N/A,#N/A,FALSE,"T_1 GRAPHS";#N/A,#N/A,FALSE,"T_2 GRAPHS";#N/A,#N/A,FALSE,"COMB_GRAPHS"}</definedName>
    <definedName name="TCwrn" hidden="1">{#N/A,#N/A,FALSE,"INPUTS";#N/A,#N/A,FALSE,"PROFORMA BSHEET";#N/A,#N/A,FALSE,"COMBINED";#N/A,#N/A,FALSE,"ACQUIROR";#N/A,#N/A,FALSE,"TARGET 1";#N/A,#N/A,FALSE,"TARGET 2";#N/A,#N/A,FALSE,"HIGH YIELD";#N/A,#N/A,FALSE,"OVERFUND"}</definedName>
    <definedName name="TCwrn.comb" hidden="1">{#N/A,#N/A,FALSE,"INPUTS";#N/A,#N/A,FALSE,"PROFORMA BSHEET";#N/A,#N/A,FALSE,"COMBINED";#N/A,#N/A,FALSE,"HIGH YIELD";#N/A,#N/A,FALSE,"COMB_GRAPHS"}</definedName>
    <definedName name="TCwrn.graphs" hidden="1">{#N/A,#N/A,FALSE,"ACQ_GRAPHS";#N/A,#N/A,FALSE,"T_1 GRAPHS";#N/A,#N/A,FALSE,"T_2 GRAPHS";#N/A,#N/A,FALSE,"COMB_GRAPHS"}</definedName>
    <definedName name="TCwrn.val" hidden="1">{#N/A,#N/A,FALSE,"Valuation Assumptions";#N/A,#N/A,FALSE,"Summary";#N/A,#N/A,FALSE,"DCF";#N/A,#N/A,FALSE,"Valuation";#N/A,#N/A,FALSE,"WACC";#N/A,#N/A,FALSE,"UBVH";#N/A,#N/A,FALSE,"Free Cash Flow"}</definedName>
    <definedName name="Temp" hidden="1">{#N/A,#N/A,FALSE,"MKTSUM95";#N/A,#N/A,FALSE,"MKTADM95";#N/A,#N/A,FALSE,"MKTD&amp;C95";#N/A,#N/A,FALSE,"MKTPRD95";#N/A,#N/A,FALSE,"MKTCHL95"}</definedName>
    <definedName name="temp1" hidden="1">{#N/A,#N/A,FALSE,"MKTSUM95";#N/A,#N/A,FALSE,"MKTADM95";#N/A,#N/A,FALSE,"MKTD&amp;C95";#N/A,#N/A,FALSE,"MKTPRD95";#N/A,#N/A,FALSE,"MKTCHL95"}</definedName>
    <definedName name="TemplateRegion" localSheetId="6">IndexInformation!$B$36</definedName>
    <definedName name="TemplateRegion">[68]IndexInformation!$B$36</definedName>
    <definedName name="TestAdd">"Test RefersTo1"</definedName>
    <definedName name="TextRefCopyRangeCount" hidden="1">1</definedName>
    <definedName name="Ticker" localSheetId="0">ImportantDisclosures!$A$10</definedName>
    <definedName name="TickerRegion">IndexInformation!$B$41</definedName>
    <definedName name="Tickers" localSheetId="6">IndexInformation!$B$19</definedName>
    <definedName name="Title_Date">[106]variables!$C$3</definedName>
    <definedName name="totass">[75]NKEBALST!$BH$22:$BO$22</definedName>
    <definedName name="totcap">[75]NKEBALST!$BH$29:$BO$29</definedName>
    <definedName name="toteq">'[64]USD Model'!$C$142:$DP$142</definedName>
    <definedName name="totexp">'[64]USD Model'!$C$53:$DP$53</definedName>
    <definedName name="totrec">'[64]USD Model'!$C$124:$DP$124</definedName>
    <definedName name="trade_2">'[48]Addn''l Spend'!$J$5:$L$1267</definedName>
    <definedName name="ttt" hidden="1">{"Teacher",#N/A,FALSE,"Summary";"Teacher",#N/A,FALSE,"Assumptions";"Teacher",#N/A,FALSE,"Buildup";"Teacher",#N/A,FALSE,"Financials";"Teacher",#N/A,FALSE,"Debt &amp; Other"}</definedName>
    <definedName name="tttt" hidden="1">{"Reader",#N/A,FALSE,"Summary";"Reader",#N/A,FALSE,"Buildup";"Reader",#N/A,FALSE,"Financials";"Reader",#N/A,FALSE,"Debt &amp; Other"}</definedName>
    <definedName name="TW">'[94]T&amp;W Accounts'!$D$2:$E$314</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o" hidden="1">{"Variance Q4",#N/A,FALSE,"Var"}</definedName>
    <definedName name="UpdateReason" localSheetId="6">IndexInformation!$B$17</definedName>
    <definedName name="USRegDisclosures" localSheetId="0">ImportantDisclosures!#REF!</definedName>
    <definedName name="uuuuuu" hidden="1">{#N/A,#N/A,FALSE,"DCF Summary";#N/A,#N/A,FALSE,"Casema";#N/A,#N/A,FALSE,"Casema NoTel";#N/A,#N/A,FALSE,"UK";#N/A,#N/A,FALSE,"RCF";#N/A,#N/A,FALSE,"Intercable CZ";#N/A,#N/A,FALSE,"Interkabel P"}</definedName>
    <definedName name="uyiop" hidden="1">{#N/A,#N/A,FALSE,"DCF Summary";#N/A,#N/A,FALSE,"Casema";#N/A,#N/A,FALSE,"Casema NoTel";#N/A,#N/A,FALSE,"UK";#N/A,#N/A,FALSE,"RCF";#N/A,#N/A,FALSE,"Intercable CZ";#N/A,#N/A,FALSE,"Interkabel P"}</definedName>
    <definedName name="Valuation" localSheetId="4">{"Client Name or Project Name"}</definedName>
    <definedName name="Valuation" localSheetId="5">{"Client Name or Project Name"}</definedName>
    <definedName name="Valuation" localSheetId="3">{"Client Name or Project Name"}</definedName>
    <definedName name="Valuation">{"Client Name or Project Name"}</definedName>
    <definedName name="valuation_date">[107]DCF!$C$7</definedName>
    <definedName name="vbnm" hidden="1">{#N/A,#N/A,FALSE,"DCF Summary";#N/A,#N/A,FALSE,"Casema";#N/A,#N/A,FALSE,"Casema NoTel";#N/A,#N/A,FALSE,"UK";#N/A,#N/A,FALSE,"RCF";#N/A,#N/A,FALSE,"Intercable CZ";#N/A,#N/A,FALSE,"Interkabel P"}</definedName>
    <definedName name="Vendor">'[71]Master Trans. Vendor List'!$A$1:$C$65536</definedName>
    <definedName name="VersionNo">1</definedName>
    <definedName name="w" hidden="1">{#N/A,#N/A,FALSE,"Australia";#N/A,#N/A,FALSE,"Austria";#N/A,#N/A,FALSE,"Belgium";#N/A,#N/A,FALSE,"Canada";#N/A,#N/A,FALSE,"France";#N/A,#N/A,FALSE,"Germany";#N/A,#N/A,FALSE,"Hong Kong";#N/A,#N/A,FALSE,"Italy";#N/A,#N/A,FALSE,"Japan";#N/A,#N/A,FALSE,"Korea";#N/A,#N/A,FALSE,"Mexico";#N/A,#N/A,FALSE,"Poland";#N/A,#N/A,FALSE,"Spain";#N/A,#N/A,FALSE,"Switzerland";#N/A,#N/A,FALSE,"UK"}</definedName>
    <definedName name="WACC">[107]DCF!$K$8</definedName>
    <definedName name="WACC_Calculator">'[108]WACC Calculator'!$A$6:$F$26</definedName>
    <definedName name="wacc_olympia">{"Price","YBTVA","LC125/LC126","N","0","0","V"}</definedName>
    <definedName name="web" hidden="1">{#N/A,#N/A,FALSE,"Taxblinc";#N/A,#N/A,FALSE,"Rsvsacls"}</definedName>
    <definedName name="WEEKS">'[109]Qtr Budget'!$AA$9:$AD$20</definedName>
    <definedName name="wert" hidden="1">{#N/A,#N/A,FALSE,"DCF Summary";#N/A,#N/A,FALSE,"Casema";#N/A,#N/A,FALSE,"Casema NoTel";#N/A,#N/A,FALSE,"UK";#N/A,#N/A,FALSE,"RCF";#N/A,#N/A,FALSE,"Intercable CZ";#N/A,#N/A,FALSE,"Interkabel P"}</definedName>
    <definedName name="whatever" hidden="1">{#N/A,#N/A,FALSE,"Australia";#N/A,#N/A,FALSE,"Austria";#N/A,#N/A,FALSE,"Belgium";#N/A,#N/A,FALSE,"Canada";#N/A,#N/A,FALSE,"France";#N/A,#N/A,FALSE,"Germany";#N/A,#N/A,FALSE,"Hong Kong";#N/A,#N/A,FALSE,"Italy";#N/A,#N/A,FALSE,"Japan";#N/A,#N/A,FALSE,"Korea";#N/A,#N/A,FALSE,"Mexico";#N/A,#N/A,FALSE,"Poland";#N/A,#N/A,FALSE,"Spain";#N/A,#N/A,FALSE,"Switzerland";#N/A,#N/A,FALSE,"UK"}</definedName>
    <definedName name="wkcopy" hidden="1">{#N/A,#N/A,FALSE,"1230";#N/A,#N/A,FALSE,"1235";#N/A,#N/A,FALSE,"1240";#N/A,#N/A,FALSE,"1245";#N/A,#N/A,FALSE,"1250";#N/A,#N/A,FALSE,"1255";#N/A,#N/A,FALSE,"1256"}</definedName>
    <definedName name="WorkArea">'[108]WACC Calculator'!$B$2:$F$3</definedName>
    <definedName name="workcap">[75]NKEBALST!$BH$31:$BO$31</definedName>
    <definedName name="wrn" hidden="1">{#N/A,#N/A,FALSE,"DCF Summary";#N/A,#N/A,FALSE,"Casema";#N/A,#N/A,FALSE,"Casema NoTel";#N/A,#N/A,FALSE,"UK";#N/A,#N/A,FALSE,"RCF";#N/A,#N/A,FALSE,"Intercable CZ";#N/A,#N/A,FALSE,"Interkabel P"}</definedName>
    <definedName name="wrn.2._.pagers." hidden="1">{"Cover",#N/A,FALSE,"Cover";"Summary",#N/A,FALSE,"Summarpage"}</definedName>
    <definedName name="wrn.2._.pagers.1" hidden="1">{"Cover",#N/A,FALSE,"Cover";"Summary",#N/A,FALSE,"Summarpage"}</definedName>
    <definedName name="wrn.95PROV." hidden="1">{#N/A,#N/A,FALSE,"Taxblinc";#N/A,#N/A,FALSE,"Rsvsacls"}</definedName>
    <definedName name="wrn.96_model." hidden="1">{"qtr_is_94_95",#N/A,FALSE,"MA";"ann_is_96",#N/A,FALSE,"MA";"seg_sales_96",#N/A,FALSE,"MA";"seg_inc_96",#N/A,FALSE,"MA";"divisional_91_95",#N/A,FALSE,"MA";"ann_bs_96",#N/A,FALSE,"MA";"ann_cf_96",#N/A,FALSE,"MA"}</definedName>
    <definedName name="wrn.Aging._.and._.Trend._.Analysis." hidden="1">{#N/A,#N/A,FALSE,"Aging Summary";#N/A,#N/A,FALSE,"Ratio Analysis";#N/A,#N/A,FALSE,"Test 120 Day Accts";#N/A,#N/A,FALSE,"Tickmarks"}</definedName>
    <definedName name="wrn.ALL." hidden="1">{#N/A,#N/A,FALSE,"INPUTS";#N/A,#N/A,FALSE,"PROFORMA BSHEET";#N/A,#N/A,FALSE,"COMBINED";#N/A,#N/A,FALSE,"ACQUIROR";#N/A,#N/A,FALSE,"TARGET 1";#N/A,#N/A,FALSE,"TARGET 2";#N/A,#N/A,FALSE,"HIGH YIELD";#N/A,#N/A,FALSE,"OVERFUND"}</definedName>
    <definedName name="wrn.All._.Countries." hidden="1">{#N/A,#N/A,FALSE,"Australia";#N/A,#N/A,FALSE,"Austria";#N/A,#N/A,FALSE,"Belgium";#N/A,#N/A,FALSE,"Canada";#N/A,#N/A,FALSE,"France";#N/A,#N/A,FALSE,"Germany";#N/A,#N/A,FALSE,"Hong Kong";#N/A,#N/A,FALSE,"Italy";#N/A,#N/A,FALSE,"Japan";#N/A,#N/A,FALSE,"Korea";#N/A,#N/A,FALSE,"Mexico";#N/A,#N/A,FALSE,"Poland";#N/A,#N/A,FALSE,"Spain";#N/A,#N/A,FALSE,"Switzerland";#N/A,#N/A,FALSE,"UK"}</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1" hidden="1">{"P&amp;L",#N/A,TRUE,"HC";"P&amp;L Percents",#N/A,TRUE,"P&amp;L";"M&amp;A3 P&amp;L",#N/A,TRUE,"HC";"M&amp;A3 Pipeline",#N/A,TRUE,"HC";"Franchises",#N/A,TRUE,"HC";"CF&amp;BS",#N/A,TRUE,"HC"}</definedName>
    <definedName name="wrn.allpages." hidden="1">{#N/A,#N/A,TRUE,"Historicals";#N/A,#N/A,TRUE,"Charts";#N/A,#N/A,TRUE,"Forecasts"}</definedName>
    <definedName name="wrn.allpages.1" hidden="1">{#N/A,#N/A,TRUE,"Historicals";#N/A,#N/A,TRUE,"Charts";#N/A,#N/A,TRUE,"Forecasts"}</definedName>
    <definedName name="wrn.AMTNOL." hidden="1">{#N/A,#N/A,TRUE,"91AMTNOL";#N/A,#N/A,TRUE,"92AMTNOL";#N/A,#N/A,TRUE,"93AMTNOL"}</definedName>
    <definedName name="wrn.Analyze." hidden="1">{"Analysis",#N/A,FALSE,"DETAIL"}</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udit._.adjustments." hidden="1">{#N/A,#N/A,TRUE,"Summary";#N/A,#N/A,TRUE,"Amort.";#N/A,#N/A,TRUE,"93TAX";#N/A,#N/A,TRUE,"93NOLCB";#N/A,#N/A,TRUE,"92TAX";#N/A,#N/A,TRUE,"92NOLCB";#N/A,#N/A,TRUE,"91TAX";#N/A,#N/A,TRUE,"91NOLCB";#N/A,#N/A,TRUE,"92AMTNOL";#N/A,#N/A,TRUE,"921120X"}</definedName>
    <definedName name="wrn.AUGUST." hidden="1">{"p&amp;lSUM",#N/A,FALSE,"P&amp;L";"DETAIL",#N/A,FALSE,"P&amp;L";"% revenue",#N/A,FALSE,"P&amp;L";"% growth",#N/A,FALSE,"P&amp;L";"summary",#N/A,FALSE,"Summary";"chart",#N/A,FALSE,"Summary"}</definedName>
    <definedName name="wrn.august1" hidden="1">{"p&amp;lSUM",#N/A,FALSE,"P&amp;L";"DETAIL",#N/A,FALSE,"P&amp;L";"% revenue",#N/A,FALSE,"P&amp;L";"% growth",#N/A,FALSE,"P&amp;L";"summary",#N/A,FALSE,"Summary";"chart",#N/A,FALSE,"Summary"}</definedName>
    <definedName name="wrn.Aventis._.Analysis." hidden="1">{"P&amp;Lforaventis",#N/A,FALSE,"Franchises";"aventisP&amp;L",#N/A,FALSE,"Franchises";"inflam franchise",#N/A,FALSE,"Franchises"}</definedName>
    <definedName name="wrn.aventis._.analysis.1" hidden="1">{"P&amp;Lforaventis",#N/A,FALSE,"Franchises";"aventisP&amp;L",#N/A,FALSE,"Franchises";"inflam franchise",#N/A,FALSE,"Franchises"}</definedName>
    <definedName name="wrn.Book._.Depreciation." hidden="1">{"Book Depreciation",#N/A,FALSE,"Depreciation Schedules"}</definedName>
    <definedName name="wrn.Brief._.model." hidden="1">{#N/A,#N/A,FALSE,"Valuation";#N/A,#N/A,FALSE,"P&amp;L";#N/A,#N/A,FALSE,"Balance Sheet";#N/A,#N/A,FALSE,"Cash Flow";#N/A,#N/A,FALSE,"Revenue Model"}</definedName>
    <definedName name="wrn.c" hidden="1">{"p&amp;lSUM",#N/A,FALSE,"P&amp;L";"DETAIL",#N/A,FALSE,"P&amp;L";"% revenue",#N/A,FALSE,"P&amp;L";"% growth",#N/A,FALSE,"P&amp;L";"summary",#N/A,FALSE,"Summary";"chart",#N/A,FALSE,"Summary"}</definedName>
    <definedName name="wrn.Cash._.Flow." hidden="1">{"Cash Flow",#N/A,FALSE,"Cash Flow"}</definedName>
    <definedName name="wrn.Charts." hidden="1">{"Revenue chart",#N/A,FALSE,"Charts";"ExpenseChart",#N/A,FALSE,"Charts";"Netincomechart",#N/A,FALSE,"Charts"}</definedName>
    <definedName name="wrn.Chiron._.IRS._.Audit." hidden="1">{#N/A,#N/A,FALSE,"Summary";#N/A,#N/A,FALSE,"1991";#N/A,#N/A,FALSE,"91 AMT";#N/A,#N/A,FALSE,"1992";#N/A,#N/A,FALSE,"92 AMT";#N/A,#N/A,FALSE,"1993";#N/A,#N/A,FALSE,"93 AMT"}</definedName>
    <definedName name="wrn.Client._.cfbs." hidden="1">{"client cfbs",#N/A,FALSE,"Client"}</definedName>
    <definedName name="wrn.Client._.is." hidden="1">{"Client is",#N/A,FALSE,"Client"}</definedName>
    <definedName name="wrn.Client._.stats." hidden="1">{"Client stats",#N/A,FALSE,"Client"}</definedName>
    <definedName name="wrn.COMBINED." hidden="1">{#N/A,#N/A,FALSE,"INPUTS";#N/A,#N/A,FALSE,"PROFORMA BSHEET";#N/A,#N/A,FALSE,"COMBINED";#N/A,#N/A,FALSE,"HIGH YIELD";#N/A,#N/A,FALSE,"COMB_GRAPHS"}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hidden="1">{"view1",#N/A,FALSE,"EARN (US$)";"view1",#N/A,FALSE,"DASTBS (US$)";"view1",#N/A,FALSE,"DASTCF (US$)"}</definedName>
    <definedName name="wrn.crom._.4cast." hidden="1">{#N/A,#N/A,TRUE,"TOTAL Roll-up";#N/A,#N/A,TRUE,"Launch timing assumptions"}</definedName>
    <definedName name="wrn.croma._.forecast." hidden="1">{#N/A,#N/A,TRUE,"TOTAL Roll-up";#N/A,#N/A,TRUE,"Launch timing assumptions"}</definedName>
    <definedName name="wrn.CUTS." hidden="1">{"REVENUE1",#N/A,FALSE,"REVPIVOT";"EXP1",#N/A,FALSE,"REVPIVOT";"EXP2",#N/A,FALSE,"REVPIVOT";"EXP4",#N/A,FALSE,"REVPIVOT";"EXP5",#N/A,FALSE,"REVPIVOT";"PIPELINE1",#N/A,FALSE,"REVPIVOT";"PIPELINE3",#N/A,FALSE,"REVPIVOT";"PIPELINE4",#N/A,FALSE,"REVPIVOT";"hc1",#N/A,FALSE,"REVPIVOT";"hc2",#N/A,FALSE,"REVPIVOT";"HC3",#N/A,FALSE,"REVPIVOT"}</definedName>
    <definedName name="wrn.DCF._.Only." hidden="1">{#N/A,#N/A,FALSE,"DCF Summary";#N/A,#N/A,FALSE,"Casema";#N/A,#N/A,FALSE,"Casema NoTel";#N/A,#N/A,FALSE,"UK";#N/A,#N/A,FALSE,"RCF";#N/A,#N/A,FALSE,"Intercable CZ";#N/A,#N/A,FALSE,"Interkabel P"}</definedName>
    <definedName name="wrn.Depreciation." hidden="1">{"DE_asfiled",#N/A,TRUE,"Amort.";"IRS_addl",#N/A,TRUE,"Amort."}</definedName>
    <definedName name="wrn.detail." hidden="1">{"sales1",#N/A,FALSE,"CPB";"sales2",#N/A,FALSE,"CPB";"sales3",#N/A,FALSE,"CPB";"margin1",#N/A,FALSE,"CPB";"margins2",#N/A,FALSE,"CPB";"soupmodel",#N/A,FALSE,"CPB"}</definedName>
    <definedName name="wrn.financials." hidden="1">{"income",#N/A,FALSE,"CPB";"income2",#N/A,FALSE,"CPB";"cashflow",#N/A,FALSE,"CPB";"balances",#N/A,FALSE,"CPB";"ratios",#N/A,FALSE,"CPB";"expenses",#N/A,FALSE,"CPB";"sourcesanduses",#N/A,FALSE,"CPB"}</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resenius._.model." hidden="1">{#N/A,#N/A,TRUE,"Valuation";#N/A,#N/A,TRUE,"Comps";#N/A,#N/A,TRUE,"P&amp;L";#N/A,#N/A,TRUE,"Cash Flow";#N/A,#N/A,TRUE,"Balance Sheet";#N/A,#N/A,TRUE,"Sales";#N/A,#N/A,TRUE,"Services";#N/A,#N/A,TRUE,"Products";#N/A,#N/A,TRUE,"EBIT analysis";#N/A,#N/A,TRUE,"Debt";#N/A,#N/A,TRUE,"RI"}</definedName>
    <definedName name="wrn.Full._.model." hidden="1">{#N/A,#N/A,FALSE,"Valuation";#N/A,#N/A,FALSE,"P&amp;L";#N/A,#N/A,FALSE,"Balance Sheet";#N/A,#N/A,FALSE,"Cash Flow";#N/A,#N/A,FALSE,"Revenue Model";#N/A,#N/A,FALSE,"Consumables";#N/A,#N/A,FALSE,"Instruments";#N/A,#N/A,FALSE,"Genomics";#N/A,#N/A,FALSE,"PreAnalytix JV";#N/A,#N/A,FALSE,"DCF Valuation"}</definedName>
    <definedName name="wrn.Full._.Report." hidden="1">{#N/A,#N/A,FALSE,"COVER";#N/A,#N/A,FALSE,"VALUATION";#N/A,#N/A,FALSE,"FORECAST";#N/A,#N/A,FALSE,"FY ANALYSIS ";#N/A,#N/A,FALSE," HY ANALYSIS"}</definedName>
    <definedName name="wrn.FUZ_REP." hidden="1">{"FUZ_INC_A",#N/A,FALSE,"NOBE";"FUZ_INC_Q",#N/A,FALSE,"NOBE";"FUZ_BAL_A",#N/A,FALSE,"NOBE";"FUZ_CASH_A",#N/A,FALSE,"NOBE";"FUZ_PROD_A",#N/A,FALSE,"NOBE"}</definedName>
    <definedName name="wrn.GRAPHS." hidden="1">{#N/A,#N/A,FALSE,"ACQ_GRAPHS";#N/A,#N/A,FALSE,"T_1 GRAPHS";#N/A,#N/A,FALSE,"T_2 GRAPHS";#N/A,#N/A,FALSE,"COMB_GRAPHS"}</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1"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IPO._.Valuation." hidden="1">{"assumptions",#N/A,FALSE,"Scenario 1";"valuation",#N/A,FALSE,"Scenario 1"}</definedName>
    <definedName name="wrn.JE_Pkg." hidden="1">{#N/A,#N/A,FALSE,"JE";#N/A,#N/A,FALSE,"UB PR";#N/A,#N/A,FALSE,"UB Sweep";#N/A,#N/A,FALSE,"UB Flex";#N/A,#N/A,FALSE,"UB Ckg"}</definedName>
    <definedName name="wrn.LBO._.Summary." hidden="1">{"LBO Summary",#N/A,FALSE,"Summary"}</definedName>
    <definedName name="wrn.LEAD._.SCHEDULE." hidden="1">{"LEAD",#N/A,FALSE,"96T1 (trial)";"COGS",#N/A,FALSE,"96T1 (trial)";"OTHER",#N/A,FALSE,"96T1 (trial)";"TAX EXPENSE",#N/A,FALSE,"96T1 (trial)";"MONE",#N/A,FALSE,"96T1 (trial)"}</definedName>
    <definedName name="wrn.Leases.xls." hidden="1">{#N/A,#N/A,FALSE,"Initial Year";#N/A,#N/A,FALSE,"Historical";#N/A,#N/A,FALSE,"balsheet";#N/A,#N/A,FALSE,"incstate";#N/A,#N/A,FALSE,"Fleet"}</definedName>
    <definedName name="wrn.Leases.xls.1" hidden="1">{#N/A,#N/A,FALSE,"Initial Year";#N/A,#N/A,FALSE,"Historical";#N/A,#N/A,FALSE,"balsheet";#N/A,#N/A,FALSE,"incstate";#N/A,#N/A,FALSE,"Fleet"}</definedName>
    <definedName name="wrn.Marketing." hidden="1">{#N/A,#N/A,FALSE,"MKTSUM95";#N/A,#N/A,FALSE,"MKTADM95";#N/A,#N/A,FALSE,"MKTD&amp;C95";#N/A,#N/A,FALSE,"MKTPRD95";#N/A,#N/A,FALSE,"MKTCHL95"}</definedName>
    <definedName name="wrn.Marketing1" hidden="1">{#N/A,#N/A,FALSE,"MKTSUM95";#N/A,#N/A,FALSE,"MKTADM95";#N/A,#N/A,FALSE,"MKTD&amp;C95";#N/A,#N/A,FALSE,"MKTPRD95";#N/A,#N/A,FALSE,"MKTCHL95"}</definedName>
    <definedName name="wrn.MOBIL." hidden="1">{"quarter",#N/A,FALSE,"MOB"}</definedName>
    <definedName name="wrn.MOBIL.1" hidden="1">{"quarter",#N/A,FALSE,"MOB"}</definedName>
    <definedName name="wrn.Model." hidden="1">{#N/A,#N/A,TRUE,"valuation";#N/A,#N/A,TRUE,"RevenueCost";#N/A,#N/A,TRUE,"Comps";#N/A,#N/A,TRUE,"P&amp;L";#N/A,#N/A,TRUE,"balance";#N/A,#N/A,TRUE,"cashflow";#N/A,#N/A,TRUE,"RI";#N/A,#N/A,TRUE,"Ortho";#N/A,#N/A,TRUE,"Endo";#N/A,#N/A,TRUE,"Wound";#N/A,#N/A,TRUE,"Tissue Eng.";#N/A,#N/A,TRUE,"Quarterly growth rates";#N/A,#N/A,TRUE,"Sheet1"}</definedName>
    <definedName name="wrn.N.O.L.." hidden="1">{#N/A,#N/A,FALSE,"91NOLCB";#N/A,#N/A,FALSE,"92NOLCB";#N/A,#N/A,FALSE,"93NOLCB"}</definedName>
    <definedName name="wrn.Network." hidden="1">{"Network List",#N/A,FALSE,"A"}</definedName>
    <definedName name="wrn.NEW." hidden="1">{"Total P&amp;L",#N/A,FALSE,"P&amp;LTECH";"SUMPIPELINE",#N/A,FALSE,"P&amp;LTECH";"REVENUE",#N/A,FALSE,"P&amp;LTECH";"r&amp;d",#N/A,FALSE,"P&amp;LTECH"}</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assword._.List." hidden="1">{"Password List",#N/A,FALSE,"A"}</definedName>
    <definedName name="wrn.Portrait._.IS." hidden="1">{"Portrait letter is",#N/A,FALSE,"Model"}</definedName>
    <definedName name="wrn.Portrait._.letter._.is." hidden="1">{"Portrait letter is",#N/A,FALSE,"Model"}</definedName>
    <definedName name="wrn.Preliminary." hidden="1">{"Analysis",#N/A,FALSE,"DETAIL"}</definedName>
    <definedName name="wrn.Print." hidden="1">{"vi1",#N/A,FALSE,"Financial Statements";"vi2",#N/A,FALSE,"Financial Statements";#N/A,#N/A,FALSE,"DCF"}</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model."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all." hidden="1">{"printall",#N/A,FALSE,"BAIRNUMB"}</definedName>
    <definedName name="wrn.Pulp." hidden="1">{"Pulp Production",#N/A,FALSE,"Pulp";"Pulp Earnings",#N/A,FALSE,"Pulp"}</definedName>
    <definedName name="wrn.Pulp.1" hidden="1">{"Pulp Production",#N/A,FALSE,"Pulp";"Pulp Earnings",#N/A,FALSE,"Pulp"}</definedName>
    <definedName name="wrn.qrt95." hidden="1">{"qrt95",#N/A,FALSE,"BAIRNUMB"}</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Quarterly._.Analysis." hidden="1">{"Quarterly Analysis",#N/A,FALSE,"Income"}</definedName>
    <definedName name="wrn.Quarterly._.Model." hidden="1">{"Quarterly Model",#N/A,FALSE,"Income"}</definedName>
    <definedName name="wrn.Reader." hidden="1">{"Reader",#N/A,FALSE,"Summary";"Reader",#N/A,FALSE,"Buildup";"Reader",#N/A,FALSE,"Financials";"Reader",#N/A,FALSE,"Debt &amp; Other"}</definedName>
    <definedName name="wrn.Recons." hidden="1">{#N/A,#N/A,FALSE,"1230";#N/A,#N/A,FALSE,"1235";#N/A,#N/A,FALSE,"1240";#N/A,#N/A,FALSE,"1245";#N/A,#N/A,FALSE,"1250";#N/A,#N/A,FALSE,"1255";#N/A,#N/A,FALSE,"1256"}</definedName>
    <definedName name="wrn.Report." hidden="1">{#N/A,#N/A,FALSE,"COVER";#N/A,#N/A,FALSE,"FORECAST";#N/A,#N/A,FALSE,"VALUATION";#N/A,#N/A,FALSE,"FY ANALYSIS ";#N/A,#N/A,FALSE," HY ANALYSIS"}</definedName>
    <definedName name="wrn.Reports2." hidden="1">{"NI2",#N/A,FALSE,"Sum - Exp";"Revenue2",#N/A,FALSE,"Sum - Exp";"Headcount2",#N/A,FALSE,"Sum - Exp";"Pipeline2",#N/A,FALSE,"Sum - Exp";"expenses",#N/A,FALSE,"Sum - Exp"}</definedName>
    <definedName name="wrn.Standard." hidden="1">{"Standard Report",#N/A,FALSE,"DETAIL";"Summary",#N/A,FALSE,"Summary"}</definedName>
    <definedName name="wrn.Standard._.Reports." hidden="1">{#N/A,#N/A,FALSE,"Books";#N/A,#N/A,FALSE,"Barge";#N/A,#N/A,FALSE,"Insurance";#N/A,#N/A,FALSE,"Consolidated"}</definedName>
    <definedName name="wrn.Statements." hidden="1">{"Co1statements",#N/A,FALSE,"Cmpy1";"Co2statement",#N/A,FALSE,"Cmpy2";"co1pm",#N/A,FALSE,"Co1PM";"co2PM",#N/A,FALSE,"Co2PM";"value",#N/A,FALSE,"value";"opco",#N/A,FALSE,"NewSparkle";"adjusts",#N/A,FALSE,"Adjustments"}</definedName>
    <definedName name="wrn.std" hidden="1">{"Standard Report",#N/A,FALSE,"DETAIL";"Summary",#N/A,FALSE,"Summary"}</definedName>
    <definedName name="wrn.Summary." hidden="1">{"Summary",#N/A,FALSE,"Summary"}</definedName>
    <definedName name="wrn.Tables." hidden="1">{"view1",#N/A,FALSE,"Tables";"view2",#N/A,FALSE,"Tables";"view3",#N/A,FALSE,"Tables"}</definedName>
    <definedName name="wrn.Tax._.Depreciation." hidden="1">{"Tax Depreciation",#N/A,FALSE,"Depreciation Schedules"}</definedName>
    <definedName name="wrn.Teacher." hidden="1">{"Teacher",#N/A,FALSE,"Summary";"Teacher",#N/A,FALSE,"Assumptions";"Teacher",#N/A,FALSE,"Buildup";"Teacher",#N/A,FALSE,"Financials";"Teacher",#N/A,FALSE,"Debt &amp; Other"}</definedName>
    <definedName name="wrn.test." hidden="1">{"Summary, subtotal view",#N/A,FALSE,"Summary";"totals",#N/A,FALSE,"Payroll &amp; Benefits"}</definedName>
    <definedName name="wrn.Three._.Month._.I.S." hidden="1">{"Landscape Detail IS",#N/A,FALSE,"Three Months Ended 8.31.96";"Portrait Summary IS",#N/A,FALSE,"Three Months Ended 8.31.96"}</definedName>
    <definedName name="wrn.VALUATION." hidden="1">{#N/A,#N/A,FALSE,"Valuation Assumptions";#N/A,#N/A,FALSE,"Summary";#N/A,#N/A,FALSE,"DCF";#N/A,#N/A,FALSE,"Valuation";#N/A,#N/A,FALSE,"WACC";#N/A,#N/A,FALSE,"UBVH";#N/A,#N/A,FALSE,"Free Cash Flow"}</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se" hidden="1">{#N/A,#N/A,FALSE,"DCF Summary";#N/A,#N/A,FALSE,"Casema";#N/A,#N/A,FALSE,"Casema NoTel";#N/A,#N/A,FALSE,"UK";#N/A,#N/A,FALSE,"RCF";#N/A,#N/A,FALSE,"Intercable CZ";#N/A,#N/A,FALSE,"Interkabel P"}</definedName>
    <definedName name="wser" hidden="1">{#N/A,#N/A,FALSE,"DCF Summary";#N/A,#N/A,FALSE,"Casema";#N/A,#N/A,FALSE,"Casema NoTel";#N/A,#N/A,FALSE,"UK";#N/A,#N/A,FALSE,"RCF";#N/A,#N/A,FALSE,"Intercable CZ";#N/A,#N/A,FALSE,"Interkabel P"}</definedName>
    <definedName name="wsrt" hidden="1">{#N/A,#N/A,TRUE,"DCF Summary";#N/A,#N/A,TRUE,"Casema";#N/A,#N/A,TRUE,"UK";#N/A,#N/A,TRUE,"RCF";#N/A,#N/A,TRUE,"Intercable CZ";#N/A,#N/A,TRUE,"Interkabel P";#N/A,#N/A,TRUE,"LBO-Total";#N/A,#N/A,TRUE,"LBO-Casema"}</definedName>
    <definedName name="wsss" hidden="1">{#N/A,#N/A,TRUE,"DCF Summary";#N/A,#N/A,TRUE,"Casema";#N/A,#N/A,TRUE,"UK";#N/A,#N/A,TRUE,"RCF";#N/A,#N/A,TRUE,"Intercable CZ";#N/A,#N/A,TRUE,"Interkabel P";#N/A,#N/A,TRUE,"LBO-Total";#N/A,#N/A,TRUE,"LBO-Casema"}</definedName>
    <definedName name="wvu.Analysis." hidden="1">{TRUE,TRUE,-1.25,-15.5,484.5,276.75,FALSE,TRUE,TRUE,TRUE,0,1,#N/A,1,#N/A,17.9772727272727,21.9230769230769,1,FALSE,FALSE,3,TRUE,1,FALSE,75,"Swvu.Analysis.","ACwvu.Analysis.",#N/A,FALSE,FALSE,0.36,0.36,1,1,2,"&amp;L&amp;""Courier New,Regular""&amp;8Prepared by:  Pete Goodell
File:  &amp;F &amp;A","&amp;L&amp;""Arial,Bold""Actel Corporation Confidential&amp;C&amp;D &amp;T&amp;RPage &amp;P of &amp;N",TRUE,FALSE,FALSE,FALSE,1,#N/A,1,#N/A,"=R6C2:R82C28","=R1:R6","Rwvu.Analysis.",#N/A,FALSE,FALSE,FALSE,1,#N/A,#N/A,FALSE,FALSE,TRUE,TRUE,TRUE}</definedName>
    <definedName name="wvu.holdings." hidden="1">{TRUE,TRUE,-1.25,-15.5,484.5,276.75,FALSE,TRUE,TRUE,TRUE,0,15,#N/A,37,#N/A,8.46666666666667,14.8095238095238,1,FALSE,FALSE,3,TRUE,1,FALSE,100,"Swvu.holdings.","ACwvu.holdings.",#N/A,FALSE,FALSE,0.2,0.2,0.73,1,2,"","&amp;L&amp;""Book Antiqua,Bold""&amp;14FIXED INCOME ADVISORY SERVICES&amp;R&amp;""Book Antiqua,Bold""&amp;16GREENWICH
STREET
ADVISORS",FALSE,FALSE,FALSE,FALSE,1,#N/A,1,1,FALSE,FALSE,#N/A,#N/A,FALSE,FALSE,FALSE,1,65532,65532,FALSE,FALSE,TRUE,TRUE,TRUE}</definedName>
    <definedName name="wvu.incearn." hidden="1">{TRUE,TRUE,-1.25,-15.5,484.5,277.5,FALSE,TRUE,TRUE,TRUE,0,10,#N/A,100,#N/A,9.30434782608696,14.8571428571429,1,FALSE,FALSE,3,TRUE,1,FALSE,100,"Swvu.incearn.","ACwvu.incearn.",#N/A,FALSE,FALSE,0.2,0.2,0.73,0.45,2,"","&amp;L&amp;""Book Antiqua,Bold""&amp;14FIXED INCOME ADVISORY SERVICES&amp;R&amp;""Book Antiqua,Bold""&amp;16GREENWICH
STREET
ADVISORS",TRUE,FALSE,FALSE,FALSE,1,#N/A,1,1,FALSE,FALSE,"Rwvu.incearn.",#N/A,FALSE,FALSE,FALSE,5,65532,65532,FALSE,FALSE,TRUE,TRUE,TRUE}</definedName>
    <definedName name="wvu.Report1." hidden="1">{TRUE,TRUE,-1.25,-15.5,484.5,276.75,FALSE,TRUE,TRUE,TRUE,0,1,#N/A,1,#N/A,14.6020408163265,22.6153846153846,1,FALSE,FALSE,3,TRUE,1,FALSE,75,"Swvu.Report1.","ACwvu.Report1.",#N/A,FALSE,FALSE,0.3,0.3,1,1,2,"&amp;L&amp;""Courier New,Regular""&amp;8Prepared by:  Pete Goodell
File:  &amp;F &amp;A","&amp;L&amp;""Arial,Bold""Actel Corporation Confidential&amp;C&amp;D &amp;T&amp;RPage &amp;P of &amp;N",TRUE,FALSE,FALSE,FALSE,1,#N/A,1,#N/A,"=R8C5:R403C28","=R1:R6","Rwvu.Report1.",#N/A,FALSE,FALSE,FALSE,1,#N/A,#N/A,FALSE,FALSE,TRUE,TRUE,TRUE}</definedName>
    <definedName name="wvu.Standard._.Report." hidden="1">{TRUE,TRUE,-1.25,-15.5,484.5,276.75,FALSE,TRUE,TRUE,TRUE,0,1,#N/A,1,#N/A,14.0714285714286,23.0769230769231,1,FALSE,FALSE,3,TRUE,1,FALSE,75,"Swvu.Standard._.Report.","ACwvu.Standard._.Report.",#N/A,FALSE,FALSE,0.3,0.3,1,1,2,"&amp;L&amp;""Courier New,Regular""&amp;8Prepared by:  Pete Goodell
File:  &amp;F &amp;A","&amp;L&amp;""Arial,Bold""Actel Corporation Confidential&amp;C&amp;D &amp;T&amp;RPage &amp;P of &amp;N",TRUE,FALSE,FALSE,FALSE,1,#N/A,1,#N/A,"=R8C2:R488C27","=R1:R6","Rwvu.Standard._.Report.",#N/A,FALSE,FALSE,FALSE,1,#N/A,#N/A,FALSE,FALSE,TRUE,TRUE,TRUE}</definedName>
    <definedName name="wvu.Summary." hidden="1">{TRUE,TRUE,1.75,1,480,258,FALSE,TRUE,TRUE,TRUE,0,1,#N/A,1,#N/A,7.075,22.3846153846154,1,FALSE,FALSE,1,TRUE,1,FALSE,75,"Swvu.Summary.","ACwvu.Summary.",#N/A,FALSE,FALSE,0.75,0.75,1,1,2,"&amp;L&amp;BActel Corporation Confidential&amp;B&amp;C&amp;A&amp;RPage &amp;P","&amp;L&amp;F &amp;A&amp;CPrepared by Pete Goodell &amp;RPage &amp;P",TRUE,FALSE,FALSE,FALSE,1,#N/A,1,1,"=R3C1:R33C8",FALSE,#N/A,#N/A,FALSE,FALSE,FALSE,1,#N/A,#N/A,FALSE,FALSE,TRUE,TRUE,TRUE}</definedName>
    <definedName name="www" hidden="1">{#N/A,#N/A,FALSE,"DCF Summary";#N/A,#N/A,FALSE,"Casema";#N/A,#N/A,FALSE,"Casema NoTel";#N/A,#N/A,FALSE,"UK";#N/A,#N/A,FALSE,"RCF";#N/A,#N/A,FALSE,"Intercable CZ";#N/A,#N/A,FALSE,"Interkabel P"}</definedName>
    <definedName name="wwww" hidden="1">{#N/A,#N/A,FALSE,"DCF Summary";#N/A,#N/A,FALSE,"Casema";#N/A,#N/A,FALSE,"Casema NoTel";#N/A,#N/A,FALSE,"UK";#N/A,#N/A,FALSE,"RCF";#N/A,#N/A,FALSE,"Intercable CZ";#N/A,#N/A,FALSE,"Interkabel P"}</definedName>
    <definedName name="wyh" hidden="1">{#N/A,#N/A,FALSE,"Summary";#N/A,#N/A,FALSE,"Fed.State Prov";#N/A,#N/A,FALSE,"Foreign Prov";#N/A,#N/A,FALSE,"Thera Fgrn";#N/A,#N/A,FALSE,"CCD Fgrn";#N/A,#N/A,FALSE,"Biocine Fgrn";#N/A,#N/A,FALSE,"Vision Fgrn";#N/A,#N/A,FALSE,"Frgn vs Dom"}</definedName>
    <definedName name="xaxis">OFFSET([36]L2005!$C$12,0,0,COUNTA([36]L2005!$C$12:$C$31),1)</definedName>
    <definedName name="XRefColumnsCount" hidden="1">22</definedName>
    <definedName name="XRefCopyRangeCount" hidden="1">2</definedName>
    <definedName name="XRefPasteRangeCount" hidden="1">31</definedName>
    <definedName name="yeah" hidden="1">{"Quarterly Analysis",#N/A,FALSE,"Income"}</definedName>
    <definedName name="year_base">[107]DCF!$S$7</definedName>
    <definedName name="year_end_day">[107]DCF!$O$8</definedName>
    <definedName name="year_last">[107]DCF!$S$8</definedName>
    <definedName name="YearQtr_title">#N/A</definedName>
    <definedName name="years">5</definedName>
    <definedName name="Yr5Returns1">'[6]LBO Summary'!$O$18</definedName>
    <definedName name="Zones">[57]Sheet5!$F$1:$F$3</definedName>
    <definedName name="zzz" hidden="1">{#N/A,#N/A,FALSE,"DCF Summary";#N/A,#N/A,FALSE,"Casema";#N/A,#N/A,FALSE,"Casema NoTel";#N/A,#N/A,FALSE,"UK";#N/A,#N/A,FALSE,"RCF";#N/A,#N/A,FALSE,"Intercable CZ";#N/A,#N/A,FALSE,"Interkabel P"}</definedName>
  </definedNames>
  <calcPr calcId="145621" iterate="1" iterateDelta="1.0000000000000002E-3"/>
</workbook>
</file>

<file path=xl/calcChain.xml><?xml version="1.0" encoding="utf-8"?>
<calcChain xmlns="http://schemas.openxmlformats.org/spreadsheetml/2006/main">
  <c r="V63" i="3" l="1"/>
  <c r="W63" i="3" s="1"/>
  <c r="X63" i="3" s="1"/>
  <c r="Y63" i="3" s="1"/>
  <c r="Z63" i="3" s="1"/>
  <c r="AA63" i="3" s="1"/>
  <c r="AB63" i="3" s="1"/>
  <c r="AC63" i="3" s="1"/>
  <c r="V52" i="3"/>
  <c r="V51" i="3"/>
  <c r="V39" i="3"/>
  <c r="CF176" i="2"/>
  <c r="S37" i="2"/>
  <c r="R37" i="2"/>
  <c r="CA141" i="2"/>
  <c r="CD142" i="2"/>
  <c r="CD141" i="2"/>
  <c r="CD144" i="2" s="1"/>
  <c r="CD10" i="2" s="1"/>
  <c r="CD118" i="2" s="1"/>
  <c r="BZ141" i="2"/>
  <c r="BZ142" i="2"/>
  <c r="BZ205" i="1" s="1"/>
  <c r="CC142" i="2"/>
  <c r="CC141" i="2"/>
  <c r="CC144" i="2" s="1"/>
  <c r="CC10" i="2" s="1"/>
  <c r="CC118" i="2" s="1"/>
  <c r="BY142" i="2"/>
  <c r="BY141" i="2"/>
  <c r="BY124" i="2" s="1"/>
  <c r="BY99" i="2" s="1"/>
  <c r="S360" i="1"/>
  <c r="S359" i="1"/>
  <c r="S358" i="1"/>
  <c r="S357" i="1"/>
  <c r="S356" i="1"/>
  <c r="S353" i="1"/>
  <c r="S352" i="1"/>
  <c r="S351" i="1"/>
  <c r="S350" i="1"/>
  <c r="S349" i="1"/>
  <c r="S345" i="1"/>
  <c r="S344" i="1"/>
  <c r="S343" i="1"/>
  <c r="S341" i="1"/>
  <c r="S333" i="1"/>
  <c r="S332" i="1"/>
  <c r="S331" i="1"/>
  <c r="S330" i="1"/>
  <c r="S329" i="1"/>
  <c r="S327" i="1"/>
  <c r="S326" i="1"/>
  <c r="S325" i="1"/>
  <c r="S324" i="1"/>
  <c r="S323" i="1"/>
  <c r="S321" i="1"/>
  <c r="S294" i="1"/>
  <c r="S293" i="1"/>
  <c r="S292" i="1"/>
  <c r="S291" i="1"/>
  <c r="S290" i="1"/>
  <c r="S288" i="1"/>
  <c r="S287" i="1"/>
  <c r="S286" i="1"/>
  <c r="S285" i="1"/>
  <c r="S284" i="1"/>
  <c r="S282" i="1"/>
  <c r="S255" i="1"/>
  <c r="S254" i="1"/>
  <c r="S253" i="1"/>
  <c r="S252" i="1"/>
  <c r="S251" i="1"/>
  <c r="S249" i="1"/>
  <c r="S248" i="1"/>
  <c r="S247" i="1"/>
  <c r="S246" i="1"/>
  <c r="S245" i="1"/>
  <c r="S243" i="1"/>
  <c r="R36" i="4"/>
  <c r="R45" i="4" s="1"/>
  <c r="R27" i="4"/>
  <c r="R30" i="4"/>
  <c r="R22" i="4"/>
  <c r="R20" i="4"/>
  <c r="R21" i="4" s="1"/>
  <c r="R66" i="4"/>
  <c r="R68" i="4"/>
  <c r="R69" i="4"/>
  <c r="R71" i="4"/>
  <c r="R73" i="4"/>
  <c r="U201" i="3"/>
  <c r="U136" i="3"/>
  <c r="U140" i="3"/>
  <c r="U141" i="3"/>
  <c r="U143" i="3"/>
  <c r="U144" i="3"/>
  <c r="U145" i="3"/>
  <c r="U107" i="3"/>
  <c r="U114" i="3" s="1"/>
  <c r="U77" i="3"/>
  <c r="U55" i="3"/>
  <c r="U56" i="3"/>
  <c r="U27" i="3"/>
  <c r="U29" i="3"/>
  <c r="U33" i="3" s="1"/>
  <c r="U14" i="3"/>
  <c r="U181" i="3" s="1"/>
  <c r="U45" i="3"/>
  <c r="U67" i="3"/>
  <c r="U142" i="3" s="1"/>
  <c r="CG26" i="2"/>
  <c r="CG53" i="2"/>
  <c r="CH53" i="2"/>
  <c r="CI53" i="2" s="1"/>
  <c r="CJ53" i="2"/>
  <c r="S230" i="1"/>
  <c r="S229" i="1"/>
  <c r="S228" i="1"/>
  <c r="S227" i="1"/>
  <c r="S226" i="1"/>
  <c r="S203" i="1"/>
  <c r="S202" i="1"/>
  <c r="S201" i="1"/>
  <c r="S200" i="1"/>
  <c r="S163" i="1"/>
  <c r="S162" i="1"/>
  <c r="S161" i="1"/>
  <c r="S160" i="1"/>
  <c r="S150" i="1"/>
  <c r="S149" i="1"/>
  <c r="S148" i="1"/>
  <c r="S147" i="1"/>
  <c r="CE282" i="1"/>
  <c r="CF232" i="1"/>
  <c r="CF205" i="1"/>
  <c r="CF166" i="1"/>
  <c r="CF153" i="1"/>
  <c r="CF39" i="1"/>
  <c r="S195" i="2"/>
  <c r="S186" i="2"/>
  <c r="S140" i="2"/>
  <c r="S143" i="2"/>
  <c r="S147" i="2"/>
  <c r="S123" i="2" s="1"/>
  <c r="S148" i="2"/>
  <c r="S149" i="2"/>
  <c r="S150" i="2"/>
  <c r="S126" i="2" s="1"/>
  <c r="S53" i="2"/>
  <c r="S52" i="2"/>
  <c r="S42" i="2"/>
  <c r="S38" i="2"/>
  <c r="U91" i="3"/>
  <c r="S26" i="2"/>
  <c r="R13" i="4"/>
  <c r="R12" i="4" s="1"/>
  <c r="S25" i="2"/>
  <c r="CF180" i="2"/>
  <c r="CF178" i="2"/>
  <c r="CF179" i="2" s="1"/>
  <c r="CB281" i="1"/>
  <c r="CB280" i="1"/>
  <c r="CB279" i="1"/>
  <c r="CB278" i="1"/>
  <c r="CB277" i="1"/>
  <c r="V34" i="4"/>
  <c r="V79" i="4" s="1"/>
  <c r="W89" i="3"/>
  <c r="X89" i="3" s="1"/>
  <c r="Y89" i="3" s="1"/>
  <c r="Z89" i="3" s="1"/>
  <c r="AA89" i="3" s="1"/>
  <c r="AB89" i="3" s="1"/>
  <c r="AC89" i="3" s="1"/>
  <c r="CA142" i="2"/>
  <c r="CE360" i="1"/>
  <c r="CE359" i="1"/>
  <c r="CE358" i="1"/>
  <c r="CE357" i="1"/>
  <c r="CE356" i="1"/>
  <c r="CE353" i="1"/>
  <c r="CE352" i="1"/>
  <c r="CE351" i="1"/>
  <c r="CE350" i="1"/>
  <c r="CE349" i="1"/>
  <c r="CE345" i="1"/>
  <c r="CE344" i="1"/>
  <c r="CE343" i="1"/>
  <c r="CE341" i="1"/>
  <c r="CE333" i="1"/>
  <c r="CE332" i="1"/>
  <c r="CE331" i="1"/>
  <c r="CE330" i="1"/>
  <c r="CE329" i="1"/>
  <c r="CE327" i="1"/>
  <c r="CE326" i="1"/>
  <c r="CE325" i="1"/>
  <c r="CE324" i="1"/>
  <c r="CE323" i="1"/>
  <c r="CE321" i="1"/>
  <c r="CE294" i="1"/>
  <c r="CE293" i="1"/>
  <c r="CE292" i="1"/>
  <c r="CE291" i="1"/>
  <c r="CE290" i="1"/>
  <c r="CE288" i="1"/>
  <c r="CE287" i="1"/>
  <c r="CE286" i="1"/>
  <c r="CE285" i="1"/>
  <c r="CE284" i="1"/>
  <c r="CE255" i="1"/>
  <c r="CE254" i="1"/>
  <c r="CE253" i="1"/>
  <c r="CE252" i="1"/>
  <c r="CE251" i="1"/>
  <c r="CE249" i="1"/>
  <c r="CE248" i="1"/>
  <c r="CE247" i="1"/>
  <c r="CE246" i="1"/>
  <c r="CE245" i="1"/>
  <c r="CE243" i="1"/>
  <c r="CD243" i="1"/>
  <c r="CE232" i="1"/>
  <c r="CE205" i="1"/>
  <c r="CI197" i="1" s="1"/>
  <c r="CE166" i="1"/>
  <c r="CE153" i="1"/>
  <c r="CE126" i="2"/>
  <c r="CE125" i="2"/>
  <c r="CE124" i="2"/>
  <c r="CI124" i="2" s="1"/>
  <c r="CE123" i="2"/>
  <c r="CE109" i="2"/>
  <c r="CE108" i="2"/>
  <c r="CE107" i="2"/>
  <c r="CE106" i="2"/>
  <c r="CE105" i="2"/>
  <c r="L8" i="4"/>
  <c r="M8" i="4"/>
  <c r="N8" i="4"/>
  <c r="O8" i="4"/>
  <c r="P8" i="4"/>
  <c r="Q8" i="4"/>
  <c r="R8" i="4"/>
  <c r="S8" i="4"/>
  <c r="T8" i="4"/>
  <c r="U8" i="4"/>
  <c r="V8" i="4"/>
  <c r="W8" i="4"/>
  <c r="X8" i="4"/>
  <c r="Y8" i="4"/>
  <c r="Z8" i="4"/>
  <c r="K13" i="4"/>
  <c r="K12" i="4"/>
  <c r="K14" i="4" s="1"/>
  <c r="S13" i="4"/>
  <c r="T13" i="4"/>
  <c r="U13" i="4"/>
  <c r="V13" i="4"/>
  <c r="W13" i="4"/>
  <c r="X13" i="4"/>
  <c r="Y13" i="4"/>
  <c r="Z13" i="4"/>
  <c r="K20" i="4"/>
  <c r="L20" i="4"/>
  <c r="L21" i="4" s="1"/>
  <c r="M20" i="4"/>
  <c r="M21" i="4" s="1"/>
  <c r="N20" i="4"/>
  <c r="N21" i="4" s="1"/>
  <c r="O20" i="4"/>
  <c r="O21" i="4" s="1"/>
  <c r="P20" i="4"/>
  <c r="P21" i="4" s="1"/>
  <c r="Q20" i="4"/>
  <c r="K21" i="4"/>
  <c r="Q21" i="4"/>
  <c r="K22" i="4"/>
  <c r="L22" i="4"/>
  <c r="M22" i="4"/>
  <c r="N22" i="4"/>
  <c r="O22" i="4"/>
  <c r="P22" i="4"/>
  <c r="Q22" i="4"/>
  <c r="N27" i="4"/>
  <c r="P27" i="4"/>
  <c r="Q27" i="4"/>
  <c r="M29" i="4"/>
  <c r="P29" i="4"/>
  <c r="K30" i="4"/>
  <c r="L30" i="4"/>
  <c r="M30" i="4"/>
  <c r="N30" i="4"/>
  <c r="O30" i="4"/>
  <c r="Q30" i="4"/>
  <c r="N36" i="4"/>
  <c r="O36" i="4"/>
  <c r="P36" i="4"/>
  <c r="Q36" i="4"/>
  <c r="P37" i="4"/>
  <c r="P69" i="4" s="1"/>
  <c r="K45" i="4"/>
  <c r="L45" i="4"/>
  <c r="M45" i="4"/>
  <c r="N45" i="4"/>
  <c r="K50" i="4"/>
  <c r="L52" i="4"/>
  <c r="M50" i="4"/>
  <c r="M52" i="4"/>
  <c r="N50" i="4"/>
  <c r="B57" i="4"/>
  <c r="C57" i="4"/>
  <c r="D57" i="4"/>
  <c r="E57" i="4"/>
  <c r="F57" i="4"/>
  <c r="G57" i="4"/>
  <c r="H57" i="4"/>
  <c r="I57" i="4"/>
  <c r="J57" i="4"/>
  <c r="J58" i="4"/>
  <c r="J59" i="4" s="1"/>
  <c r="J60" i="4" s="1"/>
  <c r="J61" i="4"/>
  <c r="J63" i="4"/>
  <c r="N66" i="4"/>
  <c r="O66" i="4"/>
  <c r="P66" i="4"/>
  <c r="Q66" i="4"/>
  <c r="N68" i="4"/>
  <c r="O68" i="4"/>
  <c r="P68" i="4"/>
  <c r="Q68" i="4"/>
  <c r="N69" i="4"/>
  <c r="O69" i="4"/>
  <c r="Q69" i="4"/>
  <c r="S69" i="4"/>
  <c r="T69" i="4"/>
  <c r="U69" i="4"/>
  <c r="V69" i="4"/>
  <c r="W69" i="4"/>
  <c r="X69" i="4"/>
  <c r="Y69" i="4"/>
  <c r="Z69" i="4"/>
  <c r="N71" i="4"/>
  <c r="O71" i="4"/>
  <c r="P71" i="4"/>
  <c r="Q71" i="4"/>
  <c r="N73" i="4"/>
  <c r="O73" i="4"/>
  <c r="P73" i="4"/>
  <c r="Q73" i="4"/>
  <c r="S73" i="4"/>
  <c r="T73" i="4"/>
  <c r="U73" i="4"/>
  <c r="V73" i="4"/>
  <c r="W73" i="4"/>
  <c r="X73" i="4"/>
  <c r="Y73" i="4"/>
  <c r="Z73" i="4"/>
  <c r="L79" i="4"/>
  <c r="L81" i="4" s="1"/>
  <c r="M79" i="4"/>
  <c r="N79" i="4"/>
  <c r="O79" i="4"/>
  <c r="P79" i="4"/>
  <c r="Q79" i="4"/>
  <c r="R79" i="4"/>
  <c r="S79" i="4"/>
  <c r="T79" i="4"/>
  <c r="U79" i="4"/>
  <c r="J85" i="4"/>
  <c r="J90" i="4" s="1"/>
  <c r="J89" i="4"/>
  <c r="K89" i="4"/>
  <c r="L89" i="4"/>
  <c r="M89" i="4"/>
  <c r="N89" i="4"/>
  <c r="O89" i="4"/>
  <c r="P89" i="4"/>
  <c r="Q89" i="4"/>
  <c r="R89" i="4"/>
  <c r="S89" i="4"/>
  <c r="T89" i="4"/>
  <c r="U89" i="4"/>
  <c r="V89" i="4"/>
  <c r="W89" i="4"/>
  <c r="X89" i="4"/>
  <c r="Y89" i="4"/>
  <c r="Z89" i="4"/>
  <c r="M91" i="4"/>
  <c r="N91" i="4"/>
  <c r="O91" i="4"/>
  <c r="P91" i="4"/>
  <c r="Q91" i="4"/>
  <c r="J92" i="4"/>
  <c r="K92" i="4"/>
  <c r="L92" i="4"/>
  <c r="J93" i="4"/>
  <c r="K93" i="4"/>
  <c r="L93" i="4"/>
  <c r="D6" i="3"/>
  <c r="E6" i="3"/>
  <c r="F6" i="3"/>
  <c r="G6" i="3"/>
  <c r="H6" i="3"/>
  <c r="I6" i="3"/>
  <c r="J6" i="3"/>
  <c r="K6" i="3"/>
  <c r="L6" i="3"/>
  <c r="M6" i="3"/>
  <c r="D7" i="3"/>
  <c r="E7" i="3"/>
  <c r="F7" i="3"/>
  <c r="G7" i="3"/>
  <c r="H7" i="3"/>
  <c r="I7" i="3"/>
  <c r="J7" i="3"/>
  <c r="K7" i="3"/>
  <c r="L7" i="3"/>
  <c r="M7" i="3"/>
  <c r="O8" i="3"/>
  <c r="P8" i="3"/>
  <c r="Q8" i="3"/>
  <c r="R8" i="3"/>
  <c r="S8" i="3"/>
  <c r="T8" i="3"/>
  <c r="U8" i="3"/>
  <c r="V8" i="3"/>
  <c r="W8" i="3"/>
  <c r="X8" i="3"/>
  <c r="Y8" i="3"/>
  <c r="Z8" i="3"/>
  <c r="AA8" i="3"/>
  <c r="AB8" i="3"/>
  <c r="AC8" i="3"/>
  <c r="R14" i="3"/>
  <c r="R181" i="3" s="1"/>
  <c r="S14" i="3"/>
  <c r="T14" i="3"/>
  <c r="T181" i="3" s="1"/>
  <c r="T17" i="3"/>
  <c r="U17" i="3" s="1"/>
  <c r="N19" i="3"/>
  <c r="O19" i="3"/>
  <c r="P19" i="3"/>
  <c r="Q19" i="3"/>
  <c r="R19" i="3"/>
  <c r="R153" i="3" s="1"/>
  <c r="Q24" i="3"/>
  <c r="R24" i="3"/>
  <c r="N29" i="3"/>
  <c r="O29" i="3"/>
  <c r="P29" i="3"/>
  <c r="P33" i="3" s="1"/>
  <c r="Q29" i="3"/>
  <c r="R29" i="3"/>
  <c r="S29" i="3"/>
  <c r="T29" i="3"/>
  <c r="T33" i="3"/>
  <c r="V31" i="3"/>
  <c r="W31" i="3" s="1"/>
  <c r="N32" i="3"/>
  <c r="R33" i="3"/>
  <c r="V40" i="3"/>
  <c r="W40" i="3" s="1"/>
  <c r="X40" i="3" s="1"/>
  <c r="Y40" i="3" s="1"/>
  <c r="Z40" i="3" s="1"/>
  <c r="AA40" i="3" s="1"/>
  <c r="AB40" i="3" s="1"/>
  <c r="AC40" i="3" s="1"/>
  <c r="O45" i="3"/>
  <c r="O154" i="3" s="1"/>
  <c r="P45" i="3"/>
  <c r="Q45" i="3"/>
  <c r="R45" i="3"/>
  <c r="S45" i="3"/>
  <c r="T45" i="3"/>
  <c r="V48" i="3"/>
  <c r="N49" i="3"/>
  <c r="S49" i="3"/>
  <c r="O54" i="3"/>
  <c r="P54" i="3"/>
  <c r="Q54" i="3"/>
  <c r="R54" i="3"/>
  <c r="S54" i="3"/>
  <c r="V54" i="3"/>
  <c r="T55" i="3"/>
  <c r="V55" i="3"/>
  <c r="W55" i="3" s="1"/>
  <c r="X55" i="3" s="1"/>
  <c r="Y55" i="3" s="1"/>
  <c r="Z55" i="3" s="1"/>
  <c r="AA55" i="3" s="1"/>
  <c r="AB55" i="3" s="1"/>
  <c r="AC55" i="3" s="1"/>
  <c r="O56" i="3"/>
  <c r="P56" i="3"/>
  <c r="P154" i="3" s="1"/>
  <c r="Q56" i="3"/>
  <c r="R56" i="3"/>
  <c r="R154" i="3" s="1"/>
  <c r="S56" i="3"/>
  <c r="T56" i="3"/>
  <c r="V59" i="3"/>
  <c r="W59" i="3"/>
  <c r="X59" i="3" s="1"/>
  <c r="Y59" i="3" s="1"/>
  <c r="Z59" i="3" s="1"/>
  <c r="AA59" i="3" s="1"/>
  <c r="AB59" i="3" s="1"/>
  <c r="AC59" i="3" s="1"/>
  <c r="V65" i="3"/>
  <c r="W65" i="3"/>
  <c r="X65" i="3" s="1"/>
  <c r="Y65" i="3" s="1"/>
  <c r="Z65" i="3" s="1"/>
  <c r="AA65" i="3" s="1"/>
  <c r="AB65" i="3" s="1"/>
  <c r="AC65" i="3" s="1"/>
  <c r="V66" i="3"/>
  <c r="W66" i="3" s="1"/>
  <c r="X66" i="3" s="1"/>
  <c r="Y66" i="3" s="1"/>
  <c r="N67" i="3"/>
  <c r="O67" i="3"/>
  <c r="P67" i="3"/>
  <c r="Q67" i="3"/>
  <c r="R67" i="3"/>
  <c r="S67" i="3"/>
  <c r="T67" i="3"/>
  <c r="B71" i="3"/>
  <c r="C71" i="3"/>
  <c r="D71" i="3"/>
  <c r="E71" i="3"/>
  <c r="F71" i="3"/>
  <c r="G71" i="3"/>
  <c r="H71" i="3"/>
  <c r="I71" i="3"/>
  <c r="J71" i="3"/>
  <c r="K71" i="3"/>
  <c r="L71" i="3"/>
  <c r="M71" i="3"/>
  <c r="D77" i="3"/>
  <c r="E76" i="3" s="1"/>
  <c r="E77" i="3"/>
  <c r="F76" i="3" s="1"/>
  <c r="F77" i="3"/>
  <c r="G76" i="3" s="1"/>
  <c r="G78" i="3" s="1"/>
  <c r="G77" i="3"/>
  <c r="H76" i="3"/>
  <c r="H77" i="3"/>
  <c r="I76" i="3" s="1"/>
  <c r="I77" i="3"/>
  <c r="J76" i="3" s="1"/>
  <c r="J78" i="3" s="1"/>
  <c r="J77" i="3"/>
  <c r="K76" i="3" s="1"/>
  <c r="K77" i="3"/>
  <c r="L76" i="3" s="1"/>
  <c r="L77" i="3"/>
  <c r="M76" i="3" s="1"/>
  <c r="M77" i="3"/>
  <c r="N76" i="3" s="1"/>
  <c r="N78" i="3" s="1"/>
  <c r="N81" i="3" s="1"/>
  <c r="N77" i="3"/>
  <c r="O76" i="3"/>
  <c r="O77" i="3"/>
  <c r="P76" i="3" s="1"/>
  <c r="P77" i="3"/>
  <c r="Q76" i="3" s="1"/>
  <c r="Q77" i="3"/>
  <c r="R76" i="3" s="1"/>
  <c r="R78" i="3" s="1"/>
  <c r="R81" i="3" s="1"/>
  <c r="R77" i="3"/>
  <c r="S76" i="3"/>
  <c r="S77" i="3"/>
  <c r="T76" i="3" s="1"/>
  <c r="T77" i="3"/>
  <c r="U76" i="3" s="1"/>
  <c r="U78" i="3" s="1"/>
  <c r="O84" i="3"/>
  <c r="N91" i="3"/>
  <c r="N88" i="3" s="1"/>
  <c r="P94" i="3"/>
  <c r="Q94" i="3"/>
  <c r="R94" i="3"/>
  <c r="S94" i="3"/>
  <c r="P95" i="3"/>
  <c r="Q95" i="3"/>
  <c r="R95" i="3"/>
  <c r="S95" i="3"/>
  <c r="T95" i="3"/>
  <c r="V96" i="3"/>
  <c r="W96" i="3"/>
  <c r="X96" i="3"/>
  <c r="Y96" i="3"/>
  <c r="Z96" i="3"/>
  <c r="AA96" i="3"/>
  <c r="AB96" i="3"/>
  <c r="AC96" i="3"/>
  <c r="P97" i="3"/>
  <c r="Q97" i="3"/>
  <c r="R97" i="3"/>
  <c r="P99" i="3"/>
  <c r="Q99" i="3"/>
  <c r="R99" i="3"/>
  <c r="W103" i="3"/>
  <c r="X103" i="3" s="1"/>
  <c r="Y103" i="3" s="1"/>
  <c r="Z103" i="3" s="1"/>
  <c r="AA103" i="3" s="1"/>
  <c r="AB103" i="3" s="1"/>
  <c r="AC103" i="3" s="1"/>
  <c r="B107" i="3"/>
  <c r="B114" i="3" s="1"/>
  <c r="C107" i="3"/>
  <c r="D107" i="3"/>
  <c r="E107" i="3"/>
  <c r="E85" i="3" s="1"/>
  <c r="F107" i="3"/>
  <c r="G107" i="3"/>
  <c r="G110" i="3" s="1"/>
  <c r="G111" i="3" s="1"/>
  <c r="H107" i="3"/>
  <c r="I107" i="3"/>
  <c r="I85" i="3" s="1"/>
  <c r="J84" i="3" s="1"/>
  <c r="J107" i="3"/>
  <c r="K107" i="3"/>
  <c r="K85" i="3" s="1"/>
  <c r="L84" i="3" s="1"/>
  <c r="L107" i="3"/>
  <c r="L110" i="3" s="1"/>
  <c r="M107" i="3"/>
  <c r="M110" i="3" s="1"/>
  <c r="M111" i="3" s="1"/>
  <c r="N107" i="3"/>
  <c r="N114" i="3" s="1"/>
  <c r="O107" i="3"/>
  <c r="O85" i="3" s="1"/>
  <c r="P107" i="3"/>
  <c r="P110" i="3"/>
  <c r="Q107" i="3"/>
  <c r="R107" i="3"/>
  <c r="R110" i="3" s="1"/>
  <c r="S107" i="3"/>
  <c r="T107" i="3"/>
  <c r="T114" i="3" s="1"/>
  <c r="E110" i="3"/>
  <c r="E114" i="3"/>
  <c r="E116" i="3" s="1"/>
  <c r="S114" i="3"/>
  <c r="S117" i="3" s="1"/>
  <c r="S118" i="3" s="1"/>
  <c r="C127" i="3"/>
  <c r="D127" i="3"/>
  <c r="E127" i="3"/>
  <c r="F127" i="3"/>
  <c r="G127" i="3"/>
  <c r="H127" i="3"/>
  <c r="I127" i="3"/>
  <c r="J127" i="3"/>
  <c r="K127" i="3"/>
  <c r="L127" i="3"/>
  <c r="M127" i="3"/>
  <c r="M129" i="3"/>
  <c r="C128" i="3"/>
  <c r="D128" i="3"/>
  <c r="E128" i="3"/>
  <c r="F128" i="3"/>
  <c r="G128" i="3"/>
  <c r="H128" i="3"/>
  <c r="I128" i="3"/>
  <c r="J128" i="3"/>
  <c r="K128" i="3"/>
  <c r="L128" i="3"/>
  <c r="M128" i="3"/>
  <c r="H135" i="3"/>
  <c r="I135" i="3"/>
  <c r="J135" i="3"/>
  <c r="K135" i="3"/>
  <c r="L135" i="3"/>
  <c r="M135" i="3"/>
  <c r="N136" i="3"/>
  <c r="O136" i="3"/>
  <c r="P136" i="3"/>
  <c r="Q136" i="3"/>
  <c r="R136" i="3"/>
  <c r="S136" i="3"/>
  <c r="T136" i="3"/>
  <c r="V136" i="3"/>
  <c r="W136" i="3"/>
  <c r="X136" i="3"/>
  <c r="Y136" i="3"/>
  <c r="Z136" i="3"/>
  <c r="AA136" i="3"/>
  <c r="AB136" i="3"/>
  <c r="AC136" i="3"/>
  <c r="H140" i="3"/>
  <c r="I140" i="3"/>
  <c r="J140" i="3"/>
  <c r="K140" i="3"/>
  <c r="L140" i="3"/>
  <c r="M140" i="3"/>
  <c r="N140" i="3"/>
  <c r="O140" i="3"/>
  <c r="P140" i="3"/>
  <c r="Q140" i="3"/>
  <c r="R140" i="3"/>
  <c r="S140" i="3"/>
  <c r="T140" i="3"/>
  <c r="H141" i="3"/>
  <c r="I141" i="3"/>
  <c r="J141" i="3"/>
  <c r="K141" i="3"/>
  <c r="L141" i="3"/>
  <c r="M141" i="3"/>
  <c r="N141" i="3"/>
  <c r="O141" i="3"/>
  <c r="P141" i="3"/>
  <c r="Q141" i="3"/>
  <c r="R141" i="3"/>
  <c r="S141" i="3"/>
  <c r="T141" i="3"/>
  <c r="H142" i="3"/>
  <c r="I142" i="3"/>
  <c r="J142" i="3"/>
  <c r="K142" i="3"/>
  <c r="L142" i="3"/>
  <c r="M142" i="3"/>
  <c r="O142" i="3"/>
  <c r="O163" i="3" s="1"/>
  <c r="S142" i="3"/>
  <c r="H143" i="3"/>
  <c r="I143" i="3"/>
  <c r="J143" i="3"/>
  <c r="K143" i="3"/>
  <c r="L143" i="3"/>
  <c r="M143" i="3"/>
  <c r="N143" i="3"/>
  <c r="O143" i="3"/>
  <c r="P143" i="3"/>
  <c r="Q143" i="3"/>
  <c r="R143" i="3"/>
  <c r="S143" i="3"/>
  <c r="T143" i="3"/>
  <c r="V143" i="3"/>
  <c r="W143" i="3"/>
  <c r="X143" i="3"/>
  <c r="Y143" i="3"/>
  <c r="Z143" i="3"/>
  <c r="AA143" i="3"/>
  <c r="AB143" i="3"/>
  <c r="AC143" i="3"/>
  <c r="H144" i="3"/>
  <c r="H163" i="3"/>
  <c r="I144" i="3"/>
  <c r="J144" i="3"/>
  <c r="K144" i="3"/>
  <c r="L144" i="3"/>
  <c r="L163" i="3" s="1"/>
  <c r="M144" i="3"/>
  <c r="N144" i="3"/>
  <c r="O144" i="3"/>
  <c r="P144" i="3"/>
  <c r="Q144" i="3"/>
  <c r="R144" i="3"/>
  <c r="S144" i="3"/>
  <c r="T144" i="3"/>
  <c r="I145" i="3"/>
  <c r="J145" i="3"/>
  <c r="K145" i="3"/>
  <c r="L145" i="3"/>
  <c r="M145" i="3"/>
  <c r="O145" i="3"/>
  <c r="P145" i="3"/>
  <c r="Q145" i="3"/>
  <c r="R145" i="3"/>
  <c r="S145" i="3"/>
  <c r="T145" i="3"/>
  <c r="P146" i="3"/>
  <c r="Q146" i="3"/>
  <c r="H153" i="3"/>
  <c r="I153" i="3"/>
  <c r="J153" i="3"/>
  <c r="K153" i="3"/>
  <c r="L153" i="3"/>
  <c r="M153" i="3"/>
  <c r="H154" i="3"/>
  <c r="H155" i="3" s="1"/>
  <c r="I156" i="3" s="1"/>
  <c r="I154" i="3"/>
  <c r="J154" i="3"/>
  <c r="K154" i="3"/>
  <c r="L154" i="3"/>
  <c r="L155" i="3" s="1"/>
  <c r="M154" i="3"/>
  <c r="N154" i="3"/>
  <c r="H162" i="3"/>
  <c r="I162" i="3"/>
  <c r="J162" i="3"/>
  <c r="K162" i="3"/>
  <c r="L162" i="3"/>
  <c r="M162" i="3"/>
  <c r="J167" i="3"/>
  <c r="K167" i="3"/>
  <c r="L167" i="3"/>
  <c r="M167" i="3"/>
  <c r="V176" i="3"/>
  <c r="W177" i="3"/>
  <c r="W178" i="3"/>
  <c r="X178" i="3" s="1"/>
  <c r="W179" i="3"/>
  <c r="N181" i="3"/>
  <c r="O181" i="3"/>
  <c r="P181" i="3"/>
  <c r="Q181" i="3"/>
  <c r="S181" i="3"/>
  <c r="V186" i="3"/>
  <c r="V189" i="3"/>
  <c r="V192" i="3"/>
  <c r="N196" i="3"/>
  <c r="N178" i="3" s="1"/>
  <c r="N189" i="3"/>
  <c r="O196" i="3"/>
  <c r="O179" i="3"/>
  <c r="O192" i="3" s="1"/>
  <c r="P196" i="3"/>
  <c r="P191" i="3"/>
  <c r="N201" i="3"/>
  <c r="O201" i="3"/>
  <c r="P201" i="3"/>
  <c r="Q201" i="3"/>
  <c r="R201" i="3"/>
  <c r="S201" i="3"/>
  <c r="T201" i="3"/>
  <c r="T204" i="3"/>
  <c r="BL11" i="2"/>
  <c r="BO11" i="2"/>
  <c r="BO83" i="2" s="1"/>
  <c r="L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M23" i="2"/>
  <c r="N23" i="2"/>
  <c r="O23" i="2"/>
  <c r="P23" i="2"/>
  <c r="Q23" i="2"/>
  <c r="R23" i="2"/>
  <c r="S23" i="2"/>
  <c r="Q24" i="2"/>
  <c r="M25" i="2"/>
  <c r="N25" i="2"/>
  <c r="O25" i="2"/>
  <c r="P25" i="2"/>
  <c r="Q25" i="2"/>
  <c r="R25" i="2"/>
  <c r="M26" i="2"/>
  <c r="L13" i="4" s="1"/>
  <c r="L12" i="4" s="1"/>
  <c r="L14" i="4" s="1"/>
  <c r="N26" i="2"/>
  <c r="M13" i="4"/>
  <c r="M12" i="4" s="1"/>
  <c r="O26" i="2"/>
  <c r="N13" i="4" s="1"/>
  <c r="N12" i="4" s="1"/>
  <c r="Q100" i="3" s="1"/>
  <c r="P26" i="2"/>
  <c r="O13" i="4" s="1"/>
  <c r="O12" i="4" s="1"/>
  <c r="Q26" i="2"/>
  <c r="P13" i="4"/>
  <c r="P12" i="4" s="1"/>
  <c r="R26" i="2"/>
  <c r="Q13" i="4" s="1"/>
  <c r="BI31" i="2"/>
  <c r="BJ31" i="2"/>
  <c r="BK31" i="2"/>
  <c r="BL31" i="2"/>
  <c r="BI32" i="2"/>
  <c r="BJ32" i="2"/>
  <c r="BK32" i="2"/>
  <c r="BL32" i="2"/>
  <c r="M38" i="2"/>
  <c r="O91" i="3"/>
  <c r="O88" i="3" s="1"/>
  <c r="O38" i="2"/>
  <c r="P38" i="2"/>
  <c r="Q38" i="2"/>
  <c r="S91" i="3" s="1"/>
  <c r="R38" i="2"/>
  <c r="BI38" i="2"/>
  <c r="N38" i="2"/>
  <c r="BJ38" i="2"/>
  <c r="M42" i="2"/>
  <c r="N42" i="2"/>
  <c r="O42" i="2"/>
  <c r="P42" i="2"/>
  <c r="Q42" i="2"/>
  <c r="R42" i="2"/>
  <c r="P52" i="2"/>
  <c r="Q52" i="2"/>
  <c r="R52" i="2"/>
  <c r="M53" i="2"/>
  <c r="N53" i="2"/>
  <c r="O53" i="2"/>
  <c r="P53" i="2"/>
  <c r="Q53" i="2"/>
  <c r="R53" i="2"/>
  <c r="U53" i="2"/>
  <c r="L59" i="2"/>
  <c r="M59" i="2"/>
  <c r="BE59" i="2"/>
  <c r="BF59" i="2"/>
  <c r="BG59" i="2"/>
  <c r="BH59" i="2"/>
  <c r="BL59" i="2"/>
  <c r="BM59" i="2"/>
  <c r="BN59" i="2"/>
  <c r="BO59" i="2"/>
  <c r="Q61" i="2"/>
  <c r="C66" i="2"/>
  <c r="D66" i="2"/>
  <c r="E66" i="2"/>
  <c r="F66" i="2"/>
  <c r="F68" i="2" s="1"/>
  <c r="G66" i="2"/>
  <c r="H66" i="2"/>
  <c r="I66" i="2"/>
  <c r="I68" i="2" s="1"/>
  <c r="J66" i="2"/>
  <c r="K66" i="2"/>
  <c r="AC66" i="2"/>
  <c r="AD66" i="2"/>
  <c r="AE66" i="2"/>
  <c r="AF66" i="2"/>
  <c r="AG66" i="2"/>
  <c r="AH66" i="2"/>
  <c r="AI66" i="2"/>
  <c r="AJ66" i="2"/>
  <c r="AK66" i="2"/>
  <c r="AL66" i="2"/>
  <c r="AM66" i="2"/>
  <c r="AN66" i="2"/>
  <c r="AO66" i="2"/>
  <c r="AP66" i="2"/>
  <c r="AQ66" i="2"/>
  <c r="AR66" i="2"/>
  <c r="AS66" i="2"/>
  <c r="AT66" i="2"/>
  <c r="AU66" i="2"/>
  <c r="AV66" i="2"/>
  <c r="AW66" i="2"/>
  <c r="AX66" i="2"/>
  <c r="AY66" i="2"/>
  <c r="AZ66" i="2"/>
  <c r="BA66" i="2"/>
  <c r="BB66" i="2"/>
  <c r="BC66" i="2"/>
  <c r="BD66" i="2"/>
  <c r="C67" i="2"/>
  <c r="C68" i="2"/>
  <c r="D67" i="2"/>
  <c r="E67" i="2"/>
  <c r="G67" i="2"/>
  <c r="H67" i="2"/>
  <c r="H68" i="2" s="1"/>
  <c r="I67" i="2"/>
  <c r="J67" i="2"/>
  <c r="K67" i="2"/>
  <c r="L67" i="2"/>
  <c r="M67" i="2"/>
  <c r="N67" i="2"/>
  <c r="O67" i="2"/>
  <c r="P67" i="2"/>
  <c r="Q67" i="2"/>
  <c r="R67" i="2"/>
  <c r="AC67" i="2"/>
  <c r="AD67" i="2"/>
  <c r="AE67" i="2"/>
  <c r="AF67" i="2"/>
  <c r="AG67" i="2"/>
  <c r="AG68" i="2" s="1"/>
  <c r="AH67" i="2"/>
  <c r="AI67" i="2"/>
  <c r="AJ67" i="2"/>
  <c r="AK67" i="2"/>
  <c r="AK68" i="2" s="1"/>
  <c r="AL67" i="2"/>
  <c r="AM67" i="2"/>
  <c r="AN67" i="2"/>
  <c r="AO67" i="2"/>
  <c r="AO68" i="2" s="1"/>
  <c r="AP67" i="2"/>
  <c r="AQ67" i="2"/>
  <c r="AR67" i="2"/>
  <c r="AS67" i="2"/>
  <c r="AS68" i="2" s="1"/>
  <c r="AT67" i="2"/>
  <c r="AU67" i="2"/>
  <c r="AV67" i="2"/>
  <c r="AW67" i="2"/>
  <c r="AW68" i="2" s="1"/>
  <c r="AX67" i="2"/>
  <c r="AY67" i="2"/>
  <c r="AZ67" i="2"/>
  <c r="BA67" i="2"/>
  <c r="BA68" i="2" s="1"/>
  <c r="BB67" i="2"/>
  <c r="BC67" i="2"/>
  <c r="BD67" i="2"/>
  <c r="BE67" i="2"/>
  <c r="BF67" i="2"/>
  <c r="BG67" i="2"/>
  <c r="BH67" i="2"/>
  <c r="BI67" i="2"/>
  <c r="BJ67" i="2"/>
  <c r="BK67" i="2"/>
  <c r="BL67" i="2"/>
  <c r="BM67" i="2"/>
  <c r="BN67" i="2"/>
  <c r="BO67" i="2"/>
  <c r="BP67" i="2"/>
  <c r="BQ67" i="2"/>
  <c r="BR67" i="2"/>
  <c r="BS67" i="2"/>
  <c r="BT67" i="2"/>
  <c r="AF68" i="2"/>
  <c r="AV68" i="2"/>
  <c r="B70" i="2"/>
  <c r="C70" i="2"/>
  <c r="D70" i="2"/>
  <c r="E70" i="2"/>
  <c r="F70" i="2"/>
  <c r="F72" i="2" s="1"/>
  <c r="G70" i="2"/>
  <c r="H70" i="2"/>
  <c r="I70" i="2"/>
  <c r="J70" i="2"/>
  <c r="K70" i="2"/>
  <c r="AC70" i="2"/>
  <c r="AD70" i="2"/>
  <c r="AE70" i="2"/>
  <c r="AF70" i="2"/>
  <c r="AG70" i="2"/>
  <c r="AH70" i="2"/>
  <c r="AI70" i="2"/>
  <c r="AJ70" i="2"/>
  <c r="AK70" i="2"/>
  <c r="AL70" i="2"/>
  <c r="AM70" i="2"/>
  <c r="AN70" i="2"/>
  <c r="AO70" i="2"/>
  <c r="AO72" i="2" s="1"/>
  <c r="AP70" i="2"/>
  <c r="AQ70" i="2"/>
  <c r="AR70" i="2"/>
  <c r="AS70" i="2"/>
  <c r="AT70" i="2"/>
  <c r="AU70" i="2"/>
  <c r="AV70" i="2"/>
  <c r="AW70" i="2"/>
  <c r="AW72" i="2" s="1"/>
  <c r="AX70" i="2"/>
  <c r="AY70" i="2"/>
  <c r="AZ70" i="2"/>
  <c r="BA70" i="2"/>
  <c r="BB70" i="2"/>
  <c r="BC70" i="2"/>
  <c r="BC72" i="2" s="1"/>
  <c r="BD70" i="2"/>
  <c r="B71" i="2"/>
  <c r="C71" i="2"/>
  <c r="D71" i="2"/>
  <c r="E71" i="2"/>
  <c r="G71" i="2"/>
  <c r="H71" i="2"/>
  <c r="I71" i="2"/>
  <c r="I72" i="2" s="1"/>
  <c r="J71" i="2"/>
  <c r="J72" i="2"/>
  <c r="K71" i="2"/>
  <c r="L71" i="2"/>
  <c r="M71" i="2"/>
  <c r="N71" i="2"/>
  <c r="O71" i="2"/>
  <c r="P71" i="2"/>
  <c r="R71" i="2"/>
  <c r="AC71" i="2"/>
  <c r="AC72" i="2" s="1"/>
  <c r="AD71" i="2"/>
  <c r="AE71" i="2"/>
  <c r="AF71" i="2"/>
  <c r="AF72" i="2" s="1"/>
  <c r="AG71" i="2"/>
  <c r="AH71" i="2"/>
  <c r="AI71" i="2"/>
  <c r="AJ71" i="2"/>
  <c r="AJ72" i="2" s="1"/>
  <c r="AK71" i="2"/>
  <c r="AL71" i="2"/>
  <c r="AM71" i="2"/>
  <c r="AN71" i="2"/>
  <c r="AN72" i="2" s="1"/>
  <c r="AO71" i="2"/>
  <c r="AP71" i="2"/>
  <c r="AQ71" i="2"/>
  <c r="AR71" i="2"/>
  <c r="AS71" i="2"/>
  <c r="AT71" i="2"/>
  <c r="AU71" i="2"/>
  <c r="AV71" i="2"/>
  <c r="AV72" i="2" s="1"/>
  <c r="AW71" i="2"/>
  <c r="AX71" i="2"/>
  <c r="AY71" i="2"/>
  <c r="AZ71" i="2"/>
  <c r="AZ72" i="2" s="1"/>
  <c r="BA71" i="2"/>
  <c r="BB71" i="2"/>
  <c r="BC71" i="2"/>
  <c r="BD71" i="2"/>
  <c r="BE71" i="2"/>
  <c r="BF71" i="2"/>
  <c r="BG71" i="2"/>
  <c r="BH71" i="2"/>
  <c r="BI71" i="2"/>
  <c r="BJ71" i="2"/>
  <c r="BK71" i="2"/>
  <c r="BL71" i="2"/>
  <c r="BM71" i="2"/>
  <c r="BN71" i="2"/>
  <c r="BO71" i="2"/>
  <c r="BP71" i="2"/>
  <c r="BQ71" i="2"/>
  <c r="BR71" i="2"/>
  <c r="BS71" i="2"/>
  <c r="BT71" i="2"/>
  <c r="K72" i="2"/>
  <c r="AD72" i="2"/>
  <c r="AL72" i="2"/>
  <c r="AR72" i="2"/>
  <c r="AT72" i="2"/>
  <c r="BB72" i="2"/>
  <c r="BD72" i="2"/>
  <c r="I74" i="2"/>
  <c r="I76" i="2" s="1"/>
  <c r="J74" i="2"/>
  <c r="K74" i="2"/>
  <c r="L74" i="2"/>
  <c r="O74" i="2"/>
  <c r="O76" i="2"/>
  <c r="P74" i="2"/>
  <c r="R74" i="2"/>
  <c r="AT74" i="2"/>
  <c r="AT76" i="2"/>
  <c r="AT77" i="2" s="1"/>
  <c r="AV74" i="2"/>
  <c r="BA74" i="2"/>
  <c r="BC74" i="2"/>
  <c r="BC76" i="2"/>
  <c r="BC77" i="2" s="1"/>
  <c r="BU74" i="2"/>
  <c r="CF74" i="2"/>
  <c r="S74" i="2" s="1"/>
  <c r="S75" i="2"/>
  <c r="CI74" i="2"/>
  <c r="I75" i="2"/>
  <c r="AS75" i="2"/>
  <c r="AU75" i="2"/>
  <c r="BD75" i="2"/>
  <c r="BQ75" i="2"/>
  <c r="BR75" i="2"/>
  <c r="BS75" i="2"/>
  <c r="BT75" i="2"/>
  <c r="BX75" i="2"/>
  <c r="CB75" i="2"/>
  <c r="CC75" i="2"/>
  <c r="CD75" i="2"/>
  <c r="CE75" i="2"/>
  <c r="CG75" i="2"/>
  <c r="CH75" i="2"/>
  <c r="I77" i="2"/>
  <c r="K76" i="2"/>
  <c r="J91" i="4"/>
  <c r="P76" i="2"/>
  <c r="R76" i="2"/>
  <c r="AS76" i="2"/>
  <c r="AS77" i="2"/>
  <c r="AU76" i="2"/>
  <c r="AV76" i="2"/>
  <c r="AV77" i="2" s="1"/>
  <c r="AZ76" i="2"/>
  <c r="AZ77" i="2" s="1"/>
  <c r="BB76" i="2"/>
  <c r="BB77" i="2" s="1"/>
  <c r="BD76" i="2"/>
  <c r="BD77" i="2" s="1"/>
  <c r="BE76" i="2"/>
  <c r="BM76" i="2"/>
  <c r="BN76" i="2"/>
  <c r="BO76" i="2"/>
  <c r="BP76" i="2"/>
  <c r="BQ76" i="2"/>
  <c r="BR76" i="2"/>
  <c r="BS76" i="2"/>
  <c r="BT76" i="2"/>
  <c r="BX76" i="2"/>
  <c r="BY76" i="2"/>
  <c r="BZ76" i="2"/>
  <c r="CA76" i="2"/>
  <c r="CB76" i="2"/>
  <c r="CC76" i="2"/>
  <c r="CD76" i="2"/>
  <c r="K77" i="2"/>
  <c r="AU77" i="2"/>
  <c r="I79" i="2"/>
  <c r="I119" i="2" s="1"/>
  <c r="J79" i="2"/>
  <c r="K79" i="2"/>
  <c r="K119" i="2" s="1"/>
  <c r="AC79" i="2"/>
  <c r="AD79" i="2"/>
  <c r="AE79" i="2"/>
  <c r="AF79" i="2"/>
  <c r="AG79" i="2"/>
  <c r="AH79" i="2"/>
  <c r="AI79" i="2"/>
  <c r="AJ79" i="2"/>
  <c r="AK79" i="2"/>
  <c r="AL79" i="2"/>
  <c r="AM79" i="2"/>
  <c r="AN79" i="2"/>
  <c r="AO79" i="2"/>
  <c r="AP79" i="2"/>
  <c r="AQ79" i="2"/>
  <c r="AS79" i="2"/>
  <c r="AT79" i="2"/>
  <c r="AU79" i="2"/>
  <c r="AW79" i="2"/>
  <c r="AW119" i="2" s="1"/>
  <c r="AX79" i="2"/>
  <c r="AY79" i="2"/>
  <c r="BA79" i="2"/>
  <c r="BB79" i="2"/>
  <c r="BC79" i="2"/>
  <c r="C82" i="2"/>
  <c r="D82" i="2"/>
  <c r="E82" i="2"/>
  <c r="F82" i="2"/>
  <c r="G82" i="2"/>
  <c r="H82" i="2"/>
  <c r="I82" i="2"/>
  <c r="J82" i="2"/>
  <c r="K82" i="2"/>
  <c r="AG82" i="2"/>
  <c r="AH82" i="2"/>
  <c r="AI82" i="2"/>
  <c r="AJ82" i="2"/>
  <c r="AK82" i="2"/>
  <c r="AL82" i="2"/>
  <c r="AM82" i="2"/>
  <c r="AN82" i="2"/>
  <c r="AO82" i="2"/>
  <c r="AP82" i="2"/>
  <c r="AQ82" i="2"/>
  <c r="AR82" i="2"/>
  <c r="AS82" i="2"/>
  <c r="AT82" i="2"/>
  <c r="AU82" i="2"/>
  <c r="AV82" i="2"/>
  <c r="AW82" i="2"/>
  <c r="AX82" i="2"/>
  <c r="AY82" i="2"/>
  <c r="AZ82" i="2"/>
  <c r="BA82" i="2"/>
  <c r="BB82" i="2"/>
  <c r="BC82" i="2"/>
  <c r="BD82" i="2"/>
  <c r="C83" i="2"/>
  <c r="D83" i="2"/>
  <c r="E83" i="2"/>
  <c r="F83" i="2"/>
  <c r="G83" i="2"/>
  <c r="H83" i="2"/>
  <c r="I83" i="2"/>
  <c r="J83" i="2"/>
  <c r="K83" i="2"/>
  <c r="L83" i="2"/>
  <c r="M83" i="2"/>
  <c r="N83" i="2"/>
  <c r="AG83" i="2"/>
  <c r="AH83" i="2"/>
  <c r="AI83" i="2"/>
  <c r="AJ83" i="2"/>
  <c r="AK83" i="2"/>
  <c r="AL83" i="2"/>
  <c r="AM83" i="2"/>
  <c r="AN83" i="2"/>
  <c r="AO83" i="2"/>
  <c r="AP83" i="2"/>
  <c r="AQ83" i="2"/>
  <c r="AR83" i="2"/>
  <c r="AS83" i="2"/>
  <c r="AT83" i="2"/>
  <c r="AU83" i="2"/>
  <c r="AV83" i="2"/>
  <c r="AW83" i="2"/>
  <c r="AX83" i="2"/>
  <c r="AY83" i="2"/>
  <c r="AZ83" i="2"/>
  <c r="BA83" i="2"/>
  <c r="BB83" i="2"/>
  <c r="BC83" i="2"/>
  <c r="BD83" i="2"/>
  <c r="BI83" i="2"/>
  <c r="BJ83" i="2"/>
  <c r="BK83" i="2"/>
  <c r="BL83" i="2"/>
  <c r="BM83" i="2"/>
  <c r="BN83" i="2"/>
  <c r="C84" i="2"/>
  <c r="D84" i="2"/>
  <c r="E84" i="2"/>
  <c r="F84" i="2"/>
  <c r="G84" i="2"/>
  <c r="H84" i="2"/>
  <c r="I84" i="2"/>
  <c r="J84" i="2"/>
  <c r="K84" i="2"/>
  <c r="AG84" i="2"/>
  <c r="AH84" i="2"/>
  <c r="AI84" i="2"/>
  <c r="AJ84" i="2"/>
  <c r="AK84" i="2"/>
  <c r="AL84" i="2"/>
  <c r="AM84" i="2"/>
  <c r="AN84" i="2"/>
  <c r="AO84" i="2"/>
  <c r="AP84" i="2"/>
  <c r="AQ84" i="2"/>
  <c r="AR84" i="2"/>
  <c r="AS84" i="2"/>
  <c r="AT84" i="2"/>
  <c r="AU84" i="2"/>
  <c r="AV84" i="2"/>
  <c r="AW84" i="2"/>
  <c r="AX84" i="2"/>
  <c r="AY84" i="2"/>
  <c r="AZ84" i="2"/>
  <c r="BA84" i="2"/>
  <c r="BB84" i="2"/>
  <c r="BC84" i="2"/>
  <c r="BD84" i="2"/>
  <c r="BY84" i="2"/>
  <c r="BZ84" i="2"/>
  <c r="CA84" i="2"/>
  <c r="CB84" i="2"/>
  <c r="CC84" i="2"/>
  <c r="CD84" i="2"/>
  <c r="C85" i="2"/>
  <c r="D85" i="2"/>
  <c r="E85" i="2"/>
  <c r="F85" i="2"/>
  <c r="G85" i="2"/>
  <c r="H85" i="2"/>
  <c r="I85" i="2"/>
  <c r="J85" i="2"/>
  <c r="K85" i="2"/>
  <c r="AG85" i="2"/>
  <c r="AH85" i="2"/>
  <c r="AI85" i="2"/>
  <c r="AJ85" i="2"/>
  <c r="AK85" i="2"/>
  <c r="AL85" i="2"/>
  <c r="AM85" i="2"/>
  <c r="AN85" i="2"/>
  <c r="AO85" i="2"/>
  <c r="AP85" i="2"/>
  <c r="AQ85" i="2"/>
  <c r="AR85" i="2"/>
  <c r="AS85" i="2"/>
  <c r="AT85" i="2"/>
  <c r="AU85" i="2"/>
  <c r="AV85" i="2"/>
  <c r="AW85" i="2"/>
  <c r="AX85" i="2"/>
  <c r="AY85" i="2"/>
  <c r="AZ85" i="2"/>
  <c r="BA85" i="2"/>
  <c r="BB85" i="2"/>
  <c r="BC85" i="2"/>
  <c r="BD85" i="2"/>
  <c r="C86" i="2"/>
  <c r="D86" i="2"/>
  <c r="E86" i="2"/>
  <c r="F86" i="2"/>
  <c r="G86" i="2"/>
  <c r="H86" i="2"/>
  <c r="I86" i="2"/>
  <c r="J86" i="2"/>
  <c r="K86" i="2"/>
  <c r="AG86" i="2"/>
  <c r="AH86" i="2"/>
  <c r="AI86" i="2"/>
  <c r="AJ86" i="2"/>
  <c r="AK86" i="2"/>
  <c r="AL86" i="2"/>
  <c r="AM86" i="2"/>
  <c r="AN86" i="2"/>
  <c r="AO86" i="2"/>
  <c r="AP86" i="2"/>
  <c r="AQ86" i="2"/>
  <c r="AR86" i="2"/>
  <c r="AS86" i="2"/>
  <c r="AT86" i="2"/>
  <c r="AU86" i="2"/>
  <c r="AV86" i="2"/>
  <c r="AW86" i="2"/>
  <c r="AX86" i="2"/>
  <c r="AY86" i="2"/>
  <c r="AZ86" i="2"/>
  <c r="BA86" i="2"/>
  <c r="BB86" i="2"/>
  <c r="BC86" i="2"/>
  <c r="BD86" i="2"/>
  <c r="C87" i="2"/>
  <c r="D87" i="2"/>
  <c r="E87" i="2"/>
  <c r="F87" i="2"/>
  <c r="G87" i="2"/>
  <c r="H87" i="2"/>
  <c r="I87" i="2"/>
  <c r="J87" i="2"/>
  <c r="K87" i="2"/>
  <c r="AG87" i="2"/>
  <c r="AH87" i="2"/>
  <c r="AI87" i="2"/>
  <c r="AJ87" i="2"/>
  <c r="AK87" i="2"/>
  <c r="AL87" i="2"/>
  <c r="AM87" i="2"/>
  <c r="AN87" i="2"/>
  <c r="AO87" i="2"/>
  <c r="AP87" i="2"/>
  <c r="AQ87" i="2"/>
  <c r="AR87" i="2"/>
  <c r="AS87" i="2"/>
  <c r="AT87" i="2"/>
  <c r="AU87" i="2"/>
  <c r="AV87" i="2"/>
  <c r="AW87" i="2"/>
  <c r="AX87" i="2"/>
  <c r="AY87" i="2"/>
  <c r="AZ87" i="2"/>
  <c r="BA87" i="2"/>
  <c r="BB87" i="2"/>
  <c r="BC87" i="2"/>
  <c r="BD87" i="2"/>
  <c r="C88" i="2"/>
  <c r="D88" i="2"/>
  <c r="E88" i="2"/>
  <c r="F88" i="2"/>
  <c r="G88" i="2"/>
  <c r="H88" i="2"/>
  <c r="I88" i="2"/>
  <c r="J88" i="2"/>
  <c r="AG88" i="2"/>
  <c r="AH88" i="2"/>
  <c r="AI88" i="2"/>
  <c r="AJ88" i="2"/>
  <c r="AK88" i="2"/>
  <c r="AL88" i="2"/>
  <c r="AM88" i="2"/>
  <c r="AN88" i="2"/>
  <c r="AO88" i="2"/>
  <c r="AP88" i="2"/>
  <c r="AQ88" i="2"/>
  <c r="AR88" i="2"/>
  <c r="AS88" i="2"/>
  <c r="AT88" i="2"/>
  <c r="AU88" i="2"/>
  <c r="AV88" i="2"/>
  <c r="AW88" i="2"/>
  <c r="AX88" i="2"/>
  <c r="AY88" i="2"/>
  <c r="AZ88" i="2"/>
  <c r="BA88" i="2"/>
  <c r="BB88" i="2"/>
  <c r="BC88" i="2"/>
  <c r="BD88" i="2"/>
  <c r="C89" i="2"/>
  <c r="D89" i="2"/>
  <c r="E89" i="2"/>
  <c r="F89" i="2"/>
  <c r="G89" i="2"/>
  <c r="H89" i="2"/>
  <c r="I89" i="2"/>
  <c r="J89" i="2"/>
  <c r="AG89" i="2"/>
  <c r="AH89" i="2"/>
  <c r="AI89" i="2"/>
  <c r="AJ89" i="2"/>
  <c r="AK89" i="2"/>
  <c r="AL89" i="2"/>
  <c r="AM89" i="2"/>
  <c r="AN89" i="2"/>
  <c r="AO89" i="2"/>
  <c r="AP89" i="2"/>
  <c r="AQ89" i="2"/>
  <c r="AR89" i="2"/>
  <c r="AS89" i="2"/>
  <c r="AT89" i="2"/>
  <c r="AU89" i="2"/>
  <c r="AV89" i="2"/>
  <c r="AW89" i="2"/>
  <c r="AX89" i="2"/>
  <c r="AY89" i="2"/>
  <c r="AZ89" i="2"/>
  <c r="BA89" i="2"/>
  <c r="BB89" i="2"/>
  <c r="BC89" i="2"/>
  <c r="BD89" i="2"/>
  <c r="CD105" i="2"/>
  <c r="CD130" i="2" s="1"/>
  <c r="CD106" i="2"/>
  <c r="CD107" i="2"/>
  <c r="CD108" i="2"/>
  <c r="CD109" i="2"/>
  <c r="B113" i="2"/>
  <c r="C113" i="2"/>
  <c r="D113" i="2"/>
  <c r="E113" i="2"/>
  <c r="F113" i="2"/>
  <c r="G113" i="2"/>
  <c r="H113" i="2"/>
  <c r="I113" i="2"/>
  <c r="J93" i="2" s="1"/>
  <c r="J113" i="2"/>
  <c r="K113" i="2"/>
  <c r="K93" i="2" s="1"/>
  <c r="AC113" i="2"/>
  <c r="AD113" i="2"/>
  <c r="AE113" i="2"/>
  <c r="AF113" i="2"/>
  <c r="AG113" i="2"/>
  <c r="AH113" i="2"/>
  <c r="AI113" i="2"/>
  <c r="AJ113" i="2"/>
  <c r="AK113" i="2"/>
  <c r="AL113" i="2"/>
  <c r="AM113" i="2"/>
  <c r="AN113" i="2"/>
  <c r="AO113" i="2"/>
  <c r="AP113" i="2"/>
  <c r="AQ113" i="2"/>
  <c r="AR113" i="2"/>
  <c r="AS113" i="2"/>
  <c r="AT113" i="2"/>
  <c r="AU113" i="2"/>
  <c r="AV113" i="2"/>
  <c r="AW113" i="2"/>
  <c r="AX113" i="2"/>
  <c r="AY113" i="2"/>
  <c r="AZ113" i="2"/>
  <c r="BA113" i="2"/>
  <c r="BA93" i="2"/>
  <c r="BB113" i="2"/>
  <c r="BB93" i="2"/>
  <c r="BC113" i="2"/>
  <c r="BD113" i="2"/>
  <c r="B114" i="2"/>
  <c r="C114" i="2"/>
  <c r="D114" i="2"/>
  <c r="E114" i="2"/>
  <c r="F114" i="2"/>
  <c r="G114" i="2"/>
  <c r="H114" i="2"/>
  <c r="I114" i="2"/>
  <c r="J114" i="2"/>
  <c r="K114" i="2"/>
  <c r="AC114" i="2"/>
  <c r="AD114" i="2"/>
  <c r="AE114" i="2"/>
  <c r="AF114" i="2"/>
  <c r="AG114" i="2"/>
  <c r="AH114" i="2"/>
  <c r="AI114" i="2"/>
  <c r="AJ114" i="2"/>
  <c r="AK114" i="2"/>
  <c r="AL114" i="2"/>
  <c r="AM114" i="2"/>
  <c r="AN114" i="2"/>
  <c r="AO114" i="2"/>
  <c r="AP114" i="2"/>
  <c r="AQ114" i="2"/>
  <c r="AR114" i="2"/>
  <c r="AS114" i="2"/>
  <c r="AT114" i="2"/>
  <c r="AU114" i="2"/>
  <c r="AV114" i="2"/>
  <c r="AW114" i="2"/>
  <c r="AX114" i="2"/>
  <c r="AY114" i="2"/>
  <c r="AZ114" i="2"/>
  <c r="BA114" i="2"/>
  <c r="BB114" i="2"/>
  <c r="BC114" i="2"/>
  <c r="BD114" i="2"/>
  <c r="B115" i="2"/>
  <c r="C115" i="2"/>
  <c r="D115" i="2"/>
  <c r="E115" i="2"/>
  <c r="F115" i="2"/>
  <c r="G115" i="2"/>
  <c r="H115" i="2"/>
  <c r="I115" i="2"/>
  <c r="J94" i="2" s="1"/>
  <c r="J115" i="2"/>
  <c r="K115" i="2"/>
  <c r="AC115" i="2"/>
  <c r="AD115" i="2"/>
  <c r="AE115" i="2"/>
  <c r="AF115" i="2"/>
  <c r="AG115" i="2"/>
  <c r="AH115" i="2"/>
  <c r="AI115" i="2"/>
  <c r="AJ115" i="2"/>
  <c r="AK115" i="2"/>
  <c r="AL115" i="2"/>
  <c r="AM115" i="2"/>
  <c r="AN115" i="2"/>
  <c r="AO115" i="2"/>
  <c r="AP115" i="2"/>
  <c r="AQ115" i="2"/>
  <c r="AR115" i="2"/>
  <c r="AS115" i="2"/>
  <c r="AT115" i="2"/>
  <c r="AU115" i="2"/>
  <c r="AV115" i="2"/>
  <c r="AW115" i="2"/>
  <c r="AX115" i="2"/>
  <c r="AY115" i="2"/>
  <c r="AZ115" i="2"/>
  <c r="BA115" i="2"/>
  <c r="BA94" i="2"/>
  <c r="BB115" i="2"/>
  <c r="BB94" i="2"/>
  <c r="BC115" i="2"/>
  <c r="BD115" i="2"/>
  <c r="BD94" i="2" s="1"/>
  <c r="BA116" i="2"/>
  <c r="BB116" i="2"/>
  <c r="BC116" i="2"/>
  <c r="BD116" i="2"/>
  <c r="B117" i="2"/>
  <c r="B136" i="2" s="1"/>
  <c r="C117" i="2"/>
  <c r="C136" i="2" s="1"/>
  <c r="D117" i="2"/>
  <c r="E117" i="2"/>
  <c r="E136" i="2" s="1"/>
  <c r="F117" i="2"/>
  <c r="F136" i="2" s="1"/>
  <c r="G117" i="2"/>
  <c r="G136" i="2" s="1"/>
  <c r="H117" i="2"/>
  <c r="I117" i="2"/>
  <c r="I136" i="2" s="1"/>
  <c r="J117" i="2"/>
  <c r="J136" i="2" s="1"/>
  <c r="K117" i="2"/>
  <c r="K136" i="2" s="1"/>
  <c r="AC117" i="2"/>
  <c r="AD117" i="2"/>
  <c r="AE117" i="2"/>
  <c r="AF117" i="2"/>
  <c r="AG117" i="2"/>
  <c r="AH117" i="2"/>
  <c r="AI117" i="2"/>
  <c r="AJ117" i="2"/>
  <c r="AK117" i="2"/>
  <c r="AL117" i="2"/>
  <c r="AM117" i="2"/>
  <c r="AN117" i="2"/>
  <c r="AO117" i="2"/>
  <c r="AP117" i="2"/>
  <c r="AQ117" i="2"/>
  <c r="AR117" i="2"/>
  <c r="AS117" i="2"/>
  <c r="AT117" i="2"/>
  <c r="AU117" i="2"/>
  <c r="AV117" i="2"/>
  <c r="AW117" i="2"/>
  <c r="AX117" i="2"/>
  <c r="AY117" i="2"/>
  <c r="AZ117" i="2"/>
  <c r="BA117" i="2"/>
  <c r="BB117" i="2"/>
  <c r="BC117" i="2"/>
  <c r="BD117" i="2"/>
  <c r="C119" i="2"/>
  <c r="D119" i="2"/>
  <c r="E119" i="2"/>
  <c r="F119" i="2"/>
  <c r="G119" i="2"/>
  <c r="H119" i="2"/>
  <c r="J119" i="2"/>
  <c r="AC119" i="2"/>
  <c r="AD119" i="2"/>
  <c r="AE119" i="2"/>
  <c r="AF119" i="2"/>
  <c r="AG119" i="2"/>
  <c r="AH119" i="2"/>
  <c r="AI119" i="2"/>
  <c r="AJ119" i="2"/>
  <c r="AK119" i="2"/>
  <c r="AL119" i="2"/>
  <c r="AM119" i="2"/>
  <c r="AN119" i="2"/>
  <c r="AO119" i="2"/>
  <c r="AP119" i="2"/>
  <c r="AQ119" i="2"/>
  <c r="AS119" i="2"/>
  <c r="AU119" i="2"/>
  <c r="B120" i="2"/>
  <c r="C120" i="2"/>
  <c r="D120" i="2"/>
  <c r="E120" i="2"/>
  <c r="F120" i="2"/>
  <c r="G120" i="2"/>
  <c r="H120" i="2"/>
  <c r="I120" i="2"/>
  <c r="J120" i="2"/>
  <c r="K120" i="2"/>
  <c r="AC120" i="2"/>
  <c r="AD120" i="2"/>
  <c r="AE120" i="2"/>
  <c r="AF120" i="2"/>
  <c r="AG120" i="2"/>
  <c r="AH120" i="2"/>
  <c r="AI120" i="2"/>
  <c r="AJ120" i="2"/>
  <c r="AK120" i="2"/>
  <c r="AL120" i="2"/>
  <c r="AM120" i="2"/>
  <c r="AN120" i="2"/>
  <c r="AO120" i="2"/>
  <c r="AP120" i="2"/>
  <c r="AQ120" i="2"/>
  <c r="AR120" i="2"/>
  <c r="AS120" i="2"/>
  <c r="AT120" i="2"/>
  <c r="AU120" i="2"/>
  <c r="AV120" i="2"/>
  <c r="AW120" i="2"/>
  <c r="AX120" i="2"/>
  <c r="AY120" i="2"/>
  <c r="AZ120" i="2"/>
  <c r="BA120" i="2"/>
  <c r="BB120" i="2"/>
  <c r="BC120" i="2"/>
  <c r="BD120" i="2"/>
  <c r="P123" i="2"/>
  <c r="BU123" i="2"/>
  <c r="BV123" i="2"/>
  <c r="BW123" i="2"/>
  <c r="BX123" i="2"/>
  <c r="BY123" i="2"/>
  <c r="BY98" i="2"/>
  <c r="BZ123" i="2"/>
  <c r="BZ98" i="2"/>
  <c r="CA123" i="2"/>
  <c r="CE98" i="2"/>
  <c r="CB123" i="2"/>
  <c r="CC123" i="2"/>
  <c r="CG123" i="2" s="1"/>
  <c r="CD123" i="2"/>
  <c r="CH123" i="2" s="1"/>
  <c r="CI123" i="2"/>
  <c r="P124" i="2"/>
  <c r="P125" i="2"/>
  <c r="CA125" i="2"/>
  <c r="CE100" i="2"/>
  <c r="CI125" i="2"/>
  <c r="P126" i="2"/>
  <c r="BV126" i="2"/>
  <c r="BY126" i="2"/>
  <c r="CC126" i="2"/>
  <c r="CG126" i="2"/>
  <c r="CD126" i="2"/>
  <c r="CH126" i="2"/>
  <c r="CI126" i="2"/>
  <c r="L130" i="2"/>
  <c r="BE130" i="2"/>
  <c r="BF130" i="2"/>
  <c r="BG130" i="2"/>
  <c r="BH130" i="2"/>
  <c r="BI130" i="2"/>
  <c r="BI105" i="2"/>
  <c r="BJ130" i="2"/>
  <c r="BJ105" i="2"/>
  <c r="BK130" i="2"/>
  <c r="BL130" i="2"/>
  <c r="BM130" i="2"/>
  <c r="BM105" i="2"/>
  <c r="BN130" i="2"/>
  <c r="BO130" i="2"/>
  <c r="BO105" i="2" s="1"/>
  <c r="BP130" i="2"/>
  <c r="BP105" i="2" s="1"/>
  <c r="BY130" i="2"/>
  <c r="BZ130" i="2"/>
  <c r="CA130" i="2"/>
  <c r="CE130" i="2" s="1"/>
  <c r="L131" i="2"/>
  <c r="BE131" i="2"/>
  <c r="BF131" i="2"/>
  <c r="BG131" i="2"/>
  <c r="BH131" i="2"/>
  <c r="BI131" i="2"/>
  <c r="BI106" i="2"/>
  <c r="BJ131" i="2"/>
  <c r="BJ106" i="2"/>
  <c r="BK131" i="2"/>
  <c r="BK106" i="2"/>
  <c r="BL131" i="2"/>
  <c r="BM131" i="2"/>
  <c r="BN131" i="2"/>
  <c r="BO131" i="2"/>
  <c r="BP131" i="2"/>
  <c r="BP106" i="2"/>
  <c r="BW131" i="2"/>
  <c r="BX131" i="2"/>
  <c r="BY131" i="2"/>
  <c r="BZ131" i="2"/>
  <c r="CD131" i="2" s="1"/>
  <c r="CA131" i="2"/>
  <c r="CA106" i="2" s="1"/>
  <c r="L132" i="2"/>
  <c r="BE132" i="2"/>
  <c r="BF132" i="2"/>
  <c r="BG132" i="2"/>
  <c r="BH132" i="2"/>
  <c r="BI132" i="2"/>
  <c r="BI107" i="2"/>
  <c r="BJ132" i="2"/>
  <c r="BJ107" i="2"/>
  <c r="BK132" i="2"/>
  <c r="BK107" i="2"/>
  <c r="BL132" i="2"/>
  <c r="BM132" i="2"/>
  <c r="BM107" i="2" s="1"/>
  <c r="BN132" i="2"/>
  <c r="BO132" i="2"/>
  <c r="BP132" i="2"/>
  <c r="BP107" i="2" s="1"/>
  <c r="BW132" i="2"/>
  <c r="BX132" i="2"/>
  <c r="BY132" i="2"/>
  <c r="BZ132" i="2"/>
  <c r="CA132" i="2"/>
  <c r="CE132" i="2" s="1"/>
  <c r="L133" i="2"/>
  <c r="BE133" i="2"/>
  <c r="BF133" i="2"/>
  <c r="BG133" i="2"/>
  <c r="BH133" i="2"/>
  <c r="BI133" i="2"/>
  <c r="BI108" i="2"/>
  <c r="BJ133" i="2"/>
  <c r="BK133" i="2"/>
  <c r="BK108" i="2" s="1"/>
  <c r="BL133" i="2"/>
  <c r="BM133" i="2"/>
  <c r="BM108" i="2"/>
  <c r="BN133" i="2"/>
  <c r="BN108" i="2"/>
  <c r="BO133" i="2"/>
  <c r="BP133" i="2"/>
  <c r="BW133" i="2"/>
  <c r="BX133" i="2"/>
  <c r="BY133" i="2"/>
  <c r="BZ133" i="2"/>
  <c r="CD133" i="2" s="1"/>
  <c r="CH133" i="2" s="1"/>
  <c r="CA133" i="2"/>
  <c r="CA108" i="2"/>
  <c r="L134" i="2"/>
  <c r="BE134" i="2"/>
  <c r="BF134" i="2"/>
  <c r="BG134" i="2"/>
  <c r="BH134" i="2"/>
  <c r="BI134" i="2"/>
  <c r="BI109" i="2" s="1"/>
  <c r="BJ134" i="2"/>
  <c r="BJ109" i="2" s="1"/>
  <c r="BK134" i="2"/>
  <c r="BL134" i="2"/>
  <c r="BM134" i="2"/>
  <c r="BN134" i="2"/>
  <c r="BO134" i="2"/>
  <c r="BP134" i="2"/>
  <c r="BP109" i="2"/>
  <c r="BQ134" i="2"/>
  <c r="BR134" i="2"/>
  <c r="BS134" i="2"/>
  <c r="BS109" i="2"/>
  <c r="BT134" i="2"/>
  <c r="BU134" i="2"/>
  <c r="BU109" i="2" s="1"/>
  <c r="BV134" i="2"/>
  <c r="BV109" i="2" s="1"/>
  <c r="BW134" i="2"/>
  <c r="BX134" i="2"/>
  <c r="BX109" i="2"/>
  <c r="BY134" i="2"/>
  <c r="BZ134" i="2"/>
  <c r="CA134" i="2"/>
  <c r="CE134" i="2"/>
  <c r="D136" i="2"/>
  <c r="H136" i="2"/>
  <c r="L140" i="2"/>
  <c r="Q140" i="2"/>
  <c r="R140" i="2"/>
  <c r="BE140" i="2"/>
  <c r="BF140" i="2"/>
  <c r="BG140" i="2"/>
  <c r="BH140" i="2"/>
  <c r="BI140" i="2"/>
  <c r="BJ140" i="2"/>
  <c r="BK140" i="2"/>
  <c r="BL140" i="2"/>
  <c r="BM140" i="2"/>
  <c r="BN140" i="2"/>
  <c r="BO140" i="2"/>
  <c r="BP140" i="2"/>
  <c r="BE141" i="2"/>
  <c r="BF141" i="2"/>
  <c r="BG141" i="2"/>
  <c r="BG166" i="1"/>
  <c r="BH141" i="2"/>
  <c r="BH166" i="1" s="1"/>
  <c r="BI141" i="2"/>
  <c r="BJ141" i="2"/>
  <c r="BK141" i="2"/>
  <c r="BK166" i="1"/>
  <c r="BL141" i="2"/>
  <c r="BM141" i="2"/>
  <c r="BN141" i="2"/>
  <c r="BO141" i="2"/>
  <c r="BO166" i="1" s="1"/>
  <c r="BP141" i="2"/>
  <c r="BU141" i="2"/>
  <c r="BU124" i="2"/>
  <c r="BV141" i="2"/>
  <c r="BV124" i="2"/>
  <c r="BW141" i="2"/>
  <c r="BW124" i="2"/>
  <c r="BX141" i="2"/>
  <c r="BZ124" i="2"/>
  <c r="BZ99" i="2" s="1"/>
  <c r="BU142" i="2"/>
  <c r="BU125" i="2"/>
  <c r="BV142" i="2"/>
  <c r="BV125" i="2"/>
  <c r="BW142" i="2"/>
  <c r="BW125" i="2"/>
  <c r="BX142" i="2"/>
  <c r="BX125" i="2"/>
  <c r="BY125" i="2"/>
  <c r="BY100" i="2"/>
  <c r="S142" i="2"/>
  <c r="CD125" i="2"/>
  <c r="L143" i="2"/>
  <c r="BE143" i="2"/>
  <c r="BF143" i="2"/>
  <c r="BG143" i="2"/>
  <c r="BH143" i="2"/>
  <c r="BI143" i="2"/>
  <c r="BJ143" i="2"/>
  <c r="BK143" i="2"/>
  <c r="BL143" i="2"/>
  <c r="BM143" i="2"/>
  <c r="BN143" i="2"/>
  <c r="BO143" i="2"/>
  <c r="BP143" i="2"/>
  <c r="BQ143" i="2"/>
  <c r="BR143" i="2"/>
  <c r="BS143" i="2"/>
  <c r="BT143" i="2"/>
  <c r="BU143" i="2"/>
  <c r="BU126" i="2" s="1"/>
  <c r="BW143" i="2"/>
  <c r="BW126" i="2" s="1"/>
  <c r="BX143" i="2"/>
  <c r="BX126" i="2" s="1"/>
  <c r="BZ143" i="2"/>
  <c r="BZ126" i="2" s="1"/>
  <c r="BZ101" i="2"/>
  <c r="CA143" i="2"/>
  <c r="CA126" i="2"/>
  <c r="P144" i="2"/>
  <c r="L147" i="2"/>
  <c r="L123" i="2" s="1"/>
  <c r="Q147" i="2"/>
  <c r="Q123" i="2"/>
  <c r="R98" i="2" s="1"/>
  <c r="R147" i="2"/>
  <c r="BE147" i="2"/>
  <c r="BF147" i="2"/>
  <c r="BG147" i="2"/>
  <c r="BG123" i="2" s="1"/>
  <c r="BH147" i="2"/>
  <c r="BI147" i="2"/>
  <c r="BJ147" i="2"/>
  <c r="BK147" i="2"/>
  <c r="BK123" i="2" s="1"/>
  <c r="BL147" i="2"/>
  <c r="BM147" i="2"/>
  <c r="BM123" i="2" s="1"/>
  <c r="BN147" i="2"/>
  <c r="BO147" i="2"/>
  <c r="BP147" i="2"/>
  <c r="BQ147" i="2"/>
  <c r="BR147" i="2"/>
  <c r="BS147" i="2"/>
  <c r="BT147" i="2"/>
  <c r="Q148" i="2"/>
  <c r="Q151" i="2" s="1"/>
  <c r="R148" i="2"/>
  <c r="BE148" i="2"/>
  <c r="M148" i="2" s="1"/>
  <c r="BF148" i="2"/>
  <c r="BG148" i="2"/>
  <c r="BG124" i="2" s="1"/>
  <c r="BK99" i="2" s="1"/>
  <c r="BH148" i="2"/>
  <c r="BH124" i="2"/>
  <c r="BI148" i="2"/>
  <c r="BJ148" i="2"/>
  <c r="BJ124" i="2" s="1"/>
  <c r="BK148" i="2"/>
  <c r="BL148" i="2"/>
  <c r="BL124" i="2"/>
  <c r="BM148" i="2"/>
  <c r="BN148" i="2"/>
  <c r="BN124" i="2" s="1"/>
  <c r="BO148" i="2"/>
  <c r="BO124" i="2" s="1"/>
  <c r="BO99" i="2" s="1"/>
  <c r="BP148" i="2"/>
  <c r="Q149" i="2"/>
  <c r="R149" i="2"/>
  <c r="L150" i="2"/>
  <c r="Q150" i="2"/>
  <c r="R150" i="2"/>
  <c r="BE150" i="2"/>
  <c r="BF150" i="2"/>
  <c r="BF126" i="2" s="1"/>
  <c r="BJ101" i="2" s="1"/>
  <c r="BG150" i="2"/>
  <c r="BG126" i="2"/>
  <c r="BH150" i="2"/>
  <c r="BI150" i="2"/>
  <c r="BJ150" i="2"/>
  <c r="BK150" i="2"/>
  <c r="BK126" i="2" s="1"/>
  <c r="BK101" i="2" s="1"/>
  <c r="BL150" i="2"/>
  <c r="BM150" i="2"/>
  <c r="BN150" i="2"/>
  <c r="BO150" i="2"/>
  <c r="BP150" i="2"/>
  <c r="BQ150" i="2"/>
  <c r="BR150" i="2"/>
  <c r="BS150" i="2"/>
  <c r="BS126" i="2" s="1"/>
  <c r="BT150" i="2"/>
  <c r="P151" i="2"/>
  <c r="P127" i="2" s="1"/>
  <c r="BU151" i="2"/>
  <c r="BU19" i="2" s="1"/>
  <c r="BV151" i="2"/>
  <c r="BV19" i="2" s="1"/>
  <c r="BW151" i="2"/>
  <c r="BW19" i="2" s="1"/>
  <c r="BX151" i="2"/>
  <c r="BX19" i="2" s="1"/>
  <c r="BY151" i="2"/>
  <c r="BY19" i="2" s="1"/>
  <c r="BZ151" i="2"/>
  <c r="BZ19" i="2" s="1"/>
  <c r="CA151" i="2"/>
  <c r="CA19" i="2" s="1"/>
  <c r="CB151" i="2"/>
  <c r="CB19" i="2" s="1"/>
  <c r="CC151" i="2"/>
  <c r="CC127" i="2" s="1"/>
  <c r="CD151" i="2"/>
  <c r="CD19" i="2"/>
  <c r="M154" i="2"/>
  <c r="N154" i="2"/>
  <c r="N130" i="2" s="1"/>
  <c r="O154" i="2"/>
  <c r="BQ154" i="2"/>
  <c r="BQ153" i="1" s="1"/>
  <c r="BR154" i="2"/>
  <c r="BS154" i="2"/>
  <c r="BS140" i="2" s="1"/>
  <c r="BT154" i="2"/>
  <c r="BU154" i="2"/>
  <c r="BV154" i="2"/>
  <c r="BW154" i="2"/>
  <c r="BW159" i="2" s="1"/>
  <c r="BX154" i="2"/>
  <c r="M155" i="2"/>
  <c r="N155" i="2"/>
  <c r="O155" i="2"/>
  <c r="BQ155" i="2"/>
  <c r="BR155" i="2"/>
  <c r="BR131" i="2" s="1"/>
  <c r="BR106" i="2"/>
  <c r="BS155" i="2"/>
  <c r="BT155" i="2"/>
  <c r="BU155" i="2"/>
  <c r="BV155" i="2"/>
  <c r="BV131" i="2"/>
  <c r="CC155" i="2"/>
  <c r="CD155" i="2"/>
  <c r="CE155" i="2"/>
  <c r="CG155" i="2"/>
  <c r="CH155" i="2"/>
  <c r="CI155" i="2"/>
  <c r="M156" i="2"/>
  <c r="N156" i="2"/>
  <c r="O156" i="2"/>
  <c r="BQ156" i="2"/>
  <c r="BR156" i="2"/>
  <c r="BS156" i="2"/>
  <c r="BS132" i="2" s="1"/>
  <c r="BT156" i="2"/>
  <c r="BU156" i="2"/>
  <c r="BV156" i="2"/>
  <c r="CC156" i="2"/>
  <c r="CD156" i="2"/>
  <c r="CE156" i="2"/>
  <c r="CG156" i="2"/>
  <c r="CH156" i="2"/>
  <c r="CI156" i="2"/>
  <c r="M157" i="2"/>
  <c r="N157" i="2"/>
  <c r="O157" i="2"/>
  <c r="BQ157" i="2"/>
  <c r="BQ219" i="1" s="1"/>
  <c r="BR157" i="2"/>
  <c r="BS157" i="2"/>
  <c r="BS219" i="1" s="1"/>
  <c r="BT157" i="2"/>
  <c r="BU157" i="2"/>
  <c r="BU219" i="1" s="1"/>
  <c r="BV157" i="2"/>
  <c r="BV133" i="2"/>
  <c r="M158" i="2"/>
  <c r="N158" i="2"/>
  <c r="O158" i="2"/>
  <c r="P158" i="2"/>
  <c r="Q158" i="2"/>
  <c r="L159" i="2"/>
  <c r="BE159" i="2"/>
  <c r="BF159" i="2"/>
  <c r="BF10" i="2" s="1"/>
  <c r="BG159" i="2"/>
  <c r="BG10" i="2" s="1"/>
  <c r="BH159" i="2"/>
  <c r="BH10" i="2" s="1"/>
  <c r="BI159" i="2"/>
  <c r="BJ159" i="2"/>
  <c r="BJ10" i="2"/>
  <c r="BK159" i="2"/>
  <c r="BK10" i="2"/>
  <c r="BL159" i="2"/>
  <c r="BL10" i="2"/>
  <c r="BM159" i="2"/>
  <c r="BM144" i="2"/>
  <c r="BN159" i="2"/>
  <c r="BN10" i="2"/>
  <c r="BO159" i="2"/>
  <c r="BO10" i="2"/>
  <c r="BP159" i="2"/>
  <c r="BP10" i="2"/>
  <c r="BX159" i="2"/>
  <c r="BY159" i="2"/>
  <c r="BZ159" i="2"/>
  <c r="CA159" i="2"/>
  <c r="M162" i="2"/>
  <c r="N162" i="2"/>
  <c r="N147" i="2"/>
  <c r="O162" i="2"/>
  <c r="P162" i="2"/>
  <c r="Q162" i="2"/>
  <c r="M163" i="2"/>
  <c r="N163" i="2"/>
  <c r="O163" i="2"/>
  <c r="P163" i="2"/>
  <c r="Q163" i="2"/>
  <c r="M164" i="2"/>
  <c r="N164" i="2"/>
  <c r="O164" i="2"/>
  <c r="P164" i="2"/>
  <c r="Q164" i="2"/>
  <c r="M165" i="2"/>
  <c r="N165" i="2"/>
  <c r="O165" i="2"/>
  <c r="P165" i="2"/>
  <c r="Q165" i="2"/>
  <c r="M166" i="2"/>
  <c r="N166" i="2"/>
  <c r="O166" i="2"/>
  <c r="P166" i="2"/>
  <c r="Q166" i="2"/>
  <c r="L167" i="2"/>
  <c r="BE167" i="2"/>
  <c r="BF167" i="2"/>
  <c r="BF19" i="2" s="1"/>
  <c r="BG167" i="2"/>
  <c r="BH167" i="2"/>
  <c r="BH19" i="2"/>
  <c r="BI167" i="2"/>
  <c r="BJ167" i="2"/>
  <c r="BJ19" i="2" s="1"/>
  <c r="BK167" i="2"/>
  <c r="BL167" i="2"/>
  <c r="BL19" i="2"/>
  <c r="BM167" i="2"/>
  <c r="BN167" i="2"/>
  <c r="BN19" i="2" s="1"/>
  <c r="BO167" i="2"/>
  <c r="BP167" i="2"/>
  <c r="BP19" i="2"/>
  <c r="BQ167" i="2"/>
  <c r="BR167" i="2"/>
  <c r="BR19" i="2" s="1"/>
  <c r="BS167" i="2"/>
  <c r="BT167" i="2"/>
  <c r="BT19" i="2"/>
  <c r="BU167" i="2"/>
  <c r="BV167" i="2"/>
  <c r="BW167" i="2"/>
  <c r="BX167" i="2"/>
  <c r="BY167" i="2"/>
  <c r="BZ167" i="2"/>
  <c r="CA167" i="2"/>
  <c r="D169" i="2"/>
  <c r="D170" i="2" s="1"/>
  <c r="E169" i="2"/>
  <c r="F169" i="2"/>
  <c r="G169" i="2"/>
  <c r="H169" i="2"/>
  <c r="I169" i="2"/>
  <c r="J169" i="2"/>
  <c r="K169" i="2"/>
  <c r="L169" i="2"/>
  <c r="M169" i="2"/>
  <c r="N169" i="2"/>
  <c r="N171" i="2" s="1"/>
  <c r="Q169" i="2"/>
  <c r="Q171" i="2" s="1"/>
  <c r="R169" i="2"/>
  <c r="R171" i="2" s="1"/>
  <c r="T169" i="2"/>
  <c r="CG169" i="2" s="1"/>
  <c r="U169" i="2"/>
  <c r="V169" i="2"/>
  <c r="AD169" i="2"/>
  <c r="AE169" i="2" s="1"/>
  <c r="AH169" i="2"/>
  <c r="AI169" i="2" s="1"/>
  <c r="AL169" i="2"/>
  <c r="AM169" i="2" s="1"/>
  <c r="AO169" i="2"/>
  <c r="AP169" i="2" s="1"/>
  <c r="AQ169" i="2" s="1"/>
  <c r="AT169" i="2"/>
  <c r="AU169" i="2"/>
  <c r="AZ169" i="2"/>
  <c r="BA169" i="2"/>
  <c r="BL169" i="2"/>
  <c r="BM169" i="2"/>
  <c r="BO169" i="2" s="1"/>
  <c r="BQ169" i="2"/>
  <c r="BR169" i="2"/>
  <c r="BS169" i="2"/>
  <c r="BU169" i="2"/>
  <c r="BV169" i="2"/>
  <c r="BX169" i="2" s="1"/>
  <c r="BX170" i="2" s="1"/>
  <c r="BW169" i="2"/>
  <c r="BY169" i="2"/>
  <c r="BZ169" i="2" s="1"/>
  <c r="CB169" i="2" s="1"/>
  <c r="CC169" i="2"/>
  <c r="CD169" i="2" s="1"/>
  <c r="E170" i="2"/>
  <c r="M170" i="2"/>
  <c r="M171" i="2"/>
  <c r="AC170" i="2"/>
  <c r="AG170" i="2"/>
  <c r="AK170" i="2"/>
  <c r="AS170" i="2"/>
  <c r="AW170" i="2"/>
  <c r="AX170" i="2"/>
  <c r="AY170" i="2"/>
  <c r="BB170" i="2"/>
  <c r="BC170" i="2"/>
  <c r="AD171" i="2"/>
  <c r="AE171" i="2" s="1"/>
  <c r="AE173" i="2" s="1"/>
  <c r="AH171" i="2"/>
  <c r="AI171" i="2"/>
  <c r="AL171" i="2"/>
  <c r="AO171" i="2"/>
  <c r="AT171" i="2"/>
  <c r="AZ171" i="2"/>
  <c r="BD171" i="2"/>
  <c r="BP171" i="2"/>
  <c r="BT171" i="2"/>
  <c r="BT169" i="2"/>
  <c r="BX171" i="2"/>
  <c r="BZ171" i="2"/>
  <c r="CA171" i="2" s="1"/>
  <c r="CA170" i="2" s="1"/>
  <c r="CD171" i="2"/>
  <c r="E172" i="2"/>
  <c r="F172" i="2"/>
  <c r="G172" i="2"/>
  <c r="AI172" i="2" s="1"/>
  <c r="H172" i="2"/>
  <c r="AK172" i="2"/>
  <c r="AK173" i="2" s="1"/>
  <c r="I172" i="2"/>
  <c r="AP172" i="2" s="1"/>
  <c r="J172" i="2"/>
  <c r="K172" i="2"/>
  <c r="AY172" i="2"/>
  <c r="AY173" i="2" s="1"/>
  <c r="L172" i="2"/>
  <c r="AC172" i="2"/>
  <c r="AD172" i="2"/>
  <c r="AE172" i="2"/>
  <c r="AQ172" i="2"/>
  <c r="AQ173" i="2" s="1"/>
  <c r="AV172" i="2"/>
  <c r="AW172" i="2"/>
  <c r="AW173" i="2"/>
  <c r="BA172" i="2"/>
  <c r="BA173" i="2"/>
  <c r="AS173" i="2"/>
  <c r="BE173" i="2"/>
  <c r="BF173" i="2"/>
  <c r="BG173" i="2"/>
  <c r="BH173" i="2"/>
  <c r="BI173" i="2"/>
  <c r="BJ173" i="2"/>
  <c r="D175" i="2"/>
  <c r="E175" i="2"/>
  <c r="F175" i="2"/>
  <c r="G175" i="2"/>
  <c r="H175" i="2"/>
  <c r="I175" i="2"/>
  <c r="J175" i="2"/>
  <c r="K175" i="2"/>
  <c r="L175" i="2"/>
  <c r="M175" i="2"/>
  <c r="N175" i="2"/>
  <c r="BK175" i="2"/>
  <c r="BK172" i="2"/>
  <c r="BK173" i="2" s="1"/>
  <c r="BL175" i="2"/>
  <c r="BL172" i="2" s="1"/>
  <c r="BL173" i="2" s="1"/>
  <c r="BM175" i="2"/>
  <c r="BM172" i="2"/>
  <c r="BM173" i="2" s="1"/>
  <c r="BN175" i="2"/>
  <c r="BN172" i="2" s="1"/>
  <c r="BN173" i="2" s="1"/>
  <c r="BO175" i="2"/>
  <c r="BO172" i="2"/>
  <c r="BO173" i="2" s="1"/>
  <c r="BP175" i="2"/>
  <c r="D176" i="2"/>
  <c r="E176" i="2"/>
  <c r="F176" i="2"/>
  <c r="G176" i="2"/>
  <c r="H176" i="2"/>
  <c r="I176" i="2"/>
  <c r="J176" i="2"/>
  <c r="K176" i="2"/>
  <c r="N176" i="2"/>
  <c r="N59" i="2"/>
  <c r="BP176" i="2"/>
  <c r="BP59" i="2"/>
  <c r="BQ176" i="2"/>
  <c r="BQ59" i="2"/>
  <c r="BR176" i="2"/>
  <c r="BS176" i="2"/>
  <c r="BT175" i="2" s="1"/>
  <c r="BT176" i="2"/>
  <c r="BT59" i="2" s="1"/>
  <c r="BU176" i="2"/>
  <c r="BV175" i="2" s="1"/>
  <c r="BV176" i="2"/>
  <c r="BW176" i="2"/>
  <c r="BX176" i="2"/>
  <c r="BX59" i="2" s="1"/>
  <c r="BY176" i="2"/>
  <c r="BY59" i="2" s="1"/>
  <c r="BZ176" i="2"/>
  <c r="CA175" i="2" s="1"/>
  <c r="CA176" i="2"/>
  <c r="CB175" i="2" s="1"/>
  <c r="CB176" i="2"/>
  <c r="CB59" i="2" s="1"/>
  <c r="CC176" i="2"/>
  <c r="CC59" i="2" s="1"/>
  <c r="CD176" i="2"/>
  <c r="CE175" i="2" s="1"/>
  <c r="CE172" i="2"/>
  <c r="CE173" i="2" s="1"/>
  <c r="CE59" i="2"/>
  <c r="C178" i="2"/>
  <c r="D178" i="2"/>
  <c r="E178" i="2"/>
  <c r="F178" i="2"/>
  <c r="G178" i="2"/>
  <c r="H178" i="2"/>
  <c r="I178" i="2"/>
  <c r="J178" i="2"/>
  <c r="K178" i="2"/>
  <c r="L178" i="2"/>
  <c r="M178" i="2"/>
  <c r="N178" i="2"/>
  <c r="O178" i="2"/>
  <c r="P178" i="2"/>
  <c r="Q178" i="2"/>
  <c r="R178" i="2"/>
  <c r="AC178" i="2"/>
  <c r="AD178" i="2"/>
  <c r="AE178" i="2"/>
  <c r="AF178" i="2"/>
  <c r="AG178" i="2"/>
  <c r="AH178" i="2"/>
  <c r="AI178" i="2"/>
  <c r="AJ178" i="2"/>
  <c r="AK178" i="2"/>
  <c r="AL178" i="2"/>
  <c r="AM178" i="2"/>
  <c r="AN178" i="2"/>
  <c r="AO178" i="2"/>
  <c r="AP178" i="2"/>
  <c r="AQ178" i="2"/>
  <c r="AR178" i="2"/>
  <c r="AS178" i="2"/>
  <c r="AT178" i="2"/>
  <c r="AU178" i="2"/>
  <c r="AV178" i="2"/>
  <c r="AW178" i="2"/>
  <c r="AX178" i="2"/>
  <c r="AY178" i="2"/>
  <c r="AZ178" i="2"/>
  <c r="BA178" i="2"/>
  <c r="BB178" i="2"/>
  <c r="BC178" i="2"/>
  <c r="BD178" i="2"/>
  <c r="BI178" i="2"/>
  <c r="BJ178" i="2"/>
  <c r="BK178" i="2"/>
  <c r="BL178" i="2"/>
  <c r="BM178" i="2"/>
  <c r="BN178" i="2"/>
  <c r="BO178" i="2"/>
  <c r="BP178" i="2"/>
  <c r="BQ178" i="2"/>
  <c r="BR178" i="2"/>
  <c r="BS178" i="2"/>
  <c r="BT178" i="2"/>
  <c r="BU178" i="2"/>
  <c r="BV178" i="2"/>
  <c r="BW178" i="2"/>
  <c r="BX178" i="2"/>
  <c r="BY178" i="2"/>
  <c r="BZ178" i="2"/>
  <c r="CA178" i="2"/>
  <c r="CB178" i="2"/>
  <c r="CC178" i="2"/>
  <c r="CD178" i="2"/>
  <c r="C180" i="2"/>
  <c r="D180" i="2"/>
  <c r="D179" i="2" s="1"/>
  <c r="E180" i="2"/>
  <c r="E179" i="2" s="1"/>
  <c r="F180" i="2"/>
  <c r="F179" i="2" s="1"/>
  <c r="G180" i="2"/>
  <c r="H180" i="2"/>
  <c r="H179" i="2"/>
  <c r="I180" i="2"/>
  <c r="I179" i="2"/>
  <c r="J180" i="2"/>
  <c r="J179" i="2"/>
  <c r="K180" i="2"/>
  <c r="L180" i="2"/>
  <c r="M180" i="2"/>
  <c r="M179" i="2"/>
  <c r="N180" i="2"/>
  <c r="N179" i="2"/>
  <c r="O180" i="2"/>
  <c r="P180" i="2"/>
  <c r="R180" i="2"/>
  <c r="R179" i="2"/>
  <c r="AC180" i="2"/>
  <c r="AD180" i="2"/>
  <c r="AD179" i="2" s="1"/>
  <c r="AE180" i="2"/>
  <c r="AE179" i="2" s="1"/>
  <c r="AF180" i="2"/>
  <c r="AF179" i="2" s="1"/>
  <c r="AG180" i="2"/>
  <c r="AH180" i="2"/>
  <c r="AH179" i="2"/>
  <c r="AI180" i="2"/>
  <c r="AI179" i="2"/>
  <c r="AJ180" i="2"/>
  <c r="AJ179" i="2"/>
  <c r="AK180" i="2"/>
  <c r="AL180" i="2"/>
  <c r="AM180" i="2"/>
  <c r="AM179" i="2"/>
  <c r="AN180" i="2"/>
  <c r="AN179" i="2"/>
  <c r="AO180" i="2"/>
  <c r="AP180" i="2"/>
  <c r="AQ180" i="2"/>
  <c r="AQ179" i="2"/>
  <c r="AR180" i="2"/>
  <c r="AR179" i="2"/>
  <c r="AS180" i="2"/>
  <c r="AT180" i="2"/>
  <c r="AT179" i="2" s="1"/>
  <c r="AU180" i="2"/>
  <c r="AU179" i="2" s="1"/>
  <c r="AV180" i="2"/>
  <c r="AV179" i="2" s="1"/>
  <c r="AW180" i="2"/>
  <c r="AX180" i="2"/>
  <c r="AX179" i="2"/>
  <c r="AY180" i="2"/>
  <c r="AY179" i="2"/>
  <c r="AZ180" i="2"/>
  <c r="AZ179" i="2"/>
  <c r="BA180" i="2"/>
  <c r="BB180" i="2"/>
  <c r="BC180" i="2"/>
  <c r="BC179" i="2"/>
  <c r="BD180" i="2"/>
  <c r="BD179" i="2"/>
  <c r="BI180" i="2"/>
  <c r="BJ180" i="2"/>
  <c r="BK180" i="2"/>
  <c r="BK179" i="2"/>
  <c r="BL180" i="2"/>
  <c r="BL179" i="2"/>
  <c r="BM180" i="2"/>
  <c r="BN180" i="2"/>
  <c r="BN179" i="2" s="1"/>
  <c r="BO180" i="2"/>
  <c r="BO179" i="2" s="1"/>
  <c r="BP180" i="2"/>
  <c r="BP179" i="2" s="1"/>
  <c r="BQ180" i="2"/>
  <c r="BR180" i="2"/>
  <c r="BR179" i="2"/>
  <c r="BS180" i="2"/>
  <c r="BS179" i="2"/>
  <c r="BT180" i="2"/>
  <c r="BT179" i="2"/>
  <c r="BU180" i="2"/>
  <c r="BV180" i="2"/>
  <c r="BW180" i="2"/>
  <c r="BW179" i="2"/>
  <c r="BX180" i="2"/>
  <c r="BX179" i="2"/>
  <c r="BY180" i="2"/>
  <c r="BZ180" i="2"/>
  <c r="CA180" i="2"/>
  <c r="CA179" i="2"/>
  <c r="CB180" i="2"/>
  <c r="CB179" i="2"/>
  <c r="CC180" i="2"/>
  <c r="CD180" i="2"/>
  <c r="CD179" i="2" s="1"/>
  <c r="M186" i="2"/>
  <c r="N186" i="2"/>
  <c r="O186" i="2"/>
  <c r="P186" i="2"/>
  <c r="Q186" i="2"/>
  <c r="R186" i="2"/>
  <c r="M195" i="2"/>
  <c r="N195" i="2"/>
  <c r="O195" i="2"/>
  <c r="P195" i="2"/>
  <c r="Q195" i="2"/>
  <c r="R195" i="2"/>
  <c r="K197" i="2"/>
  <c r="M207" i="2"/>
  <c r="M208" i="2"/>
  <c r="M209" i="2"/>
  <c r="M210" i="2"/>
  <c r="J217" i="2"/>
  <c r="K217" i="2"/>
  <c r="N217" i="2"/>
  <c r="L219" i="2"/>
  <c r="M219" i="2"/>
  <c r="M217" i="2"/>
  <c r="N221" i="2"/>
  <c r="N261" i="2"/>
  <c r="L225" i="2"/>
  <c r="L227" i="2"/>
  <c r="M225" i="2"/>
  <c r="N226" i="2"/>
  <c r="O231" i="2"/>
  <c r="L232" i="2"/>
  <c r="O235" i="2"/>
  <c r="BL238" i="2"/>
  <c r="BN238" i="2"/>
  <c r="BM238" i="2"/>
  <c r="BP238" i="2" s="1"/>
  <c r="BR238" i="2"/>
  <c r="BQ238" i="2" s="1"/>
  <c r="BI239" i="2"/>
  <c r="BJ239" i="2" s="1"/>
  <c r="BK239" i="2"/>
  <c r="BL239" i="2" s="1"/>
  <c r="BJ240" i="2"/>
  <c r="BK240" i="2" s="1"/>
  <c r="J247" i="2"/>
  <c r="K247" i="2"/>
  <c r="J253" i="2"/>
  <c r="J248" i="2" s="1"/>
  <c r="K253" i="2"/>
  <c r="K248" i="2"/>
  <c r="B255" i="2"/>
  <c r="C255" i="2"/>
  <c r="D255" i="2"/>
  <c r="E255" i="2"/>
  <c r="F255" i="2"/>
  <c r="G255" i="2"/>
  <c r="H255" i="2"/>
  <c r="I255" i="2"/>
  <c r="J255" i="2"/>
  <c r="K255" i="2"/>
  <c r="B256" i="2"/>
  <c r="C256" i="2"/>
  <c r="D256" i="2"/>
  <c r="E256" i="2"/>
  <c r="F256" i="2"/>
  <c r="G256" i="2"/>
  <c r="H256" i="2"/>
  <c r="I256" i="2"/>
  <c r="J256" i="2"/>
  <c r="K256" i="2"/>
  <c r="M256" i="2"/>
  <c r="N256" i="2"/>
  <c r="B257" i="2"/>
  <c r="C257" i="2"/>
  <c r="D257" i="2"/>
  <c r="E257" i="2"/>
  <c r="F257" i="2"/>
  <c r="G257" i="2"/>
  <c r="H257" i="2"/>
  <c r="I257" i="2"/>
  <c r="J257" i="2"/>
  <c r="K257" i="2"/>
  <c r="B258" i="2"/>
  <c r="C258" i="2"/>
  <c r="D258" i="2"/>
  <c r="E258" i="2"/>
  <c r="F258" i="2"/>
  <c r="G258" i="2"/>
  <c r="H258" i="2"/>
  <c r="J260" i="2"/>
  <c r="K260" i="2"/>
  <c r="M260" i="2"/>
  <c r="N260" i="2"/>
  <c r="O260" i="2"/>
  <c r="J261" i="2"/>
  <c r="J271" i="2"/>
  <c r="K261" i="2"/>
  <c r="M261" i="2"/>
  <c r="J269" i="2"/>
  <c r="K269" i="2"/>
  <c r="K270" i="2"/>
  <c r="J272" i="2"/>
  <c r="K272" i="2"/>
  <c r="J273" i="2"/>
  <c r="K273" i="2"/>
  <c r="J274" i="2"/>
  <c r="K274" i="2"/>
  <c r="J275" i="2"/>
  <c r="K275" i="2"/>
  <c r="J276" i="2"/>
  <c r="K276" i="2"/>
  <c r="J277" i="2"/>
  <c r="K277" i="2"/>
  <c r="J278" i="2"/>
  <c r="K278" i="2"/>
  <c r="J279" i="2"/>
  <c r="K279" i="2"/>
  <c r="J280" i="2"/>
  <c r="K280" i="2"/>
  <c r="J282" i="2"/>
  <c r="K282" i="2"/>
  <c r="J284" i="2"/>
  <c r="K284" i="2"/>
  <c r="BB287" i="2"/>
  <c r="B289" i="2"/>
  <c r="C289" i="2"/>
  <c r="D289" i="2"/>
  <c r="E289" i="2"/>
  <c r="F289" i="2"/>
  <c r="G289" i="2"/>
  <c r="H289" i="2"/>
  <c r="I289" i="2"/>
  <c r="J289" i="2"/>
  <c r="K289" i="2"/>
  <c r="L289" i="2"/>
  <c r="M289" i="2"/>
  <c r="N289" i="2"/>
  <c r="O289" i="2"/>
  <c r="P289" i="2"/>
  <c r="S289" i="2"/>
  <c r="T289" i="2"/>
  <c r="V289" i="2"/>
  <c r="W289" i="2"/>
  <c r="X289" i="2"/>
  <c r="Y289" i="2"/>
  <c r="Z289" i="2"/>
  <c r="AA289" i="2"/>
  <c r="AC289" i="2"/>
  <c r="AD289" i="2"/>
  <c r="AE289" i="2"/>
  <c r="AF289" i="2"/>
  <c r="AG289" i="2"/>
  <c r="AH289" i="2"/>
  <c r="AI289" i="2"/>
  <c r="AJ289" i="2"/>
  <c r="AK289" i="2"/>
  <c r="AL289" i="2"/>
  <c r="AM289" i="2"/>
  <c r="AN289" i="2"/>
  <c r="AO289" i="2"/>
  <c r="AP289" i="2"/>
  <c r="AQ289" i="2"/>
  <c r="AR289" i="2"/>
  <c r="AS289" i="2"/>
  <c r="AT289" i="2"/>
  <c r="AU289" i="2"/>
  <c r="AV289" i="2"/>
  <c r="B290" i="2"/>
  <c r="C290" i="2"/>
  <c r="D290" i="2"/>
  <c r="E290" i="2"/>
  <c r="F290" i="2"/>
  <c r="G290" i="2"/>
  <c r="H290" i="2"/>
  <c r="I290" i="2"/>
  <c r="J290" i="2"/>
  <c r="K290" i="2"/>
  <c r="L290" i="2"/>
  <c r="M290" i="2"/>
  <c r="N290" i="2"/>
  <c r="O290" i="2"/>
  <c r="P290" i="2"/>
  <c r="Q290" i="2"/>
  <c r="R290" i="2"/>
  <c r="S290" i="2"/>
  <c r="T290" i="2"/>
  <c r="U290" i="2"/>
  <c r="V290" i="2"/>
  <c r="W290" i="2"/>
  <c r="X290" i="2"/>
  <c r="Y290" i="2"/>
  <c r="Z290" i="2"/>
  <c r="AA290" i="2"/>
  <c r="AC290" i="2"/>
  <c r="AD290" i="2"/>
  <c r="AE290" i="2"/>
  <c r="AF290" i="2"/>
  <c r="AG290" i="2"/>
  <c r="AH290" i="2"/>
  <c r="AI290" i="2"/>
  <c r="AJ290" i="2"/>
  <c r="AK290" i="2"/>
  <c r="AL290" i="2"/>
  <c r="AM290" i="2"/>
  <c r="AN290" i="2"/>
  <c r="AO290" i="2"/>
  <c r="AP290" i="2"/>
  <c r="AQ290" i="2"/>
  <c r="AR290" i="2"/>
  <c r="AS290" i="2"/>
  <c r="AT290" i="2"/>
  <c r="AU290" i="2"/>
  <c r="AV290" i="2"/>
  <c r="B292" i="2"/>
  <c r="C292" i="2"/>
  <c r="D292" i="2"/>
  <c r="E292" i="2"/>
  <c r="F292" i="2"/>
  <c r="G292" i="2"/>
  <c r="H292" i="2"/>
  <c r="I292" i="2"/>
  <c r="J292" i="2"/>
  <c r="K292" i="2"/>
  <c r="S292" i="2"/>
  <c r="T292" i="2"/>
  <c r="U292" i="2"/>
  <c r="V292" i="2"/>
  <c r="W292" i="2"/>
  <c r="X292" i="2"/>
  <c r="Y292" i="2"/>
  <c r="Z292" i="2"/>
  <c r="AA292" i="2"/>
  <c r="B293" i="2"/>
  <c r="C293" i="2"/>
  <c r="D293" i="2"/>
  <c r="E293" i="2"/>
  <c r="F293" i="2"/>
  <c r="G293" i="2"/>
  <c r="H293" i="2"/>
  <c r="I293" i="2"/>
  <c r="J293" i="2"/>
  <c r="K293" i="2"/>
  <c r="S293" i="2"/>
  <c r="T293" i="2"/>
  <c r="U293" i="2"/>
  <c r="V293" i="2"/>
  <c r="W293" i="2"/>
  <c r="X293" i="2"/>
  <c r="Y293" i="2"/>
  <c r="Z293" i="2"/>
  <c r="AA293" i="2"/>
  <c r="B294" i="2"/>
  <c r="C294" i="2"/>
  <c r="D294" i="2"/>
  <c r="E294" i="2"/>
  <c r="F294" i="2"/>
  <c r="G294" i="2"/>
  <c r="H294" i="2"/>
  <c r="I294" i="2"/>
  <c r="J294" i="2"/>
  <c r="K294" i="2"/>
  <c r="S294" i="2"/>
  <c r="T294" i="2"/>
  <c r="U294" i="2"/>
  <c r="V294" i="2"/>
  <c r="W294" i="2"/>
  <c r="X294" i="2"/>
  <c r="Y294" i="2"/>
  <c r="Z294" i="2"/>
  <c r="AA294" i="2"/>
  <c r="B295" i="2"/>
  <c r="C295" i="2"/>
  <c r="D295" i="2"/>
  <c r="E295" i="2"/>
  <c r="F295" i="2"/>
  <c r="G295" i="2"/>
  <c r="H295" i="2"/>
  <c r="I295" i="2"/>
  <c r="J295" i="2"/>
  <c r="K295" i="2"/>
  <c r="S295" i="2"/>
  <c r="T295" i="2"/>
  <c r="U295" i="2"/>
  <c r="V295" i="2"/>
  <c r="W295" i="2"/>
  <c r="X295" i="2"/>
  <c r="Y295" i="2"/>
  <c r="Z295" i="2"/>
  <c r="AA295" i="2"/>
  <c r="B296" i="2"/>
  <c r="C296" i="2"/>
  <c r="D296" i="2"/>
  <c r="E296" i="2"/>
  <c r="F296" i="2"/>
  <c r="G296" i="2"/>
  <c r="H296" i="2"/>
  <c r="I296" i="2"/>
  <c r="J296" i="2"/>
  <c r="K296" i="2"/>
  <c r="S296" i="2"/>
  <c r="T296" i="2"/>
  <c r="U296" i="2"/>
  <c r="V296" i="2"/>
  <c r="W296" i="2"/>
  <c r="X296" i="2"/>
  <c r="Y296" i="2"/>
  <c r="Z296" i="2"/>
  <c r="AA296" i="2"/>
  <c r="B297" i="2"/>
  <c r="C297" i="2"/>
  <c r="D297" i="2"/>
  <c r="E297" i="2"/>
  <c r="F297" i="2"/>
  <c r="G297" i="2"/>
  <c r="H297" i="2"/>
  <c r="I297" i="2"/>
  <c r="J297" i="2"/>
  <c r="K297" i="2"/>
  <c r="S297" i="2"/>
  <c r="T297" i="2"/>
  <c r="U297" i="2"/>
  <c r="V297" i="2"/>
  <c r="W297" i="2"/>
  <c r="X297" i="2"/>
  <c r="Y297" i="2"/>
  <c r="Z297" i="2"/>
  <c r="AA297" i="2"/>
  <c r="B298" i="2"/>
  <c r="C298" i="2"/>
  <c r="D298" i="2"/>
  <c r="E298" i="2"/>
  <c r="F298" i="2"/>
  <c r="G298" i="2"/>
  <c r="H298" i="2"/>
  <c r="I298" i="2"/>
  <c r="J298" i="2"/>
  <c r="K298" i="2"/>
  <c r="S298" i="2"/>
  <c r="T298" i="2"/>
  <c r="U298" i="2"/>
  <c r="V298" i="2"/>
  <c r="W298" i="2"/>
  <c r="X298" i="2"/>
  <c r="Y298" i="2"/>
  <c r="Z298" i="2"/>
  <c r="AA298" i="2"/>
  <c r="B300" i="2"/>
  <c r="C300" i="2"/>
  <c r="D300" i="2"/>
  <c r="E300" i="2"/>
  <c r="F300" i="2"/>
  <c r="G300" i="2"/>
  <c r="H300" i="2"/>
  <c r="I300" i="2"/>
  <c r="J300" i="2"/>
  <c r="K300" i="2"/>
  <c r="S300" i="2"/>
  <c r="T300" i="2"/>
  <c r="U300" i="2"/>
  <c r="V300" i="2"/>
  <c r="W300" i="2"/>
  <c r="X300" i="2"/>
  <c r="Y300" i="2"/>
  <c r="Z300" i="2"/>
  <c r="AA300" i="2"/>
  <c r="B301" i="2"/>
  <c r="C301" i="2"/>
  <c r="D301" i="2"/>
  <c r="E301" i="2"/>
  <c r="F301" i="2"/>
  <c r="G301" i="2"/>
  <c r="H301" i="2"/>
  <c r="I301" i="2"/>
  <c r="J301" i="2"/>
  <c r="K301" i="2"/>
  <c r="S301" i="2"/>
  <c r="T301" i="2"/>
  <c r="U301" i="2"/>
  <c r="V301" i="2"/>
  <c r="W301" i="2"/>
  <c r="X301" i="2"/>
  <c r="Y301" i="2"/>
  <c r="Z301" i="2"/>
  <c r="AA301" i="2"/>
  <c r="B302" i="2"/>
  <c r="C302" i="2"/>
  <c r="D302" i="2"/>
  <c r="E302" i="2"/>
  <c r="F302" i="2"/>
  <c r="G302" i="2"/>
  <c r="H302" i="2"/>
  <c r="I302" i="2"/>
  <c r="J302" i="2"/>
  <c r="K302" i="2"/>
  <c r="S302" i="2"/>
  <c r="T302" i="2"/>
  <c r="U302" i="2"/>
  <c r="V302" i="2"/>
  <c r="W302" i="2"/>
  <c r="X302" i="2"/>
  <c r="Y302" i="2"/>
  <c r="Z302" i="2"/>
  <c r="AA302" i="2"/>
  <c r="B304" i="2"/>
  <c r="C304" i="2"/>
  <c r="D304" i="2"/>
  <c r="E304" i="2"/>
  <c r="F304" i="2"/>
  <c r="G304" i="2"/>
  <c r="H304" i="2"/>
  <c r="I304" i="2"/>
  <c r="J304" i="2"/>
  <c r="K304" i="2"/>
  <c r="S304" i="2"/>
  <c r="T304" i="2"/>
  <c r="U304" i="2"/>
  <c r="V304" i="2"/>
  <c r="W304" i="2"/>
  <c r="X304" i="2"/>
  <c r="Y304" i="2"/>
  <c r="Z304" i="2"/>
  <c r="AA304" i="2"/>
  <c r="K316" i="2"/>
  <c r="K366" i="2"/>
  <c r="L316" i="2"/>
  <c r="L362" i="2"/>
  <c r="M316" i="2"/>
  <c r="K318" i="2"/>
  <c r="K329" i="2"/>
  <c r="L329" i="2"/>
  <c r="M329" i="2"/>
  <c r="M372" i="2"/>
  <c r="K331" i="2"/>
  <c r="K341" i="2"/>
  <c r="L341" i="2"/>
  <c r="M341" i="2"/>
  <c r="M379" i="2"/>
  <c r="K343" i="2"/>
  <c r="M347" i="2"/>
  <c r="M349" i="2"/>
  <c r="M350" i="2"/>
  <c r="M351" i="2"/>
  <c r="M352" i="2"/>
  <c r="M353" i="2"/>
  <c r="K356" i="2"/>
  <c r="M362" i="2"/>
  <c r="K370" i="2"/>
  <c r="K376" i="2"/>
  <c r="K409" i="2"/>
  <c r="L409" i="2"/>
  <c r="K410" i="2"/>
  <c r="L410" i="2"/>
  <c r="M410" i="2" s="1"/>
  <c r="K411" i="2"/>
  <c r="L411" i="2" s="1"/>
  <c r="K412" i="2"/>
  <c r="L412" i="2" s="1"/>
  <c r="M412" i="2" s="1"/>
  <c r="N412" i="2" s="1"/>
  <c r="K413" i="2"/>
  <c r="L413" i="2" s="1"/>
  <c r="K414" i="2"/>
  <c r="L414" i="2" s="1"/>
  <c r="K415" i="2"/>
  <c r="L415" i="2" s="1"/>
  <c r="K416" i="2"/>
  <c r="L416" i="2" s="1"/>
  <c r="C8" i="1"/>
  <c r="D8" i="1" s="1"/>
  <c r="E8" i="1" s="1"/>
  <c r="F8" i="1" s="1"/>
  <c r="G8" i="1"/>
  <c r="H8" i="1" s="1"/>
  <c r="I8" i="1" s="1"/>
  <c r="J8" i="1" s="1"/>
  <c r="K8" i="1" s="1"/>
  <c r="M8" i="1"/>
  <c r="N8" i="1"/>
  <c r="O8" i="1"/>
  <c r="P8" i="1"/>
  <c r="Q8" i="1"/>
  <c r="R8" i="1"/>
  <c r="S8" i="1"/>
  <c r="T8" i="1"/>
  <c r="U8" i="1"/>
  <c r="V8" i="1"/>
  <c r="W8" i="1"/>
  <c r="X8" i="1"/>
  <c r="Y8" i="1"/>
  <c r="Z8" i="1"/>
  <c r="AA8" i="1"/>
  <c r="BI8" i="1"/>
  <c r="BJ8" i="1"/>
  <c r="BK8" i="1"/>
  <c r="BL8" i="1"/>
  <c r="BM8" i="1"/>
  <c r="BN8" i="1"/>
  <c r="BO8" i="1"/>
  <c r="BP8" i="1"/>
  <c r="BQ8" i="1"/>
  <c r="BR8" i="1"/>
  <c r="BS8" i="1"/>
  <c r="BT8" i="1"/>
  <c r="BU8" i="1"/>
  <c r="BV8" i="1"/>
  <c r="BW8" i="1"/>
  <c r="BX8" i="1"/>
  <c r="BY8" i="1"/>
  <c r="BZ8" i="1"/>
  <c r="CA8" i="1"/>
  <c r="CB8" i="1"/>
  <c r="CC8" i="1"/>
  <c r="CD8" i="1"/>
  <c r="CE8" i="1"/>
  <c r="CF8" i="1"/>
  <c r="CG8" i="1"/>
  <c r="CH8" i="1"/>
  <c r="CI8" i="1"/>
  <c r="CJ8" i="1"/>
  <c r="F22" i="1"/>
  <c r="G22" i="1"/>
  <c r="H22" i="1"/>
  <c r="I22" i="1"/>
  <c r="I24" i="1"/>
  <c r="J22" i="1"/>
  <c r="K22" i="1"/>
  <c r="L22" i="1"/>
  <c r="AG22" i="1"/>
  <c r="AG23" i="1" s="1"/>
  <c r="AH22" i="1"/>
  <c r="AH23" i="1" s="1"/>
  <c r="AI22" i="1"/>
  <c r="AI23" i="1" s="1"/>
  <c r="AJ22" i="1"/>
  <c r="AJ23" i="1" s="1"/>
  <c r="AK22" i="1"/>
  <c r="AL22" i="1"/>
  <c r="AM22" i="1"/>
  <c r="AN22" i="1"/>
  <c r="AN24" i="1"/>
  <c r="AO22" i="1"/>
  <c r="AO23" i="1"/>
  <c r="AP22" i="1"/>
  <c r="AP23" i="1"/>
  <c r="AQ22" i="1"/>
  <c r="AQ24" i="1"/>
  <c r="AR22" i="1"/>
  <c r="AS22" i="1"/>
  <c r="AS23" i="1" s="1"/>
  <c r="AT22" i="1"/>
  <c r="AU22" i="1"/>
  <c r="AV22" i="1"/>
  <c r="AW22" i="1"/>
  <c r="AX22" i="1"/>
  <c r="AX23" i="1" s="1"/>
  <c r="AY22" i="1"/>
  <c r="AY24" i="1" s="1"/>
  <c r="AZ22" i="1"/>
  <c r="BA22" i="1"/>
  <c r="BB22" i="1"/>
  <c r="BC22" i="1"/>
  <c r="BD22" i="1"/>
  <c r="BD24" i="1"/>
  <c r="BE22" i="1"/>
  <c r="BE23" i="1"/>
  <c r="BF22" i="1"/>
  <c r="BF23" i="1"/>
  <c r="BG22" i="1"/>
  <c r="BG24" i="1"/>
  <c r="BH22" i="1"/>
  <c r="F23" i="1"/>
  <c r="G23" i="1"/>
  <c r="H23" i="1"/>
  <c r="I23" i="1"/>
  <c r="J23" i="1"/>
  <c r="K23" i="1"/>
  <c r="L23" i="1"/>
  <c r="AN23" i="1"/>
  <c r="AQ23" i="1"/>
  <c r="AV23" i="1"/>
  <c r="BG23" i="1"/>
  <c r="J24" i="1"/>
  <c r="AK24" i="1"/>
  <c r="AS24" i="1"/>
  <c r="AV24" i="1"/>
  <c r="AX24" i="1"/>
  <c r="BE24" i="1"/>
  <c r="W30" i="1"/>
  <c r="BU30" i="1"/>
  <c r="BV30" i="1"/>
  <c r="BW30" i="1"/>
  <c r="BW39" i="1" s="1"/>
  <c r="BX30" i="1"/>
  <c r="BU31" i="1"/>
  <c r="BV31" i="1"/>
  <c r="BV39" i="1"/>
  <c r="BW31" i="1"/>
  <c r="BX31" i="1"/>
  <c r="L39" i="1"/>
  <c r="M39" i="1"/>
  <c r="T39" i="1"/>
  <c r="U39" i="1"/>
  <c r="V41" i="1" s="1"/>
  <c r="V39" i="1"/>
  <c r="BI39" i="1"/>
  <c r="BJ39" i="1"/>
  <c r="BK39" i="1"/>
  <c r="BL39" i="1"/>
  <c r="BM39" i="1"/>
  <c r="BM41" i="1" s="1"/>
  <c r="BN39" i="1"/>
  <c r="BO39" i="1"/>
  <c r="BO41" i="1" s="1"/>
  <c r="BP39" i="1"/>
  <c r="BP41" i="1"/>
  <c r="BQ39" i="1"/>
  <c r="BQ41" i="1"/>
  <c r="BR39" i="1"/>
  <c r="BS39" i="1"/>
  <c r="BS41" i="1" s="1"/>
  <c r="BT39" i="1"/>
  <c r="BT41" i="1"/>
  <c r="BY39" i="1"/>
  <c r="CC41" i="1" s="1"/>
  <c r="BZ39" i="1"/>
  <c r="CA39" i="1"/>
  <c r="CA41" i="1" s="1"/>
  <c r="CB39" i="1"/>
  <c r="CC39" i="1"/>
  <c r="CD39" i="1"/>
  <c r="CE39" i="1"/>
  <c r="CG39" i="1"/>
  <c r="CG41" i="1" s="1"/>
  <c r="CH39" i="1"/>
  <c r="CH41" i="1" s="1"/>
  <c r="CI39" i="1"/>
  <c r="L40" i="1"/>
  <c r="U40" i="1"/>
  <c r="V40" i="1"/>
  <c r="CG40" i="1"/>
  <c r="CH40" i="1"/>
  <c r="CI40" i="1"/>
  <c r="BN41" i="1"/>
  <c r="BR41" i="1"/>
  <c r="W44" i="1"/>
  <c r="W53" i="1" s="1"/>
  <c r="CI45" i="1"/>
  <c r="Q53" i="1"/>
  <c r="T53" i="1"/>
  <c r="U55" i="1"/>
  <c r="U53" i="1"/>
  <c r="V53" i="1"/>
  <c r="BY53" i="1"/>
  <c r="BZ53" i="1"/>
  <c r="CA53" i="1"/>
  <c r="CB53" i="1"/>
  <c r="CC53" i="1"/>
  <c r="CC55" i="1"/>
  <c r="CD53" i="1"/>
  <c r="CD55" i="1"/>
  <c r="CE53" i="1"/>
  <c r="CG53" i="1"/>
  <c r="CG55" i="1" s="1"/>
  <c r="CH53" i="1"/>
  <c r="CH55" i="1" s="1"/>
  <c r="U54" i="1"/>
  <c r="V54" i="1"/>
  <c r="V55" i="1"/>
  <c r="V58" i="1"/>
  <c r="W58" i="1"/>
  <c r="Q67" i="1"/>
  <c r="T67" i="1"/>
  <c r="U67" i="1"/>
  <c r="U69" i="1"/>
  <c r="BI67" i="1"/>
  <c r="BY67" i="1"/>
  <c r="BZ67" i="1"/>
  <c r="CA67" i="1"/>
  <c r="CB67" i="1"/>
  <c r="CC67" i="1"/>
  <c r="CC69" i="1" s="1"/>
  <c r="CD67" i="1"/>
  <c r="CE67" i="1"/>
  <c r="CE69" i="1"/>
  <c r="CG67" i="1"/>
  <c r="CG69" i="1"/>
  <c r="CH67" i="1"/>
  <c r="CH69" i="1"/>
  <c r="CI67" i="1"/>
  <c r="U68" i="1"/>
  <c r="V68" i="1"/>
  <c r="V72" i="1"/>
  <c r="CC72" i="1"/>
  <c r="CC81" i="1" s="1"/>
  <c r="CD72" i="1"/>
  <c r="CE72" i="1"/>
  <c r="CF72" i="1"/>
  <c r="CF81" i="1" s="1"/>
  <c r="CJ72" i="1"/>
  <c r="BU73" i="1"/>
  <c r="CC73" i="1"/>
  <c r="CD73" i="1"/>
  <c r="CE73" i="1"/>
  <c r="CF73" i="1"/>
  <c r="CG73" i="1"/>
  <c r="CH73" i="1"/>
  <c r="CI73" i="1"/>
  <c r="CJ73" i="1"/>
  <c r="CF76" i="1"/>
  <c r="CJ76" i="1"/>
  <c r="CF77" i="1"/>
  <c r="CJ77" i="1"/>
  <c r="CF78" i="1"/>
  <c r="CJ78" i="1"/>
  <c r="CF79" i="1"/>
  <c r="CJ79" i="1"/>
  <c r="L81" i="1"/>
  <c r="M81" i="1"/>
  <c r="R81" i="1"/>
  <c r="S81" i="1"/>
  <c r="T81" i="1"/>
  <c r="U81" i="1"/>
  <c r="BI81" i="1"/>
  <c r="BJ81" i="1"/>
  <c r="BK81" i="1"/>
  <c r="BL81" i="1"/>
  <c r="BM81" i="1"/>
  <c r="BM83" i="1" s="1"/>
  <c r="BN81" i="1"/>
  <c r="BN83" i="1" s="1"/>
  <c r="BO81" i="1"/>
  <c r="BO83" i="1" s="1"/>
  <c r="BP81" i="1"/>
  <c r="BP83" i="1" s="1"/>
  <c r="BQ81" i="1"/>
  <c r="BQ83" i="1" s="1"/>
  <c r="BR81" i="1"/>
  <c r="BV83" i="1" s="1"/>
  <c r="BS81" i="1"/>
  <c r="BS83" i="1" s="1"/>
  <c r="BT81" i="1"/>
  <c r="BW81" i="1"/>
  <c r="BX81" i="1"/>
  <c r="BY81" i="1"/>
  <c r="BZ81" i="1"/>
  <c r="BZ83" i="1" s="1"/>
  <c r="CA81" i="1"/>
  <c r="CA83" i="1"/>
  <c r="CJ81" i="1"/>
  <c r="L82" i="1"/>
  <c r="T82" i="1"/>
  <c r="U82" i="1"/>
  <c r="CJ82" i="1"/>
  <c r="U83" i="1"/>
  <c r="V86" i="1"/>
  <c r="V96" i="1" s="1"/>
  <c r="CC86" i="1"/>
  <c r="CC95" i="1" s="1"/>
  <c r="CD86" i="1"/>
  <c r="CE86" i="1"/>
  <c r="CF86" i="1"/>
  <c r="CJ86" i="1"/>
  <c r="CC87" i="1"/>
  <c r="CC96" i="1"/>
  <c r="CD87" i="1"/>
  <c r="CE87" i="1"/>
  <c r="CF87" i="1"/>
  <c r="CG87" i="1"/>
  <c r="CH87" i="1"/>
  <c r="CI87" i="1"/>
  <c r="CJ87" i="1"/>
  <c r="CF90" i="1"/>
  <c r="CJ90" i="1"/>
  <c r="CF91" i="1"/>
  <c r="CJ91" i="1"/>
  <c r="CF92" i="1"/>
  <c r="CJ92" i="1"/>
  <c r="CF93" i="1"/>
  <c r="CJ93" i="1"/>
  <c r="L95" i="1"/>
  <c r="M95" i="1"/>
  <c r="R95" i="1"/>
  <c r="S97" i="1" s="1"/>
  <c r="S95" i="1"/>
  <c r="T95" i="1"/>
  <c r="U95" i="1"/>
  <c r="V95" i="1"/>
  <c r="BI95" i="1"/>
  <c r="BJ95" i="1"/>
  <c r="BK95" i="1"/>
  <c r="BL95" i="1"/>
  <c r="BP97" i="1" s="1"/>
  <c r="BM95" i="1"/>
  <c r="BM97" i="1"/>
  <c r="BN95" i="1"/>
  <c r="BN97" i="1"/>
  <c r="BO95" i="1"/>
  <c r="BO97" i="1"/>
  <c r="BP95" i="1"/>
  <c r="BQ95" i="1"/>
  <c r="BQ97" i="1" s="1"/>
  <c r="BR95" i="1"/>
  <c r="BR97" i="1" s="1"/>
  <c r="BS95" i="1"/>
  <c r="BT95" i="1"/>
  <c r="BW95" i="1"/>
  <c r="BW97" i="1" s="1"/>
  <c r="BX95" i="1"/>
  <c r="BX97" i="1" s="1"/>
  <c r="BY95" i="1"/>
  <c r="BZ95" i="1"/>
  <c r="CA95" i="1"/>
  <c r="CA97" i="1" s="1"/>
  <c r="CF95" i="1"/>
  <c r="L96" i="1"/>
  <c r="T96" i="1"/>
  <c r="U96" i="1"/>
  <c r="CF96" i="1"/>
  <c r="BT97" i="1"/>
  <c r="BZ97" i="1"/>
  <c r="V100" i="1"/>
  <c r="W100" i="1"/>
  <c r="CC100" i="1"/>
  <c r="CD100" i="1"/>
  <c r="CD210" i="1" s="1"/>
  <c r="CE100" i="1"/>
  <c r="CC101" i="1"/>
  <c r="CC211" i="1" s="1"/>
  <c r="CD101" i="1"/>
  <c r="CE101" i="1"/>
  <c r="CE110" i="1" s="1"/>
  <c r="CG101" i="1"/>
  <c r="CH101" i="1"/>
  <c r="CI101" i="1"/>
  <c r="L109" i="1"/>
  <c r="M109" i="1"/>
  <c r="R109" i="1"/>
  <c r="S109" i="1"/>
  <c r="T109" i="1"/>
  <c r="U109" i="1"/>
  <c r="V109" i="1"/>
  <c r="BI109" i="1"/>
  <c r="BJ109" i="1"/>
  <c r="BK109" i="1"/>
  <c r="BL109" i="1"/>
  <c r="BM109" i="1"/>
  <c r="BM111" i="1" s="1"/>
  <c r="BN109" i="1"/>
  <c r="BN111" i="1"/>
  <c r="BO109" i="1"/>
  <c r="BO111" i="1"/>
  <c r="BP109" i="1"/>
  <c r="BQ109" i="1"/>
  <c r="BQ111" i="1" s="1"/>
  <c r="BR109" i="1"/>
  <c r="BR111" i="1" s="1"/>
  <c r="BS109" i="1"/>
  <c r="BS111" i="1" s="1"/>
  <c r="BT109" i="1"/>
  <c r="BT111" i="1" s="1"/>
  <c r="BW109" i="1"/>
  <c r="BX109" i="1"/>
  <c r="BX111" i="1" s="1"/>
  <c r="BY109" i="1"/>
  <c r="BZ109" i="1"/>
  <c r="BZ111" i="1" s="1"/>
  <c r="CA109" i="1"/>
  <c r="CA111" i="1" s="1"/>
  <c r="CD109" i="1"/>
  <c r="CD111" i="1" s="1"/>
  <c r="L110" i="1"/>
  <c r="T110" i="1"/>
  <c r="U110" i="1"/>
  <c r="V110" i="1"/>
  <c r="T111" i="1"/>
  <c r="BP111" i="1"/>
  <c r="BU111" i="1"/>
  <c r="W114" i="1"/>
  <c r="L123" i="1"/>
  <c r="M123" i="1"/>
  <c r="T123" i="1"/>
  <c r="U123" i="1"/>
  <c r="V123" i="1"/>
  <c r="V125" i="1" s="1"/>
  <c r="BI123" i="1"/>
  <c r="BJ123" i="1"/>
  <c r="BK123" i="1"/>
  <c r="BL123" i="1"/>
  <c r="BM123" i="1"/>
  <c r="BM125" i="1"/>
  <c r="BN123" i="1"/>
  <c r="BN125" i="1"/>
  <c r="BO123" i="1"/>
  <c r="BP123" i="1"/>
  <c r="BP125" i="1" s="1"/>
  <c r="BQ123" i="1"/>
  <c r="BQ125" i="1" s="1"/>
  <c r="BR123" i="1"/>
  <c r="BS123" i="1"/>
  <c r="BT123" i="1"/>
  <c r="BU123" i="1"/>
  <c r="BU125" i="1" s="1"/>
  <c r="BV123" i="1"/>
  <c r="BV125" i="1" s="1"/>
  <c r="BW123" i="1"/>
  <c r="BX123" i="1"/>
  <c r="BY123" i="1"/>
  <c r="BZ123" i="1"/>
  <c r="CA123" i="1"/>
  <c r="CA125" i="1" s="1"/>
  <c r="CB123" i="1"/>
  <c r="CB125" i="1"/>
  <c r="CC123" i="1"/>
  <c r="CC125" i="1"/>
  <c r="CD123" i="1"/>
  <c r="CE123" i="1"/>
  <c r="CG123" i="1"/>
  <c r="CG125" i="1" s="1"/>
  <c r="CH123" i="1"/>
  <c r="CI123" i="1"/>
  <c r="L124" i="1"/>
  <c r="U124" i="1"/>
  <c r="V124" i="1"/>
  <c r="BO125" i="1"/>
  <c r="BR125" i="1"/>
  <c r="BS125" i="1"/>
  <c r="BW125" i="1"/>
  <c r="M134" i="1"/>
  <c r="CD134" i="1"/>
  <c r="M135" i="1"/>
  <c r="BY135" i="1"/>
  <c r="BZ135" i="1"/>
  <c r="CA135" i="1"/>
  <c r="CB135" i="1"/>
  <c r="CC135" i="1"/>
  <c r="CD135" i="1"/>
  <c r="CE135" i="1"/>
  <c r="M136" i="1"/>
  <c r="BY136" i="1"/>
  <c r="BZ136" i="1"/>
  <c r="CA136" i="1"/>
  <c r="CB136" i="1"/>
  <c r="CC136" i="1"/>
  <c r="CD136" i="1"/>
  <c r="CE136" i="1"/>
  <c r="BY137" i="1"/>
  <c r="BZ137" i="1"/>
  <c r="CA137" i="1"/>
  <c r="CB137" i="1"/>
  <c r="CC137" i="1"/>
  <c r="CD137" i="1"/>
  <c r="CE137" i="1"/>
  <c r="M138" i="1"/>
  <c r="CC138" i="1"/>
  <c r="N147" i="1"/>
  <c r="O147" i="1"/>
  <c r="P147" i="1"/>
  <c r="R147" i="1"/>
  <c r="BU147" i="1"/>
  <c r="BV147" i="1"/>
  <c r="BW147" i="1"/>
  <c r="N148" i="1"/>
  <c r="O148" i="1"/>
  <c r="P148" i="1"/>
  <c r="Q148" i="1"/>
  <c r="R148" i="1"/>
  <c r="N149" i="1"/>
  <c r="O149" i="1"/>
  <c r="P149" i="1"/>
  <c r="Q149" i="1"/>
  <c r="R149" i="1"/>
  <c r="M150" i="1"/>
  <c r="N150" i="1"/>
  <c r="O150" i="1"/>
  <c r="P150" i="1"/>
  <c r="Q150" i="1"/>
  <c r="R150" i="1"/>
  <c r="N151" i="1"/>
  <c r="O151" i="1"/>
  <c r="L153" i="1"/>
  <c r="M153" i="1"/>
  <c r="O153" i="1"/>
  <c r="Q153" i="1"/>
  <c r="R153" i="1"/>
  <c r="R154" i="2" s="1"/>
  <c r="CB154" i="2"/>
  <c r="BE153" i="1"/>
  <c r="BF153" i="1"/>
  <c r="BG153" i="1"/>
  <c r="BH153" i="1"/>
  <c r="BI153" i="1"/>
  <c r="BM144" i="1"/>
  <c r="BJ153" i="1"/>
  <c r="BK153" i="1"/>
  <c r="BL153" i="1"/>
  <c r="BM153" i="1"/>
  <c r="BN153" i="1"/>
  <c r="BO153" i="1"/>
  <c r="BP153" i="1"/>
  <c r="BU144" i="1"/>
  <c r="BR153" i="1"/>
  <c r="BS153" i="1"/>
  <c r="BT153" i="1"/>
  <c r="BU153" i="1"/>
  <c r="BV153" i="1"/>
  <c r="BW153" i="1"/>
  <c r="BX153" i="1"/>
  <c r="BY153" i="1"/>
  <c r="BZ153" i="1"/>
  <c r="CA153" i="1"/>
  <c r="CB153" i="1"/>
  <c r="CC153" i="1"/>
  <c r="CG144" i="1"/>
  <c r="CD153" i="1"/>
  <c r="BY160" i="1"/>
  <c r="BZ160" i="1"/>
  <c r="CA160" i="1"/>
  <c r="R161" i="1"/>
  <c r="BI161" i="1"/>
  <c r="BI200" i="1" s="1"/>
  <c r="BJ161" i="1"/>
  <c r="BJ200" i="1"/>
  <c r="BJ135" i="1" s="1"/>
  <c r="BK161" i="1"/>
  <c r="BK200" i="1" s="1"/>
  <c r="BL161" i="1"/>
  <c r="BM161" i="1"/>
  <c r="BM200" i="1" s="1"/>
  <c r="BN161" i="1"/>
  <c r="BO161" i="1"/>
  <c r="BO200" i="1" s="1"/>
  <c r="BR161" i="1"/>
  <c r="BR200" i="1"/>
  <c r="BR135" i="1" s="1"/>
  <c r="BS161" i="1"/>
  <c r="BS200" i="1" s="1"/>
  <c r="BT161" i="1"/>
  <c r="BW161" i="1"/>
  <c r="BX161" i="1"/>
  <c r="R162" i="1"/>
  <c r="BI162" i="1"/>
  <c r="BJ162" i="1"/>
  <c r="BK162" i="1"/>
  <c r="BK49" i="1" s="1"/>
  <c r="BL162" i="1"/>
  <c r="BO162" i="1"/>
  <c r="BQ162" i="1"/>
  <c r="BQ201" i="1" s="1"/>
  <c r="BR162" i="1"/>
  <c r="BS162" i="1"/>
  <c r="BT162" i="1"/>
  <c r="CG162" i="1"/>
  <c r="R163" i="1"/>
  <c r="BI163" i="1"/>
  <c r="BJ163" i="1"/>
  <c r="BK163" i="1"/>
  <c r="BL163" i="1"/>
  <c r="BM163" i="1"/>
  <c r="BN163" i="1"/>
  <c r="BO163" i="1"/>
  <c r="BP163" i="1"/>
  <c r="BP50" i="1" s="1"/>
  <c r="BQ163" i="1"/>
  <c r="BR163" i="1"/>
  <c r="BS163" i="1"/>
  <c r="BT163" i="1"/>
  <c r="BT50" i="1" s="1"/>
  <c r="R164" i="1"/>
  <c r="P166" i="1"/>
  <c r="BF166" i="1"/>
  <c r="BJ166" i="1"/>
  <c r="BN48" i="1" s="1"/>
  <c r="BL166" i="1"/>
  <c r="BN166" i="1"/>
  <c r="BR48" i="1" s="1"/>
  <c r="BP166" i="1"/>
  <c r="BU166" i="1"/>
  <c r="BV166" i="1"/>
  <c r="BZ158" i="1"/>
  <c r="BW166" i="1"/>
  <c r="CA157" i="1"/>
  <c r="BX166" i="1"/>
  <c r="BY166" i="1"/>
  <c r="BZ166" i="1"/>
  <c r="CD158" i="1"/>
  <c r="CB166" i="1"/>
  <c r="CF49" i="1" s="1"/>
  <c r="CC166" i="1"/>
  <c r="N173" i="1"/>
  <c r="O173" i="1"/>
  <c r="P173" i="1"/>
  <c r="R173" i="1"/>
  <c r="S173" i="1"/>
  <c r="BU173" i="1"/>
  <c r="BV173" i="1"/>
  <c r="BV75" i="1" s="1"/>
  <c r="N174" i="1"/>
  <c r="O174" i="1"/>
  <c r="O76" i="1" s="1"/>
  <c r="P174" i="1"/>
  <c r="Q174" i="1"/>
  <c r="N175" i="1"/>
  <c r="O175" i="1"/>
  <c r="P175" i="1"/>
  <c r="Q175" i="1"/>
  <c r="N176" i="1"/>
  <c r="O176" i="1"/>
  <c r="P176" i="1"/>
  <c r="Q176" i="1"/>
  <c r="N177" i="1"/>
  <c r="O177" i="1"/>
  <c r="O79" i="1" s="1"/>
  <c r="L179" i="1"/>
  <c r="M179" i="1"/>
  <c r="N179" i="1"/>
  <c r="O179" i="1"/>
  <c r="BE179" i="1"/>
  <c r="BF179" i="1"/>
  <c r="BG179" i="1"/>
  <c r="BH179" i="1"/>
  <c r="BI179" i="1"/>
  <c r="BM75" i="1" s="1"/>
  <c r="BJ179" i="1"/>
  <c r="BN171" i="1"/>
  <c r="BK179" i="1"/>
  <c r="BL179" i="1"/>
  <c r="BM179" i="1"/>
  <c r="BN179" i="1"/>
  <c r="BO179" i="1"/>
  <c r="BP179" i="1"/>
  <c r="BT77" i="1" s="1"/>
  <c r="BQ179" i="1"/>
  <c r="BR179" i="1"/>
  <c r="BS179" i="1"/>
  <c r="BU179" i="1"/>
  <c r="BV179" i="1"/>
  <c r="BW179" i="1"/>
  <c r="BX179" i="1"/>
  <c r="BY179" i="1"/>
  <c r="BZ179" i="1"/>
  <c r="CA179" i="1"/>
  <c r="N186" i="1"/>
  <c r="O186" i="1"/>
  <c r="P186" i="1"/>
  <c r="R186" i="1"/>
  <c r="S186" i="1"/>
  <c r="BU186" i="1"/>
  <c r="BV186" i="1"/>
  <c r="BV89" i="1" s="1"/>
  <c r="N187" i="1"/>
  <c r="Q187" i="1"/>
  <c r="BP187" i="1"/>
  <c r="O187" i="1"/>
  <c r="BQ187" i="1"/>
  <c r="P187" i="1"/>
  <c r="P90" i="1" s="1"/>
  <c r="N188" i="1"/>
  <c r="P188" i="1"/>
  <c r="P91" i="1" s="1"/>
  <c r="Q188" i="1"/>
  <c r="BM188" i="1"/>
  <c r="BN188" i="1"/>
  <c r="BN162" i="1"/>
  <c r="BP188" i="1"/>
  <c r="BP162" i="1"/>
  <c r="N189" i="1"/>
  <c r="O189" i="1"/>
  <c r="O92" i="1" s="1"/>
  <c r="P189" i="1"/>
  <c r="Q189" i="1"/>
  <c r="N190" i="1"/>
  <c r="O190" i="1"/>
  <c r="L192" i="1"/>
  <c r="M192" i="1"/>
  <c r="N90" i="1" s="1"/>
  <c r="O192" i="1"/>
  <c r="BE192" i="1"/>
  <c r="BF192" i="1"/>
  <c r="BJ184" i="1"/>
  <c r="BG192" i="1"/>
  <c r="BK91" i="1"/>
  <c r="BH192" i="1"/>
  <c r="BI192" i="1"/>
  <c r="BJ192" i="1"/>
  <c r="BN184" i="1" s="1"/>
  <c r="BK192" i="1"/>
  <c r="BL192" i="1"/>
  <c r="BP93" i="1" s="1"/>
  <c r="BM192" i="1"/>
  <c r="BN192" i="1"/>
  <c r="BO192" i="1"/>
  <c r="BP192" i="1"/>
  <c r="BQ192" i="1"/>
  <c r="BR192" i="1"/>
  <c r="BS192" i="1"/>
  <c r="BT192" i="1"/>
  <c r="BU192" i="1"/>
  <c r="BV192" i="1"/>
  <c r="BZ184" i="1" s="1"/>
  <c r="BW192" i="1"/>
  <c r="BX192" i="1"/>
  <c r="BY192" i="1"/>
  <c r="BZ192" i="1"/>
  <c r="CA192" i="1"/>
  <c r="BY199" i="1"/>
  <c r="BZ199" i="1"/>
  <c r="CA199" i="1"/>
  <c r="CB199" i="1"/>
  <c r="CC199" i="1"/>
  <c r="S199" i="1" s="1"/>
  <c r="R200" i="1"/>
  <c r="BN200" i="1"/>
  <c r="BN135" i="1" s="1"/>
  <c r="BU200" i="1"/>
  <c r="BU135" i="1" s="1"/>
  <c r="BV200" i="1"/>
  <c r="BV135" i="1" s="1"/>
  <c r="BW200" i="1"/>
  <c r="BX200" i="1"/>
  <c r="R201" i="1"/>
  <c r="BO201" i="1"/>
  <c r="BS201" i="1"/>
  <c r="BU201" i="1"/>
  <c r="BU136" i="1" s="1"/>
  <c r="BV201" i="1"/>
  <c r="BV136" i="1" s="1"/>
  <c r="BW201" i="1"/>
  <c r="BW136" i="1" s="1"/>
  <c r="BX201" i="1"/>
  <c r="BX136" i="1" s="1"/>
  <c r="CG201" i="1"/>
  <c r="CH201" i="1" s="1"/>
  <c r="R202" i="1"/>
  <c r="BI202" i="1"/>
  <c r="BJ202" i="1"/>
  <c r="BK202" i="1"/>
  <c r="BK137" i="1"/>
  <c r="BM202" i="1"/>
  <c r="BN202" i="1"/>
  <c r="BO202" i="1"/>
  <c r="BO137" i="1"/>
  <c r="BQ202" i="1"/>
  <c r="BR202" i="1"/>
  <c r="BS202" i="1"/>
  <c r="BS137" i="1"/>
  <c r="BU202" i="1"/>
  <c r="BU137" i="1"/>
  <c r="BV202" i="1"/>
  <c r="BV137" i="1"/>
  <c r="BW202" i="1"/>
  <c r="BW137" i="1"/>
  <c r="BX202" i="1"/>
  <c r="BX137" i="1"/>
  <c r="R203" i="1"/>
  <c r="P205" i="1"/>
  <c r="BU205" i="1"/>
  <c r="BV205" i="1"/>
  <c r="BW205" i="1"/>
  <c r="BX205" i="1"/>
  <c r="CB197" i="1"/>
  <c r="BY205" i="1"/>
  <c r="CC197" i="1"/>
  <c r="CA205" i="1"/>
  <c r="CB205" i="1"/>
  <c r="CC205" i="1"/>
  <c r="CD205" i="1"/>
  <c r="N213" i="1"/>
  <c r="O213" i="1"/>
  <c r="P213" i="1"/>
  <c r="BU213" i="1"/>
  <c r="BV213" i="1"/>
  <c r="N214" i="1"/>
  <c r="O214" i="1"/>
  <c r="P214" i="1"/>
  <c r="Q214" i="1"/>
  <c r="P215" i="1"/>
  <c r="Q215" i="1"/>
  <c r="BI215" i="1"/>
  <c r="BI201" i="1"/>
  <c r="BJ215" i="1"/>
  <c r="BJ201" i="1"/>
  <c r="BK215" i="1"/>
  <c r="BK201" i="1"/>
  <c r="BL215" i="1"/>
  <c r="BL201" i="1"/>
  <c r="BP215" i="1"/>
  <c r="O215" i="1"/>
  <c r="M216" i="1"/>
  <c r="N216" i="1"/>
  <c r="N106" i="1" s="1"/>
  <c r="O216" i="1"/>
  <c r="P216" i="1"/>
  <c r="Q216" i="1"/>
  <c r="N217" i="1"/>
  <c r="O217" i="1"/>
  <c r="L219" i="1"/>
  <c r="N219" i="1"/>
  <c r="O107" i="1" s="1"/>
  <c r="BE219" i="1"/>
  <c r="BF219" i="1"/>
  <c r="BJ103" i="1" s="1"/>
  <c r="BG219" i="1"/>
  <c r="BH219" i="1"/>
  <c r="BL210" i="1" s="1"/>
  <c r="BI219" i="1"/>
  <c r="BJ219" i="1"/>
  <c r="BK219" i="1"/>
  <c r="BL219" i="1"/>
  <c r="BM219" i="1"/>
  <c r="BN219" i="1"/>
  <c r="BO219" i="1"/>
  <c r="BP219" i="1"/>
  <c r="BR219" i="1"/>
  <c r="BT219" i="1"/>
  <c r="BV219" i="1"/>
  <c r="BW219" i="1"/>
  <c r="BX219" i="1"/>
  <c r="CB213" i="1" s="1"/>
  <c r="R213" i="1" s="1"/>
  <c r="BY219" i="1"/>
  <c r="BZ219" i="1"/>
  <c r="CA219" i="1"/>
  <c r="CE217" i="1" s="1"/>
  <c r="N226" i="1"/>
  <c r="O226" i="1"/>
  <c r="P226" i="1"/>
  <c r="Q226" i="1"/>
  <c r="R226" i="1"/>
  <c r="N227" i="1"/>
  <c r="O227" i="1"/>
  <c r="P227" i="1"/>
  <c r="P118" i="1" s="1"/>
  <c r="Q227" i="1"/>
  <c r="R227" i="1"/>
  <c r="P228" i="1"/>
  <c r="Q228" i="1"/>
  <c r="R228" i="1"/>
  <c r="BI228" i="1"/>
  <c r="BJ228" i="1"/>
  <c r="BK228" i="1"/>
  <c r="BL228" i="1"/>
  <c r="BP228" i="1"/>
  <c r="O228" i="1" s="1"/>
  <c r="N229" i="1"/>
  <c r="N120" i="1" s="1"/>
  <c r="O229" i="1"/>
  <c r="P229" i="1"/>
  <c r="Q229" i="1"/>
  <c r="R229" i="1"/>
  <c r="N230" i="1"/>
  <c r="O230" i="1"/>
  <c r="R230" i="1"/>
  <c r="L232" i="1"/>
  <c r="M232" i="1"/>
  <c r="N232" i="1"/>
  <c r="O232" i="1"/>
  <c r="BE232" i="1"/>
  <c r="BF232" i="1"/>
  <c r="BG232" i="1"/>
  <c r="BH232" i="1"/>
  <c r="BI232" i="1"/>
  <c r="BJ232" i="1"/>
  <c r="BK232" i="1"/>
  <c r="BL232" i="1"/>
  <c r="BM232" i="1"/>
  <c r="BN232" i="1"/>
  <c r="BR117" i="1"/>
  <c r="BO232" i="1"/>
  <c r="BP232" i="1"/>
  <c r="BQ232" i="1"/>
  <c r="BR232" i="1"/>
  <c r="BS232" i="1"/>
  <c r="BT232" i="1"/>
  <c r="BX224" i="1"/>
  <c r="BU232" i="1"/>
  <c r="BV232" i="1"/>
  <c r="BW232" i="1"/>
  <c r="CA224" i="1"/>
  <c r="BX232" i="1"/>
  <c r="CB224" i="1"/>
  <c r="BY232" i="1"/>
  <c r="BZ232" i="1"/>
  <c r="CA232" i="1"/>
  <c r="CC232" i="1"/>
  <c r="CD232" i="1"/>
  <c r="N235" i="1"/>
  <c r="O235" i="1"/>
  <c r="P235" i="1"/>
  <c r="BL238" i="1"/>
  <c r="BP238" i="1"/>
  <c r="BT238" i="1"/>
  <c r="BX238" i="1"/>
  <c r="BY238" i="1"/>
  <c r="CC245" i="1"/>
  <c r="BL239" i="1"/>
  <c r="BP239" i="1"/>
  <c r="BT239" i="1"/>
  <c r="BX239" i="1"/>
  <c r="BY239" i="1"/>
  <c r="CB239" i="1"/>
  <c r="CB246" i="1" s="1"/>
  <c r="BL240" i="1"/>
  <c r="BP240" i="1"/>
  <c r="BP247" i="1"/>
  <c r="BT240" i="1"/>
  <c r="BX240" i="1"/>
  <c r="BY240" i="1"/>
  <c r="BY247" i="1" s="1"/>
  <c r="BL241" i="1"/>
  <c r="BP241" i="1"/>
  <c r="BT241" i="1"/>
  <c r="BT251" i="1" s="1"/>
  <c r="BX241" i="1"/>
  <c r="BY241" i="1"/>
  <c r="CB241" i="1"/>
  <c r="BL242" i="1"/>
  <c r="BP242" i="1"/>
  <c r="BP249" i="1" s="1"/>
  <c r="BT242" i="1"/>
  <c r="BX242" i="1"/>
  <c r="BX249" i="1" s="1"/>
  <c r="BY242" i="1"/>
  <c r="CB242" i="1"/>
  <c r="O243" i="1"/>
  <c r="P243" i="1"/>
  <c r="Q243" i="1"/>
  <c r="R243" i="1"/>
  <c r="BU243" i="1"/>
  <c r="BV243" i="1"/>
  <c r="BW243" i="1"/>
  <c r="BZ243" i="1"/>
  <c r="CA243" i="1"/>
  <c r="CC243" i="1"/>
  <c r="N245" i="1"/>
  <c r="O245" i="1"/>
  <c r="P245" i="1"/>
  <c r="Q245" i="1"/>
  <c r="R245" i="1"/>
  <c r="BM245" i="1"/>
  <c r="BN245" i="1"/>
  <c r="BO245" i="1"/>
  <c r="BQ245" i="1"/>
  <c r="BR245" i="1"/>
  <c r="BS245" i="1"/>
  <c r="BU245" i="1"/>
  <c r="BV245" i="1"/>
  <c r="BW245" i="1"/>
  <c r="BY245" i="1"/>
  <c r="BZ245" i="1"/>
  <c r="CA245" i="1"/>
  <c r="CD245" i="1"/>
  <c r="N246" i="1"/>
  <c r="O246" i="1"/>
  <c r="P246" i="1"/>
  <c r="Q246" i="1"/>
  <c r="R246" i="1"/>
  <c r="BM246" i="1"/>
  <c r="BN246" i="1"/>
  <c r="BO246" i="1"/>
  <c r="BQ246" i="1"/>
  <c r="BR246" i="1"/>
  <c r="BS246" i="1"/>
  <c r="BU246" i="1"/>
  <c r="BV246" i="1"/>
  <c r="BW246" i="1"/>
  <c r="BY246" i="1"/>
  <c r="BZ246" i="1"/>
  <c r="CA246" i="1"/>
  <c r="CC246" i="1"/>
  <c r="CD246" i="1"/>
  <c r="N247" i="1"/>
  <c r="O247" i="1"/>
  <c r="P247" i="1"/>
  <c r="Q247" i="1"/>
  <c r="R247" i="1"/>
  <c r="BM247" i="1"/>
  <c r="BN247" i="1"/>
  <c r="BO247" i="1"/>
  <c r="BQ247" i="1"/>
  <c r="BR247" i="1"/>
  <c r="BS247" i="1"/>
  <c r="BU247" i="1"/>
  <c r="BV247" i="1"/>
  <c r="BW247" i="1"/>
  <c r="BZ247" i="1"/>
  <c r="CA247" i="1"/>
  <c r="CD247" i="1"/>
  <c r="N248" i="1"/>
  <c r="O248" i="1"/>
  <c r="P248" i="1"/>
  <c r="Q248" i="1"/>
  <c r="R248" i="1"/>
  <c r="BM248" i="1"/>
  <c r="BN248" i="1"/>
  <c r="BO248" i="1"/>
  <c r="BQ248" i="1"/>
  <c r="BR248" i="1"/>
  <c r="BS248" i="1"/>
  <c r="BU248" i="1"/>
  <c r="BV248" i="1"/>
  <c r="BW248" i="1"/>
  <c r="BY248" i="1"/>
  <c r="BZ248" i="1"/>
  <c r="CA248" i="1"/>
  <c r="CC248" i="1"/>
  <c r="CD248" i="1"/>
  <c r="N249" i="1"/>
  <c r="O249" i="1"/>
  <c r="P249" i="1"/>
  <c r="Q249" i="1"/>
  <c r="R249" i="1"/>
  <c r="BM249" i="1"/>
  <c r="BN249" i="1"/>
  <c r="BO249" i="1"/>
  <c r="BQ249" i="1"/>
  <c r="BR249" i="1"/>
  <c r="BS249" i="1"/>
  <c r="BU249" i="1"/>
  <c r="BV249" i="1"/>
  <c r="BW249" i="1"/>
  <c r="BY249" i="1"/>
  <c r="BZ249" i="1"/>
  <c r="CA249" i="1"/>
  <c r="CD249" i="1"/>
  <c r="M251" i="1"/>
  <c r="N251" i="1"/>
  <c r="O251" i="1"/>
  <c r="P251" i="1"/>
  <c r="Q251" i="1"/>
  <c r="R251" i="1"/>
  <c r="BI251" i="1"/>
  <c r="BJ251" i="1"/>
  <c r="BK251" i="1"/>
  <c r="BM251" i="1"/>
  <c r="BN251" i="1"/>
  <c r="BO251" i="1"/>
  <c r="BQ251" i="1"/>
  <c r="BR251" i="1"/>
  <c r="BS251" i="1"/>
  <c r="BU251" i="1"/>
  <c r="BV251" i="1"/>
  <c r="BW251" i="1"/>
  <c r="BZ251" i="1"/>
  <c r="CA251" i="1"/>
  <c r="CC251" i="1"/>
  <c r="CD251" i="1"/>
  <c r="M252" i="1"/>
  <c r="N252" i="1"/>
  <c r="O252" i="1"/>
  <c r="P252" i="1"/>
  <c r="Q252" i="1"/>
  <c r="R252" i="1"/>
  <c r="BI252" i="1"/>
  <c r="BJ252" i="1"/>
  <c r="BK252" i="1"/>
  <c r="BM252" i="1"/>
  <c r="BN252" i="1"/>
  <c r="BO252" i="1"/>
  <c r="BQ252" i="1"/>
  <c r="BR252" i="1"/>
  <c r="BS252" i="1"/>
  <c r="BU252" i="1"/>
  <c r="BV252" i="1"/>
  <c r="BW252" i="1"/>
  <c r="BY252" i="1"/>
  <c r="BZ252" i="1"/>
  <c r="CA252" i="1"/>
  <c r="CC252" i="1"/>
  <c r="CD252" i="1"/>
  <c r="M253" i="1"/>
  <c r="N253" i="1"/>
  <c r="O253" i="1"/>
  <c r="P253" i="1"/>
  <c r="Q253" i="1"/>
  <c r="R253" i="1"/>
  <c r="BI253" i="1"/>
  <c r="BJ253" i="1"/>
  <c r="BK253" i="1"/>
  <c r="BM253" i="1"/>
  <c r="BN253" i="1"/>
  <c r="BO253" i="1"/>
  <c r="BQ253" i="1"/>
  <c r="BR253" i="1"/>
  <c r="BS253" i="1"/>
  <c r="BU253" i="1"/>
  <c r="BV253" i="1"/>
  <c r="BW253" i="1"/>
  <c r="BZ253" i="1"/>
  <c r="CA253" i="1"/>
  <c r="CC253" i="1"/>
  <c r="CD253" i="1"/>
  <c r="M254" i="1"/>
  <c r="N254" i="1"/>
  <c r="O254" i="1"/>
  <c r="P254" i="1"/>
  <c r="Q254" i="1"/>
  <c r="R254" i="1"/>
  <c r="BI254" i="1"/>
  <c r="BJ254" i="1"/>
  <c r="BK254" i="1"/>
  <c r="BM254" i="1"/>
  <c r="BN254" i="1"/>
  <c r="BO254" i="1"/>
  <c r="BQ254" i="1"/>
  <c r="BR254" i="1"/>
  <c r="BS254" i="1"/>
  <c r="BU254" i="1"/>
  <c r="BV254" i="1"/>
  <c r="BW254" i="1"/>
  <c r="BZ254" i="1"/>
  <c r="CA254" i="1"/>
  <c r="CC254" i="1"/>
  <c r="CD254" i="1"/>
  <c r="M255" i="1"/>
  <c r="N255" i="1"/>
  <c r="O255" i="1"/>
  <c r="P255" i="1"/>
  <c r="Q255" i="1"/>
  <c r="R255" i="1"/>
  <c r="BI255" i="1"/>
  <c r="BJ255" i="1"/>
  <c r="BK255" i="1"/>
  <c r="BL255" i="1"/>
  <c r="BM255" i="1"/>
  <c r="BN255" i="1"/>
  <c r="BO255" i="1"/>
  <c r="BP255" i="1"/>
  <c r="BQ255" i="1"/>
  <c r="BR255" i="1"/>
  <c r="BS255" i="1"/>
  <c r="BT255" i="1"/>
  <c r="BU255" i="1"/>
  <c r="BV255" i="1"/>
  <c r="BW255" i="1"/>
  <c r="BX255" i="1"/>
  <c r="BZ255" i="1"/>
  <c r="CA255" i="1"/>
  <c r="CC255" i="1"/>
  <c r="CD255" i="1"/>
  <c r="BL258" i="1"/>
  <c r="BL270" i="1"/>
  <c r="BP258" i="1"/>
  <c r="BT258" i="1"/>
  <c r="BT264" i="1" s="1"/>
  <c r="BX258" i="1"/>
  <c r="BL259" i="1"/>
  <c r="BP259" i="1"/>
  <c r="BT259" i="1"/>
  <c r="BX259" i="1"/>
  <c r="BX270" i="1"/>
  <c r="BL260" i="1"/>
  <c r="BP266" i="1"/>
  <c r="BP260" i="1"/>
  <c r="BT260" i="1"/>
  <c r="BX260" i="1"/>
  <c r="BL261" i="1"/>
  <c r="BP261" i="1"/>
  <c r="BT261" i="1"/>
  <c r="BT267" i="1"/>
  <c r="BX261" i="1"/>
  <c r="BL262" i="1"/>
  <c r="BL274" i="1" s="1"/>
  <c r="BP262" i="1"/>
  <c r="BT262" i="1"/>
  <c r="BT268" i="1"/>
  <c r="BX262" i="1"/>
  <c r="N264" i="1"/>
  <c r="O264" i="1"/>
  <c r="P264" i="1"/>
  <c r="Q264" i="1"/>
  <c r="BM264" i="1"/>
  <c r="BN264" i="1"/>
  <c r="BO264" i="1"/>
  <c r="BQ264" i="1"/>
  <c r="BR264" i="1"/>
  <c r="BS264" i="1"/>
  <c r="BU264" i="1"/>
  <c r="BV264" i="1"/>
  <c r="BW264" i="1"/>
  <c r="BY264" i="1"/>
  <c r="BZ264" i="1"/>
  <c r="CA264" i="1"/>
  <c r="N265" i="1"/>
  <c r="O265" i="1"/>
  <c r="P265" i="1"/>
  <c r="Q265" i="1"/>
  <c r="BM265" i="1"/>
  <c r="BN265" i="1"/>
  <c r="BO265" i="1"/>
  <c r="BQ265" i="1"/>
  <c r="BR265" i="1"/>
  <c r="BS265" i="1"/>
  <c r="BU265" i="1"/>
  <c r="BV265" i="1"/>
  <c r="BW265" i="1"/>
  <c r="BY265" i="1"/>
  <c r="BZ265" i="1"/>
  <c r="CA265" i="1"/>
  <c r="N266" i="1"/>
  <c r="O266" i="1"/>
  <c r="P266" i="1"/>
  <c r="Q266" i="1"/>
  <c r="BM266" i="1"/>
  <c r="BN266" i="1"/>
  <c r="BO266" i="1"/>
  <c r="BQ266" i="1"/>
  <c r="BR266" i="1"/>
  <c r="BS266" i="1"/>
  <c r="BU266" i="1"/>
  <c r="BV266" i="1"/>
  <c r="BW266" i="1"/>
  <c r="BY266" i="1"/>
  <c r="BZ266" i="1"/>
  <c r="CA266" i="1"/>
  <c r="N267" i="1"/>
  <c r="O267" i="1"/>
  <c r="P267" i="1"/>
  <c r="Q267" i="1"/>
  <c r="BM267" i="1"/>
  <c r="BN267" i="1"/>
  <c r="BO267" i="1"/>
  <c r="BQ267" i="1"/>
  <c r="BR267" i="1"/>
  <c r="BS267" i="1"/>
  <c r="BU267" i="1"/>
  <c r="BV267" i="1"/>
  <c r="BW267" i="1"/>
  <c r="BY267" i="1"/>
  <c r="BZ267" i="1"/>
  <c r="CA267" i="1"/>
  <c r="N268" i="1"/>
  <c r="O268" i="1"/>
  <c r="P268" i="1"/>
  <c r="Q268" i="1"/>
  <c r="BM268" i="1"/>
  <c r="BN268" i="1"/>
  <c r="BO268" i="1"/>
  <c r="BQ268" i="1"/>
  <c r="BR268" i="1"/>
  <c r="BS268" i="1"/>
  <c r="BU268" i="1"/>
  <c r="BV268" i="1"/>
  <c r="BW268" i="1"/>
  <c r="BY268" i="1"/>
  <c r="BZ268" i="1"/>
  <c r="CA268" i="1"/>
  <c r="M270" i="1"/>
  <c r="N270" i="1"/>
  <c r="O270" i="1"/>
  <c r="P270" i="1"/>
  <c r="Q270" i="1"/>
  <c r="BI270" i="1"/>
  <c r="BJ270" i="1"/>
  <c r="BK270" i="1"/>
  <c r="BM270" i="1"/>
  <c r="BN270" i="1"/>
  <c r="BO270" i="1"/>
  <c r="BQ270" i="1"/>
  <c r="BR270" i="1"/>
  <c r="BS270" i="1"/>
  <c r="BU270" i="1"/>
  <c r="BV270" i="1"/>
  <c r="BW270" i="1"/>
  <c r="BY270" i="1"/>
  <c r="BZ270" i="1"/>
  <c r="CA270" i="1"/>
  <c r="M271" i="1"/>
  <c r="N271" i="1"/>
  <c r="O271" i="1"/>
  <c r="P271" i="1"/>
  <c r="Q271" i="1"/>
  <c r="BI271" i="1"/>
  <c r="BJ271" i="1"/>
  <c r="BK271" i="1"/>
  <c r="BM271" i="1"/>
  <c r="BN271" i="1"/>
  <c r="BO271" i="1"/>
  <c r="BQ271" i="1"/>
  <c r="BR271" i="1"/>
  <c r="BS271" i="1"/>
  <c r="BU271" i="1"/>
  <c r="BV271" i="1"/>
  <c r="BW271" i="1"/>
  <c r="BY271" i="1"/>
  <c r="BZ271" i="1"/>
  <c r="CA271" i="1"/>
  <c r="M272" i="1"/>
  <c r="N272" i="1"/>
  <c r="O272" i="1"/>
  <c r="P272" i="1"/>
  <c r="Q272" i="1"/>
  <c r="BI272" i="1"/>
  <c r="BJ272" i="1"/>
  <c r="BK272" i="1"/>
  <c r="BM272" i="1"/>
  <c r="BN272" i="1"/>
  <c r="BO272" i="1"/>
  <c r="BQ272" i="1"/>
  <c r="BR272" i="1"/>
  <c r="BS272" i="1"/>
  <c r="BU272" i="1"/>
  <c r="BV272" i="1"/>
  <c r="BW272" i="1"/>
  <c r="BX272" i="1"/>
  <c r="BY272" i="1"/>
  <c r="BZ272" i="1"/>
  <c r="CA272" i="1"/>
  <c r="M273" i="1"/>
  <c r="N273" i="1"/>
  <c r="O273" i="1"/>
  <c r="P273" i="1"/>
  <c r="Q273" i="1"/>
  <c r="BI273" i="1"/>
  <c r="BJ273" i="1"/>
  <c r="BK273" i="1"/>
  <c r="BM273" i="1"/>
  <c r="BN273" i="1"/>
  <c r="BO273" i="1"/>
  <c r="BQ273" i="1"/>
  <c r="BR273" i="1"/>
  <c r="BS273" i="1"/>
  <c r="BU273" i="1"/>
  <c r="BV273" i="1"/>
  <c r="BW273" i="1"/>
  <c r="BY273" i="1"/>
  <c r="BZ273" i="1"/>
  <c r="CA273" i="1"/>
  <c r="M274" i="1"/>
  <c r="N274" i="1"/>
  <c r="O274" i="1"/>
  <c r="P274" i="1"/>
  <c r="Q274" i="1"/>
  <c r="BI274" i="1"/>
  <c r="BJ274" i="1"/>
  <c r="BK274" i="1"/>
  <c r="BM274" i="1"/>
  <c r="BN274" i="1"/>
  <c r="BO274" i="1"/>
  <c r="BQ274" i="1"/>
  <c r="BR274" i="1"/>
  <c r="BS274" i="1"/>
  <c r="BU274" i="1"/>
  <c r="BV274" i="1"/>
  <c r="BW274" i="1"/>
  <c r="BX274" i="1"/>
  <c r="BY274" i="1"/>
  <c r="BZ274" i="1"/>
  <c r="CA274" i="1"/>
  <c r="P282" i="1"/>
  <c r="Q282" i="1"/>
  <c r="R282" i="1"/>
  <c r="BY282" i="1"/>
  <c r="BZ282" i="1"/>
  <c r="CA282" i="1"/>
  <c r="CC282" i="1"/>
  <c r="CD282" i="1"/>
  <c r="Q284" i="1"/>
  <c r="R284" i="1"/>
  <c r="CC284" i="1"/>
  <c r="CD284" i="1"/>
  <c r="Q285" i="1"/>
  <c r="R285" i="1"/>
  <c r="CC285" i="1"/>
  <c r="CD285" i="1"/>
  <c r="Q286" i="1"/>
  <c r="R286" i="1"/>
  <c r="CC286" i="1"/>
  <c r="CD286" i="1"/>
  <c r="Q287" i="1"/>
  <c r="R287" i="1"/>
  <c r="CC287" i="1"/>
  <c r="CD287" i="1"/>
  <c r="Q288" i="1"/>
  <c r="R288" i="1"/>
  <c r="CC288" i="1"/>
  <c r="CD288" i="1"/>
  <c r="P290" i="1"/>
  <c r="Q290" i="1"/>
  <c r="R290" i="1"/>
  <c r="CC290" i="1"/>
  <c r="CD290" i="1"/>
  <c r="P291" i="1"/>
  <c r="Q291" i="1"/>
  <c r="R291" i="1"/>
  <c r="CC291" i="1"/>
  <c r="CD291" i="1"/>
  <c r="P292" i="1"/>
  <c r="Q292" i="1"/>
  <c r="R292" i="1"/>
  <c r="CC292" i="1"/>
  <c r="CD292" i="1"/>
  <c r="P293" i="1"/>
  <c r="Q293" i="1"/>
  <c r="R293" i="1"/>
  <c r="CC293" i="1"/>
  <c r="CD293" i="1"/>
  <c r="P294" i="1"/>
  <c r="Q294" i="1"/>
  <c r="R294" i="1"/>
  <c r="CC294" i="1"/>
  <c r="CD294" i="1"/>
  <c r="BL297" i="1"/>
  <c r="BP297" i="1"/>
  <c r="BT297" i="1"/>
  <c r="BT303" i="1" s="1"/>
  <c r="BX297" i="1"/>
  <c r="BX313" i="1" s="1"/>
  <c r="BL298" i="1"/>
  <c r="BP298" i="1"/>
  <c r="BT298" i="1"/>
  <c r="BX298" i="1"/>
  <c r="BL299" i="1"/>
  <c r="BP299" i="1"/>
  <c r="BT299" i="1"/>
  <c r="BT305" i="1"/>
  <c r="BX299" i="1"/>
  <c r="BX305" i="1"/>
  <c r="BL300" i="1"/>
  <c r="BP300" i="1"/>
  <c r="BT300" i="1"/>
  <c r="BT306" i="1" s="1"/>
  <c r="BX300" i="1"/>
  <c r="BL301" i="1"/>
  <c r="BP301" i="1"/>
  <c r="BT301" i="1"/>
  <c r="BT307" i="1"/>
  <c r="BX301" i="1"/>
  <c r="N303" i="1"/>
  <c r="O303" i="1"/>
  <c r="P303" i="1"/>
  <c r="Q303" i="1"/>
  <c r="BM303" i="1"/>
  <c r="BN303" i="1"/>
  <c r="BO303" i="1"/>
  <c r="BQ303" i="1"/>
  <c r="BR303" i="1"/>
  <c r="BS303" i="1"/>
  <c r="BU303" i="1"/>
  <c r="BV303" i="1"/>
  <c r="BW303" i="1"/>
  <c r="BY303" i="1"/>
  <c r="BZ303" i="1"/>
  <c r="CA303" i="1"/>
  <c r="N304" i="1"/>
  <c r="O304" i="1"/>
  <c r="P304" i="1"/>
  <c r="Q304" i="1"/>
  <c r="BM304" i="1"/>
  <c r="BN304" i="1"/>
  <c r="BO304" i="1"/>
  <c r="BQ304" i="1"/>
  <c r="BR304" i="1"/>
  <c r="BS304" i="1"/>
  <c r="BU304" i="1"/>
  <c r="BV304" i="1"/>
  <c r="BW304" i="1"/>
  <c r="BY304" i="1"/>
  <c r="BZ304" i="1"/>
  <c r="CA304" i="1"/>
  <c r="N305" i="1"/>
  <c r="O305" i="1"/>
  <c r="P305" i="1"/>
  <c r="Q305" i="1"/>
  <c r="BM305" i="1"/>
  <c r="BN305" i="1"/>
  <c r="BO305" i="1"/>
  <c r="BQ305" i="1"/>
  <c r="BR305" i="1"/>
  <c r="BS305" i="1"/>
  <c r="BU305" i="1"/>
  <c r="BV305" i="1"/>
  <c r="BW305" i="1"/>
  <c r="BY305" i="1"/>
  <c r="BZ305" i="1"/>
  <c r="CA305" i="1"/>
  <c r="N306" i="1"/>
  <c r="O306" i="1"/>
  <c r="P306" i="1"/>
  <c r="Q306" i="1"/>
  <c r="BM306" i="1"/>
  <c r="BN306" i="1"/>
  <c r="BO306" i="1"/>
  <c r="BQ306" i="1"/>
  <c r="BR306" i="1"/>
  <c r="BS306" i="1"/>
  <c r="BU306" i="1"/>
  <c r="BV306" i="1"/>
  <c r="BW306" i="1"/>
  <c r="BY306" i="1"/>
  <c r="BZ306" i="1"/>
  <c r="CA306" i="1"/>
  <c r="N307" i="1"/>
  <c r="O307" i="1"/>
  <c r="P307" i="1"/>
  <c r="Q307" i="1"/>
  <c r="BM307" i="1"/>
  <c r="BN307" i="1"/>
  <c r="BO307" i="1"/>
  <c r="BQ307" i="1"/>
  <c r="BR307" i="1"/>
  <c r="BS307" i="1"/>
  <c r="BU307" i="1"/>
  <c r="BV307" i="1"/>
  <c r="BW307" i="1"/>
  <c r="BY307" i="1"/>
  <c r="BZ307" i="1"/>
  <c r="CA307" i="1"/>
  <c r="M309" i="1"/>
  <c r="N309" i="1"/>
  <c r="O309" i="1"/>
  <c r="P309" i="1"/>
  <c r="Q309" i="1"/>
  <c r="BI309" i="1"/>
  <c r="BJ309" i="1"/>
  <c r="BK309" i="1"/>
  <c r="BM309" i="1"/>
  <c r="BN309" i="1"/>
  <c r="BO309" i="1"/>
  <c r="BQ309" i="1"/>
  <c r="BR309" i="1"/>
  <c r="BS309" i="1"/>
  <c r="BU309" i="1"/>
  <c r="BV309" i="1"/>
  <c r="BW309" i="1"/>
  <c r="BY309" i="1"/>
  <c r="BZ309" i="1"/>
  <c r="CA309" i="1"/>
  <c r="M310" i="1"/>
  <c r="N310" i="1"/>
  <c r="O310" i="1"/>
  <c r="P310" i="1"/>
  <c r="Q310" i="1"/>
  <c r="BI310" i="1"/>
  <c r="BJ310" i="1"/>
  <c r="BK310" i="1"/>
  <c r="BM310" i="1"/>
  <c r="BN310" i="1"/>
  <c r="BO310" i="1"/>
  <c r="BQ310" i="1"/>
  <c r="BR310" i="1"/>
  <c r="BS310" i="1"/>
  <c r="BU310" i="1"/>
  <c r="BV310" i="1"/>
  <c r="BW310" i="1"/>
  <c r="BY310" i="1"/>
  <c r="BZ310" i="1"/>
  <c r="CA310" i="1"/>
  <c r="M311" i="1"/>
  <c r="N311" i="1"/>
  <c r="O311" i="1"/>
  <c r="P311" i="1"/>
  <c r="Q311" i="1"/>
  <c r="BI311" i="1"/>
  <c r="BJ311" i="1"/>
  <c r="BK311" i="1"/>
  <c r="BM311" i="1"/>
  <c r="BN311" i="1"/>
  <c r="BO311" i="1"/>
  <c r="BQ311" i="1"/>
  <c r="BR311" i="1"/>
  <c r="BS311" i="1"/>
  <c r="BU311" i="1"/>
  <c r="BV311" i="1"/>
  <c r="BW311" i="1"/>
  <c r="BY311" i="1"/>
  <c r="BZ311" i="1"/>
  <c r="CA311" i="1"/>
  <c r="M312" i="1"/>
  <c r="N312" i="1"/>
  <c r="O312" i="1"/>
  <c r="P312" i="1"/>
  <c r="Q312" i="1"/>
  <c r="BI312" i="1"/>
  <c r="BJ312" i="1"/>
  <c r="BK312" i="1"/>
  <c r="BM312" i="1"/>
  <c r="BN312" i="1"/>
  <c r="BO312" i="1"/>
  <c r="BQ312" i="1"/>
  <c r="BR312" i="1"/>
  <c r="BS312" i="1"/>
  <c r="BU312" i="1"/>
  <c r="BV312" i="1"/>
  <c r="BW312" i="1"/>
  <c r="BY312" i="1"/>
  <c r="BZ312" i="1"/>
  <c r="CA312" i="1"/>
  <c r="M313" i="1"/>
  <c r="N313" i="1"/>
  <c r="O313" i="1"/>
  <c r="P313" i="1"/>
  <c r="Q313" i="1"/>
  <c r="BI313" i="1"/>
  <c r="BJ313" i="1"/>
  <c r="BK313" i="1"/>
  <c r="BM313" i="1"/>
  <c r="BN313" i="1"/>
  <c r="BO313" i="1"/>
  <c r="BQ313" i="1"/>
  <c r="BR313" i="1"/>
  <c r="BS313" i="1"/>
  <c r="BU313" i="1"/>
  <c r="BV313" i="1"/>
  <c r="BW313" i="1"/>
  <c r="BY313" i="1"/>
  <c r="BZ313" i="1"/>
  <c r="CA313" i="1"/>
  <c r="BL316" i="1"/>
  <c r="BP316" i="1"/>
  <c r="BP323" i="1"/>
  <c r="BT316" i="1"/>
  <c r="BX316" i="1"/>
  <c r="CB316" i="1"/>
  <c r="BL317" i="1"/>
  <c r="BP317" i="1"/>
  <c r="BT317" i="1"/>
  <c r="BT324" i="1"/>
  <c r="BX317" i="1"/>
  <c r="BY317" i="1"/>
  <c r="BL318" i="1"/>
  <c r="BP318" i="1"/>
  <c r="BP329" i="1" s="1"/>
  <c r="BT318" i="1"/>
  <c r="BT325" i="1"/>
  <c r="BX318" i="1"/>
  <c r="CB318" i="1"/>
  <c r="BL319" i="1"/>
  <c r="BP319" i="1"/>
  <c r="BP326" i="1" s="1"/>
  <c r="BT319" i="1"/>
  <c r="BX319" i="1"/>
  <c r="BY319" i="1"/>
  <c r="CB319" i="1"/>
  <c r="CB326" i="1" s="1"/>
  <c r="BL320" i="1"/>
  <c r="BP320" i="1"/>
  <c r="BP327" i="1"/>
  <c r="BT320" i="1"/>
  <c r="BX320" i="1"/>
  <c r="BY320" i="1"/>
  <c r="O321" i="1"/>
  <c r="P321" i="1"/>
  <c r="Q321" i="1"/>
  <c r="R321" i="1"/>
  <c r="BU321" i="1"/>
  <c r="BV321" i="1"/>
  <c r="BW321" i="1"/>
  <c r="BZ321" i="1"/>
  <c r="CA321" i="1"/>
  <c r="CC321" i="1"/>
  <c r="CD321" i="1"/>
  <c r="N323" i="1"/>
  <c r="O323" i="1"/>
  <c r="P323" i="1"/>
  <c r="Q323" i="1"/>
  <c r="R323" i="1"/>
  <c r="BM323" i="1"/>
  <c r="BN323" i="1"/>
  <c r="BO323" i="1"/>
  <c r="BQ323" i="1"/>
  <c r="BR323" i="1"/>
  <c r="BS323" i="1"/>
  <c r="BU323" i="1"/>
  <c r="BV323" i="1"/>
  <c r="BW323" i="1"/>
  <c r="BY323" i="1"/>
  <c r="BZ323" i="1"/>
  <c r="CA323" i="1"/>
  <c r="CC323" i="1"/>
  <c r="CD323" i="1"/>
  <c r="N324" i="1"/>
  <c r="O324" i="1"/>
  <c r="P324" i="1"/>
  <c r="Q324" i="1"/>
  <c r="R324" i="1"/>
  <c r="BM324" i="1"/>
  <c r="BN324" i="1"/>
  <c r="BO324" i="1"/>
  <c r="BQ324" i="1"/>
  <c r="BR324" i="1"/>
  <c r="BS324" i="1"/>
  <c r="BU324" i="1"/>
  <c r="BV324" i="1"/>
  <c r="BW324" i="1"/>
  <c r="BZ324" i="1"/>
  <c r="CA324" i="1"/>
  <c r="CD324" i="1"/>
  <c r="N325" i="1"/>
  <c r="O325" i="1"/>
  <c r="P325" i="1"/>
  <c r="Q325" i="1"/>
  <c r="R325" i="1"/>
  <c r="BM325" i="1"/>
  <c r="BN325" i="1"/>
  <c r="BO325" i="1"/>
  <c r="BQ325" i="1"/>
  <c r="BR325" i="1"/>
  <c r="BS325" i="1"/>
  <c r="BU325" i="1"/>
  <c r="BV325" i="1"/>
  <c r="BW325" i="1"/>
  <c r="BY325" i="1"/>
  <c r="BZ325" i="1"/>
  <c r="CA325" i="1"/>
  <c r="CC325" i="1"/>
  <c r="CD325" i="1"/>
  <c r="N326" i="1"/>
  <c r="O326" i="1"/>
  <c r="P326" i="1"/>
  <c r="Q326" i="1"/>
  <c r="R326" i="1"/>
  <c r="BM326" i="1"/>
  <c r="BN326" i="1"/>
  <c r="BO326" i="1"/>
  <c r="BQ326" i="1"/>
  <c r="BR326" i="1"/>
  <c r="BS326" i="1"/>
  <c r="BU326" i="1"/>
  <c r="BV326" i="1"/>
  <c r="BW326" i="1"/>
  <c r="BZ326" i="1"/>
  <c r="CA326" i="1"/>
  <c r="CD326" i="1"/>
  <c r="N327" i="1"/>
  <c r="O327" i="1"/>
  <c r="P327" i="1"/>
  <c r="Q327" i="1"/>
  <c r="R327" i="1"/>
  <c r="BM327" i="1"/>
  <c r="BN327" i="1"/>
  <c r="BO327" i="1"/>
  <c r="BQ327" i="1"/>
  <c r="BR327" i="1"/>
  <c r="BS327" i="1"/>
  <c r="BT327" i="1"/>
  <c r="BU327" i="1"/>
  <c r="BV327" i="1"/>
  <c r="BW327" i="1"/>
  <c r="BZ327" i="1"/>
  <c r="CA327" i="1"/>
  <c r="CD327" i="1"/>
  <c r="M329" i="1"/>
  <c r="N329" i="1"/>
  <c r="O329" i="1"/>
  <c r="P329" i="1"/>
  <c r="Q329" i="1"/>
  <c r="R329" i="1"/>
  <c r="BI329" i="1"/>
  <c r="BJ329" i="1"/>
  <c r="BK329" i="1"/>
  <c r="BM329" i="1"/>
  <c r="BN329" i="1"/>
  <c r="BO329" i="1"/>
  <c r="BQ329" i="1"/>
  <c r="BR329" i="1"/>
  <c r="BS329" i="1"/>
  <c r="BU329" i="1"/>
  <c r="BV329" i="1"/>
  <c r="BW329" i="1"/>
  <c r="BZ329" i="1"/>
  <c r="CA329" i="1"/>
  <c r="CC329" i="1"/>
  <c r="CD329" i="1"/>
  <c r="M330" i="1"/>
  <c r="N330" i="1"/>
  <c r="O330" i="1"/>
  <c r="P330" i="1"/>
  <c r="Q330" i="1"/>
  <c r="R330" i="1"/>
  <c r="BI330" i="1"/>
  <c r="BJ330" i="1"/>
  <c r="BK330" i="1"/>
  <c r="BM330" i="1"/>
  <c r="BN330" i="1"/>
  <c r="BO330" i="1"/>
  <c r="BQ330" i="1"/>
  <c r="BR330" i="1"/>
  <c r="BS330" i="1"/>
  <c r="BU330" i="1"/>
  <c r="BV330" i="1"/>
  <c r="BW330" i="1"/>
  <c r="BZ330" i="1"/>
  <c r="CA330" i="1"/>
  <c r="CC330" i="1"/>
  <c r="CD330" i="1"/>
  <c r="M331" i="1"/>
  <c r="N331" i="1"/>
  <c r="O331" i="1"/>
  <c r="P331" i="1"/>
  <c r="Q331" i="1"/>
  <c r="R331" i="1"/>
  <c r="BI331" i="1"/>
  <c r="BJ331" i="1"/>
  <c r="BK331" i="1"/>
  <c r="BM331" i="1"/>
  <c r="BN331" i="1"/>
  <c r="BO331" i="1"/>
  <c r="BQ331" i="1"/>
  <c r="BR331" i="1"/>
  <c r="BS331" i="1"/>
  <c r="BU331" i="1"/>
  <c r="BV331" i="1"/>
  <c r="BW331" i="1"/>
  <c r="BZ331" i="1"/>
  <c r="CA331" i="1"/>
  <c r="CC331" i="1"/>
  <c r="CD331" i="1"/>
  <c r="M332" i="1"/>
  <c r="N332" i="1"/>
  <c r="O332" i="1"/>
  <c r="P332" i="1"/>
  <c r="Q332" i="1"/>
  <c r="R332" i="1"/>
  <c r="BI332" i="1"/>
  <c r="BJ332" i="1"/>
  <c r="BK332" i="1"/>
  <c r="BL332" i="1"/>
  <c r="BM332" i="1"/>
  <c r="BN332" i="1"/>
  <c r="BO332" i="1"/>
  <c r="BP332" i="1"/>
  <c r="BQ332" i="1"/>
  <c r="BR332" i="1"/>
  <c r="BS332" i="1"/>
  <c r="BT332" i="1"/>
  <c r="BU332" i="1"/>
  <c r="BV332" i="1"/>
  <c r="BW332" i="1"/>
  <c r="BX332" i="1"/>
  <c r="BZ332" i="1"/>
  <c r="CA332" i="1"/>
  <c r="CC332" i="1"/>
  <c r="CD332" i="1"/>
  <c r="M333" i="1"/>
  <c r="N333" i="1"/>
  <c r="O333" i="1"/>
  <c r="P333" i="1"/>
  <c r="Q333" i="1"/>
  <c r="R333" i="1"/>
  <c r="BI333" i="1"/>
  <c r="BJ333" i="1"/>
  <c r="BK333" i="1"/>
  <c r="BM333" i="1"/>
  <c r="BN333" i="1"/>
  <c r="BO333" i="1"/>
  <c r="BQ333" i="1"/>
  <c r="BR333" i="1"/>
  <c r="BS333" i="1"/>
  <c r="BU333" i="1"/>
  <c r="BV333" i="1"/>
  <c r="BW333" i="1"/>
  <c r="BZ333" i="1"/>
  <c r="CA333" i="1"/>
  <c r="CC333" i="1"/>
  <c r="CD333" i="1"/>
  <c r="BL336" i="1"/>
  <c r="BL356" i="1" s="1"/>
  <c r="BP336" i="1"/>
  <c r="BT336" i="1"/>
  <c r="BX336" i="1"/>
  <c r="CB336" i="1"/>
  <c r="BL337" i="1"/>
  <c r="BP337" i="1"/>
  <c r="BP344" i="1" s="1"/>
  <c r="BT337" i="1"/>
  <c r="BX337" i="1"/>
  <c r="CB337" i="1"/>
  <c r="BL338" i="1"/>
  <c r="BP338" i="1"/>
  <c r="BT338" i="1"/>
  <c r="BX338" i="1"/>
  <c r="BX345" i="1"/>
  <c r="CB338" i="1"/>
  <c r="BL339" i="1"/>
  <c r="BP339" i="1"/>
  <c r="BP352" i="1" s="1"/>
  <c r="BT339" i="1"/>
  <c r="BX339" i="1"/>
  <c r="CB339" i="1"/>
  <c r="BL340" i="1"/>
  <c r="BP340" i="1"/>
  <c r="BP360" i="1"/>
  <c r="BT340" i="1"/>
  <c r="BX340" i="1"/>
  <c r="CB340" i="1"/>
  <c r="O341" i="1"/>
  <c r="P341" i="1"/>
  <c r="Q341" i="1"/>
  <c r="R341" i="1"/>
  <c r="BU341" i="1"/>
  <c r="BV341" i="1"/>
  <c r="BW341" i="1"/>
  <c r="BY341" i="1"/>
  <c r="BZ341" i="1"/>
  <c r="CA341" i="1"/>
  <c r="CC341" i="1"/>
  <c r="CD341" i="1"/>
  <c r="N343" i="1"/>
  <c r="O343" i="1"/>
  <c r="P343" i="1"/>
  <c r="Q343" i="1"/>
  <c r="R343" i="1"/>
  <c r="BM343" i="1"/>
  <c r="BN343" i="1"/>
  <c r="BO343" i="1"/>
  <c r="BQ343" i="1"/>
  <c r="BR343" i="1"/>
  <c r="BS343" i="1"/>
  <c r="BU343" i="1"/>
  <c r="BV343" i="1"/>
  <c r="BW343" i="1"/>
  <c r="BY343" i="1"/>
  <c r="BZ343" i="1"/>
  <c r="CA343" i="1"/>
  <c r="CC343" i="1"/>
  <c r="CD343" i="1"/>
  <c r="N344" i="1"/>
  <c r="O344" i="1"/>
  <c r="P344" i="1"/>
  <c r="Q344" i="1"/>
  <c r="R344" i="1"/>
  <c r="BM344" i="1"/>
  <c r="BN344" i="1"/>
  <c r="BO344" i="1"/>
  <c r="BQ344" i="1"/>
  <c r="BR344" i="1"/>
  <c r="BS344" i="1"/>
  <c r="BU344" i="1"/>
  <c r="BV344" i="1"/>
  <c r="BW344" i="1"/>
  <c r="BY344" i="1"/>
  <c r="BZ344" i="1"/>
  <c r="CA344" i="1"/>
  <c r="CC344" i="1"/>
  <c r="CD344" i="1"/>
  <c r="N345" i="1"/>
  <c r="O345" i="1"/>
  <c r="P345" i="1"/>
  <c r="Q345" i="1"/>
  <c r="R345" i="1"/>
  <c r="BM345" i="1"/>
  <c r="BN345" i="1"/>
  <c r="BO345" i="1"/>
  <c r="BQ345" i="1"/>
  <c r="BR345" i="1"/>
  <c r="BS345" i="1"/>
  <c r="BU345" i="1"/>
  <c r="BV345" i="1"/>
  <c r="BW345" i="1"/>
  <c r="BY345" i="1"/>
  <c r="BZ345" i="1"/>
  <c r="CA345" i="1"/>
  <c r="CC345" i="1"/>
  <c r="CD345" i="1"/>
  <c r="N346" i="1"/>
  <c r="O346" i="1"/>
  <c r="BM346" i="1"/>
  <c r="BN346" i="1"/>
  <c r="BO346" i="1"/>
  <c r="N347" i="1"/>
  <c r="O347" i="1"/>
  <c r="BM347" i="1"/>
  <c r="BN347" i="1"/>
  <c r="BO347" i="1"/>
  <c r="BQ347" i="1"/>
  <c r="BR347" i="1"/>
  <c r="BS347" i="1"/>
  <c r="M349" i="1"/>
  <c r="N349" i="1"/>
  <c r="O349" i="1"/>
  <c r="P349" i="1"/>
  <c r="Q349" i="1"/>
  <c r="R349" i="1"/>
  <c r="BI349" i="1"/>
  <c r="BJ349" i="1"/>
  <c r="BK349" i="1"/>
  <c r="BM349" i="1"/>
  <c r="BN349" i="1"/>
  <c r="BO349" i="1"/>
  <c r="BQ349" i="1"/>
  <c r="BR349" i="1"/>
  <c r="BS349" i="1"/>
  <c r="BU349" i="1"/>
  <c r="BV349" i="1"/>
  <c r="BW349" i="1"/>
  <c r="BY349" i="1"/>
  <c r="BZ349" i="1"/>
  <c r="CA349" i="1"/>
  <c r="CC349" i="1"/>
  <c r="CD349" i="1"/>
  <c r="M350" i="1"/>
  <c r="N350" i="1"/>
  <c r="O350" i="1"/>
  <c r="P350" i="1"/>
  <c r="Q350" i="1"/>
  <c r="R350" i="1"/>
  <c r="BI350" i="1"/>
  <c r="BJ350" i="1"/>
  <c r="BK350" i="1"/>
  <c r="BM350" i="1"/>
  <c r="BN350" i="1"/>
  <c r="BO350" i="1"/>
  <c r="BQ350" i="1"/>
  <c r="BR350" i="1"/>
  <c r="BS350" i="1"/>
  <c r="BU350" i="1"/>
  <c r="BV350" i="1"/>
  <c r="BW350" i="1"/>
  <c r="BY350" i="1"/>
  <c r="BZ350" i="1"/>
  <c r="CA350" i="1"/>
  <c r="CC350" i="1"/>
  <c r="CD350" i="1"/>
  <c r="M351" i="1"/>
  <c r="N351" i="1"/>
  <c r="O351" i="1"/>
  <c r="P351" i="1"/>
  <c r="Q351" i="1"/>
  <c r="R351" i="1"/>
  <c r="BI351" i="1"/>
  <c r="BJ351" i="1"/>
  <c r="BK351" i="1"/>
  <c r="BM351" i="1"/>
  <c r="BN351" i="1"/>
  <c r="BO351" i="1"/>
  <c r="BQ351" i="1"/>
  <c r="BR351" i="1"/>
  <c r="BS351" i="1"/>
  <c r="BU351" i="1"/>
  <c r="BV351" i="1"/>
  <c r="BW351" i="1"/>
  <c r="BY351" i="1"/>
  <c r="BZ351" i="1"/>
  <c r="CA351" i="1"/>
  <c r="CC351" i="1"/>
  <c r="CD351" i="1"/>
  <c r="M352" i="1"/>
  <c r="N352" i="1"/>
  <c r="O352" i="1"/>
  <c r="P352" i="1"/>
  <c r="Q352" i="1"/>
  <c r="R352" i="1"/>
  <c r="BI352" i="1"/>
  <c r="BJ352" i="1"/>
  <c r="BK352" i="1"/>
  <c r="BM352" i="1"/>
  <c r="BN352" i="1"/>
  <c r="BO352" i="1"/>
  <c r="BQ352" i="1"/>
  <c r="BR352" i="1"/>
  <c r="BS352" i="1"/>
  <c r="BU352" i="1"/>
  <c r="BV352" i="1"/>
  <c r="BW352" i="1"/>
  <c r="BY352" i="1"/>
  <c r="BZ352" i="1"/>
  <c r="CA352" i="1"/>
  <c r="CC352" i="1"/>
  <c r="CD352" i="1"/>
  <c r="M353" i="1"/>
  <c r="N353" i="1"/>
  <c r="O353" i="1"/>
  <c r="P353" i="1"/>
  <c r="Q353" i="1"/>
  <c r="R353" i="1"/>
  <c r="BI353" i="1"/>
  <c r="BJ353" i="1"/>
  <c r="BK353" i="1"/>
  <c r="BM353" i="1"/>
  <c r="BN353" i="1"/>
  <c r="BO353" i="1"/>
  <c r="BQ353" i="1"/>
  <c r="BR353" i="1"/>
  <c r="BS353" i="1"/>
  <c r="BU353" i="1"/>
  <c r="BV353" i="1"/>
  <c r="BW353" i="1"/>
  <c r="BY353" i="1"/>
  <c r="BZ353" i="1"/>
  <c r="CA353" i="1"/>
  <c r="CC353" i="1"/>
  <c r="CD353" i="1"/>
  <c r="N356" i="1"/>
  <c r="O356" i="1"/>
  <c r="O363" i="1" s="1"/>
  <c r="P356" i="1"/>
  <c r="Q356" i="1"/>
  <c r="R356" i="1"/>
  <c r="BI356" i="1"/>
  <c r="BJ356" i="1"/>
  <c r="BK356" i="1"/>
  <c r="BM356" i="1"/>
  <c r="BN356" i="1"/>
  <c r="BO356" i="1"/>
  <c r="BO363" i="1" s="1"/>
  <c r="BQ356" i="1"/>
  <c r="BR356" i="1"/>
  <c r="BS356" i="1"/>
  <c r="BU356" i="1"/>
  <c r="BV356" i="1"/>
  <c r="BW356" i="1"/>
  <c r="BY356" i="1"/>
  <c r="BY363" i="1" s="1"/>
  <c r="BZ356" i="1"/>
  <c r="CA356" i="1"/>
  <c r="CA363" i="1" s="1"/>
  <c r="CC356" i="1"/>
  <c r="CC363" i="1"/>
  <c r="CD356" i="1"/>
  <c r="N357" i="1"/>
  <c r="O357" i="1"/>
  <c r="O364" i="1"/>
  <c r="P357" i="1"/>
  <c r="Q357" i="1"/>
  <c r="Q364" i="1" s="1"/>
  <c r="R357" i="1"/>
  <c r="R364" i="1" s="1"/>
  <c r="BI357" i="1"/>
  <c r="BM364" i="1" s="1"/>
  <c r="BJ357" i="1"/>
  <c r="BK357" i="1"/>
  <c r="BM357" i="1"/>
  <c r="BN357" i="1"/>
  <c r="BN364" i="1" s="1"/>
  <c r="BO357" i="1"/>
  <c r="BO364" i="1" s="1"/>
  <c r="BQ357" i="1"/>
  <c r="BR357" i="1"/>
  <c r="BS357" i="1"/>
  <c r="BU357" i="1"/>
  <c r="BV357" i="1"/>
  <c r="BW357" i="1"/>
  <c r="BY357" i="1"/>
  <c r="BZ357" i="1"/>
  <c r="CA357" i="1"/>
  <c r="CC357" i="1"/>
  <c r="CD357" i="1"/>
  <c r="N358" i="1"/>
  <c r="O365" i="1" s="1"/>
  <c r="O358" i="1"/>
  <c r="P358" i="1"/>
  <c r="Q358" i="1"/>
  <c r="R358" i="1"/>
  <c r="BI358" i="1"/>
  <c r="BJ358" i="1"/>
  <c r="BK358" i="1"/>
  <c r="BM358" i="1"/>
  <c r="BN358" i="1"/>
  <c r="BN365" i="1" s="1"/>
  <c r="BO358" i="1"/>
  <c r="BO365" i="1"/>
  <c r="BQ358" i="1"/>
  <c r="BR358" i="1"/>
  <c r="BS358" i="1"/>
  <c r="BS365" i="1"/>
  <c r="BU358" i="1"/>
  <c r="BV358" i="1"/>
  <c r="BW358" i="1"/>
  <c r="BY358" i="1"/>
  <c r="BZ358" i="1"/>
  <c r="CA358" i="1"/>
  <c r="CE365" i="1" s="1"/>
  <c r="CC358" i="1"/>
  <c r="CD358" i="1"/>
  <c r="CD365" i="1"/>
  <c r="N359" i="1"/>
  <c r="O359" i="1"/>
  <c r="P359" i="1"/>
  <c r="Q359" i="1"/>
  <c r="R359" i="1"/>
  <c r="BI359" i="1"/>
  <c r="BJ359" i="1"/>
  <c r="BK359" i="1"/>
  <c r="BM359" i="1"/>
  <c r="BM366" i="1"/>
  <c r="BN359" i="1"/>
  <c r="BN366" i="1"/>
  <c r="BO359" i="1"/>
  <c r="BQ359" i="1"/>
  <c r="BQ366" i="1"/>
  <c r="BR359" i="1"/>
  <c r="BS359" i="1"/>
  <c r="BU359" i="1"/>
  <c r="BU366" i="1" s="1"/>
  <c r="BV359" i="1"/>
  <c r="BV366" i="1" s="1"/>
  <c r="BW359" i="1"/>
  <c r="CA366" i="1" s="1"/>
  <c r="BY359" i="1"/>
  <c r="BY366" i="1" s="1"/>
  <c r="BZ359" i="1"/>
  <c r="CA359" i="1"/>
  <c r="CC359" i="1"/>
  <c r="CD359" i="1"/>
  <c r="CD366" i="1" s="1"/>
  <c r="N360" i="1"/>
  <c r="O367" i="1" s="1"/>
  <c r="O360" i="1"/>
  <c r="O370" i="1"/>
  <c r="P360" i="1"/>
  <c r="P373" i="1"/>
  <c r="Q360" i="1"/>
  <c r="R360" i="1"/>
  <c r="BI360" i="1"/>
  <c r="BJ360" i="1"/>
  <c r="BK360" i="1"/>
  <c r="BM360" i="1"/>
  <c r="BM367" i="1" s="1"/>
  <c r="BN360" i="1"/>
  <c r="BN373" i="1"/>
  <c r="BO360" i="1"/>
  <c r="BO369" i="1"/>
  <c r="BQ360" i="1"/>
  <c r="BQ373" i="1"/>
  <c r="BR360" i="1"/>
  <c r="BS360" i="1"/>
  <c r="BS367" i="1" s="1"/>
  <c r="BT360" i="1"/>
  <c r="BU360" i="1"/>
  <c r="BV360" i="1"/>
  <c r="BW360" i="1"/>
  <c r="BY360" i="1"/>
  <c r="BY367" i="1" s="1"/>
  <c r="BZ360" i="1"/>
  <c r="CA360" i="1"/>
  <c r="CE367" i="1" s="1"/>
  <c r="CC360" i="1"/>
  <c r="CD360" i="1"/>
  <c r="CD373" i="1"/>
  <c r="R363" i="1"/>
  <c r="BN363" i="1"/>
  <c r="BV363" i="1"/>
  <c r="BZ363" i="1"/>
  <c r="CD363" i="1"/>
  <c r="BQ364" i="1"/>
  <c r="CA364" i="1"/>
  <c r="BM365" i="1"/>
  <c r="BQ365" i="1"/>
  <c r="BU365" i="1"/>
  <c r="BY365" i="1"/>
  <c r="BO366" i="1"/>
  <c r="BO367" i="1"/>
  <c r="BU367" i="1"/>
  <c r="CD367" i="1"/>
  <c r="BU370" i="1"/>
  <c r="P372" i="1"/>
  <c r="U125" i="1"/>
  <c r="CI223" i="1"/>
  <c r="CI226" i="1"/>
  <c r="CI224" i="1"/>
  <c r="CE158" i="2"/>
  <c r="CI164" i="1"/>
  <c r="CI161" i="1"/>
  <c r="CI157" i="1"/>
  <c r="CE134" i="1"/>
  <c r="CI163" i="1"/>
  <c r="CI160" i="1"/>
  <c r="CI199" i="1"/>
  <c r="CI62" i="1"/>
  <c r="CE154" i="2"/>
  <c r="CI49" i="1"/>
  <c r="CI147" i="1"/>
  <c r="CI148" i="1"/>
  <c r="CI149" i="1"/>
  <c r="CI145" i="1"/>
  <c r="CI150" i="1"/>
  <c r="CI144" i="1"/>
  <c r="CI151" i="1"/>
  <c r="CE144" i="2"/>
  <c r="CE10" i="2" s="1"/>
  <c r="CE118" i="2" s="1"/>
  <c r="CE22" i="2"/>
  <c r="CE370" i="1"/>
  <c r="CE369" i="1"/>
  <c r="CF175" i="2"/>
  <c r="CE151" i="2"/>
  <c r="CE19" i="2" s="1"/>
  <c r="U289" i="2"/>
  <c r="CE84" i="2"/>
  <c r="CE76" i="2"/>
  <c r="CE178" i="2"/>
  <c r="CE180" i="2"/>
  <c r="V53" i="2"/>
  <c r="CE55" i="1"/>
  <c r="CI202" i="1"/>
  <c r="CI196" i="1"/>
  <c r="CE140" i="1"/>
  <c r="CI203" i="1"/>
  <c r="CA117" i="1"/>
  <c r="BS223" i="1"/>
  <c r="N117" i="1"/>
  <c r="N121" i="1"/>
  <c r="CA107" i="1"/>
  <c r="CA103" i="1"/>
  <c r="BW105" i="1"/>
  <c r="BS103" i="1"/>
  <c r="BO106" i="1"/>
  <c r="BK106" i="1"/>
  <c r="CC63" i="1"/>
  <c r="CC61" i="1"/>
  <c r="CC62" i="1"/>
  <c r="CC64" i="1"/>
  <c r="CC65" i="1"/>
  <c r="CC196" i="1"/>
  <c r="CH196" i="1"/>
  <c r="CD158" i="2"/>
  <c r="CH223" i="1"/>
  <c r="CD118" i="1"/>
  <c r="CD119" i="1"/>
  <c r="BZ119" i="1"/>
  <c r="BR118" i="1"/>
  <c r="BR119" i="1"/>
  <c r="BN117" i="1"/>
  <c r="BN121" i="1"/>
  <c r="BN119" i="1"/>
  <c r="BJ117" i="1"/>
  <c r="BJ118" i="1"/>
  <c r="BJ121" i="1"/>
  <c r="BJ120" i="1"/>
  <c r="BJ119" i="1"/>
  <c r="BJ223" i="1"/>
  <c r="CH226" i="1"/>
  <c r="BR224" i="1"/>
  <c r="BJ224" i="1"/>
  <c r="CB223" i="1"/>
  <c r="CD213" i="1"/>
  <c r="CD211" i="1"/>
  <c r="CD214" i="1"/>
  <c r="CD215" i="1"/>
  <c r="CD216" i="1"/>
  <c r="BZ105" i="1"/>
  <c r="BV105" i="1"/>
  <c r="BR210" i="1"/>
  <c r="BR103" i="1"/>
  <c r="BR211" i="1"/>
  <c r="BN210" i="1"/>
  <c r="BN103" i="1"/>
  <c r="BN107" i="1"/>
  <c r="BJ210" i="1"/>
  <c r="BJ107" i="1"/>
  <c r="CD217" i="1"/>
  <c r="CC158" i="2"/>
  <c r="CG223" i="1"/>
  <c r="CC120" i="1"/>
  <c r="BY121" i="1"/>
  <c r="BY224" i="1"/>
  <c r="BY120" i="1"/>
  <c r="BY119" i="1"/>
  <c r="BY117" i="1"/>
  <c r="BY118" i="1"/>
  <c r="BU224" i="1"/>
  <c r="BU119" i="1"/>
  <c r="BU118" i="1"/>
  <c r="BM224" i="1"/>
  <c r="BM118" i="1"/>
  <c r="P119" i="1"/>
  <c r="CH224" i="1"/>
  <c r="BY223" i="1"/>
  <c r="CB120" i="1"/>
  <c r="CB119" i="1"/>
  <c r="CB117" i="1"/>
  <c r="CB118" i="1"/>
  <c r="CB121" i="1"/>
  <c r="BX120" i="1"/>
  <c r="BX119" i="1"/>
  <c r="BX117" i="1"/>
  <c r="BX118" i="1"/>
  <c r="BX124" i="1" s="1"/>
  <c r="BX121" i="1"/>
  <c r="BT120" i="1"/>
  <c r="BT224" i="1"/>
  <c r="BP120" i="1"/>
  <c r="BP121" i="1"/>
  <c r="BL119" i="1"/>
  <c r="BL118" i="1"/>
  <c r="BL224" i="1"/>
  <c r="BX223" i="1"/>
  <c r="O103" i="1"/>
  <c r="CH62" i="1"/>
  <c r="CH197" i="1"/>
  <c r="CD61" i="1"/>
  <c r="BZ61" i="1"/>
  <c r="Q65" i="1"/>
  <c r="Q197" i="1"/>
  <c r="CC213" i="1"/>
  <c r="CC210" i="1"/>
  <c r="BI210" i="1"/>
  <c r="CE61" i="1"/>
  <c r="CA65" i="1"/>
  <c r="BY92" i="1"/>
  <c r="BU92" i="1"/>
  <c r="BQ91" i="1"/>
  <c r="M91" i="1"/>
  <c r="BK184" i="1"/>
  <c r="BI183" i="1"/>
  <c r="BY78" i="1"/>
  <c r="BY76" i="1"/>
  <c r="BU76" i="1"/>
  <c r="BQ78" i="1"/>
  <c r="BM78" i="1"/>
  <c r="BM76" i="1"/>
  <c r="BI78" i="1"/>
  <c r="BI75" i="1"/>
  <c r="M76" i="1"/>
  <c r="BY170" i="1"/>
  <c r="BM170" i="1"/>
  <c r="CA50" i="1"/>
  <c r="CA51" i="1"/>
  <c r="CA47" i="1"/>
  <c r="CA48" i="1"/>
  <c r="CA49" i="1"/>
  <c r="CC154" i="2"/>
  <c r="CG49" i="1"/>
  <c r="CG54" i="1"/>
  <c r="CC35" i="1"/>
  <c r="BY35" i="1"/>
  <c r="BU33" i="1"/>
  <c r="BQ35" i="1"/>
  <c r="BQ33" i="1"/>
  <c r="BM34" i="1"/>
  <c r="BM35" i="1"/>
  <c r="BM36" i="1"/>
  <c r="BM37" i="1"/>
  <c r="BM33" i="1"/>
  <c r="BM40" i="1" s="1"/>
  <c r="P35" i="1"/>
  <c r="P33" i="1"/>
  <c r="CG150" i="1"/>
  <c r="CG148" i="1"/>
  <c r="CG145" i="1"/>
  <c r="CC145" i="1"/>
  <c r="BQ145" i="1"/>
  <c r="BM145" i="1"/>
  <c r="CD144" i="1"/>
  <c r="BZ144" i="1"/>
  <c r="M144" i="1"/>
  <c r="BY106" i="1"/>
  <c r="BL105" i="1"/>
  <c r="BV90" i="1"/>
  <c r="BN90" i="1"/>
  <c r="BY77" i="1"/>
  <c r="CB86" i="1"/>
  <c r="CB90" i="1"/>
  <c r="CB91" i="1"/>
  <c r="BX90" i="1"/>
  <c r="BT90" i="1"/>
  <c r="BP89" i="1"/>
  <c r="BP90" i="1"/>
  <c r="BP91" i="1"/>
  <c r="BL89" i="1"/>
  <c r="BL90" i="1"/>
  <c r="BL91" i="1"/>
  <c r="BT183" i="1"/>
  <c r="BP183" i="1"/>
  <c r="BL183" i="1"/>
  <c r="BL193" i="1" s="1"/>
  <c r="BL78" i="1"/>
  <c r="BL77" i="1"/>
  <c r="BL75" i="1"/>
  <c r="BL76" i="1"/>
  <c r="BL79" i="1"/>
  <c r="BL170" i="1"/>
  <c r="CD50" i="1"/>
  <c r="CD47" i="1"/>
  <c r="CD48" i="1"/>
  <c r="CD49" i="1"/>
  <c r="BZ50" i="1"/>
  <c r="BZ51" i="1"/>
  <c r="BZ47" i="1"/>
  <c r="BZ48" i="1"/>
  <c r="BZ49" i="1"/>
  <c r="BJ49" i="1"/>
  <c r="Q51" i="1"/>
  <c r="Q48" i="1"/>
  <c r="CG161" i="1"/>
  <c r="CG158" i="1"/>
  <c r="CB33" i="1"/>
  <c r="BX34" i="1"/>
  <c r="BP34" i="1"/>
  <c r="BL37" i="1"/>
  <c r="BT145" i="1"/>
  <c r="CC140" i="1"/>
  <c r="BT106" i="1"/>
  <c r="BL106" i="1"/>
  <c r="M103" i="1"/>
  <c r="CB93" i="1"/>
  <c r="N93" i="1"/>
  <c r="CB92" i="1"/>
  <c r="BT92" i="1"/>
  <c r="BL92" i="1"/>
  <c r="M92" i="1"/>
  <c r="BZ91" i="1"/>
  <c r="BR91" i="1"/>
  <c r="BJ91" i="1"/>
  <c r="BU90" i="1"/>
  <c r="BU89" i="1"/>
  <c r="P89" i="1"/>
  <c r="CA90" i="1"/>
  <c r="BS89" i="1"/>
  <c r="BO93" i="1"/>
  <c r="BO90" i="1"/>
  <c r="BK93" i="1"/>
  <c r="BK89" i="1"/>
  <c r="BK96" i="1" s="1"/>
  <c r="BK90" i="1"/>
  <c r="CA183" i="1"/>
  <c r="BS183" i="1"/>
  <c r="BO183" i="1"/>
  <c r="BK183" i="1"/>
  <c r="CA75" i="1"/>
  <c r="CA76" i="1"/>
  <c r="BW77" i="1"/>
  <c r="BS77" i="1"/>
  <c r="BS76" i="1"/>
  <c r="BO77" i="1"/>
  <c r="BO76" i="1"/>
  <c r="BK77" i="1"/>
  <c r="BK75" i="1"/>
  <c r="BK76" i="1"/>
  <c r="BK78" i="1"/>
  <c r="O75" i="1"/>
  <c r="CA170" i="1"/>
  <c r="BW170" i="1"/>
  <c r="BO170" i="1"/>
  <c r="BK170" i="1"/>
  <c r="CC48" i="1"/>
  <c r="CC50" i="1"/>
  <c r="CC51" i="1"/>
  <c r="CG157" i="1"/>
  <c r="CD157" i="1"/>
  <c r="BZ157" i="1"/>
  <c r="CE33" i="1"/>
  <c r="CE36" i="1"/>
  <c r="CE35" i="1"/>
  <c r="CE34" i="1"/>
  <c r="CA35" i="1"/>
  <c r="CA33" i="1"/>
  <c r="BW35" i="1"/>
  <c r="BW33" i="1"/>
  <c r="BS34" i="1"/>
  <c r="BS35" i="1"/>
  <c r="BS36" i="1"/>
  <c r="BS33" i="1"/>
  <c r="BO35" i="1"/>
  <c r="BO36" i="1"/>
  <c r="BO33" i="1"/>
  <c r="BK34" i="1"/>
  <c r="BK35" i="1"/>
  <c r="BK36" i="1"/>
  <c r="BK37" i="1"/>
  <c r="BK33" i="1"/>
  <c r="BK40" i="1"/>
  <c r="R33" i="1"/>
  <c r="R34" i="1"/>
  <c r="R35" i="1"/>
  <c r="R36" i="1"/>
  <c r="N34" i="1"/>
  <c r="CE145" i="1"/>
  <c r="BW145" i="1"/>
  <c r="BS145" i="1"/>
  <c r="BK145" i="1"/>
  <c r="CB144" i="1"/>
  <c r="BL144" i="1"/>
  <c r="BX107" i="1"/>
  <c r="BL107" i="1"/>
  <c r="BM104" i="1"/>
  <c r="BL93" i="1"/>
  <c r="CA92" i="1"/>
  <c r="BK92" i="1"/>
  <c r="BO91" i="1"/>
  <c r="BZ90" i="1"/>
  <c r="BZ96" i="1" s="1"/>
  <c r="BR90" i="1"/>
  <c r="BJ90" i="1"/>
  <c r="M89" i="1"/>
  <c r="M210" i="1"/>
  <c r="CB62" i="1"/>
  <c r="CB64" i="1"/>
  <c r="CB65" i="1"/>
  <c r="CB63" i="1"/>
  <c r="CA197" i="1"/>
  <c r="CB196" i="1"/>
  <c r="BZ92" i="1"/>
  <c r="BZ93" i="1"/>
  <c r="BN92" i="1"/>
  <c r="BN93" i="1"/>
  <c r="BJ92" i="1"/>
  <c r="BJ93" i="1"/>
  <c r="N91" i="1"/>
  <c r="N92" i="1"/>
  <c r="BT184" i="1"/>
  <c r="BP184" i="1"/>
  <c r="BP193" i="1" s="1"/>
  <c r="BL184" i="1"/>
  <c r="BZ183" i="1"/>
  <c r="BV183" i="1"/>
  <c r="BN183" i="1"/>
  <c r="BJ183" i="1"/>
  <c r="M183" i="1"/>
  <c r="BZ75" i="1"/>
  <c r="BR76" i="1"/>
  <c r="BN75" i="1"/>
  <c r="BN76" i="1"/>
  <c r="BN79" i="1"/>
  <c r="BN77" i="1"/>
  <c r="BJ76" i="1"/>
  <c r="BJ77" i="1"/>
  <c r="N78" i="1"/>
  <c r="BL171" i="1"/>
  <c r="BL180" i="1" s="1"/>
  <c r="BR170" i="1"/>
  <c r="BN170" i="1"/>
  <c r="M170" i="1"/>
  <c r="CB50" i="1"/>
  <c r="CB51" i="1"/>
  <c r="CB47" i="1"/>
  <c r="CB48" i="1"/>
  <c r="CB49" i="1"/>
  <c r="CB54" i="1" s="1"/>
  <c r="BL49" i="1"/>
  <c r="CA158" i="1"/>
  <c r="Q157" i="1"/>
  <c r="CD154" i="2"/>
  <c r="CD33" i="1"/>
  <c r="CD34" i="1"/>
  <c r="CD35" i="1"/>
  <c r="CD36" i="1"/>
  <c r="BZ34" i="1"/>
  <c r="BZ35" i="1"/>
  <c r="BZ36" i="1"/>
  <c r="BZ33" i="1"/>
  <c r="BR33" i="1"/>
  <c r="M34" i="1"/>
  <c r="M35" i="1"/>
  <c r="M36" i="1"/>
  <c r="M37" i="1"/>
  <c r="M33" i="1"/>
  <c r="M40" i="1" s="1"/>
  <c r="M45" i="1"/>
  <c r="CH150" i="1"/>
  <c r="CH148" i="1"/>
  <c r="CH145" i="1"/>
  <c r="CD145" i="1"/>
  <c r="BZ145" i="1"/>
  <c r="M145" i="1"/>
  <c r="CE144" i="1"/>
  <c r="CE151" i="1" s="1"/>
  <c r="CA144" i="1"/>
  <c r="BS144" i="1"/>
  <c r="BK144" i="1"/>
  <c r="BX104" i="1"/>
  <c r="BT104" i="1"/>
  <c r="BI93" i="1"/>
  <c r="BP92" i="1"/>
  <c r="BV91" i="1"/>
  <c r="BN91" i="1"/>
  <c r="BQ90" i="1"/>
  <c r="BI89" i="1"/>
  <c r="CB87" i="1"/>
  <c r="BO79" i="1"/>
  <c r="BN78" i="1"/>
  <c r="N188" i="3"/>
  <c r="N179" i="3"/>
  <c r="N192" i="3" s="1"/>
  <c r="P178" i="3"/>
  <c r="P189" i="3" s="1"/>
  <c r="O178" i="3"/>
  <c r="P188" i="3"/>
  <c r="P179" i="3"/>
  <c r="P192" i="3" s="1"/>
  <c r="O188" i="3"/>
  <c r="W53" i="2"/>
  <c r="BY233" i="1"/>
  <c r="BY124" i="1"/>
  <c r="CC68" i="1"/>
  <c r="CD151" i="1"/>
  <c r="CD37" i="1" s="1"/>
  <c r="CD40" i="1"/>
  <c r="CD154" i="1"/>
  <c r="CA54" i="1"/>
  <c r="CD219" i="1"/>
  <c r="CB124" i="1"/>
  <c r="X53" i="2"/>
  <c r="CH214" i="1"/>
  <c r="W40" i="1"/>
  <c r="X30" i="1"/>
  <c r="W39" i="1"/>
  <c r="W41" i="1" s="1"/>
  <c r="W51" i="3"/>
  <c r="X51" i="3" s="1"/>
  <c r="W141" i="3"/>
  <c r="V141" i="3"/>
  <c r="X40" i="1"/>
  <c r="Y30" i="1"/>
  <c r="Y40" i="1"/>
  <c r="X39" i="1"/>
  <c r="X41" i="1"/>
  <c r="Z30" i="1"/>
  <c r="AA30" i="1"/>
  <c r="Z39" i="1"/>
  <c r="T85" i="3"/>
  <c r="U84" i="3" s="1"/>
  <c r="P85" i="3"/>
  <c r="Q84" i="3" s="1"/>
  <c r="S85" i="3"/>
  <c r="T84" i="3" s="1"/>
  <c r="T86" i="3" s="1"/>
  <c r="W54" i="3"/>
  <c r="W169" i="2"/>
  <c r="W34" i="4"/>
  <c r="X169" i="2" s="1"/>
  <c r="L228" i="2"/>
  <c r="J68" i="2"/>
  <c r="AU171" i="2"/>
  <c r="AT173" i="2"/>
  <c r="L380" i="2"/>
  <c r="L379" i="2"/>
  <c r="L383" i="2"/>
  <c r="M374" i="2"/>
  <c r="M371" i="2"/>
  <c r="M373" i="2"/>
  <c r="K371" i="2"/>
  <c r="K375" i="2"/>
  <c r="M364" i="2"/>
  <c r="M361" i="2"/>
  <c r="M363" i="2"/>
  <c r="K361" i="2"/>
  <c r="K365" i="2"/>
  <c r="K367" i="2"/>
  <c r="Q22" i="2"/>
  <c r="M22" i="2"/>
  <c r="K251" i="2"/>
  <c r="AL170" i="2"/>
  <c r="AT75" i="2"/>
  <c r="BC68" i="2"/>
  <c r="AY68" i="2"/>
  <c r="AU68" i="2"/>
  <c r="AQ68" i="2"/>
  <c r="AM68" i="2"/>
  <c r="AI68" i="2"/>
  <c r="AE68" i="2"/>
  <c r="AC68" i="2"/>
  <c r="D68" i="2"/>
  <c r="BK144" i="2"/>
  <c r="P167" i="2"/>
  <c r="P19" i="2" s="1"/>
  <c r="BN89" i="1"/>
  <c r="BN96" i="1" s="1"/>
  <c r="BJ89" i="1"/>
  <c r="CG147" i="1"/>
  <c r="L384" i="2"/>
  <c r="L382" i="2"/>
  <c r="M376" i="2"/>
  <c r="M375" i="2"/>
  <c r="K374" i="2"/>
  <c r="K373" i="2"/>
  <c r="K372" i="2"/>
  <c r="M367" i="2"/>
  <c r="M366" i="2"/>
  <c r="M365" i="2"/>
  <c r="K364" i="2"/>
  <c r="K363" i="2"/>
  <c r="K362" i="2"/>
  <c r="K271" i="2"/>
  <c r="K250" i="2"/>
  <c r="L217" i="2"/>
  <c r="CE179" i="2"/>
  <c r="K283" i="2"/>
  <c r="N148" i="2"/>
  <c r="CD162" i="2"/>
  <c r="O22" i="2"/>
  <c r="N191" i="3"/>
  <c r="AF172" i="2"/>
  <c r="AD170" i="2"/>
  <c r="BZ135" i="2"/>
  <c r="BX135" i="2"/>
  <c r="Q19" i="2"/>
  <c r="CF75" i="2"/>
  <c r="R22" i="2"/>
  <c r="P22" i="2"/>
  <c r="N22" i="2"/>
  <c r="CF136" i="1"/>
  <c r="BR223" i="1"/>
  <c r="BR120" i="1"/>
  <c r="BV118" i="1"/>
  <c r="N118" i="1"/>
  <c r="CA121" i="1"/>
  <c r="CA119" i="1"/>
  <c r="CC214" i="1"/>
  <c r="BZ89" i="1"/>
  <c r="M385" i="2"/>
  <c r="K385" i="2"/>
  <c r="M383" i="2"/>
  <c r="K383" i="2"/>
  <c r="M381" i="2"/>
  <c r="K381" i="2"/>
  <c r="L366" i="2"/>
  <c r="J250" i="2"/>
  <c r="AU173" i="2"/>
  <c r="CB171" i="2"/>
  <c r="CB172" i="2" s="1"/>
  <c r="CB173" i="2" s="1"/>
  <c r="BJ96" i="1"/>
  <c r="CB95" i="1"/>
  <c r="CB97" i="1"/>
  <c r="CB158" i="1"/>
  <c r="CB157" i="1"/>
  <c r="M380" i="2"/>
  <c r="M382" i="2"/>
  <c r="M384" i="2"/>
  <c r="K382" i="2"/>
  <c r="L371" i="2"/>
  <c r="L375" i="2"/>
  <c r="L361" i="2"/>
  <c r="L363" i="2"/>
  <c r="L365" i="2"/>
  <c r="L367" i="2"/>
  <c r="AV169" i="2"/>
  <c r="AJ169" i="2"/>
  <c r="O175" i="2"/>
  <c r="BP28" i="2"/>
  <c r="BP40" i="2" s="1"/>
  <c r="BR151" i="2"/>
  <c r="BN151" i="2"/>
  <c r="BJ151" i="2"/>
  <c r="BF151" i="2"/>
  <c r="O143" i="2"/>
  <c r="BN135" i="2"/>
  <c r="BF135" i="2"/>
  <c r="CA98" i="2"/>
  <c r="CG151" i="1"/>
  <c r="CG149" i="1"/>
  <c r="AC173" i="2"/>
  <c r="AM171" i="2"/>
  <c r="AT170" i="2"/>
  <c r="AH170" i="2"/>
  <c r="BY135" i="2"/>
  <c r="BT151" i="2"/>
  <c r="BP151" i="2"/>
  <c r="BP149" i="2" s="1"/>
  <c r="BL151" i="2"/>
  <c r="BL149" i="2" s="1"/>
  <c r="BH151" i="2"/>
  <c r="BH149" i="2" s="1"/>
  <c r="L126" i="2"/>
  <c r="BP123" i="2"/>
  <c r="BN123" i="2"/>
  <c r="BL123" i="2"/>
  <c r="BJ123" i="2"/>
  <c r="BH123" i="2"/>
  <c r="BF123" i="2"/>
  <c r="M143" i="2"/>
  <c r="BO123" i="2"/>
  <c r="BO98" i="2" s="1"/>
  <c r="BJ135" i="2"/>
  <c r="R123" i="2"/>
  <c r="K94" i="2"/>
  <c r="V27" i="3"/>
  <c r="BV74" i="2"/>
  <c r="Q91" i="3"/>
  <c r="Q88" i="3" s="1"/>
  <c r="T91" i="3"/>
  <c r="R91" i="3"/>
  <c r="R88" i="3"/>
  <c r="Q12" i="4"/>
  <c r="BZ224" i="1"/>
  <c r="BZ118" i="1"/>
  <c r="BZ120" i="1"/>
  <c r="BZ223" i="1"/>
  <c r="BZ121" i="1"/>
  <c r="BW224" i="1"/>
  <c r="BW223" i="1"/>
  <c r="BW118" i="1"/>
  <c r="BW119" i="1"/>
  <c r="BW120" i="1"/>
  <c r="BS119" i="1"/>
  <c r="BS117" i="1"/>
  <c r="BS120" i="1"/>
  <c r="BS118" i="1"/>
  <c r="BS224" i="1"/>
  <c r="BQ119" i="1"/>
  <c r="BQ223" i="1"/>
  <c r="BO224" i="1"/>
  <c r="BO121" i="1"/>
  <c r="BO120" i="1"/>
  <c r="BK119" i="1"/>
  <c r="BK121" i="1"/>
  <c r="BG140" i="1"/>
  <c r="BI121" i="1"/>
  <c r="BI117" i="1"/>
  <c r="O121" i="1"/>
  <c r="O120" i="1"/>
  <c r="M119" i="1"/>
  <c r="M120" i="1"/>
  <c r="M223" i="1"/>
  <c r="BY105" i="1"/>
  <c r="BY104" i="1"/>
  <c r="BY210" i="1"/>
  <c r="BY107" i="1"/>
  <c r="BY103" i="1"/>
  <c r="BY110" i="1"/>
  <c r="BU105" i="1"/>
  <c r="BU106" i="1"/>
  <c r="BU103" i="1"/>
  <c r="BU211" i="1"/>
  <c r="BU104" i="1"/>
  <c r="BQ105" i="1"/>
  <c r="BQ104" i="1"/>
  <c r="BQ106" i="1"/>
  <c r="BM105" i="1"/>
  <c r="BM106" i="1"/>
  <c r="BM103" i="1"/>
  <c r="BI140" i="1"/>
  <c r="BI105" i="1"/>
  <c r="BI104" i="1"/>
  <c r="BI110" i="1" s="1"/>
  <c r="BI103" i="1"/>
  <c r="BQ211" i="1"/>
  <c r="BY91" i="1"/>
  <c r="BY183" i="1"/>
  <c r="BY93" i="1"/>
  <c r="BY90" i="1"/>
  <c r="BY184" i="1"/>
  <c r="BY89" i="1"/>
  <c r="BW92" i="1"/>
  <c r="BW184" i="1"/>
  <c r="BW93" i="1"/>
  <c r="BW90" i="1"/>
  <c r="BW91" i="1"/>
  <c r="BW89" i="1"/>
  <c r="BW183" i="1"/>
  <c r="BS91" i="1"/>
  <c r="BS90" i="1"/>
  <c r="BS92" i="1"/>
  <c r="CB78" i="1"/>
  <c r="CB73" i="1"/>
  <c r="BZ78" i="1"/>
  <c r="BZ77" i="1"/>
  <c r="BZ79" i="1"/>
  <c r="BV78" i="1"/>
  <c r="BV76" i="1"/>
  <c r="BV170" i="1"/>
  <c r="BV171" i="1"/>
  <c r="BV77" i="1"/>
  <c r="BT78" i="1"/>
  <c r="BT75" i="1"/>
  <c r="BT171" i="1"/>
  <c r="BT76" i="1"/>
  <c r="BT170" i="1"/>
  <c r="BR78" i="1"/>
  <c r="BR75" i="1"/>
  <c r="BR77" i="1"/>
  <c r="BP78" i="1"/>
  <c r="BP75" i="1"/>
  <c r="BP79" i="1"/>
  <c r="BP170" i="1"/>
  <c r="BP76" i="1"/>
  <c r="BP171" i="1"/>
  <c r="O78" i="1"/>
  <c r="O77" i="1"/>
  <c r="N161" i="1"/>
  <c r="N200" i="1"/>
  <c r="N162" i="1"/>
  <c r="BR171" i="1"/>
  <c r="BX33" i="1"/>
  <c r="BX35" i="1"/>
  <c r="BX145" i="1"/>
  <c r="BX151" i="1" s="1"/>
  <c r="BX36" i="1"/>
  <c r="BV34" i="1"/>
  <c r="BV36" i="1"/>
  <c r="BV145" i="1"/>
  <c r="BV144" i="1"/>
  <c r="BV26" i="1" s="1"/>
  <c r="BV35" i="1"/>
  <c r="BT33" i="1"/>
  <c r="BT35" i="1"/>
  <c r="BT144" i="1"/>
  <c r="BT36" i="1"/>
  <c r="BN140" i="1"/>
  <c r="BR144" i="1"/>
  <c r="BR34" i="1"/>
  <c r="BR36" i="1"/>
  <c r="BR145" i="1"/>
  <c r="BR35" i="1"/>
  <c r="BP33" i="1"/>
  <c r="BP35" i="1"/>
  <c r="BP37" i="1"/>
  <c r="BP145" i="1"/>
  <c r="BL140" i="1"/>
  <c r="BP36" i="1"/>
  <c r="BP144" i="1"/>
  <c r="BP154" i="1" s="1"/>
  <c r="BN144" i="1"/>
  <c r="BN34" i="1"/>
  <c r="BN36" i="1"/>
  <c r="BN40" i="1" s="1"/>
  <c r="BN33" i="1"/>
  <c r="BJ140" i="1"/>
  <c r="BN35" i="1"/>
  <c r="BN145" i="1"/>
  <c r="BL36" i="1"/>
  <c r="BL145" i="1"/>
  <c r="BJ34" i="1"/>
  <c r="BJ33" i="1"/>
  <c r="BJ144" i="1"/>
  <c r="N45" i="1"/>
  <c r="N35" i="1"/>
  <c r="N37" i="1"/>
  <c r="N33" i="1"/>
  <c r="N36" i="1"/>
  <c r="BF20" i="2"/>
  <c r="BF28" i="2"/>
  <c r="BF29" i="2" s="1"/>
  <c r="BP35" i="2"/>
  <c r="CF97" i="1"/>
  <c r="BJ233" i="1"/>
  <c r="CH211" i="1"/>
  <c r="CH217" i="1"/>
  <c r="CB96" i="1"/>
  <c r="BN37" i="1"/>
  <c r="BV33" i="1"/>
  <c r="BH140" i="1"/>
  <c r="BX144" i="1"/>
  <c r="BI107" i="1"/>
  <c r="BQ140" i="1"/>
  <c r="BT34" i="1"/>
  <c r="BP77" i="1"/>
  <c r="BI106" i="1"/>
  <c r="N183" i="1"/>
  <c r="N86" i="1" s="1"/>
  <c r="BS184" i="1"/>
  <c r="BU210" i="1"/>
  <c r="BI119" i="1"/>
  <c r="BR217" i="1"/>
  <c r="BR107" i="1" s="1"/>
  <c r="M121" i="1"/>
  <c r="BZ117" i="1"/>
  <c r="BZ124" i="1" s="1"/>
  <c r="BK223" i="1"/>
  <c r="BW117" i="1"/>
  <c r="O106" i="1"/>
  <c r="O104" i="1"/>
  <c r="BY211" i="1"/>
  <c r="BI211" i="1"/>
  <c r="BT48" i="1"/>
  <c r="BL50" i="1"/>
  <c r="BL48" i="1"/>
  <c r="L19" i="2"/>
  <c r="L135" i="2"/>
  <c r="P134" i="2"/>
  <c r="P109" i="2" s="1"/>
  <c r="N134" i="2"/>
  <c r="O133" i="2"/>
  <c r="O108" i="2" s="1"/>
  <c r="M133" i="2"/>
  <c r="M108" i="2"/>
  <c r="BQ148" i="2"/>
  <c r="N132" i="2"/>
  <c r="N107" i="2" s="1"/>
  <c r="Q167" i="2"/>
  <c r="O131" i="2"/>
  <c r="M131" i="2"/>
  <c r="M106" i="2"/>
  <c r="BI10" i="2"/>
  <c r="BI144" i="2"/>
  <c r="BI142" i="2"/>
  <c r="M159" i="2"/>
  <c r="BE10" i="2"/>
  <c r="BE144" i="2"/>
  <c r="BE142" i="2"/>
  <c r="N159" i="2"/>
  <c r="BN149" i="2"/>
  <c r="BF149" i="2"/>
  <c r="N150" i="2"/>
  <c r="BS148" i="2"/>
  <c r="BK98" i="2"/>
  <c r="BO144" i="2"/>
  <c r="BO142" i="2"/>
  <c r="BO205" i="1" s="1"/>
  <c r="BG144" i="2"/>
  <c r="BG142" i="2" s="1"/>
  <c r="BG205" i="1"/>
  <c r="BK64" i="1" s="1"/>
  <c r="O141" i="2"/>
  <c r="O166" i="1"/>
  <c r="BM166" i="1"/>
  <c r="BI166" i="1"/>
  <c r="BM50" i="1" s="1"/>
  <c r="N141" i="2"/>
  <c r="N166" i="1"/>
  <c r="BK50" i="1"/>
  <c r="BK48" i="1"/>
  <c r="M141" i="2"/>
  <c r="M166" i="1"/>
  <c r="BE166" i="1"/>
  <c r="BF115" i="2"/>
  <c r="BF94" i="2" s="1"/>
  <c r="BM10" i="2"/>
  <c r="CE121" i="1"/>
  <c r="CE120" i="1"/>
  <c r="CE223" i="1"/>
  <c r="CE224" i="1"/>
  <c r="CE233" i="1" s="1"/>
  <c r="CA223" i="1"/>
  <c r="CA118" i="1"/>
  <c r="CA120" i="1"/>
  <c r="BW140" i="1"/>
  <c r="P117" i="1"/>
  <c r="P120" i="1"/>
  <c r="CE213" i="1"/>
  <c r="CE214" i="1"/>
  <c r="CE216" i="1"/>
  <c r="CE210" i="1"/>
  <c r="BZ107" i="1"/>
  <c r="BX210" i="1"/>
  <c r="BX211" i="1"/>
  <c r="BX27" i="1" s="1"/>
  <c r="BX103" i="1"/>
  <c r="BX105" i="1"/>
  <c r="BX110" i="1" s="1"/>
  <c r="BX106" i="1"/>
  <c r="BV210" i="1"/>
  <c r="BV211" i="1"/>
  <c r="BT211" i="1"/>
  <c r="BT377" i="1"/>
  <c r="BT103" i="1"/>
  <c r="BR106" i="1"/>
  <c r="BR105" i="1"/>
  <c r="BR104" i="1"/>
  <c r="BP210" i="1"/>
  <c r="BP211" i="1"/>
  <c r="BP103" i="1"/>
  <c r="BP105" i="1"/>
  <c r="BP106" i="1"/>
  <c r="BP107" i="1"/>
  <c r="BP104" i="1"/>
  <c r="BN106" i="1"/>
  <c r="BN105" i="1"/>
  <c r="BN104" i="1"/>
  <c r="BN110" i="1" s="1"/>
  <c r="BN211" i="1"/>
  <c r="BN220" i="1" s="1"/>
  <c r="BL211" i="1"/>
  <c r="BL377" i="1"/>
  <c r="BL103" i="1"/>
  <c r="BL104" i="1"/>
  <c r="BL110" i="1" s="1"/>
  <c r="BJ106" i="1"/>
  <c r="BJ105" i="1"/>
  <c r="BJ104" i="1"/>
  <c r="BJ110" i="1"/>
  <c r="BJ211" i="1"/>
  <c r="BX93" i="1"/>
  <c r="BX89" i="1"/>
  <c r="BX91" i="1"/>
  <c r="BX183" i="1"/>
  <c r="BX193" i="1" s="1"/>
  <c r="BX184" i="1"/>
  <c r="BT190" i="1"/>
  <c r="BT93" i="1" s="1"/>
  <c r="BX92" i="1"/>
  <c r="BV184" i="1"/>
  <c r="BV92" i="1"/>
  <c r="BT89" i="1"/>
  <c r="BT91" i="1"/>
  <c r="BR184" i="1"/>
  <c r="BR190" i="1" s="1"/>
  <c r="BR93" i="1" s="1"/>
  <c r="BR92" i="1"/>
  <c r="BR89" i="1"/>
  <c r="BR183" i="1"/>
  <c r="BM91" i="1"/>
  <c r="BM93" i="1"/>
  <c r="BM89" i="1"/>
  <c r="BI90" i="1"/>
  <c r="M184" i="1"/>
  <c r="L140" i="1"/>
  <c r="M90" i="1"/>
  <c r="M93" i="1"/>
  <c r="CA79" i="1"/>
  <c r="CA171" i="1"/>
  <c r="CA180" i="1" s="1"/>
  <c r="CA77" i="1"/>
  <c r="CA78" i="1"/>
  <c r="BW171" i="1"/>
  <c r="BW75" i="1"/>
  <c r="BS171" i="1"/>
  <c r="BS75" i="1"/>
  <c r="BS78" i="1"/>
  <c r="BS170" i="1"/>
  <c r="BO140" i="1"/>
  <c r="BO171" i="1"/>
  <c r="BO75" i="1"/>
  <c r="BO82" i="1" s="1"/>
  <c r="BO78" i="1"/>
  <c r="BM171" i="1"/>
  <c r="BM79" i="1"/>
  <c r="BM82" i="1" s="1"/>
  <c r="BM77" i="1"/>
  <c r="BI171" i="1"/>
  <c r="BI79" i="1"/>
  <c r="BI77" i="1"/>
  <c r="BI82" i="1" s="1"/>
  <c r="BI76" i="1"/>
  <c r="BI170" i="1"/>
  <c r="P77" i="1"/>
  <c r="N75" i="1"/>
  <c r="BR50" i="1"/>
  <c r="BN50" i="1"/>
  <c r="BJ50" i="1"/>
  <c r="BJ48" i="1"/>
  <c r="P34" i="1"/>
  <c r="P36" i="1"/>
  <c r="BS19" i="2"/>
  <c r="BS28" i="2" s="1"/>
  <c r="BS151" i="2"/>
  <c r="BQ19" i="2"/>
  <c r="BQ28" i="2" s="1"/>
  <c r="BQ40" i="2" s="1"/>
  <c r="BQ50" i="2" s="1"/>
  <c r="BQ429" i="2" s="1"/>
  <c r="BQ151" i="2"/>
  <c r="BO19" i="2"/>
  <c r="BO135" i="2"/>
  <c r="BO151" i="2"/>
  <c r="BO127" i="2" s="1"/>
  <c r="BM19" i="2"/>
  <c r="BM135" i="2"/>
  <c r="BM151" i="2"/>
  <c r="O167" i="2"/>
  <c r="BK19" i="2"/>
  <c r="BK135" i="2"/>
  <c r="BK151" i="2"/>
  <c r="BI19" i="2"/>
  <c r="BI135" i="2"/>
  <c r="BI151" i="2"/>
  <c r="BI127" i="2" s="1"/>
  <c r="BG19" i="2"/>
  <c r="BG135" i="2"/>
  <c r="BG151" i="2"/>
  <c r="BE19" i="2"/>
  <c r="BE135" i="2"/>
  <c r="BE151" i="2"/>
  <c r="BE127" i="2" s="1"/>
  <c r="M167" i="2"/>
  <c r="N167" i="2"/>
  <c r="L10" i="2"/>
  <c r="N182" i="3"/>
  <c r="L144" i="2"/>
  <c r="P232" i="1"/>
  <c r="N143" i="2"/>
  <c r="O219" i="1"/>
  <c r="M219" i="1"/>
  <c r="M140" i="1"/>
  <c r="N192" i="1"/>
  <c r="O159" i="2"/>
  <c r="O10" i="2" s="1"/>
  <c r="BM124" i="2"/>
  <c r="BK124" i="2"/>
  <c r="BI124" i="2"/>
  <c r="BE124" i="2"/>
  <c r="M124" i="2"/>
  <c r="BI123" i="2"/>
  <c r="BE123" i="2"/>
  <c r="N140" i="2"/>
  <c r="BR28" i="2"/>
  <c r="BV86" i="2"/>
  <c r="CC216" i="1"/>
  <c r="CC215" i="1"/>
  <c r="Q134" i="2"/>
  <c r="R134" i="2" s="1"/>
  <c r="O134" i="2"/>
  <c r="O109" i="2"/>
  <c r="M134" i="2"/>
  <c r="M109" i="2"/>
  <c r="N133" i="2"/>
  <c r="N108" i="2"/>
  <c r="O132" i="2"/>
  <c r="O107" i="2"/>
  <c r="M132" i="2"/>
  <c r="M107" i="2"/>
  <c r="N131" i="2"/>
  <c r="N106" i="2"/>
  <c r="O130" i="2"/>
  <c r="O105" i="2"/>
  <c r="M130" i="2"/>
  <c r="M105" i="2"/>
  <c r="BN13" i="2"/>
  <c r="BN82" i="2"/>
  <c r="BN116" i="2"/>
  <c r="BL13" i="2"/>
  <c r="BL82" i="2"/>
  <c r="BL116" i="2"/>
  <c r="BL119" i="2"/>
  <c r="BJ13" i="2"/>
  <c r="BJ82" i="2"/>
  <c r="BJ116" i="2"/>
  <c r="BJ119" i="2"/>
  <c r="BH13" i="2"/>
  <c r="BH116" i="2"/>
  <c r="BH119" i="2"/>
  <c r="BF13" i="2"/>
  <c r="BF116" i="2"/>
  <c r="BF119" i="2"/>
  <c r="BT126" i="2"/>
  <c r="BX101" i="2" s="1"/>
  <c r="BR126" i="2"/>
  <c r="BP126" i="2"/>
  <c r="BN126" i="2"/>
  <c r="BL126" i="2"/>
  <c r="BJ126" i="2"/>
  <c r="BH126" i="2"/>
  <c r="O150" i="2"/>
  <c r="O126" i="2" s="1"/>
  <c r="M150" i="2"/>
  <c r="M126" i="2" s="1"/>
  <c r="M101" i="2"/>
  <c r="BT148" i="2"/>
  <c r="BR148" i="2"/>
  <c r="BR149" i="2" s="1"/>
  <c r="O147" i="2"/>
  <c r="M147" i="2"/>
  <c r="BP144" i="2"/>
  <c r="BN144" i="2"/>
  <c r="BN142" i="2" s="1"/>
  <c r="BL144" i="2"/>
  <c r="BL142" i="2" s="1"/>
  <c r="BJ144" i="2"/>
  <c r="BH144" i="2"/>
  <c r="BF144" i="2"/>
  <c r="BF142" i="2" s="1"/>
  <c r="O140" i="2"/>
  <c r="M140" i="2"/>
  <c r="BP135" i="2"/>
  <c r="BL135" i="2"/>
  <c r="BH135" i="2"/>
  <c r="BL115" i="2"/>
  <c r="BL94" i="2" s="1"/>
  <c r="BH115" i="2"/>
  <c r="BH94" i="2"/>
  <c r="BY193" i="1"/>
  <c r="BP220" i="1"/>
  <c r="CF53" i="1"/>
  <c r="CF55" i="1"/>
  <c r="BO110" i="2"/>
  <c r="CA124" i="1"/>
  <c r="N126" i="2"/>
  <c r="N101" i="2"/>
  <c r="N124" i="2"/>
  <c r="BL98" i="2"/>
  <c r="BP98" i="2"/>
  <c r="AE170" i="2"/>
  <c r="CG153" i="1"/>
  <c r="CG154" i="2" s="1"/>
  <c r="S135" i="1"/>
  <c r="BW74" i="2"/>
  <c r="BV75" i="2"/>
  <c r="BZ75" i="2"/>
  <c r="BV76" i="2"/>
  <c r="W27" i="3"/>
  <c r="X27" i="3" s="1"/>
  <c r="BJ98" i="2"/>
  <c r="AM170" i="2"/>
  <c r="AN171" i="2"/>
  <c r="BR27" i="1"/>
  <c r="BH142" i="2"/>
  <c r="BH127" i="2"/>
  <c r="BP142" i="2"/>
  <c r="BP127" i="2"/>
  <c r="BL101" i="2"/>
  <c r="BT101" i="2"/>
  <c r="BF14" i="2"/>
  <c r="BF16" i="2"/>
  <c r="BF113" i="2"/>
  <c r="BN14" i="2"/>
  <c r="BN84" i="2"/>
  <c r="BN113" i="2"/>
  <c r="S134" i="2"/>
  <c r="T134" i="2" s="1"/>
  <c r="U134" i="2" s="1"/>
  <c r="V134" i="2" s="1"/>
  <c r="W134" i="2" s="1"/>
  <c r="X134" i="2" s="1"/>
  <c r="Y134" i="2" s="1"/>
  <c r="Z134" i="2" s="1"/>
  <c r="AA134" i="2" s="1"/>
  <c r="BL127" i="2"/>
  <c r="K63" i="4"/>
  <c r="N194" i="3"/>
  <c r="L13" i="2"/>
  <c r="L82" i="2"/>
  <c r="L116" i="2"/>
  <c r="L185" i="2"/>
  <c r="L194" i="2"/>
  <c r="M232" i="2"/>
  <c r="N177" i="3"/>
  <c r="N185" i="3"/>
  <c r="N132" i="3"/>
  <c r="M19" i="2"/>
  <c r="M135" i="2"/>
  <c r="M110" i="2" s="1"/>
  <c r="BG127" i="2"/>
  <c r="BG20" i="2"/>
  <c r="BG28" i="2"/>
  <c r="BG115" i="2"/>
  <c r="BG94" i="2" s="1"/>
  <c r="BI110" i="2"/>
  <c r="BK149" i="2"/>
  <c r="BK20" i="2"/>
  <c r="BK28" i="2"/>
  <c r="BK86" i="2"/>
  <c r="BK115" i="2"/>
  <c r="BM127" i="2"/>
  <c r="BM20" i="2"/>
  <c r="BM28" i="2"/>
  <c r="BM86" i="2"/>
  <c r="BQ149" i="2"/>
  <c r="BQ86" i="2"/>
  <c r="BO180" i="1"/>
  <c r="BM13" i="2"/>
  <c r="BI48" i="1"/>
  <c r="BI50" i="1"/>
  <c r="BI49" i="1"/>
  <c r="BQ50" i="1"/>
  <c r="BQ49" i="1"/>
  <c r="M10" i="2"/>
  <c r="M144" i="2"/>
  <c r="O106" i="2"/>
  <c r="N109" i="2"/>
  <c r="BU18" i="1"/>
  <c r="BP43" i="2"/>
  <c r="BF117" i="2"/>
  <c r="BF35" i="2"/>
  <c r="BF40" i="2" s="1"/>
  <c r="BN26" i="1"/>
  <c r="BP40" i="1"/>
  <c r="BR17" i="1"/>
  <c r="O170" i="1"/>
  <c r="O72" i="1" s="1"/>
  <c r="BR177" i="1"/>
  <c r="BR79" i="1" s="1"/>
  <c r="BY376" i="1"/>
  <c r="BS230" i="1"/>
  <c r="BS121" i="1" s="1"/>
  <c r="BS124" i="1"/>
  <c r="BP110" i="2"/>
  <c r="M123" i="2"/>
  <c r="M98" i="2"/>
  <c r="BN101" i="2"/>
  <c r="BV101" i="2"/>
  <c r="BR101" i="2"/>
  <c r="BH16" i="2"/>
  <c r="BH17" i="2" s="1"/>
  <c r="BJ14" i="2"/>
  <c r="BJ84" i="2"/>
  <c r="BL14" i="2"/>
  <c r="BL16" i="2"/>
  <c r="BL114" i="2" s="1"/>
  <c r="BI99" i="2"/>
  <c r="BT149" i="2"/>
  <c r="O144" i="2"/>
  <c r="O89" i="1"/>
  <c r="O93" i="1"/>
  <c r="O90" i="1"/>
  <c r="N104" i="1"/>
  <c r="N107" i="1"/>
  <c r="M163" i="1"/>
  <c r="M202" i="1" s="1"/>
  <c r="N103" i="1"/>
  <c r="P105" i="1"/>
  <c r="P106" i="1"/>
  <c r="Q119" i="1"/>
  <c r="Q120" i="1"/>
  <c r="N135" i="2"/>
  <c r="N110" i="2" s="1"/>
  <c r="N19" i="2"/>
  <c r="BE149" i="2"/>
  <c r="BE28" i="2"/>
  <c r="BI149" i="2"/>
  <c r="BI28" i="2"/>
  <c r="BI115" i="2"/>
  <c r="O19" i="2"/>
  <c r="BM110" i="2"/>
  <c r="BO149" i="2"/>
  <c r="BO125" i="2" s="1"/>
  <c r="BO28" i="2"/>
  <c r="BO29" i="2" s="1"/>
  <c r="BO115" i="2"/>
  <c r="BO94" i="2" s="1"/>
  <c r="BS149" i="2"/>
  <c r="BS86" i="2"/>
  <c r="M162" i="1"/>
  <c r="M201" i="1" s="1"/>
  <c r="O171" i="1"/>
  <c r="M17" i="1"/>
  <c r="BR193" i="1"/>
  <c r="BR376" i="1"/>
  <c r="BJ27" i="1"/>
  <c r="BJ220" i="1"/>
  <c r="BP110" i="1"/>
  <c r="CA233" i="1"/>
  <c r="N51" i="1"/>
  <c r="BK63" i="1"/>
  <c r="BF127" i="2"/>
  <c r="BN127" i="2"/>
  <c r="N10" i="2"/>
  <c r="N144" i="2"/>
  <c r="BE116" i="2"/>
  <c r="BI13" i="2"/>
  <c r="BI82" i="2"/>
  <c r="N105" i="2"/>
  <c r="L20" i="2"/>
  <c r="L86" i="2"/>
  <c r="BV151" i="1"/>
  <c r="BV154" i="1" s="1"/>
  <c r="BP180" i="1"/>
  <c r="P28" i="2"/>
  <c r="BL154" i="1"/>
  <c r="BN17" i="1"/>
  <c r="BP26" i="1"/>
  <c r="BR26" i="1"/>
  <c r="BR151" i="1"/>
  <c r="BW96" i="1"/>
  <c r="BY96" i="1"/>
  <c r="BU217" i="1"/>
  <c r="BY220" i="1"/>
  <c r="BW230" i="1"/>
  <c r="BW233" i="1" s="1"/>
  <c r="BL26" i="1"/>
  <c r="BS233" i="1"/>
  <c r="BW75" i="2"/>
  <c r="CF135" i="1"/>
  <c r="BI102" i="2"/>
  <c r="CF137" i="1"/>
  <c r="BU107" i="1"/>
  <c r="BX37" i="1"/>
  <c r="BX154" i="1"/>
  <c r="BI14" i="2"/>
  <c r="BR96" i="1"/>
  <c r="BS40" i="2"/>
  <c r="BS50" i="2" s="1"/>
  <c r="BE35" i="2"/>
  <c r="BE40" i="2" s="1"/>
  <c r="BE46" i="2" s="1"/>
  <c r="BE77" i="2" s="1"/>
  <c r="N28" i="2"/>
  <c r="N86" i="2"/>
  <c r="BL17" i="2"/>
  <c r="BL85" i="2"/>
  <c r="BH114" i="2"/>
  <c r="BF36" i="2"/>
  <c r="BF46" i="2"/>
  <c r="O177" i="3"/>
  <c r="O186" i="3" s="1"/>
  <c r="M13" i="2"/>
  <c r="M116" i="2"/>
  <c r="M185" i="2"/>
  <c r="N232" i="2"/>
  <c r="O194" i="3"/>
  <c r="BM102" i="2"/>
  <c r="M86" i="2"/>
  <c r="M115" i="2"/>
  <c r="BP205" i="1"/>
  <c r="BW121" i="1"/>
  <c r="BV37" i="1"/>
  <c r="M63" i="4"/>
  <c r="P103" i="3"/>
  <c r="P194" i="3"/>
  <c r="P132" i="3"/>
  <c r="P177" i="3"/>
  <c r="P176" i="3"/>
  <c r="P185" i="3"/>
  <c r="N197" i="2"/>
  <c r="N13" i="2"/>
  <c r="N116" i="2"/>
  <c r="N185" i="2"/>
  <c r="N194" i="2"/>
  <c r="O232" i="2"/>
  <c r="N255" i="2"/>
  <c r="O73" i="1"/>
  <c r="O28" i="2"/>
  <c r="BI29" i="2"/>
  <c r="BI117" i="2"/>
  <c r="Q132" i="3"/>
  <c r="Q185" i="3"/>
  <c r="O82" i="2"/>
  <c r="O185" i="2"/>
  <c r="O255" i="2"/>
  <c r="BR82" i="1"/>
  <c r="O82" i="1"/>
  <c r="BR180" i="1"/>
  <c r="BU220" i="1"/>
  <c r="BM113" i="2"/>
  <c r="BQ35" i="2"/>
  <c r="BQ87" i="2"/>
  <c r="BQ79" i="2"/>
  <c r="BM29" i="2"/>
  <c r="BM35" i="2"/>
  <c r="BM36" i="2"/>
  <c r="BM79" i="2"/>
  <c r="BM119" i="2"/>
  <c r="BM117" i="2"/>
  <c r="BM136" i="2" s="1"/>
  <c r="BM40" i="2"/>
  <c r="BK29" i="2"/>
  <c r="BK87" i="2"/>
  <c r="BK117" i="2"/>
  <c r="BG29" i="2"/>
  <c r="BG35" i="2"/>
  <c r="BG36" i="2"/>
  <c r="BG117" i="2"/>
  <c r="BK95" i="2"/>
  <c r="L16" i="2"/>
  <c r="N133" i="3" s="1"/>
  <c r="N162" i="3" s="1"/>
  <c r="L84" i="2"/>
  <c r="BF114" i="2"/>
  <c r="BF17" i="2"/>
  <c r="BP102" i="2"/>
  <c r="BH205" i="1"/>
  <c r="BH125" i="2"/>
  <c r="CJ63" i="1"/>
  <c r="CJ62" i="1"/>
  <c r="CJ199" i="1"/>
  <c r="CF67" i="1"/>
  <c r="CF69" i="1" s="1"/>
  <c r="BL63" i="1"/>
  <c r="BG40" i="2"/>
  <c r="BM95" i="2"/>
  <c r="CF123" i="1"/>
  <c r="CF125" i="1"/>
  <c r="N113" i="2"/>
  <c r="N257" i="2"/>
  <c r="N14" i="2"/>
  <c r="N253" i="2" s="1"/>
  <c r="O250" i="2" s="1"/>
  <c r="P186" i="3"/>
  <c r="M14" i="2"/>
  <c r="M253" i="2" s="1"/>
  <c r="M16" i="2"/>
  <c r="M257" i="2"/>
  <c r="BE36" i="2"/>
  <c r="BE43" i="2"/>
  <c r="BM43" i="2"/>
  <c r="BM50" i="2"/>
  <c r="BM429" i="2" s="1"/>
  <c r="BM46" i="2"/>
  <c r="BQ43" i="2"/>
  <c r="BQ46" i="2"/>
  <c r="BQ66" i="2" s="1"/>
  <c r="Q121" i="3"/>
  <c r="O117" i="2"/>
  <c r="O136" i="2" s="1"/>
  <c r="CJ226" i="1"/>
  <c r="P121" i="3"/>
  <c r="N117" i="2"/>
  <c r="N35" i="2"/>
  <c r="N36" i="2" s="1"/>
  <c r="CF123" i="2"/>
  <c r="CF98" i="2"/>
  <c r="BM66" i="2"/>
  <c r="BM120" i="2"/>
  <c r="BM70" i="2"/>
  <c r="BE50" i="2"/>
  <c r="BE55" i="2" s="1"/>
  <c r="O247" i="2"/>
  <c r="BQ55" i="2"/>
  <c r="BQ88" i="2" s="1"/>
  <c r="BM55" i="2"/>
  <c r="O133" i="3"/>
  <c r="O198" i="3"/>
  <c r="M114" i="2"/>
  <c r="N247" i="2"/>
  <c r="CF125" i="2"/>
  <c r="CG175" i="2"/>
  <c r="CF59" i="2"/>
  <c r="S176" i="2"/>
  <c r="S59" i="2" s="1"/>
  <c r="BM57" i="2"/>
  <c r="BE70" i="2"/>
  <c r="T175" i="2"/>
  <c r="CF76" i="2"/>
  <c r="CF151" i="2"/>
  <c r="CF19" i="2" s="1"/>
  <c r="CF126" i="2"/>
  <c r="CF22" i="2"/>
  <c r="S67" i="2"/>
  <c r="S76" i="2"/>
  <c r="CE361" i="1"/>
  <c r="CE373" i="1"/>
  <c r="CE371" i="1"/>
  <c r="CE372" i="1"/>
  <c r="S137" i="1"/>
  <c r="S125" i="2"/>
  <c r="T125" i="2"/>
  <c r="U125" i="2" s="1"/>
  <c r="V125" i="2" s="1"/>
  <c r="W125" i="2" s="1"/>
  <c r="X125" i="2" s="1"/>
  <c r="Y125" i="2" s="1"/>
  <c r="Z125" i="2" s="1"/>
  <c r="AA125" i="2" s="1"/>
  <c r="CH130" i="2"/>
  <c r="S71" i="2"/>
  <c r="S22" i="2"/>
  <c r="CF124" i="2"/>
  <c r="CF144" i="2"/>
  <c r="CF84" i="2"/>
  <c r="S134" i="1"/>
  <c r="CF134" i="1"/>
  <c r="CJ49" i="1"/>
  <c r="CJ147" i="1"/>
  <c r="CJ160" i="1"/>
  <c r="CF140" i="1"/>
  <c r="CG154" i="1"/>
  <c r="CG140" i="2"/>
  <c r="U41" i="1"/>
  <c r="N14" i="4"/>
  <c r="O79" i="2" s="1"/>
  <c r="W176" i="3"/>
  <c r="S109" i="3"/>
  <c r="K109" i="3"/>
  <c r="I109" i="3"/>
  <c r="CH131" i="2"/>
  <c r="CH163" i="2"/>
  <c r="CD163" i="2"/>
  <c r="CI130" i="2"/>
  <c r="CE162" i="2"/>
  <c r="CI134" i="2"/>
  <c r="CI131" i="1"/>
  <c r="CI13" i="1"/>
  <c r="CI134" i="1"/>
  <c r="CI16" i="1"/>
  <c r="R91" i="4"/>
  <c r="CH63" i="1"/>
  <c r="CH68" i="1" s="1"/>
  <c r="S136" i="1"/>
  <c r="CH162" i="1"/>
  <c r="T162" i="1"/>
  <c r="CH49" i="1"/>
  <c r="CH54" i="1" s="1"/>
  <c r="U116" i="2"/>
  <c r="V116" i="2"/>
  <c r="W116" i="2" s="1"/>
  <c r="X116" i="2" s="1"/>
  <c r="Y116" i="2" s="1"/>
  <c r="Z116" i="2" s="1"/>
  <c r="AA116" i="2" s="1"/>
  <c r="W101" i="3"/>
  <c r="X101" i="3" s="1"/>
  <c r="Y101" i="3" s="1"/>
  <c r="Z101" i="3" s="1"/>
  <c r="AA101" i="3" s="1"/>
  <c r="AB101" i="3" s="1"/>
  <c r="AC101" i="3" s="1"/>
  <c r="R14" i="4"/>
  <c r="R23" i="4"/>
  <c r="W189" i="3"/>
  <c r="M163" i="3"/>
  <c r="I163" i="3"/>
  <c r="S163" i="3"/>
  <c r="R114" i="3"/>
  <c r="K114" i="3"/>
  <c r="E111" i="3"/>
  <c r="K110" i="3"/>
  <c r="K111" i="3" s="1"/>
  <c r="D110" i="3"/>
  <c r="E109" i="3"/>
  <c r="R96" i="3"/>
  <c r="P96" i="3"/>
  <c r="F78" i="3"/>
  <c r="H78" i="3"/>
  <c r="U154" i="3"/>
  <c r="U85" i="3"/>
  <c r="V84" i="3" s="1"/>
  <c r="U110" i="3"/>
  <c r="U111" i="3" s="1"/>
  <c r="I164" i="3"/>
  <c r="K155" i="3"/>
  <c r="M109" i="3"/>
  <c r="M114" i="3"/>
  <c r="J85" i="3"/>
  <c r="K84" i="3" s="1"/>
  <c r="J109" i="3"/>
  <c r="J110" i="3"/>
  <c r="J111" i="3" s="1"/>
  <c r="H85" i="3"/>
  <c r="I84" i="3" s="1"/>
  <c r="H109" i="3"/>
  <c r="H110" i="3"/>
  <c r="H111" i="3" s="1"/>
  <c r="F85" i="3"/>
  <c r="G84" i="3" s="1"/>
  <c r="F109" i="3"/>
  <c r="F110" i="3"/>
  <c r="F111" i="3" s="1"/>
  <c r="C110" i="3"/>
  <c r="C111" i="3" s="1"/>
  <c r="C114" i="3"/>
  <c r="C109" i="3"/>
  <c r="T142" i="3"/>
  <c r="T163" i="3" s="1"/>
  <c r="T110" i="3"/>
  <c r="R142" i="3"/>
  <c r="R163" i="3" s="1"/>
  <c r="R109" i="3"/>
  <c r="P142" i="3"/>
  <c r="P163" i="3" s="1"/>
  <c r="P109" i="3"/>
  <c r="N142" i="3"/>
  <c r="N163" i="3" s="1"/>
  <c r="V56" i="3"/>
  <c r="W48" i="3"/>
  <c r="X48" i="3"/>
  <c r="Y48" i="3" s="1"/>
  <c r="Z48" i="3" s="1"/>
  <c r="AA48" i="3" s="1"/>
  <c r="AB48" i="3" s="1"/>
  <c r="AC48" i="3" s="1"/>
  <c r="Q49" i="3"/>
  <c r="Q173" i="3" s="1"/>
  <c r="Q154" i="3"/>
  <c r="O49" i="3"/>
  <c r="O191" i="3"/>
  <c r="T19" i="3"/>
  <c r="M85" i="3"/>
  <c r="R117" i="3"/>
  <c r="J114" i="3"/>
  <c r="J116" i="3" s="1"/>
  <c r="H114" i="3"/>
  <c r="F114" i="3"/>
  <c r="F117" i="3" s="1"/>
  <c r="V26" i="3"/>
  <c r="P147" i="3"/>
  <c r="L147" i="3"/>
  <c r="J147" i="3"/>
  <c r="H147" i="3"/>
  <c r="T109" i="3"/>
  <c r="R85" i="3"/>
  <c r="S84" i="3" s="1"/>
  <c r="S86" i="3" s="1"/>
  <c r="P114" i="3"/>
  <c r="P117" i="3" s="1"/>
  <c r="P118" i="3" s="1"/>
  <c r="L129" i="3"/>
  <c r="H129" i="3"/>
  <c r="D129" i="3"/>
  <c r="S78" i="3"/>
  <c r="Q78" i="3"/>
  <c r="Q81" i="3"/>
  <c r="O78" i="3"/>
  <c r="O81" i="3"/>
  <c r="M78" i="3"/>
  <c r="M81" i="3"/>
  <c r="R35" i="3"/>
  <c r="R128" i="3" s="1"/>
  <c r="T111" i="3"/>
  <c r="R146" i="3"/>
  <c r="V30" i="3"/>
  <c r="S22" i="4" s="1"/>
  <c r="S33" i="3"/>
  <c r="Q33" i="3"/>
  <c r="O33" i="3"/>
  <c r="O35" i="3" s="1"/>
  <c r="S57" i="3"/>
  <c r="T49" i="3"/>
  <c r="T174" i="3" s="1"/>
  <c r="R49" i="3"/>
  <c r="V32" i="3"/>
  <c r="V145" i="3" s="1"/>
  <c r="K116" i="3"/>
  <c r="K117" i="3"/>
  <c r="K118" i="3" s="1"/>
  <c r="P116" i="3"/>
  <c r="K149" i="3"/>
  <c r="W26" i="3"/>
  <c r="V29" i="3"/>
  <c r="V201" i="3"/>
  <c r="H117" i="3"/>
  <c r="H118" i="3" s="1"/>
  <c r="H116" i="3"/>
  <c r="O57" i="3"/>
  <c r="O69" i="3" s="1"/>
  <c r="O174" i="3"/>
  <c r="O173" i="3"/>
  <c r="C116" i="3"/>
  <c r="C117" i="3"/>
  <c r="C118" i="3" s="1"/>
  <c r="M117" i="3"/>
  <c r="M118" i="3" s="1"/>
  <c r="M116" i="3"/>
  <c r="H150" i="3"/>
  <c r="I149" i="3"/>
  <c r="I158" i="3" s="1"/>
  <c r="M149" i="3"/>
  <c r="F116" i="3"/>
  <c r="T35" i="3"/>
  <c r="T153" i="3"/>
  <c r="L156" i="3"/>
  <c r="R57" i="3"/>
  <c r="R173" i="3"/>
  <c r="R174" i="3"/>
  <c r="T57" i="3"/>
  <c r="T69" i="3" s="1"/>
  <c r="T173" i="3"/>
  <c r="W32" i="3"/>
  <c r="X32" i="3" s="1"/>
  <c r="Y32" i="3" s="1"/>
  <c r="Z32" i="3" s="1"/>
  <c r="AA32" i="3" s="1"/>
  <c r="AB32" i="3" s="1"/>
  <c r="AC32" i="3" s="1"/>
  <c r="W52" i="3"/>
  <c r="X52" i="3" s="1"/>
  <c r="S69" i="3"/>
  <c r="Q35" i="3"/>
  <c r="Q127" i="3" s="1"/>
  <c r="Q153" i="3"/>
  <c r="Q155" i="3" s="1"/>
  <c r="W30" i="3"/>
  <c r="X30" i="3" s="1"/>
  <c r="S146" i="3"/>
  <c r="T146" i="3" s="1"/>
  <c r="R147" i="3"/>
  <c r="T128" i="3"/>
  <c r="X26" i="3"/>
  <c r="Y26" i="3"/>
  <c r="Y201" i="3" s="1"/>
  <c r="W201" i="3"/>
  <c r="W29" i="3"/>
  <c r="V76" i="3"/>
  <c r="S71" i="4"/>
  <c r="U95" i="3"/>
  <c r="U100" i="3"/>
  <c r="X141" i="3"/>
  <c r="BF205" i="1"/>
  <c r="BF125" i="2"/>
  <c r="BE125" i="2"/>
  <c r="M142" i="2"/>
  <c r="BE205" i="1"/>
  <c r="BP125" i="2"/>
  <c r="BX16" i="2"/>
  <c r="BX28" i="2"/>
  <c r="BX40" i="2" s="1"/>
  <c r="BP82" i="2"/>
  <c r="BP116" i="2"/>
  <c r="BP20" i="2"/>
  <c r="BP29" i="2"/>
  <c r="BP117" i="2"/>
  <c r="BP136" i="2" s="1"/>
  <c r="BP11" i="2"/>
  <c r="BP115" i="2"/>
  <c r="O51" i="1"/>
  <c r="O47" i="1"/>
  <c r="N47" i="1"/>
  <c r="BI205" i="1"/>
  <c r="BI125" i="2"/>
  <c r="BI100" i="2" s="1"/>
  <c r="CH169" i="2"/>
  <c r="CI169" i="2" s="1"/>
  <c r="BR86" i="2"/>
  <c r="BN28" i="2"/>
  <c r="BN16" i="2"/>
  <c r="BU86" i="2"/>
  <c r="BU16" i="2"/>
  <c r="BU28" i="2"/>
  <c r="M193" i="1"/>
  <c r="BW361" i="1"/>
  <c r="BU373" i="1"/>
  <c r="R367" i="1"/>
  <c r="P366" i="1"/>
  <c r="BW365" i="1"/>
  <c r="P365" i="1"/>
  <c r="CB325" i="1"/>
  <c r="BP325" i="1"/>
  <c r="BP307" i="1"/>
  <c r="BP306" i="1"/>
  <c r="BP304" i="1"/>
  <c r="BP303" i="1"/>
  <c r="BL272" i="1"/>
  <c r="BP268" i="1"/>
  <c r="R137" i="1"/>
  <c r="BF24" i="1"/>
  <c r="BD23" i="1"/>
  <c r="L24" i="1"/>
  <c r="H24" i="1"/>
  <c r="AO172" i="2"/>
  <c r="BQ126" i="2"/>
  <c r="BV144" i="2"/>
  <c r="BN109" i="2"/>
  <c r="BN106" i="2"/>
  <c r="AZ75" i="2"/>
  <c r="AZ68" i="2"/>
  <c r="AR68" i="2"/>
  <c r="AJ68" i="2"/>
  <c r="K68" i="2"/>
  <c r="G68" i="2"/>
  <c r="K129" i="3"/>
  <c r="BY321" i="1"/>
  <c r="BL331" i="1"/>
  <c r="CB248" i="1"/>
  <c r="BT246" i="1"/>
  <c r="CG26" i="1"/>
  <c r="BM239" i="2"/>
  <c r="BN239" i="2" s="1"/>
  <c r="BO239" i="2" s="1"/>
  <c r="BP239" i="2" s="1"/>
  <c r="BQ239" i="2" s="1"/>
  <c r="BR239" i="2" s="1"/>
  <c r="BT109" i="2"/>
  <c r="BM109" i="2"/>
  <c r="BP108" i="2"/>
  <c r="BM106" i="2"/>
  <c r="BD93" i="2"/>
  <c r="AZ79" i="2"/>
  <c r="G72" i="2"/>
  <c r="C72" i="2"/>
  <c r="CC366" i="1"/>
  <c r="Q365" i="1"/>
  <c r="CD364" i="1"/>
  <c r="BW363" i="1"/>
  <c r="BR369" i="1"/>
  <c r="BX331" i="1"/>
  <c r="BX312" i="1"/>
  <c r="BX310" i="1"/>
  <c r="BX309" i="1"/>
  <c r="BX233" i="1"/>
  <c r="BZ134" i="1"/>
  <c r="BV179" i="2"/>
  <c r="BB179" i="2"/>
  <c r="AL179" i="2"/>
  <c r="L179" i="2"/>
  <c r="CA135" i="2"/>
  <c r="J163" i="3"/>
  <c r="K147" i="3"/>
  <c r="BP36" i="2"/>
  <c r="CA369" i="1"/>
  <c r="O105" i="1"/>
  <c r="P92" i="1"/>
  <c r="Q186" i="1"/>
  <c r="P134" i="1"/>
  <c r="O134" i="1"/>
  <c r="CE96" i="1"/>
  <c r="M172" i="2"/>
  <c r="BN99" i="2"/>
  <c r="S141" i="2"/>
  <c r="BK105" i="2"/>
  <c r="X201" i="3"/>
  <c r="BN205" i="1"/>
  <c r="BN125" i="2"/>
  <c r="R69" i="3"/>
  <c r="BL102" i="2"/>
  <c r="BN20" i="2"/>
  <c r="BN115" i="2"/>
  <c r="BH20" i="2"/>
  <c r="BH28" i="2"/>
  <c r="BZ151" i="1"/>
  <c r="BZ37" i="1" s="1"/>
  <c r="BZ40" i="1" s="1"/>
  <c r="CA370" i="1"/>
  <c r="BW370" i="1"/>
  <c r="BS370" i="1"/>
  <c r="BM369" i="1"/>
  <c r="O361" i="1"/>
  <c r="BT272" i="1"/>
  <c r="BT271" i="1"/>
  <c r="BX243" i="1"/>
  <c r="BK136" i="1"/>
  <c r="BK18" i="1"/>
  <c r="BX135" i="1"/>
  <c r="CH125" i="1"/>
  <c r="U97" i="1"/>
  <c r="V97" i="1"/>
  <c r="L381" i="2"/>
  <c r="L385" i="2"/>
  <c r="BS159" i="2"/>
  <c r="BU159" i="2"/>
  <c r="BU135" i="2"/>
  <c r="BU101" i="2"/>
  <c r="BY101" i="2"/>
  <c r="CJ74" i="2"/>
  <c r="CJ75" i="2"/>
  <c r="CI75" i="2"/>
  <c r="AT68" i="2"/>
  <c r="T154" i="3"/>
  <c r="N57" i="3"/>
  <c r="N173" i="3"/>
  <c r="N174" i="3"/>
  <c r="X34" i="4"/>
  <c r="BZ54" i="1"/>
  <c r="CE127" i="2"/>
  <c r="CI153" i="1"/>
  <c r="CA373" i="1"/>
  <c r="BO373" i="1"/>
  <c r="CC372" i="1"/>
  <c r="BU372" i="1"/>
  <c r="BM372" i="1"/>
  <c r="R371" i="1"/>
  <c r="BZ370" i="1"/>
  <c r="BR370" i="1"/>
  <c r="P370" i="1"/>
  <c r="BS369" i="1"/>
  <c r="CC367" i="1"/>
  <c r="BN367" i="1"/>
  <c r="BS364" i="1"/>
  <c r="BR363" i="1"/>
  <c r="BM363" i="1"/>
  <c r="CA361" i="1"/>
  <c r="CC373" i="1"/>
  <c r="BT358" i="1"/>
  <c r="BP358" i="1"/>
  <c r="R365" i="1"/>
  <c r="BR364" i="1"/>
  <c r="BZ361" i="1"/>
  <c r="BV361" i="1"/>
  <c r="BQ369" i="1"/>
  <c r="BT347" i="1"/>
  <c r="BX333" i="1"/>
  <c r="BT333" i="1"/>
  <c r="BP333" i="1"/>
  <c r="BL333" i="1"/>
  <c r="BY330" i="1"/>
  <c r="BX327" i="1"/>
  <c r="BX311" i="1"/>
  <c r="BT311" i="1"/>
  <c r="BT310" i="1"/>
  <c r="BX265" i="1"/>
  <c r="BP267" i="1"/>
  <c r="BP272" i="1"/>
  <c r="BP265" i="1"/>
  <c r="BP264" i="1"/>
  <c r="BY253" i="1"/>
  <c r="BX252" i="1"/>
  <c r="BT252" i="1"/>
  <c r="BP252" i="1"/>
  <c r="BL252" i="1"/>
  <c r="BX248" i="1"/>
  <c r="BP246" i="1"/>
  <c r="BZ193" i="1"/>
  <c r="BP96" i="1"/>
  <c r="P135" i="1"/>
  <c r="BZ167" i="1"/>
  <c r="BJ136" i="1"/>
  <c r="BW135" i="1"/>
  <c r="BQ161" i="1"/>
  <c r="BQ200" i="1"/>
  <c r="BM135" i="1"/>
  <c r="BM17" i="1"/>
  <c r="BI135" i="1"/>
  <c r="R160" i="1"/>
  <c r="O138" i="1"/>
  <c r="P137" i="1"/>
  <c r="R136" i="1"/>
  <c r="Q147" i="1"/>
  <c r="CC97" i="1"/>
  <c r="CD95" i="1"/>
  <c r="CD97" i="1" s="1"/>
  <c r="BQ179" i="2"/>
  <c r="AW179" i="2"/>
  <c r="AG179" i="2"/>
  <c r="G179" i="2"/>
  <c r="AX172" i="2"/>
  <c r="AL172" i="2"/>
  <c r="AM172" i="2"/>
  <c r="AM173" i="2"/>
  <c r="BD169" i="2"/>
  <c r="BD170" i="2"/>
  <c r="P157" i="2"/>
  <c r="P133" i="2"/>
  <c r="P108" i="2" s="1"/>
  <c r="Q98" i="2"/>
  <c r="CA144" i="2"/>
  <c r="BU144" i="2"/>
  <c r="BZ125" i="2"/>
  <c r="BZ100" i="2"/>
  <c r="BZ144" i="2"/>
  <c r="BX124" i="2"/>
  <c r="BX144" i="2"/>
  <c r="BR109" i="2"/>
  <c r="BL109" i="2"/>
  <c r="CD132" i="2"/>
  <c r="J164" i="3"/>
  <c r="CB357" i="1"/>
  <c r="Q370" i="1"/>
  <c r="CD361" i="1"/>
  <c r="CB356" i="1"/>
  <c r="BU361" i="1"/>
  <c r="BP346" i="1"/>
  <c r="BT345" i="1"/>
  <c r="BX341" i="1"/>
  <c r="CB341" i="1"/>
  <c r="BP356" i="1"/>
  <c r="BY331" i="1"/>
  <c r="BX330" i="1"/>
  <c r="BT330" i="1"/>
  <c r="BP330" i="1"/>
  <c r="BL330" i="1"/>
  <c r="BY324" i="1"/>
  <c r="BX304" i="1"/>
  <c r="BP311" i="1"/>
  <c r="BX266" i="1"/>
  <c r="BT266" i="1"/>
  <c r="BY254" i="1"/>
  <c r="BX253" i="1"/>
  <c r="BT253" i="1"/>
  <c r="BP253" i="1"/>
  <c r="BL253" i="1"/>
  <c r="BX245" i="1"/>
  <c r="BP248" i="1"/>
  <c r="O119" i="1"/>
  <c r="Q137" i="1"/>
  <c r="M137" i="1"/>
  <c r="BT202" i="1"/>
  <c r="BT64" i="1" s="1"/>
  <c r="BP202" i="1"/>
  <c r="BP137" i="1" s="1"/>
  <c r="BP19" i="1" s="1"/>
  <c r="BL202" i="1"/>
  <c r="BL137" i="1"/>
  <c r="BL64" i="1"/>
  <c r="R199" i="1"/>
  <c r="BJ193" i="1"/>
  <c r="BN180" i="1"/>
  <c r="BR137" i="1"/>
  <c r="BR19" i="1"/>
  <c r="BN137" i="1"/>
  <c r="BN19" i="1"/>
  <c r="BJ137" i="1"/>
  <c r="BO136" i="1"/>
  <c r="BP161" i="1"/>
  <c r="BP48" i="1"/>
  <c r="O137" i="1"/>
  <c r="Q136" i="1"/>
  <c r="R135" i="1"/>
  <c r="CD125" i="1"/>
  <c r="W123" i="1"/>
  <c r="W125" i="1"/>
  <c r="S111" i="1"/>
  <c r="CD110" i="1"/>
  <c r="CD41" i="1"/>
  <c r="AY23" i="1"/>
  <c r="BH23" i="1"/>
  <c r="BH24" i="1"/>
  <c r="AR23" i="1"/>
  <c r="AR24" i="1"/>
  <c r="BZ179" i="2"/>
  <c r="BJ179" i="2"/>
  <c r="AP179" i="2"/>
  <c r="P179" i="2"/>
  <c r="AG172" i="2"/>
  <c r="AH172" i="2"/>
  <c r="AH173" i="2" s="1"/>
  <c r="AO170" i="2"/>
  <c r="BY144" i="2"/>
  <c r="BK109" i="2"/>
  <c r="BO108" i="2"/>
  <c r="BO107" i="2"/>
  <c r="CC98" i="2"/>
  <c r="AV79" i="2"/>
  <c r="AV119" i="2" s="1"/>
  <c r="AT119" i="2"/>
  <c r="Q373" i="1"/>
  <c r="BY372" i="1"/>
  <c r="BQ372" i="1"/>
  <c r="O372" i="1"/>
  <c r="BS371" i="1"/>
  <c r="CD370" i="1"/>
  <c r="BN370" i="1"/>
  <c r="Q369" i="1"/>
  <c r="BQ367" i="1"/>
  <c r="CC364" i="1"/>
  <c r="BW364" i="1"/>
  <c r="BU363" i="1"/>
  <c r="P363" i="1"/>
  <c r="Q361" i="1"/>
  <c r="BR373" i="1"/>
  <c r="BM373" i="1"/>
  <c r="P367" i="1"/>
  <c r="CB359" i="1"/>
  <c r="R372" i="1"/>
  <c r="BO370" i="1"/>
  <c r="P364" i="1"/>
  <c r="CC361" i="1"/>
  <c r="BN369" i="1"/>
  <c r="P361" i="1"/>
  <c r="CB343" i="1"/>
  <c r="BY332" i="1"/>
  <c r="BT331" i="1"/>
  <c r="BP331" i="1"/>
  <c r="CC324" i="1"/>
  <c r="BT323" i="1"/>
  <c r="BT326" i="1"/>
  <c r="BX321" i="1"/>
  <c r="CB317" i="1"/>
  <c r="CB324" i="1" s="1"/>
  <c r="BP324" i="1"/>
  <c r="BY255" i="1"/>
  <c r="BT254" i="1"/>
  <c r="BP254" i="1"/>
  <c r="BL254" i="1"/>
  <c r="BY251" i="1"/>
  <c r="BT249" i="1"/>
  <c r="BY243" i="1"/>
  <c r="N228" i="1"/>
  <c r="CB206" i="1"/>
  <c r="BR201" i="1"/>
  <c r="BR136" i="1"/>
  <c r="BR18" i="1" s="1"/>
  <c r="BU171" i="1"/>
  <c r="P163" i="1"/>
  <c r="P50" i="1" s="1"/>
  <c r="BM137" i="1"/>
  <c r="BM19" i="1" s="1"/>
  <c r="N163" i="1"/>
  <c r="BS136" i="1"/>
  <c r="BS18" i="1"/>
  <c r="BS135" i="1"/>
  <c r="BS17" i="1"/>
  <c r="BO135" i="1"/>
  <c r="BK135" i="1"/>
  <c r="BK17" i="1"/>
  <c r="CA134" i="1"/>
  <c r="P136" i="1"/>
  <c r="Q135" i="1"/>
  <c r="BS97" i="1"/>
  <c r="BR83" i="1"/>
  <c r="BY83" i="1"/>
  <c r="CC83" i="1"/>
  <c r="CE81" i="1"/>
  <c r="CE83" i="1"/>
  <c r="CE82" i="1"/>
  <c r="CI41" i="1"/>
  <c r="BC24" i="1"/>
  <c r="BC23" i="1"/>
  <c r="AU24" i="1"/>
  <c r="AU23" i="1"/>
  <c r="AM24" i="1"/>
  <c r="AM23" i="1"/>
  <c r="BL240" i="2"/>
  <c r="BM240" i="2"/>
  <c r="BN240" i="2" s="1"/>
  <c r="BO240" i="2" s="1"/>
  <c r="BP240" i="2" s="1"/>
  <c r="BQ240" i="2" s="1"/>
  <c r="BR240" i="2" s="1"/>
  <c r="BY179" i="2"/>
  <c r="BI179" i="2"/>
  <c r="AO179" i="2"/>
  <c r="O179" i="2"/>
  <c r="BB172" i="2"/>
  <c r="BQ159" i="2"/>
  <c r="BV130" i="2"/>
  <c r="BZ105" i="2" s="1"/>
  <c r="BV159" i="2"/>
  <c r="BV135" i="2" s="1"/>
  <c r="BR140" i="2"/>
  <c r="BR123" i="2" s="1"/>
  <c r="BR159" i="2"/>
  <c r="BE126" i="2"/>
  <c r="CE133" i="2"/>
  <c r="BL106" i="2"/>
  <c r="CC101" i="2"/>
  <c r="V111" i="1"/>
  <c r="CC109" i="1"/>
  <c r="CC111" i="1" s="1"/>
  <c r="BW83" i="1"/>
  <c r="CC82" i="1"/>
  <c r="J283" i="2"/>
  <c r="BT172" i="2"/>
  <c r="BT173" i="2"/>
  <c r="BW135" i="2"/>
  <c r="BM142" i="2"/>
  <c r="BM126" i="2"/>
  <c r="BQ101" i="2"/>
  <c r="BI126" i="2"/>
  <c r="L149" i="2"/>
  <c r="BF124" i="2"/>
  <c r="BJ99" i="2" s="1"/>
  <c r="BW109" i="2"/>
  <c r="BO109" i="2"/>
  <c r="BJ108" i="2"/>
  <c r="CA107" i="2"/>
  <c r="BL107" i="2"/>
  <c r="CE131" i="2"/>
  <c r="BO106" i="2"/>
  <c r="BL105" i="2"/>
  <c r="CB98" i="2"/>
  <c r="BU76" i="2"/>
  <c r="BW76" i="2"/>
  <c r="BE75" i="2"/>
  <c r="BA76" i="2"/>
  <c r="BA77" i="2" s="1"/>
  <c r="G129" i="3"/>
  <c r="U111" i="1"/>
  <c r="CE109" i="1"/>
  <c r="CE111" i="1" s="1"/>
  <c r="CI69" i="1"/>
  <c r="W55" i="1"/>
  <c r="CC179" i="2"/>
  <c r="S179" i="2"/>
  <c r="T179" i="2" s="1"/>
  <c r="U179" i="2" s="1"/>
  <c r="V179" i="2" s="1"/>
  <c r="W179" i="2" s="1"/>
  <c r="X179" i="2" s="1"/>
  <c r="Y179" i="2" s="1"/>
  <c r="Z179" i="2" s="1"/>
  <c r="AA179" i="2" s="1"/>
  <c r="BU179" i="2"/>
  <c r="BM179" i="2"/>
  <c r="BA179" i="2"/>
  <c r="AS179" i="2"/>
  <c r="AK179" i="2"/>
  <c r="AC179" i="2"/>
  <c r="K179" i="2"/>
  <c r="C179" i="2"/>
  <c r="CA172" i="2"/>
  <c r="CA173" i="2"/>
  <c r="BV172" i="2"/>
  <c r="BV173" i="2"/>
  <c r="AZ170" i="2"/>
  <c r="N123" i="2"/>
  <c r="BP124" i="2"/>
  <c r="BP99" i="2"/>
  <c r="BW101" i="2"/>
  <c r="BY109" i="2"/>
  <c r="BQ109" i="2"/>
  <c r="BL108" i="2"/>
  <c r="BN107" i="2"/>
  <c r="BN105" i="2"/>
  <c r="CD98" i="2"/>
  <c r="BC94" i="2"/>
  <c r="AR79" i="2"/>
  <c r="AR119" i="2" s="1"/>
  <c r="L85" i="3"/>
  <c r="L114" i="3"/>
  <c r="E84" i="3"/>
  <c r="D114" i="3"/>
  <c r="D116" i="3" s="1"/>
  <c r="D109" i="3"/>
  <c r="Q45" i="4"/>
  <c r="K75" i="2"/>
  <c r="K163" i="3"/>
  <c r="K164" i="3" s="1"/>
  <c r="I129" i="3"/>
  <c r="J129" i="3"/>
  <c r="Q96" i="3"/>
  <c r="P30" i="4"/>
  <c r="H164" i="3"/>
  <c r="O147" i="3"/>
  <c r="I147" i="3"/>
  <c r="E129" i="3"/>
  <c r="BC93" i="2"/>
  <c r="P75" i="2"/>
  <c r="J155" i="3"/>
  <c r="M147" i="3"/>
  <c r="E117" i="3"/>
  <c r="E118" i="3" s="1"/>
  <c r="S110" i="3"/>
  <c r="U109" i="3"/>
  <c r="CB282" i="1"/>
  <c r="S147" i="3"/>
  <c r="S168" i="3" s="1"/>
  <c r="Q128" i="3"/>
  <c r="R118" i="3"/>
  <c r="BL205" i="1"/>
  <c r="BL125" i="2"/>
  <c r="BL100" i="2"/>
  <c r="R116" i="3"/>
  <c r="BR64" i="1"/>
  <c r="BR63" i="1"/>
  <c r="BR62" i="1"/>
  <c r="P101" i="2"/>
  <c r="O101" i="2"/>
  <c r="BT367" i="1"/>
  <c r="BP363" i="1"/>
  <c r="BP49" i="1"/>
  <c r="BI136" i="1"/>
  <c r="BM154" i="1"/>
  <c r="R134" i="1"/>
  <c r="CD170" i="2"/>
  <c r="CE169" i="2"/>
  <c r="CE170" i="2" s="1"/>
  <c r="CF170" i="2" s="1"/>
  <c r="CG170" i="2" s="1"/>
  <c r="AQ170" i="2"/>
  <c r="AR169" i="2"/>
  <c r="BL20" i="2"/>
  <c r="BL86" i="2"/>
  <c r="BP86" i="2"/>
  <c r="BL28" i="2"/>
  <c r="BV106" i="2"/>
  <c r="BZ106" i="2"/>
  <c r="BV16" i="2"/>
  <c r="BV28" i="2"/>
  <c r="CA101" i="2"/>
  <c r="CE101" i="2"/>
  <c r="L76" i="2"/>
  <c r="M74" i="2"/>
  <c r="L75" i="2"/>
  <c r="P100" i="3"/>
  <c r="P101" i="3" s="1"/>
  <c r="M14" i="4"/>
  <c r="M248" i="2"/>
  <c r="P87" i="2"/>
  <c r="AA40" i="1"/>
  <c r="AA39" i="1"/>
  <c r="AA41" i="1" s="1"/>
  <c r="BN49" i="1"/>
  <c r="BN201" i="1"/>
  <c r="BL136" i="1"/>
  <c r="BL18" i="1"/>
  <c r="BV41" i="1"/>
  <c r="BZ41" i="1"/>
  <c r="BK82" i="2"/>
  <c r="BK119" i="2"/>
  <c r="BK116" i="2"/>
  <c r="BK13" i="2"/>
  <c r="P219" i="1"/>
  <c r="BZ108" i="2"/>
  <c r="R100" i="3"/>
  <c r="R101" i="3" s="1"/>
  <c r="O14" i="4"/>
  <c r="BZ138" i="1"/>
  <c r="BN193" i="1"/>
  <c r="CI100" i="1"/>
  <c r="CG100" i="1"/>
  <c r="W109" i="1"/>
  <c r="W111" i="1" s="1"/>
  <c r="W110" i="1"/>
  <c r="X100" i="1"/>
  <c r="CH100" i="1"/>
  <c r="M409" i="2"/>
  <c r="M411" i="2"/>
  <c r="N411" i="2" s="1"/>
  <c r="BT28" i="2"/>
  <c r="BX86" i="2"/>
  <c r="BT86" i="2"/>
  <c r="BJ20" i="2"/>
  <c r="BJ28" i="2"/>
  <c r="BN86" i="2"/>
  <c r="BJ86" i="2"/>
  <c r="BJ115" i="2"/>
  <c r="BG119" i="2"/>
  <c r="BG13" i="2"/>
  <c r="BG116" i="2"/>
  <c r="BM101" i="2"/>
  <c r="CH125" i="2"/>
  <c r="CD100" i="2"/>
  <c r="BS48" i="1"/>
  <c r="BS49" i="1"/>
  <c r="BS50" i="1"/>
  <c r="BO49" i="1"/>
  <c r="BO50" i="1"/>
  <c r="BO48" i="1"/>
  <c r="Q28" i="2"/>
  <c r="CE138" i="1"/>
  <c r="CE154" i="1"/>
  <c r="CE37" i="1"/>
  <c r="CE40" i="1" s="1"/>
  <c r="CI154" i="2"/>
  <c r="CI140" i="2"/>
  <c r="CI147" i="2"/>
  <c r="CI154" i="1"/>
  <c r="CB249" i="1"/>
  <c r="BL220" i="1"/>
  <c r="O135" i="1"/>
  <c r="X58" i="1"/>
  <c r="W67" i="1"/>
  <c r="W68" i="1"/>
  <c r="AI170" i="2"/>
  <c r="AJ171" i="2"/>
  <c r="AI173" i="2"/>
  <c r="BO13" i="2"/>
  <c r="BO82" i="2"/>
  <c r="BO116" i="2"/>
  <c r="BS107" i="2"/>
  <c r="BW107" i="2"/>
  <c r="BW16" i="2"/>
  <c r="BW28" i="2"/>
  <c r="CI132" i="2"/>
  <c r="CI164" i="2" s="1"/>
  <c r="CE164" i="2"/>
  <c r="P91" i="3"/>
  <c r="P88" i="3"/>
  <c r="S100" i="3"/>
  <c r="P14" i="4"/>
  <c r="P182" i="3"/>
  <c r="W79" i="4"/>
  <c r="Z40" i="1"/>
  <c r="CE364" i="1"/>
  <c r="BY373" i="1"/>
  <c r="O373" i="1"/>
  <c r="CA372" i="1"/>
  <c r="BW372" i="1"/>
  <c r="BS372" i="1"/>
  <c r="BO372" i="1"/>
  <c r="Q372" i="1"/>
  <c r="CC371" i="1"/>
  <c r="BY371" i="1"/>
  <c r="BU371" i="1"/>
  <c r="BQ371" i="1"/>
  <c r="BM371" i="1"/>
  <c r="O371" i="1"/>
  <c r="CC369" i="1"/>
  <c r="BY369" i="1"/>
  <c r="BU369" i="1"/>
  <c r="O369" i="1"/>
  <c r="Q367" i="1"/>
  <c r="O366" i="1"/>
  <c r="CA365" i="1"/>
  <c r="Q363" i="1"/>
  <c r="BY361" i="1"/>
  <c r="BL357" i="1"/>
  <c r="BP347" i="1"/>
  <c r="BX343" i="1"/>
  <c r="BT343" i="1"/>
  <c r="BP343" i="1"/>
  <c r="BX325" i="1"/>
  <c r="BT313" i="1"/>
  <c r="BP313" i="1"/>
  <c r="BT312" i="1"/>
  <c r="BP312" i="1"/>
  <c r="BP310" i="1"/>
  <c r="BT309" i="1"/>
  <c r="BP309" i="1"/>
  <c r="BX307" i="1"/>
  <c r="BX303" i="1"/>
  <c r="BT274" i="1"/>
  <c r="BP274" i="1"/>
  <c r="BT273" i="1"/>
  <c r="BP273" i="1"/>
  <c r="BP271" i="1"/>
  <c r="BT270" i="1"/>
  <c r="BP270" i="1"/>
  <c r="BX268" i="1"/>
  <c r="BX264" i="1"/>
  <c r="CB240" i="1"/>
  <c r="CB238" i="1"/>
  <c r="CC217" i="1"/>
  <c r="CC219" i="1"/>
  <c r="CF197" i="1"/>
  <c r="CF64" i="1"/>
  <c r="CF196" i="1"/>
  <c r="CF206" i="1"/>
  <c r="CF63" i="1"/>
  <c r="CF62" i="1"/>
  <c r="CF65" i="1"/>
  <c r="CF68" i="1"/>
  <c r="CF61" i="1"/>
  <c r="BP201" i="1"/>
  <c r="BP136" i="1" s="1"/>
  <c r="O163" i="1"/>
  <c r="O49" i="1"/>
  <c r="O161" i="1"/>
  <c r="O200" i="1"/>
  <c r="S36" i="1"/>
  <c r="S33" i="1"/>
  <c r="BQ137" i="1"/>
  <c r="BI137" i="1"/>
  <c r="BV111" i="1"/>
  <c r="CC110" i="1"/>
  <c r="BY97" i="1"/>
  <c r="BU97" i="1"/>
  <c r="T97" i="1"/>
  <c r="CD96" i="1"/>
  <c r="CE95" i="1"/>
  <c r="CE97" i="1" s="1"/>
  <c r="W86" i="1"/>
  <c r="S83" i="1"/>
  <c r="CD81" i="1"/>
  <c r="CD83" i="1" s="1"/>
  <c r="V81" i="1"/>
  <c r="V83" i="1" s="1"/>
  <c r="V67" i="1"/>
  <c r="V69" i="1" s="1"/>
  <c r="BU39" i="1"/>
  <c r="K24" i="1"/>
  <c r="G24" i="1"/>
  <c r="M370" i="2"/>
  <c r="L364" i="2"/>
  <c r="M332" i="2"/>
  <c r="BZ175" i="2"/>
  <c r="BZ172" i="2" s="1"/>
  <c r="BZ173" i="2" s="1"/>
  <c r="BW175" i="2"/>
  <c r="BW172" i="2"/>
  <c r="BW173" i="2" s="1"/>
  <c r="BR175" i="2"/>
  <c r="BR172" i="2" s="1"/>
  <c r="BR173" i="2" s="1"/>
  <c r="BP169" i="2"/>
  <c r="AN169" i="2"/>
  <c r="AN170" i="2" s="1"/>
  <c r="Q155" i="2"/>
  <c r="CB144" i="2"/>
  <c r="Q142" i="2"/>
  <c r="Q141" i="2"/>
  <c r="BQ140" i="2"/>
  <c r="BW130" i="2"/>
  <c r="BU130" i="2"/>
  <c r="BS130" i="2"/>
  <c r="BS105" i="2" s="1"/>
  <c r="BQ130" i="2"/>
  <c r="BQ105" i="2" s="1"/>
  <c r="CA59" i="2"/>
  <c r="BW59" i="2"/>
  <c r="BS59" i="2"/>
  <c r="I114" i="3"/>
  <c r="O110" i="3"/>
  <c r="I110" i="3"/>
  <c r="I111" i="3" s="1"/>
  <c r="O45" i="4"/>
  <c r="CF41" i="1"/>
  <c r="S35" i="1"/>
  <c r="Y169" i="2"/>
  <c r="Y39" i="1"/>
  <c r="Y41" i="1" s="1"/>
  <c r="Y53" i="2"/>
  <c r="R369" i="1"/>
  <c r="R366" i="1"/>
  <c r="R361" i="1"/>
  <c r="CB358" i="1"/>
  <c r="CB344" i="1"/>
  <c r="BY329" i="1"/>
  <c r="CC327" i="1"/>
  <c r="BY327" i="1"/>
  <c r="BX326" i="1"/>
  <c r="BT304" i="1"/>
  <c r="BT265" i="1"/>
  <c r="BT248" i="1"/>
  <c r="O188" i="1"/>
  <c r="CF145" i="1"/>
  <c r="S145" i="1"/>
  <c r="S31" i="1" s="1"/>
  <c r="CF34" i="1"/>
  <c r="CF33" i="1"/>
  <c r="CF144" i="1"/>
  <c r="CF36" i="1"/>
  <c r="CF35" i="1"/>
  <c r="BY111" i="1"/>
  <c r="X44" i="1"/>
  <c r="CE41" i="1"/>
  <c r="R176" i="2"/>
  <c r="P176" i="2"/>
  <c r="CC175" i="2"/>
  <c r="CC172" i="2" s="1"/>
  <c r="CC173" i="2" s="1"/>
  <c r="BX175" i="2"/>
  <c r="BX172" i="2" s="1"/>
  <c r="BX173" i="2" s="1"/>
  <c r="BU175" i="2"/>
  <c r="BU172" i="2"/>
  <c r="BS175" i="2"/>
  <c r="BS172" i="2"/>
  <c r="BS173" i="2" s="1"/>
  <c r="BP172" i="2"/>
  <c r="BP173" i="2" s="1"/>
  <c r="Q157" i="2"/>
  <c r="Q156" i="2"/>
  <c r="Q154" i="2"/>
  <c r="BW144" i="2"/>
  <c r="BT140" i="2"/>
  <c r="CA109" i="2"/>
  <c r="BT133" i="2"/>
  <c r="BT108" i="2" s="1"/>
  <c r="BR133" i="2"/>
  <c r="BR108" i="2" s="1"/>
  <c r="BV132" i="2"/>
  <c r="BT132" i="2"/>
  <c r="BT107" i="2"/>
  <c r="BR132" i="2"/>
  <c r="BR107" i="2"/>
  <c r="BU131" i="2"/>
  <c r="BS131" i="2"/>
  <c r="BS106" i="2" s="1"/>
  <c r="BQ131" i="2"/>
  <c r="BQ106" i="2" s="1"/>
  <c r="CD101" i="2"/>
  <c r="CB124" i="2"/>
  <c r="CD59" i="2"/>
  <c r="BZ59" i="2"/>
  <c r="BV59" i="2"/>
  <c r="BR59" i="2"/>
  <c r="N215" i="1"/>
  <c r="BM162" i="1"/>
  <c r="P162" i="1"/>
  <c r="BQ136" i="1"/>
  <c r="CC134" i="1"/>
  <c r="BY134" i="1"/>
  <c r="CD175" i="2"/>
  <c r="CD172" i="2"/>
  <c r="CD173" i="2" s="1"/>
  <c r="BY175" i="2"/>
  <c r="BY172" i="2" s="1"/>
  <c r="AP171" i="2"/>
  <c r="P156" i="2"/>
  <c r="P155" i="2"/>
  <c r="P154" i="2"/>
  <c r="R143" i="2"/>
  <c r="S205" i="1"/>
  <c r="T63" i="1"/>
  <c r="S166" i="1"/>
  <c r="T163" i="1"/>
  <c r="CE166" i="2"/>
  <c r="BX130" i="2"/>
  <c r="BT130" i="2"/>
  <c r="BT105" i="2" s="1"/>
  <c r="BR130" i="2"/>
  <c r="BR105" i="2" s="1"/>
  <c r="CC125" i="2"/>
  <c r="CC100" i="2" s="1"/>
  <c r="CC124" i="2"/>
  <c r="BU59" i="2"/>
  <c r="S19" i="3"/>
  <c r="CD371" i="1"/>
  <c r="BZ371" i="1"/>
  <c r="BV371" i="1"/>
  <c r="BR371" i="1"/>
  <c r="BN371" i="1"/>
  <c r="P371" i="1"/>
  <c r="R370" i="1"/>
  <c r="CD369" i="1"/>
  <c r="BZ369" i="1"/>
  <c r="BV369" i="1"/>
  <c r="P369" i="1"/>
  <c r="BX324" i="1"/>
  <c r="BX306" i="1"/>
  <c r="BX267" i="1"/>
  <c r="CC247" i="1"/>
  <c r="BX246" i="1"/>
  <c r="BT200" i="1"/>
  <c r="BT62" i="1" s="1"/>
  <c r="BP200" i="1"/>
  <c r="BP62" i="1" s="1"/>
  <c r="BL200" i="1"/>
  <c r="BL62" i="1" s="1"/>
  <c r="Q173" i="1"/>
  <c r="CF50" i="1"/>
  <c r="BY125" i="1"/>
  <c r="BW111" i="1"/>
  <c r="BV97" i="1"/>
  <c r="BU83" i="1"/>
  <c r="T83" i="1"/>
  <c r="W54" i="1"/>
  <c r="Q176" i="2"/>
  <c r="O176" i="2"/>
  <c r="BQ175" i="2"/>
  <c r="BQ172" i="2" s="1"/>
  <c r="BQ173" i="2" s="1"/>
  <c r="CF169" i="2"/>
  <c r="CF171" i="2"/>
  <c r="Q143" i="2"/>
  <c r="Q232" i="1"/>
  <c r="R142" i="2"/>
  <c r="R141" i="2"/>
  <c r="BU133" i="2"/>
  <c r="BS133" i="2"/>
  <c r="BQ133" i="2"/>
  <c r="BQ108" i="2"/>
  <c r="BU132" i="2"/>
  <c r="BQ132" i="2"/>
  <c r="BQ107" i="2" s="1"/>
  <c r="CB126" i="2"/>
  <c r="CB101" i="2" s="1"/>
  <c r="CB125" i="2"/>
  <c r="CB100" i="2" s="1"/>
  <c r="CE363" i="1"/>
  <c r="S34" i="1"/>
  <c r="S153" i="1"/>
  <c r="S232" i="1"/>
  <c r="S366" i="1"/>
  <c r="S363" i="1"/>
  <c r="S367" i="1"/>
  <c r="S373" i="1"/>
  <c r="S371" i="1"/>
  <c r="S365" i="1"/>
  <c r="S370" i="1"/>
  <c r="S361" i="1"/>
  <c r="S372" i="1"/>
  <c r="S364" i="1"/>
  <c r="S369" i="1"/>
  <c r="S124" i="2"/>
  <c r="T124" i="2"/>
  <c r="U124" i="2" s="1"/>
  <c r="V124" i="2" s="1"/>
  <c r="W124" i="2" s="1"/>
  <c r="X124" i="2" s="1"/>
  <c r="Y124" i="2" s="1"/>
  <c r="Z124" i="2" s="1"/>
  <c r="AA124" i="2" s="1"/>
  <c r="BZ154" i="1"/>
  <c r="BI101" i="2"/>
  <c r="AO173" i="2"/>
  <c r="AR172" i="2"/>
  <c r="BN17" i="2"/>
  <c r="BN114" i="2"/>
  <c r="BM64" i="1"/>
  <c r="BM62" i="1"/>
  <c r="BI63" i="1"/>
  <c r="K168" i="3"/>
  <c r="K169" i="3" s="1"/>
  <c r="L168" i="3"/>
  <c r="L169" i="3" s="1"/>
  <c r="L150" i="3"/>
  <c r="K159" i="3"/>
  <c r="L149" i="3"/>
  <c r="L158" i="3" s="1"/>
  <c r="K150" i="3"/>
  <c r="BU40" i="2"/>
  <c r="BU87" i="2"/>
  <c r="BN79" i="2"/>
  <c r="BN119" i="2"/>
  <c r="BN117" i="2"/>
  <c r="BN136" i="2"/>
  <c r="BN35" i="2"/>
  <c r="BN36" i="2"/>
  <c r="BR87" i="2"/>
  <c r="BN40" i="2"/>
  <c r="BN29" i="2"/>
  <c r="BP94" i="2"/>
  <c r="BX50" i="2"/>
  <c r="BX43" i="2"/>
  <c r="BX46" i="2"/>
  <c r="M205" i="1"/>
  <c r="N62" i="1"/>
  <c r="S144" i="2"/>
  <c r="S139" i="2"/>
  <c r="BN136" i="1"/>
  <c r="BN18" i="1"/>
  <c r="BT365" i="1"/>
  <c r="BV10" i="2"/>
  <c r="BV29" i="2" s="1"/>
  <c r="BV127" i="2"/>
  <c r="BP13" i="2"/>
  <c r="O11" i="2"/>
  <c r="BP83" i="2"/>
  <c r="BY110" i="2"/>
  <c r="BV107" i="2"/>
  <c r="Q126" i="2"/>
  <c r="Q101" i="2"/>
  <c r="K156" i="3"/>
  <c r="K158" i="3" s="1"/>
  <c r="J159" i="3"/>
  <c r="BR10" i="2"/>
  <c r="BR135" i="2"/>
  <c r="BR110" i="2"/>
  <c r="BR144" i="2"/>
  <c r="BR127" i="2"/>
  <c r="BQ10" i="2"/>
  <c r="BQ135" i="2"/>
  <c r="BQ110" i="2" s="1"/>
  <c r="BQ144" i="2"/>
  <c r="BQ127" i="2" s="1"/>
  <c r="BQ102" i="2" s="1"/>
  <c r="N202" i="1"/>
  <c r="N64" i="1"/>
  <c r="N49" i="1"/>
  <c r="P202" i="1"/>
  <c r="BZ10" i="2"/>
  <c r="BZ118" i="2" s="1"/>
  <c r="BZ127" i="2"/>
  <c r="AL173" i="2"/>
  <c r="AN172" i="2"/>
  <c r="AN173" i="2" s="1"/>
  <c r="BS10" i="2"/>
  <c r="BS144" i="2"/>
  <c r="BS127" i="2"/>
  <c r="BS102" i="2" s="1"/>
  <c r="BS135" i="2"/>
  <c r="BS110" i="2" s="1"/>
  <c r="BT137" i="1"/>
  <c r="BH117" i="2"/>
  <c r="BH29" i="2"/>
  <c r="BH35" i="2"/>
  <c r="P168" i="3"/>
  <c r="BU106" i="2"/>
  <c r="S111" i="3"/>
  <c r="BM205" i="1"/>
  <c r="O142" i="2"/>
  <c r="BV98" i="2"/>
  <c r="BR98" i="2"/>
  <c r="BC172" i="2"/>
  <c r="BC173" i="2" s="1"/>
  <c r="BD172" i="2"/>
  <c r="BD173" i="2" s="1"/>
  <c r="BB173" i="2"/>
  <c r="AX173" i="2"/>
  <c r="AZ172" i="2"/>
  <c r="AZ173" i="2" s="1"/>
  <c r="P161" i="1"/>
  <c r="BQ48" i="1"/>
  <c r="BX108" i="2"/>
  <c r="W69" i="1"/>
  <c r="L117" i="3"/>
  <c r="L118" i="3" s="1"/>
  <c r="L116" i="3"/>
  <c r="N98" i="2"/>
  <c r="CA110" i="2"/>
  <c r="BW110" i="2"/>
  <c r="CI133" i="2"/>
  <c r="BV110" i="2"/>
  <c r="BZ110" i="2"/>
  <c r="BY10" i="2"/>
  <c r="BY127" i="2"/>
  <c r="AJ172" i="2"/>
  <c r="AJ173" i="2" s="1"/>
  <c r="AG173" i="2"/>
  <c r="BX10" i="2"/>
  <c r="BX127" i="2"/>
  <c r="BU10" i="2"/>
  <c r="BU127" i="2"/>
  <c r="BU102" i="2" s="1"/>
  <c r="N69" i="3"/>
  <c r="BX107" i="2"/>
  <c r="BY106" i="2"/>
  <c r="M168" i="3"/>
  <c r="M169" i="3" s="1"/>
  <c r="M150" i="3"/>
  <c r="J149" i="3"/>
  <c r="I150" i="3"/>
  <c r="J150" i="3"/>
  <c r="J168" i="3"/>
  <c r="J169" i="3" s="1"/>
  <c r="M84" i="3"/>
  <c r="M86" i="3" s="1"/>
  <c r="M89" i="3" s="1"/>
  <c r="CE163" i="2"/>
  <c r="CI131" i="2"/>
  <c r="CI163" i="2"/>
  <c r="CA16" i="1"/>
  <c r="N119" i="1"/>
  <c r="M19" i="1"/>
  <c r="CH132" i="2"/>
  <c r="CH164" i="2"/>
  <c r="CD164" i="2"/>
  <c r="CA10" i="2"/>
  <c r="CA118" i="2" s="1"/>
  <c r="CA127" i="2"/>
  <c r="CE102" i="2"/>
  <c r="Y34" i="4"/>
  <c r="X79" i="4"/>
  <c r="P159" i="2"/>
  <c r="P130" i="2"/>
  <c r="P105" i="2" s="1"/>
  <c r="P153" i="1"/>
  <c r="P201" i="1"/>
  <c r="P49" i="1"/>
  <c r="I116" i="3"/>
  <c r="I117" i="3"/>
  <c r="I118" i="3" s="1"/>
  <c r="BU105" i="2"/>
  <c r="BY105" i="2"/>
  <c r="L141" i="2"/>
  <c r="Q166" i="1"/>
  <c r="Q144" i="2"/>
  <c r="BO84" i="2"/>
  <c r="BO14" i="2"/>
  <c r="BO16" i="2"/>
  <c r="BO113" i="2"/>
  <c r="Y100" i="1"/>
  <c r="X109" i="1"/>
  <c r="X111" i="1" s="1"/>
  <c r="X110" i="1"/>
  <c r="M23" i="4"/>
  <c r="N79" i="2"/>
  <c r="BV117" i="2"/>
  <c r="BV40" i="2"/>
  <c r="BV87" i="2"/>
  <c r="BV79" i="2"/>
  <c r="BV119" i="2" s="1"/>
  <c r="BP135" i="1"/>
  <c r="BP17" i="1"/>
  <c r="O202" i="1"/>
  <c r="BP100" i="2"/>
  <c r="BP64" i="1"/>
  <c r="BU108" i="2"/>
  <c r="BY108" i="2"/>
  <c r="CG125" i="2"/>
  <c r="T197" i="1"/>
  <c r="Q159" i="2"/>
  <c r="Q135" i="2" s="1"/>
  <c r="Q110" i="2" s="1"/>
  <c r="Q130" i="2"/>
  <c r="CI110" i="1"/>
  <c r="CI109" i="1"/>
  <c r="CI111" i="1"/>
  <c r="Q106" i="1"/>
  <c r="Q104" i="1"/>
  <c r="Q105" i="1"/>
  <c r="K91" i="4"/>
  <c r="Z41" i="1"/>
  <c r="BU107" i="2"/>
  <c r="BY107" i="2"/>
  <c r="R166" i="1"/>
  <c r="R144" i="2"/>
  <c r="S174" i="3"/>
  <c r="S35" i="3"/>
  <c r="S128" i="3" s="1"/>
  <c r="T157" i="1"/>
  <c r="P179" i="1"/>
  <c r="Q75" i="1" s="1"/>
  <c r="BQ141" i="2"/>
  <c r="P131" i="2"/>
  <c r="P106" i="2"/>
  <c r="BT141" i="2"/>
  <c r="BS141" i="2"/>
  <c r="BR141" i="2"/>
  <c r="O162" i="1"/>
  <c r="O48" i="1"/>
  <c r="BM49" i="1"/>
  <c r="Q192" i="1"/>
  <c r="Q132" i="2"/>
  <c r="BW105" i="2"/>
  <c r="CA105" i="2"/>
  <c r="Q205" i="1"/>
  <c r="Q125" i="2"/>
  <c r="Q100" i="2"/>
  <c r="BP63" i="1"/>
  <c r="CG216" i="1"/>
  <c r="CG211" i="1"/>
  <c r="Q35" i="2"/>
  <c r="S121" i="3"/>
  <c r="Q40" i="2"/>
  <c r="Q87" i="2"/>
  <c r="Q79" i="2"/>
  <c r="BV108" i="2"/>
  <c r="BV105" i="2"/>
  <c r="BL35" i="2"/>
  <c r="BL87" i="2"/>
  <c r="BL29" i="2"/>
  <c r="BL117" i="2"/>
  <c r="BP87" i="2"/>
  <c r="BT135" i="1"/>
  <c r="AJ170" i="2"/>
  <c r="G170" i="2" s="1"/>
  <c r="CF100" i="2"/>
  <c r="T49" i="1"/>
  <c r="O172" i="2"/>
  <c r="O59" i="2"/>
  <c r="P175" i="2"/>
  <c r="P172" i="2" s="1"/>
  <c r="BI160" i="1"/>
  <c r="BM160" i="1"/>
  <c r="BQ160" i="1"/>
  <c r="BJ160" i="1"/>
  <c r="BN160" i="1"/>
  <c r="BR160" i="1"/>
  <c r="BV160" i="1"/>
  <c r="P160" i="1"/>
  <c r="BK160" i="1"/>
  <c r="BO160" i="1"/>
  <c r="BS160" i="1"/>
  <c r="BW160" i="1"/>
  <c r="M160" i="1"/>
  <c r="M199" i="1"/>
  <c r="BL160" i="1"/>
  <c r="BP160" i="1"/>
  <c r="BT160" i="1"/>
  <c r="BX160" i="1"/>
  <c r="P192" i="1"/>
  <c r="P132" i="2"/>
  <c r="P107" i="2" s="1"/>
  <c r="BT123" i="2"/>
  <c r="BZ107" i="2"/>
  <c r="CB245" i="1"/>
  <c r="CB251" i="1"/>
  <c r="CB252" i="1"/>
  <c r="CB254" i="1"/>
  <c r="CB243" i="1"/>
  <c r="O160" i="1"/>
  <c r="O199" i="1" s="1"/>
  <c r="CB255" i="1"/>
  <c r="T228" i="1"/>
  <c r="S158" i="2"/>
  <c r="T229" i="1"/>
  <c r="T230" i="1"/>
  <c r="T223" i="1"/>
  <c r="CJ223" i="1" s="1"/>
  <c r="CJ114" i="1" s="1"/>
  <c r="T224" i="1"/>
  <c r="T227" i="1"/>
  <c r="R125" i="2"/>
  <c r="R205" i="1"/>
  <c r="Q219" i="1"/>
  <c r="Q133" i="2"/>
  <c r="Q175" i="2"/>
  <c r="P59" i="2"/>
  <c r="Y44" i="1"/>
  <c r="X54" i="1"/>
  <c r="X53" i="1"/>
  <c r="X55" i="1" s="1"/>
  <c r="O201" i="1"/>
  <c r="O91" i="1"/>
  <c r="CB10" i="2"/>
  <c r="CB118" i="2" s="1"/>
  <c r="CB127" i="2"/>
  <c r="CB102" i="2"/>
  <c r="BU41" i="1"/>
  <c r="BY41" i="1"/>
  <c r="BG14" i="2"/>
  <c r="BG16" i="2"/>
  <c r="BG113" i="2"/>
  <c r="BJ117" i="2"/>
  <c r="BJ29" i="2"/>
  <c r="BJ87" i="2"/>
  <c r="BN87" i="2"/>
  <c r="BK16" i="2"/>
  <c r="BK113" i="2"/>
  <c r="BK14" i="2"/>
  <c r="BK84" i="2"/>
  <c r="BV17" i="2"/>
  <c r="BV114" i="2"/>
  <c r="N136" i="1"/>
  <c r="N18" i="1"/>
  <c r="T145" i="1"/>
  <c r="S154" i="2"/>
  <c r="T151" i="1"/>
  <c r="T150" i="1"/>
  <c r="T144" i="1"/>
  <c r="T148" i="1"/>
  <c r="CJ148" i="1"/>
  <c r="CJ34" i="1" s="1"/>
  <c r="T149" i="1"/>
  <c r="BS108" i="2"/>
  <c r="BW108" i="2"/>
  <c r="Q59" i="2"/>
  <c r="R175" i="2"/>
  <c r="CG124" i="2"/>
  <c r="CC99" i="2"/>
  <c r="BX105" i="2"/>
  <c r="R232" i="1"/>
  <c r="AP173" i="2"/>
  <c r="AR171" i="2"/>
  <c r="AR173" i="2" s="1"/>
  <c r="AP170" i="2"/>
  <c r="N201" i="1"/>
  <c r="N63" i="1"/>
  <c r="N105" i="1"/>
  <c r="CB99" i="2"/>
  <c r="CF99" i="2"/>
  <c r="BW127" i="2"/>
  <c r="BW10" i="2"/>
  <c r="S175" i="2"/>
  <c r="R59" i="2"/>
  <c r="Z53" i="2"/>
  <c r="BQ123" i="2"/>
  <c r="BQ142" i="2"/>
  <c r="Q131" i="2"/>
  <c r="Q179" i="1"/>
  <c r="X86" i="1"/>
  <c r="CG86" i="1"/>
  <c r="CH86" i="1"/>
  <c r="W96" i="1"/>
  <c r="CI86" i="1"/>
  <c r="W95" i="1"/>
  <c r="W97" i="1" s="1"/>
  <c r="CB253" i="1"/>
  <c r="CB247" i="1"/>
  <c r="BU79" i="2"/>
  <c r="BU119" i="2" s="1"/>
  <c r="P23" i="4"/>
  <c r="BX79" i="2"/>
  <c r="BX119" i="2" s="1"/>
  <c r="BW106" i="2"/>
  <c r="BW87" i="2"/>
  <c r="BW40" i="2"/>
  <c r="BW29" i="2"/>
  <c r="BW117" i="2"/>
  <c r="BW79" i="2"/>
  <c r="BW119" i="2" s="1"/>
  <c r="Y58" i="1"/>
  <c r="X67" i="1"/>
  <c r="X69" i="1"/>
  <c r="X68" i="1"/>
  <c r="BU160" i="1"/>
  <c r="CI162" i="2"/>
  <c r="BN94" i="2"/>
  <c r="BJ94" i="2"/>
  <c r="BT40" i="2"/>
  <c r="BT43" i="2" s="1"/>
  <c r="BT87" i="2"/>
  <c r="BT35" i="2"/>
  <c r="BX87" i="2"/>
  <c r="BT79" i="2"/>
  <c r="CH109" i="1"/>
  <c r="CH111" i="1"/>
  <c r="CH210" i="1"/>
  <c r="CH110" i="1"/>
  <c r="CG110" i="1"/>
  <c r="CG109" i="1"/>
  <c r="CG111" i="1" s="1"/>
  <c r="CG210" i="1"/>
  <c r="BM201" i="1"/>
  <c r="BM63" i="1" s="1"/>
  <c r="Q124" i="2"/>
  <c r="Q99" i="2" s="1"/>
  <c r="BF74" i="2"/>
  <c r="BH74" i="2" s="1"/>
  <c r="BG74" i="2"/>
  <c r="M76" i="2"/>
  <c r="M75" i="2"/>
  <c r="N74" i="2"/>
  <c r="BL135" i="1"/>
  <c r="N160" i="1"/>
  <c r="Q196" i="3"/>
  <c r="O221" i="2"/>
  <c r="O261" i="2"/>
  <c r="O83" i="2"/>
  <c r="O13" i="2"/>
  <c r="O256" i="2"/>
  <c r="P260" i="2"/>
  <c r="BV184" i="2"/>
  <c r="BV11" i="2"/>
  <c r="BV116" i="2"/>
  <c r="BV14" i="2"/>
  <c r="BV113" i="2"/>
  <c r="BV20" i="2"/>
  <c r="BV115" i="2"/>
  <c r="BX55" i="2"/>
  <c r="BX57" i="2"/>
  <c r="BX77" i="2" s="1"/>
  <c r="BX429" i="2"/>
  <c r="BU43" i="2"/>
  <c r="BU46" i="2"/>
  <c r="BU50" i="2"/>
  <c r="S145" i="2"/>
  <c r="BN46" i="2"/>
  <c r="BN50" i="2"/>
  <c r="BN43" i="2"/>
  <c r="S10" i="2"/>
  <c r="BP16" i="2"/>
  <c r="BP14" i="2"/>
  <c r="BP113" i="2"/>
  <c r="BP84" i="2"/>
  <c r="BU17" i="2"/>
  <c r="BU120" i="2"/>
  <c r="BU114" i="2"/>
  <c r="BU117" i="2"/>
  <c r="BU136" i="2"/>
  <c r="BU29" i="2"/>
  <c r="BU82" i="2"/>
  <c r="BU116" i="2"/>
  <c r="BU11" i="2"/>
  <c r="BU115" i="2"/>
  <c r="BU113" i="2"/>
  <c r="BU14" i="2"/>
  <c r="BU20" i="2"/>
  <c r="P48" i="1"/>
  <c r="P200" i="1"/>
  <c r="BQ63" i="1"/>
  <c r="BQ64" i="1"/>
  <c r="BH40" i="2"/>
  <c r="BH43" i="2" s="1"/>
  <c r="BH36" i="2"/>
  <c r="BQ11" i="2"/>
  <c r="BQ117" i="2"/>
  <c r="BQ116" i="2"/>
  <c r="BQ20" i="2"/>
  <c r="BQ115" i="2"/>
  <c r="BQ82" i="2"/>
  <c r="BQ29" i="2"/>
  <c r="BQ120" i="2"/>
  <c r="BQ119" i="2"/>
  <c r="BU110" i="2"/>
  <c r="Y79" i="4"/>
  <c r="Z169" i="2"/>
  <c r="Z34" i="4"/>
  <c r="CA11" i="2"/>
  <c r="CA113" i="2"/>
  <c r="CA116" i="2"/>
  <c r="CA14" i="2"/>
  <c r="BZ102" i="2"/>
  <c r="BX14" i="2"/>
  <c r="BX116" i="2"/>
  <c r="BX20" i="2"/>
  <c r="BX11" i="2"/>
  <c r="BX113" i="2"/>
  <c r="BX17" i="2"/>
  <c r="BX117" i="2"/>
  <c r="BX136" i="2" s="1"/>
  <c r="BX114" i="2"/>
  <c r="BX29" i="2"/>
  <c r="BX120" i="2"/>
  <c r="BX115" i="2"/>
  <c r="CC102" i="2"/>
  <c r="BY102" i="2"/>
  <c r="O205" i="1"/>
  <c r="BS29" i="2"/>
  <c r="BS117" i="2"/>
  <c r="BS120" i="2"/>
  <c r="BS20" i="2"/>
  <c r="BS115" i="2"/>
  <c r="BS94" i="2"/>
  <c r="BS116" i="2"/>
  <c r="BS11" i="2"/>
  <c r="BS82" i="2"/>
  <c r="BZ11" i="2"/>
  <c r="BZ14" i="2"/>
  <c r="BZ82" i="2"/>
  <c r="BZ113" i="2"/>
  <c r="BZ116" i="2"/>
  <c r="BY14" i="2"/>
  <c r="BY11" i="2"/>
  <c r="BY83" i="2" s="1"/>
  <c r="BY113" i="2"/>
  <c r="BY82" i="2"/>
  <c r="BY116" i="2"/>
  <c r="BY184" i="2"/>
  <c r="BR11" i="2"/>
  <c r="BR13" i="2" s="1"/>
  <c r="BR116" i="2"/>
  <c r="BR29" i="2"/>
  <c r="BR82" i="2"/>
  <c r="BV82" i="2"/>
  <c r="BR117" i="2"/>
  <c r="BR115" i="2"/>
  <c r="BR20" i="2"/>
  <c r="L91" i="4"/>
  <c r="BT50" i="2"/>
  <c r="BQ98" i="2"/>
  <c r="BU98" i="2"/>
  <c r="CA82" i="2"/>
  <c r="BW14" i="2"/>
  <c r="BW82" i="2"/>
  <c r="BW11" i="2"/>
  <c r="BW116" i="2"/>
  <c r="BW113" i="2"/>
  <c r="BW20" i="2"/>
  <c r="BW115" i="2"/>
  <c r="S119" i="1"/>
  <c r="S118" i="1"/>
  <c r="R158" i="2"/>
  <c r="S120" i="1"/>
  <c r="S121" i="1"/>
  <c r="S117" i="1"/>
  <c r="T136" i="1"/>
  <c r="BK93" i="2"/>
  <c r="R100" i="2"/>
  <c r="S100" i="2"/>
  <c r="BP199" i="1"/>
  <c r="BP134" i="1"/>
  <c r="BP47" i="1"/>
  <c r="BP194" i="1"/>
  <c r="BS47" i="1"/>
  <c r="BS194" i="1"/>
  <c r="BS199" i="1"/>
  <c r="BS61" i="1"/>
  <c r="BV194" i="1"/>
  <c r="BV199" i="1"/>
  <c r="BL40" i="2"/>
  <c r="BL36" i="2"/>
  <c r="R65" i="1"/>
  <c r="R63" i="1"/>
  <c r="R62" i="1"/>
  <c r="R64" i="1"/>
  <c r="R61" i="1"/>
  <c r="BT166" i="1"/>
  <c r="BT124" i="2"/>
  <c r="Q78" i="1"/>
  <c r="Q77" i="1"/>
  <c r="Q76" i="1"/>
  <c r="M51" i="4"/>
  <c r="P112" i="3"/>
  <c r="M57" i="4"/>
  <c r="BO17" i="2"/>
  <c r="BO85" i="2"/>
  <c r="BO114" i="2"/>
  <c r="Q127" i="2"/>
  <c r="Q102" i="2"/>
  <c r="Q10" i="2"/>
  <c r="N199" i="1"/>
  <c r="N61" i="1" s="1"/>
  <c r="BG76" i="2"/>
  <c r="BG75" i="2"/>
  <c r="BW43" i="2"/>
  <c r="BW46" i="2"/>
  <c r="BW50" i="2"/>
  <c r="CH95" i="1"/>
  <c r="CH97" i="1"/>
  <c r="CH96" i="1"/>
  <c r="R177" i="1"/>
  <c r="R170" i="1"/>
  <c r="R175" i="1"/>
  <c r="R171" i="1"/>
  <c r="R174" i="1"/>
  <c r="R75" i="1"/>
  <c r="R82" i="1" s="1"/>
  <c r="R176" i="1"/>
  <c r="R179" i="1" s="1"/>
  <c r="BW102" i="2"/>
  <c r="CA102" i="2"/>
  <c r="CJ145" i="1"/>
  <c r="BK114" i="2"/>
  <c r="BK17" i="2"/>
  <c r="BK85" i="2"/>
  <c r="CB14" i="2"/>
  <c r="CB113" i="2"/>
  <c r="CB93" i="2" s="1"/>
  <c r="CB116" i="2"/>
  <c r="CB11" i="2"/>
  <c r="CB82" i="2"/>
  <c r="BL199" i="1"/>
  <c r="BL194" i="1"/>
  <c r="BL47" i="1"/>
  <c r="BO194" i="1"/>
  <c r="BO199" i="1"/>
  <c r="BO134" i="1"/>
  <c r="BO47" i="1"/>
  <c r="BR194" i="1"/>
  <c r="BR47" i="1"/>
  <c r="BR199" i="1"/>
  <c r="BR61" i="1" s="1"/>
  <c r="BQ194" i="1"/>
  <c r="BQ199" i="1"/>
  <c r="BQ61" i="1"/>
  <c r="BQ47" i="1"/>
  <c r="BL95" i="2"/>
  <c r="BP95" i="2"/>
  <c r="S120" i="3"/>
  <c r="BW114" i="2"/>
  <c r="R10" i="2"/>
  <c r="R118" i="2" s="1"/>
  <c r="BV43" i="2"/>
  <c r="BV46" i="2"/>
  <c r="BV50" i="2"/>
  <c r="N119" i="2"/>
  <c r="P120" i="3"/>
  <c r="Q140" i="1"/>
  <c r="R48" i="1"/>
  <c r="R50" i="1"/>
  <c r="R49" i="1"/>
  <c r="R51" i="1"/>
  <c r="R47" i="1"/>
  <c r="BL17" i="1"/>
  <c r="N135" i="1"/>
  <c r="N17" i="1" s="1"/>
  <c r="N75" i="2"/>
  <c r="N76" i="2"/>
  <c r="BI74" i="2"/>
  <c r="BK74" i="2"/>
  <c r="BJ74" i="2"/>
  <c r="O75" i="2"/>
  <c r="BF75" i="2"/>
  <c r="BF76" i="2"/>
  <c r="CG95" i="1"/>
  <c r="CG97" i="1" s="1"/>
  <c r="CG96" i="1"/>
  <c r="R131" i="2"/>
  <c r="Q106" i="2"/>
  <c r="AA53" i="2"/>
  <c r="BG17" i="2"/>
  <c r="BG114" i="2"/>
  <c r="Z44" i="1"/>
  <c r="Y54" i="1"/>
  <c r="Y53" i="1"/>
  <c r="Y55" i="1"/>
  <c r="R133" i="2"/>
  <c r="Q108" i="2"/>
  <c r="S65" i="1"/>
  <c r="S62" i="1"/>
  <c r="S64" i="1"/>
  <c r="S61" i="1"/>
  <c r="S63" i="1"/>
  <c r="CF158" i="2"/>
  <c r="S166" i="2"/>
  <c r="Q92" i="1"/>
  <c r="Q91" i="1"/>
  <c r="Q89" i="1"/>
  <c r="Q90" i="1"/>
  <c r="BX199" i="1"/>
  <c r="BX194" i="1"/>
  <c r="BX47" i="1"/>
  <c r="BK47" i="1"/>
  <c r="BK194" i="1"/>
  <c r="BK199" i="1"/>
  <c r="BN194" i="1"/>
  <c r="BN199" i="1"/>
  <c r="BN47" i="1"/>
  <c r="BM194" i="1"/>
  <c r="BM199" i="1"/>
  <c r="BM134" i="1"/>
  <c r="BM47" i="1"/>
  <c r="N67" i="4"/>
  <c r="O173" i="2"/>
  <c r="Q46" i="2"/>
  <c r="P61" i="4" s="1"/>
  <c r="Q50" i="2"/>
  <c r="Q43" i="2"/>
  <c r="Q107" i="2"/>
  <c r="R132" i="2"/>
  <c r="BR142" i="2"/>
  <c r="BR124" i="2"/>
  <c r="BV99" i="2" s="1"/>
  <c r="BR166" i="1"/>
  <c r="S50" i="1"/>
  <c r="R140" i="1"/>
  <c r="S49" i="1"/>
  <c r="S48" i="1"/>
  <c r="S47" i="1"/>
  <c r="R130" i="2"/>
  <c r="R162" i="2" s="1"/>
  <c r="CB162" i="2" s="1"/>
  <c r="CB130" i="2" s="1"/>
  <c r="CB105" i="2" s="1"/>
  <c r="Q105" i="2"/>
  <c r="L166" i="1"/>
  <c r="L142" i="2"/>
  <c r="L205" i="1"/>
  <c r="P135" i="2"/>
  <c r="P10" i="2"/>
  <c r="BU194" i="1"/>
  <c r="BU199" i="1"/>
  <c r="Y68" i="1"/>
  <c r="Z58" i="1"/>
  <c r="Y67" i="1"/>
  <c r="Y69" i="1" s="1"/>
  <c r="BW136" i="2"/>
  <c r="BW95" i="2"/>
  <c r="P57" i="4"/>
  <c r="S112" i="3"/>
  <c r="P65" i="4"/>
  <c r="CI96" i="1"/>
  <c r="CI95" i="1"/>
  <c r="CI97" i="1" s="1"/>
  <c r="X95" i="1"/>
  <c r="X97" i="1" s="1"/>
  <c r="Y86" i="1"/>
  <c r="X96" i="1"/>
  <c r="BQ205" i="1"/>
  <c r="BQ125" i="2"/>
  <c r="BU100" i="2"/>
  <c r="CJ150" i="1"/>
  <c r="CJ36" i="1" s="1"/>
  <c r="CF154" i="2"/>
  <c r="BJ95" i="2"/>
  <c r="BN95" i="2"/>
  <c r="R211" i="1"/>
  <c r="R210" i="1"/>
  <c r="R215" i="1"/>
  <c r="CB215" i="1" s="1"/>
  <c r="CB105" i="1" s="1"/>
  <c r="R214" i="1"/>
  <c r="CB214" i="1"/>
  <c r="CB104" i="1" s="1"/>
  <c r="R216" i="1"/>
  <c r="CB216" i="1" s="1"/>
  <c r="CB106" i="1" s="1"/>
  <c r="R217" i="1"/>
  <c r="CB217" i="1"/>
  <c r="CB107" i="1" s="1"/>
  <c r="R103" i="1"/>
  <c r="R110" i="1" s="1"/>
  <c r="BT98" i="2"/>
  <c r="BX98" i="2"/>
  <c r="BT199" i="1"/>
  <c r="BT61" i="1"/>
  <c r="BT47" i="1"/>
  <c r="BT194" i="1"/>
  <c r="BW194" i="1"/>
  <c r="BW199" i="1"/>
  <c r="BW134" i="1" s="1"/>
  <c r="P47" i="1"/>
  <c r="P199" i="1"/>
  <c r="BJ47" i="1"/>
  <c r="BJ199" i="1"/>
  <c r="BJ134" i="1"/>
  <c r="BI199" i="1"/>
  <c r="BI134" i="1" s="1"/>
  <c r="BI47" i="1"/>
  <c r="BW17" i="2"/>
  <c r="R183" i="1"/>
  <c r="R189" i="1"/>
  <c r="R190" i="1"/>
  <c r="R187" i="1"/>
  <c r="R89" i="1"/>
  <c r="R96" i="1"/>
  <c r="R188" i="1"/>
  <c r="R184" i="1"/>
  <c r="BM136" i="1"/>
  <c r="BS166" i="1"/>
  <c r="BS142" i="2"/>
  <c r="BS124" i="2"/>
  <c r="BW99" i="2" s="1"/>
  <c r="BQ124" i="2"/>
  <c r="BQ166" i="1"/>
  <c r="BV136" i="2"/>
  <c r="BV95" i="2"/>
  <c r="Y109" i="1"/>
  <c r="Y111" i="1" s="1"/>
  <c r="Y110" i="1"/>
  <c r="Z100" i="1"/>
  <c r="BO93" i="2"/>
  <c r="Q36" i="1"/>
  <c r="P140" i="1"/>
  <c r="Q35" i="1"/>
  <c r="Q34" i="1"/>
  <c r="Q33" i="1"/>
  <c r="S185" i="2"/>
  <c r="S116" i="2"/>
  <c r="S255" i="2"/>
  <c r="U132" i="3"/>
  <c r="U103" i="3"/>
  <c r="U185" i="3"/>
  <c r="R63" i="4"/>
  <c r="S194" i="2"/>
  <c r="U182" i="3"/>
  <c r="U177" i="3"/>
  <c r="U186" i="3" s="1"/>
  <c r="P64" i="1"/>
  <c r="BN70" i="2"/>
  <c r="BN72" i="2" s="1"/>
  <c r="BN120" i="2"/>
  <c r="BN66" i="2"/>
  <c r="BN68" i="2" s="1"/>
  <c r="O251" i="2"/>
  <c r="BU61" i="1"/>
  <c r="BP85" i="2"/>
  <c r="BP114" i="2"/>
  <c r="BP17" i="2"/>
  <c r="BN55" i="2"/>
  <c r="BN429" i="2"/>
  <c r="BU429" i="2"/>
  <c r="BU55" i="2"/>
  <c r="BU57" i="2" s="1"/>
  <c r="O16" i="2"/>
  <c r="O84" i="2"/>
  <c r="O113" i="2"/>
  <c r="O14" i="2"/>
  <c r="O253" i="2"/>
  <c r="O257" i="2"/>
  <c r="Q179" i="3"/>
  <c r="Q192" i="3" s="1"/>
  <c r="Q188" i="3"/>
  <c r="Q191" i="3"/>
  <c r="Q178" i="3"/>
  <c r="R192" i="1"/>
  <c r="R156" i="2" s="1"/>
  <c r="CB156" i="2" s="1"/>
  <c r="BT134" i="1"/>
  <c r="BR134" i="1"/>
  <c r="BS134" i="1"/>
  <c r="BY93" i="2"/>
  <c r="BZ93" i="2"/>
  <c r="BZ83" i="2"/>
  <c r="P63" i="1"/>
  <c r="BH46" i="2"/>
  <c r="BL74" i="2"/>
  <c r="BR94" i="2"/>
  <c r="BV94" i="2"/>
  <c r="BU95" i="2"/>
  <c r="BQ95" i="2"/>
  <c r="BQ136" i="2"/>
  <c r="P62" i="1"/>
  <c r="BR83" i="2"/>
  <c r="BV83" i="2"/>
  <c r="BS136" i="2"/>
  <c r="BQ13" i="2"/>
  <c r="BQ83" i="2"/>
  <c r="BU94" i="2"/>
  <c r="BR136" i="2"/>
  <c r="BR95" i="2"/>
  <c r="BS13" i="2"/>
  <c r="BS83" i="2"/>
  <c r="Z79" i="4"/>
  <c r="AA169" i="2"/>
  <c r="BU83" i="2"/>
  <c r="S89" i="1"/>
  <c r="S96" i="1" s="1"/>
  <c r="S188" i="1"/>
  <c r="BS99" i="2"/>
  <c r="Z68" i="1"/>
  <c r="AA58" i="1"/>
  <c r="Z67" i="1"/>
  <c r="Z69" i="1"/>
  <c r="R182" i="3"/>
  <c r="R103" i="3"/>
  <c r="R185" i="3"/>
  <c r="P194" i="2"/>
  <c r="R194" i="3"/>
  <c r="P116" i="2"/>
  <c r="O63" i="4"/>
  <c r="R132" i="3"/>
  <c r="P185" i="2"/>
  <c r="P255" i="2"/>
  <c r="R177" i="3"/>
  <c r="P20" i="2"/>
  <c r="P29" i="2"/>
  <c r="P117" i="2"/>
  <c r="P82" i="2"/>
  <c r="P115" i="2"/>
  <c r="M51" i="1"/>
  <c r="M47" i="1"/>
  <c r="M48" i="1"/>
  <c r="M49" i="1"/>
  <c r="S17" i="1"/>
  <c r="S18" i="1"/>
  <c r="S16" i="1"/>
  <c r="S19" i="1"/>
  <c r="BV49" i="1"/>
  <c r="BV50" i="1"/>
  <c r="BV48" i="1"/>
  <c r="S132" i="2"/>
  <c r="Q278" i="2"/>
  <c r="Q274" i="2"/>
  <c r="Q279" i="2"/>
  <c r="Q275" i="2"/>
  <c r="Q277" i="2"/>
  <c r="Z53" i="1"/>
  <c r="Z55" i="1" s="1"/>
  <c r="AA44" i="1"/>
  <c r="Z54" i="1"/>
  <c r="BO75" i="2"/>
  <c r="BK76" i="2"/>
  <c r="BK75" i="2"/>
  <c r="BR16" i="1"/>
  <c r="CJ31" i="1"/>
  <c r="BS16" i="1"/>
  <c r="BP16" i="1"/>
  <c r="BP63" i="2"/>
  <c r="CG120" i="1"/>
  <c r="CG229" i="1"/>
  <c r="CH120" i="1"/>
  <c r="CH229" i="1"/>
  <c r="CI120" i="1"/>
  <c r="CI229" i="1"/>
  <c r="CA93" i="2"/>
  <c r="BS205" i="1"/>
  <c r="BW64" i="1" s="1"/>
  <c r="BS125" i="2"/>
  <c r="BS100" i="2"/>
  <c r="Y95" i="1"/>
  <c r="Y97" i="1" s="1"/>
  <c r="Z86" i="1"/>
  <c r="Z96" i="1" s="1"/>
  <c r="Y96" i="1"/>
  <c r="P58" i="4"/>
  <c r="P59" i="4" s="1"/>
  <c r="P60" i="4" s="1"/>
  <c r="BR99" i="2"/>
  <c r="BN134" i="1"/>
  <c r="BK61" i="1"/>
  <c r="BX134" i="1"/>
  <c r="S133" i="2"/>
  <c r="T133" i="2" s="1"/>
  <c r="U133" i="2" s="1"/>
  <c r="V133" i="2" s="1"/>
  <c r="W133" i="2" s="1"/>
  <c r="X133" i="2" s="1"/>
  <c r="Y133" i="2" s="1"/>
  <c r="Z133" i="2" s="1"/>
  <c r="AA133" i="2" s="1"/>
  <c r="S131" i="2"/>
  <c r="BI76" i="2"/>
  <c r="P108" i="3"/>
  <c r="P115" i="3"/>
  <c r="R194" i="2"/>
  <c r="T177" i="3"/>
  <c r="T186" i="3" s="1"/>
  <c r="R82" i="2"/>
  <c r="T194" i="3"/>
  <c r="R255" i="2"/>
  <c r="Q63" i="4"/>
  <c r="T185" i="3"/>
  <c r="T132" i="3"/>
  <c r="R185" i="2"/>
  <c r="T103" i="3"/>
  <c r="R116" i="2"/>
  <c r="T127" i="3"/>
  <c r="T129" i="3" s="1"/>
  <c r="S82" i="2"/>
  <c r="T182" i="3"/>
  <c r="BQ134" i="1"/>
  <c r="BL61" i="1"/>
  <c r="S103" i="3"/>
  <c r="S194" i="3"/>
  <c r="S185" i="3"/>
  <c r="Q194" i="2"/>
  <c r="BT99" i="2"/>
  <c r="BX99" i="2"/>
  <c r="BV134" i="1"/>
  <c r="CB158" i="2"/>
  <c r="CB232" i="1" s="1"/>
  <c r="R166" i="2"/>
  <c r="CB166" i="2" s="1"/>
  <c r="CB134" i="2" s="1"/>
  <c r="CB109" i="2" s="1"/>
  <c r="BW94" i="2"/>
  <c r="BU48" i="1"/>
  <c r="BU49" i="1"/>
  <c r="BW50" i="1"/>
  <c r="P61" i="1"/>
  <c r="BU62" i="1"/>
  <c r="BU64" i="1"/>
  <c r="BU63" i="1"/>
  <c r="BU134" i="1"/>
  <c r="BR205" i="1"/>
  <c r="BV64" i="1" s="1"/>
  <c r="BR125" i="2"/>
  <c r="Q66" i="2"/>
  <c r="Q68" i="2" s="1"/>
  <c r="Q282" i="2"/>
  <c r="Q70" i="2"/>
  <c r="BM61" i="1"/>
  <c r="BK134" i="1"/>
  <c r="R18" i="1"/>
  <c r="R17" i="1"/>
  <c r="R19" i="1"/>
  <c r="R16" i="1"/>
  <c r="S108" i="3"/>
  <c r="BL134" i="1"/>
  <c r="BX48" i="1"/>
  <c r="BX49" i="1"/>
  <c r="BX50" i="1"/>
  <c r="BL46" i="2"/>
  <c r="BL50" i="2"/>
  <c r="BL429" i="2" s="1"/>
  <c r="BL43" i="2"/>
  <c r="CH118" i="1"/>
  <c r="CH227" i="1" s="1"/>
  <c r="CJ227" i="1" s="1"/>
  <c r="CJ118" i="1" s="1"/>
  <c r="CI118" i="1"/>
  <c r="CI227" i="1"/>
  <c r="CG118" i="1"/>
  <c r="CA83" i="2"/>
  <c r="BW83" i="2"/>
  <c r="Q11" i="2"/>
  <c r="BT429" i="2"/>
  <c r="BT55" i="2"/>
  <c r="Q18" i="1"/>
  <c r="Q19" i="1"/>
  <c r="Z109" i="1"/>
  <c r="Z111" i="1" s="1"/>
  <c r="Z110" i="1"/>
  <c r="AA100" i="1"/>
  <c r="BU99" i="2"/>
  <c r="BQ99" i="2"/>
  <c r="BM18" i="1"/>
  <c r="BI61" i="1"/>
  <c r="BJ61" i="1"/>
  <c r="BW61" i="1"/>
  <c r="S130" i="2"/>
  <c r="T130" i="2"/>
  <c r="U130" i="2" s="1"/>
  <c r="V130" i="2" s="1"/>
  <c r="W130" i="2" s="1"/>
  <c r="X130" i="2" s="1"/>
  <c r="Y130" i="2" s="1"/>
  <c r="Z130" i="2" s="1"/>
  <c r="AA130" i="2" s="1"/>
  <c r="BM16" i="1"/>
  <c r="BM63" i="2"/>
  <c r="BJ75" i="2"/>
  <c r="BV55" i="2"/>
  <c r="BV57" i="2" s="1"/>
  <c r="BV429" i="2"/>
  <c r="BV120" i="2"/>
  <c r="BW120" i="2"/>
  <c r="BW55" i="2"/>
  <c r="BW429" i="2"/>
  <c r="M85" i="4"/>
  <c r="M90" i="4" s="1"/>
  <c r="BV47" i="1"/>
  <c r="BP61" i="1"/>
  <c r="CG121" i="1"/>
  <c r="CG230" i="1"/>
  <c r="CI121" i="1"/>
  <c r="CI230" i="1"/>
  <c r="CI138" i="1" s="1"/>
  <c r="CI20" i="1" s="1"/>
  <c r="CH121" i="1"/>
  <c r="CH230" i="1"/>
  <c r="CG119" i="1"/>
  <c r="CG228" i="1"/>
  <c r="CH119" i="1"/>
  <c r="CI119" i="1"/>
  <c r="CI228" i="1" s="1"/>
  <c r="BN57" i="2"/>
  <c r="Q189" i="3"/>
  <c r="Q198" i="3"/>
  <c r="O114" i="2"/>
  <c r="O17" i="2"/>
  <c r="Q133" i="3"/>
  <c r="Q135" i="3" s="1"/>
  <c r="Q137" i="3" s="1"/>
  <c r="O93" i="2"/>
  <c r="BU88" i="2"/>
  <c r="BS16" i="2"/>
  <c r="BS17" i="2" s="1"/>
  <c r="BS84" i="2"/>
  <c r="BW84" i="2"/>
  <c r="BS113" i="2"/>
  <c r="BS14" i="2"/>
  <c r="BH66" i="2"/>
  <c r="BH68" i="2" s="1"/>
  <c r="BQ84" i="2"/>
  <c r="AA109" i="1"/>
  <c r="AA111" i="1"/>
  <c r="AA110" i="1"/>
  <c r="CG124" i="1"/>
  <c r="CG227" i="1"/>
  <c r="BU16" i="1"/>
  <c r="BW62" i="1"/>
  <c r="BW63" i="1"/>
  <c r="P95" i="2"/>
  <c r="P136" i="2"/>
  <c r="R186" i="3"/>
  <c r="BX88" i="2"/>
  <c r="S196" i="3"/>
  <c r="S178" i="3" s="1"/>
  <c r="CI124" i="1"/>
  <c r="BR100" i="2"/>
  <c r="BV100" i="2"/>
  <c r="M61" i="1"/>
  <c r="BN16" i="1"/>
  <c r="AA67" i="1"/>
  <c r="AA69" i="1"/>
  <c r="AA68" i="1"/>
  <c r="BW57" i="2"/>
  <c r="BW77" i="2" s="1"/>
  <c r="S162" i="2"/>
  <c r="BL70" i="2"/>
  <c r="BL72" i="2" s="1"/>
  <c r="BL66" i="2"/>
  <c r="BL68" i="2" s="1"/>
  <c r="BL120" i="2"/>
  <c r="BK16" i="1"/>
  <c r="T131" i="2"/>
  <c r="U131" i="2" s="1"/>
  <c r="V131" i="2" s="1"/>
  <c r="W131" i="2" s="1"/>
  <c r="X131" i="2" s="1"/>
  <c r="Y131" i="2" s="1"/>
  <c r="Z131" i="2" s="1"/>
  <c r="AA131" i="2" s="1"/>
  <c r="Z95" i="1"/>
  <c r="Z97" i="1" s="1"/>
  <c r="AA86" i="1"/>
  <c r="AA95" i="1" s="1"/>
  <c r="AA97" i="1" s="1"/>
  <c r="AA53" i="1"/>
  <c r="AA55" i="1"/>
  <c r="AA54" i="1"/>
  <c r="BL16" i="1"/>
  <c r="BW85" i="2"/>
  <c r="BS93" i="2"/>
  <c r="BW93" i="2"/>
  <c r="AA96" i="1"/>
  <c r="CG135" i="1"/>
  <c r="BN63" i="2"/>
  <c r="CI135" i="1"/>
  <c r="CI17" i="1" s="1"/>
  <c r="T71" i="3"/>
  <c r="O189" i="3"/>
  <c r="O176" i="3"/>
  <c r="U204" i="3"/>
  <c r="T205" i="3"/>
  <c r="X179" i="3"/>
  <c r="W192" i="3"/>
  <c r="X177" i="3"/>
  <c r="Y177" i="3" s="1"/>
  <c r="W186" i="3"/>
  <c r="M164" i="3"/>
  <c r="B109" i="3"/>
  <c r="R57" i="4"/>
  <c r="R51" i="4"/>
  <c r="R65" i="4"/>
  <c r="U112" i="3"/>
  <c r="BP79" i="2"/>
  <c r="BP119" i="2" s="1"/>
  <c r="AF169" i="2"/>
  <c r="BV62" i="1"/>
  <c r="BV63" i="1"/>
  <c r="BQ113" i="2"/>
  <c r="BU84" i="2"/>
  <c r="BQ16" i="2"/>
  <c r="BL76" i="2"/>
  <c r="BL77" i="2"/>
  <c r="BP75" i="2"/>
  <c r="BL75" i="2"/>
  <c r="P250" i="2"/>
  <c r="R219" i="1"/>
  <c r="R220" i="1"/>
  <c r="M63" i="1"/>
  <c r="M64" i="1"/>
  <c r="S179" i="3"/>
  <c r="S192" i="3" s="1"/>
  <c r="BW100" i="2"/>
  <c r="BQ14" i="2"/>
  <c r="P247" i="2"/>
  <c r="Q221" i="2"/>
  <c r="Q261" i="2"/>
  <c r="Q271" i="2" s="1"/>
  <c r="Q256" i="2"/>
  <c r="R259" i="2" s="1"/>
  <c r="R260" i="2"/>
  <c r="L125" i="2"/>
  <c r="T132" i="2"/>
  <c r="U132" i="2" s="1"/>
  <c r="V132" i="2" s="1"/>
  <c r="Q55" i="2"/>
  <c r="Q57" i="2" s="1"/>
  <c r="Q429" i="2"/>
  <c r="BN75" i="2"/>
  <c r="BJ76" i="2"/>
  <c r="BM75" i="2"/>
  <c r="BI75" i="2"/>
  <c r="CB83" i="2"/>
  <c r="R11" i="2"/>
  <c r="R83" i="2" s="1"/>
  <c r="S176" i="1"/>
  <c r="S75" i="1"/>
  <c r="S82" i="1" s="1"/>
  <c r="S177" i="1"/>
  <c r="S170" i="1"/>
  <c r="Q119" i="2"/>
  <c r="S177" i="3"/>
  <c r="P63" i="4"/>
  <c r="S132" i="3"/>
  <c r="Q82" i="2"/>
  <c r="Q116" i="2"/>
  <c r="Q270" i="2"/>
  <c r="Q20" i="2"/>
  <c r="Q29" i="2"/>
  <c r="Q117" i="2"/>
  <c r="Q13" i="2"/>
  <c r="Q36" i="2"/>
  <c r="Q185" i="2"/>
  <c r="Q255" i="2"/>
  <c r="Q115" i="2"/>
  <c r="Q120" i="2"/>
  <c r="BS114" i="2"/>
  <c r="CH228" i="1"/>
  <c r="CH124" i="1"/>
  <c r="BT57" i="2"/>
  <c r="S183" i="1"/>
  <c r="S187" i="1"/>
  <c r="S189" i="1"/>
  <c r="S184" i="1"/>
  <c r="Q17" i="1"/>
  <c r="BU50" i="1"/>
  <c r="BU47" i="1"/>
  <c r="BW49" i="1"/>
  <c r="BW48" i="1"/>
  <c r="BW47" i="1"/>
  <c r="R164" i="2"/>
  <c r="CB164" i="2" s="1"/>
  <c r="CB132" i="2" s="1"/>
  <c r="CB107" i="2" s="1"/>
  <c r="BV84" i="2"/>
  <c r="CF172" i="2"/>
  <c r="S172" i="2" s="1"/>
  <c r="S171" i="2"/>
  <c r="S170" i="2"/>
  <c r="T170" i="2" s="1"/>
  <c r="Q172" i="2"/>
  <c r="P67" i="4" s="1"/>
  <c r="P74" i="4" s="1"/>
  <c r="P75" i="4" s="1"/>
  <c r="BU173" i="2"/>
  <c r="BV102" i="2"/>
  <c r="BR102" i="2"/>
  <c r="R120" i="1"/>
  <c r="R119" i="1"/>
  <c r="R118" i="1"/>
  <c r="R121" i="1"/>
  <c r="R117" i="1"/>
  <c r="CH170" i="2"/>
  <c r="CH171" i="2" s="1"/>
  <c r="CG171" i="2"/>
  <c r="N410" i="2"/>
  <c r="CF10" i="2"/>
  <c r="BQ70" i="2"/>
  <c r="L114" i="2"/>
  <c r="N198" i="3"/>
  <c r="P40" i="2"/>
  <c r="BS63" i="1"/>
  <c r="BS64" i="1"/>
  <c r="BS62" i="1"/>
  <c r="Q14" i="4"/>
  <c r="T100" i="3"/>
  <c r="R224" i="1"/>
  <c r="BT96" i="1"/>
  <c r="BS19" i="1"/>
  <c r="BL99" i="2"/>
  <c r="BU19" i="1"/>
  <c r="BK19" i="1"/>
  <c r="L370" i="2"/>
  <c r="M344" i="2"/>
  <c r="BZ109" i="2"/>
  <c r="CH26" i="2"/>
  <c r="CI26" i="2" s="1"/>
  <c r="BL19" i="1"/>
  <c r="N137" i="1"/>
  <c r="N19" i="1" s="1"/>
  <c r="BQ62" i="1"/>
  <c r="BQ135" i="1"/>
  <c r="CG147" i="2"/>
  <c r="O81" i="1"/>
  <c r="CE366" i="1"/>
  <c r="BS373" i="1"/>
  <c r="CD372" i="1"/>
  <c r="BV372" i="1"/>
  <c r="BN372" i="1"/>
  <c r="BO371" i="1"/>
  <c r="CA367" i="1"/>
  <c r="BV367" i="1"/>
  <c r="BR367" i="1"/>
  <c r="BZ366" i="1"/>
  <c r="BR366" i="1"/>
  <c r="CB345" i="1"/>
  <c r="BT344" i="1"/>
  <c r="BP357" i="1"/>
  <c r="CC326" i="1"/>
  <c r="BY326" i="1"/>
  <c r="CC249" i="1"/>
  <c r="BT247" i="1"/>
  <c r="CD69" i="1"/>
  <c r="X186" i="3"/>
  <c r="Y179" i="3"/>
  <c r="Y192" i="3" s="1"/>
  <c r="X192" i="3"/>
  <c r="V204" i="3"/>
  <c r="V205" i="3" s="1"/>
  <c r="V207" i="3" s="1"/>
  <c r="U205" i="3"/>
  <c r="R85" i="4"/>
  <c r="R90" i="4" s="1"/>
  <c r="CJ26" i="2"/>
  <c r="P46" i="2"/>
  <c r="CF116" i="2"/>
  <c r="CF14" i="2"/>
  <c r="CF113" i="2"/>
  <c r="CF82" i="2"/>
  <c r="CI170" i="2"/>
  <c r="CJ170" i="2" s="1"/>
  <c r="T171" i="2"/>
  <c r="U170" i="2"/>
  <c r="U171" i="2" s="1"/>
  <c r="BX90" i="2"/>
  <c r="BX89" i="2"/>
  <c r="S126" i="3"/>
  <c r="Q94" i="2"/>
  <c r="Q136" i="2"/>
  <c r="Q95" i="2"/>
  <c r="S186" i="3"/>
  <c r="S210" i="1"/>
  <c r="S215" i="1"/>
  <c r="S214" i="1"/>
  <c r="CF214" i="1" s="1"/>
  <c r="R157" i="2"/>
  <c r="R165" i="2" s="1"/>
  <c r="CB165" i="2" s="1"/>
  <c r="CB133" i="2" s="1"/>
  <c r="CB108" i="2" s="1"/>
  <c r="S211" i="1"/>
  <c r="S217" i="1"/>
  <c r="CF217" i="1"/>
  <c r="S216" i="1"/>
  <c r="CF216" i="1"/>
  <c r="R115" i="1"/>
  <c r="R377" i="1"/>
  <c r="Q14" i="2"/>
  <c r="R247" i="2" s="1"/>
  <c r="Q16" i="2"/>
  <c r="Q113" i="2"/>
  <c r="Q257" i="2"/>
  <c r="BQ17" i="2"/>
  <c r="BU85" i="2"/>
  <c r="BQ114" i="2"/>
  <c r="BU93" i="2"/>
  <c r="BQ93" i="2"/>
  <c r="BP364" i="1"/>
  <c r="Z179" i="3"/>
  <c r="Z192" i="3" s="1"/>
  <c r="Z177" i="3"/>
  <c r="Y186" i="3"/>
  <c r="W204" i="3"/>
  <c r="X204" i="3" s="1"/>
  <c r="S198" i="3"/>
  <c r="S133" i="3"/>
  <c r="Q17" i="2"/>
  <c r="Q114" i="2"/>
  <c r="Q253" i="2"/>
  <c r="CB157" i="2"/>
  <c r="V170" i="2"/>
  <c r="W170" i="2" s="1"/>
  <c r="P66" i="2"/>
  <c r="P70" i="2"/>
  <c r="P72" i="2" s="1"/>
  <c r="P282" i="2"/>
  <c r="P120" i="2"/>
  <c r="R126" i="3" s="1"/>
  <c r="W205" i="3"/>
  <c r="W207" i="3" s="1"/>
  <c r="AA177" i="3"/>
  <c r="Z186" i="3"/>
  <c r="AA179" i="3"/>
  <c r="AB179" i="3" s="1"/>
  <c r="S162" i="3"/>
  <c r="S164" i="3" s="1"/>
  <c r="S135" i="3"/>
  <c r="S137" i="3" s="1"/>
  <c r="V171" i="2"/>
  <c r="Q251" i="2"/>
  <c r="AA186" i="3"/>
  <c r="AB177" i="3"/>
  <c r="AA192" i="3"/>
  <c r="AC177" i="3"/>
  <c r="AC186" i="3" s="1"/>
  <c r="AB186" i="3"/>
  <c r="CF210" i="1"/>
  <c r="Q23" i="4"/>
  <c r="S189" i="3"/>
  <c r="S176" i="3"/>
  <c r="CG136" i="1"/>
  <c r="CJ228" i="1"/>
  <c r="CJ119" i="1" s="1"/>
  <c r="BL63" i="2"/>
  <c r="CH232" i="1"/>
  <c r="BI62" i="1"/>
  <c r="BI64" i="1"/>
  <c r="BJ62" i="1"/>
  <c r="BJ64" i="1"/>
  <c r="BJ63" i="1"/>
  <c r="N23" i="4"/>
  <c r="BR37" i="1"/>
  <c r="BR40" i="1" s="1"/>
  <c r="BR154" i="1"/>
  <c r="CC157" i="2"/>
  <c r="CC159" i="2" s="1"/>
  <c r="CC220" i="1"/>
  <c r="CG214" i="1"/>
  <c r="CG217" i="1"/>
  <c r="CG215" i="1"/>
  <c r="CG213" i="1"/>
  <c r="CG219" i="1" s="1"/>
  <c r="O23" i="4"/>
  <c r="P79" i="2"/>
  <c r="CB131" i="1"/>
  <c r="BJ124" i="1"/>
  <c r="BY61" i="1"/>
  <c r="BY196" i="1"/>
  <c r="BY197" i="1"/>
  <c r="BY64" i="1"/>
  <c r="BY63" i="1"/>
  <c r="BY65" i="1"/>
  <c r="BY62" i="1"/>
  <c r="P78" i="1"/>
  <c r="P76" i="1"/>
  <c r="BU140" i="1"/>
  <c r="BY158" i="1"/>
  <c r="R158" i="1"/>
  <c r="R45" i="1" s="1"/>
  <c r="BY47" i="1"/>
  <c r="BY51" i="1"/>
  <c r="BY48" i="1"/>
  <c r="BY50" i="1"/>
  <c r="CB35" i="1"/>
  <c r="BX140" i="1"/>
  <c r="CB36" i="1"/>
  <c r="CB145" i="1"/>
  <c r="CB132" i="1"/>
  <c r="CB14" i="1" s="1"/>
  <c r="CB34" i="1"/>
  <c r="BI37" i="1"/>
  <c r="BI144" i="1"/>
  <c r="BI35" i="1"/>
  <c r="BI145" i="1"/>
  <c r="BI36" i="1"/>
  <c r="BI33" i="1"/>
  <c r="CH213" i="1"/>
  <c r="CD157" i="2"/>
  <c r="CH216" i="1"/>
  <c r="BY157" i="1"/>
  <c r="R157" i="1" s="1"/>
  <c r="BI34" i="1"/>
  <c r="BY49" i="1"/>
  <c r="CC224" i="1"/>
  <c r="CC118" i="1"/>
  <c r="BY140" i="1"/>
  <c r="CC223" i="1"/>
  <c r="CC119" i="1"/>
  <c r="CC121" i="1"/>
  <c r="CC117" i="1"/>
  <c r="CA105" i="1"/>
  <c r="CA210" i="1"/>
  <c r="CA211" i="1"/>
  <c r="CA104" i="1"/>
  <c r="CA110" i="1"/>
  <c r="CA106" i="1"/>
  <c r="BW106" i="1"/>
  <c r="BW103" i="1"/>
  <c r="BW210" i="1"/>
  <c r="BW211" i="1"/>
  <c r="BW104" i="1"/>
  <c r="BK211" i="1"/>
  <c r="BK104" i="1"/>
  <c r="BK210" i="1"/>
  <c r="BK105" i="1"/>
  <c r="BK107" i="1"/>
  <c r="BK103" i="1"/>
  <c r="CG196" i="1"/>
  <c r="CG63" i="1"/>
  <c r="CA91" i="1"/>
  <c r="CA184" i="1"/>
  <c r="CA193" i="1"/>
  <c r="BQ76" i="1"/>
  <c r="BQ171" i="1"/>
  <c r="BQ77" i="1"/>
  <c r="BQ170" i="1"/>
  <c r="BQ75" i="1"/>
  <c r="M77" i="1"/>
  <c r="M171" i="1"/>
  <c r="M75" i="1"/>
  <c r="M82" i="1" s="1"/>
  <c r="M79" i="1"/>
  <c r="M78" i="1"/>
  <c r="BY34" i="1"/>
  <c r="BY144" i="1"/>
  <c r="BY36" i="1"/>
  <c r="BY145" i="1"/>
  <c r="BY33" i="1"/>
  <c r="CE119" i="1"/>
  <c r="CE117" i="1"/>
  <c r="CE118" i="1"/>
  <c r="BP118" i="1"/>
  <c r="BP119" i="1"/>
  <c r="BP224" i="1"/>
  <c r="BP377" i="1" s="1"/>
  <c r="BP223" i="1"/>
  <c r="BP117" i="1"/>
  <c r="CA64" i="1"/>
  <c r="CA62" i="1"/>
  <c r="CA68" i="1" s="1"/>
  <c r="CA63" i="1"/>
  <c r="CA196" i="1"/>
  <c r="CA61" i="1"/>
  <c r="BK79" i="1"/>
  <c r="BK82" i="1" s="1"/>
  <c r="BK171" i="1"/>
  <c r="CE215" i="1"/>
  <c r="CF215" i="1" s="1"/>
  <c r="CE211" i="1"/>
  <c r="CE219" i="1" s="1"/>
  <c r="BT105" i="1"/>
  <c r="BT210" i="1"/>
  <c r="CD196" i="1"/>
  <c r="CD206" i="1" s="1"/>
  <c r="CD63" i="1"/>
  <c r="CD64" i="1"/>
  <c r="CD62" i="1"/>
  <c r="BZ140" i="1"/>
  <c r="CD16" i="1" s="1"/>
  <c r="CD65" i="1"/>
  <c r="CD197" i="1"/>
  <c r="BU91" i="1"/>
  <c r="BU184" i="1"/>
  <c r="BU193" i="1" s="1"/>
  <c r="BU183" i="1"/>
  <c r="CH151" i="1"/>
  <c r="CJ151" i="1" s="1"/>
  <c r="CH149" i="1"/>
  <c r="CH147" i="1"/>
  <c r="CH144" i="1"/>
  <c r="CI27" i="1"/>
  <c r="BK35" i="2"/>
  <c r="BK36" i="2"/>
  <c r="BJ35" i="2"/>
  <c r="BJ40" i="2"/>
  <c r="BF57" i="2"/>
  <c r="BF70" i="2"/>
  <c r="BF72" i="2"/>
  <c r="BF66" i="2"/>
  <c r="BF68" i="2"/>
  <c r="BF120" i="2"/>
  <c r="BF77" i="2"/>
  <c r="BF50" i="2"/>
  <c r="BF55" i="2"/>
  <c r="BH120" i="2"/>
  <c r="BE120" i="2"/>
  <c r="BE57" i="2"/>
  <c r="BF43" i="2"/>
  <c r="BH50" i="2"/>
  <c r="BH55" i="2" s="1"/>
  <c r="BH57" i="2" s="1"/>
  <c r="BH70" i="2"/>
  <c r="BH72" i="2" s="1"/>
  <c r="BE66" i="2"/>
  <c r="CF28" i="2"/>
  <c r="CF40" i="2" s="1"/>
  <c r="CF20" i="2"/>
  <c r="CF16" i="2"/>
  <c r="CF115" i="2"/>
  <c r="S98" i="2"/>
  <c r="T123" i="2"/>
  <c r="U123" i="2" s="1"/>
  <c r="S151" i="2"/>
  <c r="S19" i="2" s="1"/>
  <c r="CF86" i="2"/>
  <c r="CB28" i="2"/>
  <c r="CB40" i="2" s="1"/>
  <c r="CB115" i="2"/>
  <c r="CB86" i="2"/>
  <c r="CB16" i="2"/>
  <c r="CB20" i="2"/>
  <c r="CE28" i="2"/>
  <c r="CE40" i="2" s="1"/>
  <c r="CE16" i="2"/>
  <c r="CE17" i="2" s="1"/>
  <c r="CA100" i="2"/>
  <c r="CA16" i="2"/>
  <c r="CE86" i="2"/>
  <c r="CA115" i="2"/>
  <c r="CA94" i="2"/>
  <c r="CA28" i="2"/>
  <c r="CA40" i="2" s="1"/>
  <c r="CA86" i="2"/>
  <c r="CA20" i="2"/>
  <c r="R124" i="2"/>
  <c r="T126" i="2"/>
  <c r="CD28" i="2"/>
  <c r="CD40" i="2" s="1"/>
  <c r="CD16" i="2"/>
  <c r="CD17" i="2" s="1"/>
  <c r="S127" i="2"/>
  <c r="R151" i="2"/>
  <c r="R126" i="2"/>
  <c r="BZ115" i="2"/>
  <c r="BZ94" i="2"/>
  <c r="BZ86" i="2"/>
  <c r="CD86" i="2"/>
  <c r="BZ20" i="2"/>
  <c r="BZ16" i="2"/>
  <c r="BZ28" i="2"/>
  <c r="BZ40" i="2" s="1"/>
  <c r="CC19" i="2"/>
  <c r="CC86" i="2" s="1"/>
  <c r="BY16" i="2"/>
  <c r="BY28" i="2"/>
  <c r="BY40" i="2" s="1"/>
  <c r="BY20" i="2"/>
  <c r="BY115" i="2"/>
  <c r="BY94" i="2" s="1"/>
  <c r="BY86" i="2"/>
  <c r="T196" i="3"/>
  <c r="T191" i="3" s="1"/>
  <c r="CF93" i="2"/>
  <c r="S260" i="2"/>
  <c r="CI232" i="1"/>
  <c r="CI137" i="1"/>
  <c r="CI19" i="1"/>
  <c r="CJ229" i="1"/>
  <c r="CF117" i="1"/>
  <c r="CF223" i="1"/>
  <c r="CB233" i="1"/>
  <c r="CF120" i="1"/>
  <c r="CF121" i="1"/>
  <c r="CF118" i="1"/>
  <c r="CF224" i="1"/>
  <c r="CB140" i="1"/>
  <c r="CF119" i="1"/>
  <c r="CH143" i="2"/>
  <c r="CH150" i="2"/>
  <c r="CH233" i="1"/>
  <c r="CH158" i="2"/>
  <c r="CJ230" i="1"/>
  <c r="CJ121" i="1"/>
  <c r="CG18" i="1"/>
  <c r="CF48" i="1"/>
  <c r="CF158" i="1"/>
  <c r="CB167" i="1"/>
  <c r="CF17" i="1"/>
  <c r="CF47" i="1"/>
  <c r="CF157" i="1"/>
  <c r="CF19" i="1"/>
  <c r="CF51" i="1"/>
  <c r="CF54" i="1" s="1"/>
  <c r="CE11" i="2"/>
  <c r="CE83" i="2" s="1"/>
  <c r="CE113" i="2"/>
  <c r="CI113" i="2"/>
  <c r="CE115" i="2"/>
  <c r="CE116" i="2"/>
  <c r="CE20" i="2"/>
  <c r="CE14" i="2"/>
  <c r="CE82" i="2"/>
  <c r="T161" i="1"/>
  <c r="T158" i="1"/>
  <c r="T26" i="1"/>
  <c r="CD113" i="2"/>
  <c r="CD82" i="2"/>
  <c r="CD116" i="2"/>
  <c r="CD14" i="2"/>
  <c r="CD11" i="2"/>
  <c r="CD83" i="2" s="1"/>
  <c r="CD20" i="2"/>
  <c r="CD115" i="2"/>
  <c r="CD94" i="2"/>
  <c r="T132" i="1"/>
  <c r="T258" i="2"/>
  <c r="CD127" i="2"/>
  <c r="CD102" i="2"/>
  <c r="CG131" i="1"/>
  <c r="CG13" i="1" s="1"/>
  <c r="CG17" i="1"/>
  <c r="S140" i="1"/>
  <c r="T202" i="1"/>
  <c r="CG203" i="1"/>
  <c r="CG197" i="1"/>
  <c r="T194" i="2"/>
  <c r="T196" i="1"/>
  <c r="T203" i="1"/>
  <c r="CG199" i="1"/>
  <c r="CG62" i="1"/>
  <c r="CG68" i="1"/>
  <c r="CG202" i="1"/>
  <c r="CC11" i="2"/>
  <c r="CC83" i="2" s="1"/>
  <c r="CC113" i="2"/>
  <c r="CG113" i="2" s="1"/>
  <c r="CC14" i="2"/>
  <c r="CC20" i="2"/>
  <c r="CC116" i="2"/>
  <c r="CC82" i="2"/>
  <c r="CC206" i="1"/>
  <c r="T179" i="3"/>
  <c r="R13" i="2"/>
  <c r="R113" i="2" s="1"/>
  <c r="R93" i="2" s="1"/>
  <c r="R256" i="2"/>
  <c r="S259" i="2" s="1"/>
  <c r="R221" i="2"/>
  <c r="R261" i="2" s="1"/>
  <c r="CJ134" i="1"/>
  <c r="CJ16" i="1"/>
  <c r="CJ144" i="1"/>
  <c r="Q183" i="1"/>
  <c r="BU190" i="1"/>
  <c r="M180" i="1"/>
  <c r="M26" i="1"/>
  <c r="N211" i="1"/>
  <c r="CA377" i="1"/>
  <c r="CC17" i="1"/>
  <c r="CC20" i="1"/>
  <c r="CC18" i="1"/>
  <c r="CC19" i="1"/>
  <c r="CC16" i="1"/>
  <c r="N65" i="4"/>
  <c r="N74" i="4" s="1"/>
  <c r="N75" i="4" s="1"/>
  <c r="N57" i="4"/>
  <c r="Q184" i="1"/>
  <c r="BU377" i="1"/>
  <c r="CD19" i="1"/>
  <c r="CD18" i="1"/>
  <c r="CE124" i="1"/>
  <c r="BY132" i="1"/>
  <c r="BY14" i="1" s="1"/>
  <c r="P171" i="1"/>
  <c r="CA220" i="1"/>
  <c r="CA376" i="1"/>
  <c r="CA375" i="1" s="1"/>
  <c r="CC233" i="1"/>
  <c r="CD165" i="2"/>
  <c r="CD159" i="2"/>
  <c r="CB17" i="1"/>
  <c r="CB19" i="1"/>
  <c r="CB18" i="1"/>
  <c r="BY18" i="1"/>
  <c r="BY17" i="1"/>
  <c r="BY19" i="1"/>
  <c r="BY16" i="1"/>
  <c r="BY206" i="1"/>
  <c r="R112" i="3"/>
  <c r="O65" i="4"/>
  <c r="O57" i="4"/>
  <c r="O51" i="4"/>
  <c r="O61" i="4"/>
  <c r="Q57" i="4"/>
  <c r="Q85" i="4" s="1"/>
  <c r="Q90" i="4" s="1"/>
  <c r="Q51" i="4"/>
  <c r="Q65" i="4"/>
  <c r="T112" i="3"/>
  <c r="T14" i="1"/>
  <c r="CJ149" i="1"/>
  <c r="CH136" i="1"/>
  <c r="CD68" i="1"/>
  <c r="BT217" i="1"/>
  <c r="CA206" i="1"/>
  <c r="CA131" i="1"/>
  <c r="BP124" i="1"/>
  <c r="BK376" i="1"/>
  <c r="N210" i="1"/>
  <c r="BK220" i="1"/>
  <c r="BW377" i="1"/>
  <c r="Q211" i="1"/>
  <c r="BI40" i="1"/>
  <c r="BY68" i="1"/>
  <c r="CB151" i="1"/>
  <c r="CB154" i="1" s="1"/>
  <c r="R120" i="3"/>
  <c r="P119" i="2"/>
  <c r="BK26" i="1"/>
  <c r="BP233" i="1"/>
  <c r="BP376" i="1"/>
  <c r="BP27" i="1"/>
  <c r="R144" i="1"/>
  <c r="BY151" i="1"/>
  <c r="BY154" i="1"/>
  <c r="BY131" i="1"/>
  <c r="BY13" i="1"/>
  <c r="P170" i="1"/>
  <c r="BQ177" i="1"/>
  <c r="BQ180" i="1" s="1"/>
  <c r="BK110" i="1"/>
  <c r="BW217" i="1"/>
  <c r="BW107" i="1" s="1"/>
  <c r="Q210" i="1"/>
  <c r="BW376" i="1"/>
  <c r="BW375" i="1" s="1"/>
  <c r="BW220" i="1"/>
  <c r="BW27" i="1"/>
  <c r="CC124" i="1"/>
  <c r="N144" i="1"/>
  <c r="BY167" i="1"/>
  <c r="BY54" i="1"/>
  <c r="BK180" i="1"/>
  <c r="CB13" i="1"/>
  <c r="CF211" i="1"/>
  <c r="CG52" i="2"/>
  <c r="BK40" i="2"/>
  <c r="BK46" i="2" s="1"/>
  <c r="BK50" i="2" s="1"/>
  <c r="BJ36" i="2"/>
  <c r="BJ43" i="2"/>
  <c r="BJ46" i="2"/>
  <c r="BJ50" i="2" s="1"/>
  <c r="BJ55" i="2" s="1"/>
  <c r="CF17" i="2"/>
  <c r="CF114" i="2"/>
  <c r="CF117" i="2"/>
  <c r="CF136" i="2" s="1"/>
  <c r="CF29" i="2"/>
  <c r="CF79" i="2"/>
  <c r="CF119" i="2" s="1"/>
  <c r="CF94" i="2"/>
  <c r="CB94" i="2"/>
  <c r="CF87" i="2"/>
  <c r="CB117" i="2"/>
  <c r="CB29" i="2"/>
  <c r="CB79" i="2"/>
  <c r="CB119" i="2" s="1"/>
  <c r="CB87" i="2"/>
  <c r="CB85" i="2"/>
  <c r="CB114" i="2"/>
  <c r="CB17" i="2"/>
  <c r="CF85" i="2"/>
  <c r="CE114" i="2"/>
  <c r="CE79" i="2"/>
  <c r="CE119" i="2" s="1"/>
  <c r="CA87" i="2"/>
  <c r="CA117" i="2"/>
  <c r="CA95" i="2" s="1"/>
  <c r="CA29" i="2"/>
  <c r="CE87" i="2"/>
  <c r="CA79" i="2"/>
  <c r="CA119" i="2" s="1"/>
  <c r="CE94" i="2"/>
  <c r="R99" i="2"/>
  <c r="S99" i="2"/>
  <c r="CA85" i="2"/>
  <c r="CA17" i="2"/>
  <c r="CE85" i="2"/>
  <c r="CA114" i="2"/>
  <c r="U126" i="2"/>
  <c r="CD29" i="2"/>
  <c r="CD114" i="2"/>
  <c r="CD79" i="2"/>
  <c r="CD119" i="2" s="1"/>
  <c r="S101" i="2"/>
  <c r="R101" i="2"/>
  <c r="R19" i="2"/>
  <c r="R127" i="2"/>
  <c r="R102" i="2" s="1"/>
  <c r="BZ87" i="2"/>
  <c r="BZ29" i="2"/>
  <c r="BZ79" i="2"/>
  <c r="BZ119" i="2" s="1"/>
  <c r="CD87" i="2"/>
  <c r="BZ117" i="2"/>
  <c r="BZ17" i="2"/>
  <c r="CD85" i="2"/>
  <c r="BZ114" i="2"/>
  <c r="BZ85" i="2"/>
  <c r="CC28" i="2"/>
  <c r="CC40" i="2" s="1"/>
  <c r="CC16" i="2"/>
  <c r="BY117" i="2"/>
  <c r="BY136" i="2" s="1"/>
  <c r="BY87" i="2"/>
  <c r="CC87" i="2"/>
  <c r="BY79" i="2"/>
  <c r="BY119" i="2" s="1"/>
  <c r="BY29" i="2"/>
  <c r="BY85" i="2"/>
  <c r="BY114" i="2"/>
  <c r="CC85" i="2"/>
  <c r="BY17" i="2"/>
  <c r="CF132" i="1"/>
  <c r="CF14" i="1"/>
  <c r="CF18" i="1"/>
  <c r="CF16" i="1"/>
  <c r="CF124" i="1"/>
  <c r="CF233" i="1"/>
  <c r="CJ120" i="1"/>
  <c r="CI233" i="1"/>
  <c r="CI158" i="2"/>
  <c r="CI166" i="2" s="1"/>
  <c r="CI143" i="2"/>
  <c r="CI150" i="2"/>
  <c r="CF131" i="1"/>
  <c r="CF13" i="1"/>
  <c r="CF22" i="1" s="1"/>
  <c r="CF24" i="1" s="1"/>
  <c r="CF167" i="1"/>
  <c r="CE93" i="2"/>
  <c r="CD93" i="2"/>
  <c r="CH113" i="2"/>
  <c r="T138" i="1"/>
  <c r="T20" i="1" s="1"/>
  <c r="T137" i="1"/>
  <c r="T19" i="1"/>
  <c r="CJ196" i="1"/>
  <c r="T27" i="1"/>
  <c r="T131" i="1"/>
  <c r="T13" i="1" s="1"/>
  <c r="CJ197" i="1"/>
  <c r="CJ59" i="1" s="1"/>
  <c r="T18" i="1"/>
  <c r="CG205" i="1"/>
  <c r="U194" i="2"/>
  <c r="V194" i="2"/>
  <c r="W194" i="2" s="1"/>
  <c r="X194" i="2" s="1"/>
  <c r="Y194" i="2" s="1"/>
  <c r="Z194" i="2" s="1"/>
  <c r="AA194" i="2" s="1"/>
  <c r="CG206" i="1"/>
  <c r="CC93" i="2"/>
  <c r="R84" i="2"/>
  <c r="R14" i="2"/>
  <c r="R253" i="2" s="1"/>
  <c r="R16" i="2"/>
  <c r="T198" i="3" s="1"/>
  <c r="CH52" i="2"/>
  <c r="CB22" i="1"/>
  <c r="BY22" i="1"/>
  <c r="CJ35" i="1"/>
  <c r="CJ136" i="1"/>
  <c r="CJ18" i="1"/>
  <c r="P73" i="1"/>
  <c r="W52" i="2"/>
  <c r="X52" i="2" s="1"/>
  <c r="Y52" i="2" s="1"/>
  <c r="R108" i="3"/>
  <c r="R115" i="3"/>
  <c r="CA13" i="1"/>
  <c r="BT107" i="1"/>
  <c r="BT110" i="1" s="1"/>
  <c r="N101" i="1"/>
  <c r="N110" i="1" s="1"/>
  <c r="Q86" i="1"/>
  <c r="N30" i="1"/>
  <c r="Q100" i="1"/>
  <c r="BY138" i="1"/>
  <c r="BY20" i="1" s="1"/>
  <c r="BY23" i="1" s="1"/>
  <c r="BY37" i="1"/>
  <c r="BY40" i="1"/>
  <c r="CB37" i="1"/>
  <c r="CB40" i="1" s="1"/>
  <c r="CB138" i="1"/>
  <c r="Q101" i="1"/>
  <c r="Q109" i="1" s="1"/>
  <c r="O85" i="4"/>
  <c r="O90" i="4" s="1"/>
  <c r="O94" i="4" s="1"/>
  <c r="Q87" i="1"/>
  <c r="Q95" i="1" s="1"/>
  <c r="N85" i="4"/>
  <c r="N90" i="4" s="1"/>
  <c r="N94" i="4" s="1"/>
  <c r="BU93" i="1"/>
  <c r="BU96" i="1" s="1"/>
  <c r="CJ30" i="1"/>
  <c r="BW110" i="1"/>
  <c r="BQ79" i="1"/>
  <c r="BQ82" i="1" s="1"/>
  <c r="P72" i="1"/>
  <c r="P81" i="1" s="1"/>
  <c r="R30" i="1"/>
  <c r="N100" i="1"/>
  <c r="N220" i="1"/>
  <c r="BT220" i="1"/>
  <c r="BJ77" i="2"/>
  <c r="BJ120" i="2"/>
  <c r="BK70" i="2"/>
  <c r="BK72" i="2" s="1"/>
  <c r="CF50" i="2"/>
  <c r="CF43" i="2"/>
  <c r="CF46" i="2"/>
  <c r="CB50" i="2"/>
  <c r="CB43" i="2"/>
  <c r="CB46" i="2"/>
  <c r="CB136" i="2"/>
  <c r="CB95" i="2"/>
  <c r="CE43" i="2"/>
  <c r="CE50" i="2"/>
  <c r="CE120" i="2" s="1"/>
  <c r="CE46" i="2"/>
  <c r="CA46" i="2"/>
  <c r="CA50" i="2"/>
  <c r="CA43" i="2"/>
  <c r="CA63" i="2" s="1"/>
  <c r="CA136" i="2"/>
  <c r="V126" i="2"/>
  <c r="CD46" i="2"/>
  <c r="CD43" i="2"/>
  <c r="CD50" i="2"/>
  <c r="R86" i="2"/>
  <c r="R115" i="2"/>
  <c r="R20" i="2"/>
  <c r="R28" i="2"/>
  <c r="R29" i="2" s="1"/>
  <c r="S102" i="2"/>
  <c r="BZ43" i="2"/>
  <c r="BZ46" i="2"/>
  <c r="BZ50" i="2"/>
  <c r="BZ55" i="2" s="1"/>
  <c r="BZ57" i="2" s="1"/>
  <c r="BZ136" i="2"/>
  <c r="CD63" i="2"/>
  <c r="BZ95" i="2"/>
  <c r="CC114" i="2"/>
  <c r="CC17" i="2"/>
  <c r="CC117" i="2"/>
  <c r="CC29" i="2"/>
  <c r="BY46" i="2"/>
  <c r="BY50" i="2"/>
  <c r="BY43" i="2"/>
  <c r="BY95" i="2"/>
  <c r="T22" i="1"/>
  <c r="CG142" i="2"/>
  <c r="CJ58" i="1"/>
  <c r="R114" i="2"/>
  <c r="R85" i="2"/>
  <c r="T133" i="3"/>
  <c r="T135" i="3" s="1"/>
  <c r="T137" i="3" s="1"/>
  <c r="S247" i="2"/>
  <c r="CJ39" i="1"/>
  <c r="CJ41" i="1" s="1"/>
  <c r="CB20" i="1"/>
  <c r="CI52" i="2"/>
  <c r="CJ52" i="2"/>
  <c r="N109" i="1"/>
  <c r="BY141" i="1"/>
  <c r="CF55" i="2"/>
  <c r="CF57" i="2" s="1"/>
  <c r="CF89" i="2" s="1"/>
  <c r="CF429" i="2"/>
  <c r="CF120" i="2"/>
  <c r="CB120" i="2"/>
  <c r="CB55" i="2"/>
  <c r="CB429" i="2"/>
  <c r="CA55" i="2"/>
  <c r="CA120" i="2"/>
  <c r="CA429" i="2"/>
  <c r="W126" i="2"/>
  <c r="CD429" i="2"/>
  <c r="R94" i="2"/>
  <c r="R79" i="2"/>
  <c r="R119" i="2" s="1"/>
  <c r="BZ120" i="2"/>
  <c r="CC50" i="2"/>
  <c r="CC43" i="2"/>
  <c r="CC63" i="2" s="1"/>
  <c r="CC46" i="2"/>
  <c r="BY429" i="2"/>
  <c r="BY55" i="2"/>
  <c r="BY120" i="2"/>
  <c r="CG149" i="2"/>
  <c r="R251" i="2"/>
  <c r="T162" i="3"/>
  <c r="P83" i="1"/>
  <c r="N111" i="1"/>
  <c r="R111" i="1"/>
  <c r="CF77" i="2"/>
  <c r="CB88" i="2"/>
  <c r="CB57" i="2"/>
  <c r="CA57" i="2"/>
  <c r="CA89" i="2" s="1"/>
  <c r="CA88" i="2"/>
  <c r="X126" i="2"/>
  <c r="Y126" i="2" s="1"/>
  <c r="Z126" i="2" s="1"/>
  <c r="AA126" i="2" s="1"/>
  <c r="T120" i="3"/>
  <c r="CC55" i="2"/>
  <c r="CC57" i="2" s="1"/>
  <c r="CC429" i="2"/>
  <c r="CC120" i="2"/>
  <c r="BY57" i="2"/>
  <c r="CC88" i="2"/>
  <c r="BY88" i="2"/>
  <c r="Z52" i="2"/>
  <c r="AA52" i="2" s="1"/>
  <c r="CB77" i="2"/>
  <c r="CB89" i="2"/>
  <c r="CA77" i="2"/>
  <c r="CA90" i="2"/>
  <c r="T108" i="3"/>
  <c r="BY63" i="2"/>
  <c r="BY90" i="2" s="1"/>
  <c r="BY77" i="2"/>
  <c r="BY89" i="2"/>
  <c r="V123" i="2"/>
  <c r="W123" i="2" s="1"/>
  <c r="X123" i="2" s="1"/>
  <c r="Y123" i="2" s="1"/>
  <c r="Z123" i="2" s="1"/>
  <c r="AA123" i="2" s="1"/>
  <c r="CC89" i="2" l="1"/>
  <c r="CC77" i="2"/>
  <c r="CC90" i="2"/>
  <c r="BZ63" i="2"/>
  <c r="BZ89" i="2"/>
  <c r="BZ77" i="2"/>
  <c r="BZ90" i="2"/>
  <c r="R97" i="1"/>
  <c r="BK55" i="2"/>
  <c r="BK57" i="2" s="1"/>
  <c r="BK429" i="2"/>
  <c r="BZ88" i="2"/>
  <c r="CF88" i="2"/>
  <c r="BZ429" i="2"/>
  <c r="R87" i="2"/>
  <c r="CJ67" i="1"/>
  <c r="CJ69" i="1" s="1"/>
  <c r="CC136" i="2"/>
  <c r="CC95" i="2"/>
  <c r="BK120" i="2"/>
  <c r="R250" i="2"/>
  <c r="CF63" i="2"/>
  <c r="CF90" i="2" s="1"/>
  <c r="BP375" i="1"/>
  <c r="S20" i="2"/>
  <c r="S115" i="2"/>
  <c r="S94" i="2" s="1"/>
  <c r="S28" i="2"/>
  <c r="S86" i="2"/>
  <c r="CI214" i="1"/>
  <c r="CI216" i="1"/>
  <c r="CI211" i="1"/>
  <c r="CI217" i="1"/>
  <c r="CE220" i="1"/>
  <c r="CE157" i="2"/>
  <c r="CI213" i="1"/>
  <c r="CI219" i="1" s="1"/>
  <c r="CI210" i="1"/>
  <c r="CI215" i="1"/>
  <c r="AC179" i="3"/>
  <c r="AC192" i="3" s="1"/>
  <c r="AB192" i="3"/>
  <c r="X170" i="2"/>
  <c r="Y170" i="2" s="1"/>
  <c r="W171" i="2"/>
  <c r="W132" i="2"/>
  <c r="R40" i="2"/>
  <c r="R117" i="2"/>
  <c r="T121" i="3"/>
  <c r="R35" i="2"/>
  <c r="R36" i="2" s="1"/>
  <c r="CD55" i="2"/>
  <c r="CD120" i="2"/>
  <c r="CE55" i="2"/>
  <c r="CE429" i="2"/>
  <c r="BK66" i="2"/>
  <c r="BK68" i="2" s="1"/>
  <c r="BK77" i="2"/>
  <c r="CJ37" i="1"/>
  <c r="CJ40" i="1" s="1"/>
  <c r="CJ153" i="1"/>
  <c r="R167" i="1"/>
  <c r="R44" i="1"/>
  <c r="CG220" i="1"/>
  <c r="CG157" i="2"/>
  <c r="Y204" i="3"/>
  <c r="X205" i="3"/>
  <c r="X207" i="3" s="1"/>
  <c r="Q284" i="2"/>
  <c r="R269" i="2"/>
  <c r="R17" i="2"/>
  <c r="CC79" i="2"/>
  <c r="CC119" i="2" s="1"/>
  <c r="CF95" i="2"/>
  <c r="BJ66" i="2"/>
  <c r="BJ68" i="2" s="1"/>
  <c r="BJ70" i="2"/>
  <c r="BJ72" i="2" s="1"/>
  <c r="R257" i="2"/>
  <c r="BK43" i="2"/>
  <c r="BK63" i="2" s="1"/>
  <c r="T147" i="1"/>
  <c r="CD17" i="1"/>
  <c r="CH153" i="1"/>
  <c r="T178" i="3"/>
  <c r="T189" i="3" s="1"/>
  <c r="T188" i="3"/>
  <c r="CC115" i="2"/>
  <c r="CC94" i="2" s="1"/>
  <c r="CE117" i="2"/>
  <c r="CD117" i="2"/>
  <c r="CE29" i="2"/>
  <c r="P43" i="2"/>
  <c r="P50" i="2"/>
  <c r="S175" i="1"/>
  <c r="S171" i="1"/>
  <c r="S174" i="1"/>
  <c r="R155" i="2"/>
  <c r="S179" i="1"/>
  <c r="R180" i="1"/>
  <c r="BR84" i="2"/>
  <c r="BR14" i="2"/>
  <c r="BR16" i="2"/>
  <c r="BR113" i="2"/>
  <c r="Q149" i="3"/>
  <c r="Q138" i="3"/>
  <c r="BV77" i="2"/>
  <c r="BU77" i="2"/>
  <c r="N134" i="1"/>
  <c r="N16" i="1" s="1"/>
  <c r="BH75" i="2"/>
  <c r="BH76" i="2"/>
  <c r="BH77" i="2" s="1"/>
  <c r="O67" i="4"/>
  <c r="O74" i="4" s="1"/>
  <c r="O75" i="4" s="1"/>
  <c r="P173" i="2"/>
  <c r="BY173" i="2"/>
  <c r="R172" i="2"/>
  <c r="Q67" i="4" s="1"/>
  <c r="Q74" i="4" s="1"/>
  <c r="Q75" i="4" s="1"/>
  <c r="BP18" i="1"/>
  <c r="O136" i="1"/>
  <c r="CF118" i="2"/>
  <c r="CF11" i="2"/>
  <c r="BS85" i="2"/>
  <c r="BV61" i="1"/>
  <c r="S188" i="3"/>
  <c r="Q162" i="3"/>
  <c r="R193" i="1"/>
  <c r="S190" i="1"/>
  <c r="S192" i="1" s="1"/>
  <c r="BT46" i="2"/>
  <c r="AR170" i="2"/>
  <c r="I170" i="2" s="1"/>
  <c r="CF101" i="2"/>
  <c r="BS429" i="2"/>
  <c r="BS55" i="2"/>
  <c r="O119" i="2"/>
  <c r="Q120" i="3"/>
  <c r="O153" i="3"/>
  <c r="O155" i="3" s="1"/>
  <c r="N164" i="3"/>
  <c r="CF127" i="2"/>
  <c r="CF102" i="2" s="1"/>
  <c r="BQ57" i="2"/>
  <c r="O95" i="2"/>
  <c r="M17" i="2"/>
  <c r="M85" i="2"/>
  <c r="O35" i="2"/>
  <c r="O36" i="2" s="1"/>
  <c r="O87" i="2"/>
  <c r="O29" i="2"/>
  <c r="O40" i="2"/>
  <c r="O20" i="2"/>
  <c r="O115" i="2"/>
  <c r="O86" i="2"/>
  <c r="BI35" i="2"/>
  <c r="BI87" i="2"/>
  <c r="BM87" i="2"/>
  <c r="BM16" i="2"/>
  <c r="BM14" i="2"/>
  <c r="BM84" i="2"/>
  <c r="CI171" i="2"/>
  <c r="N136" i="2"/>
  <c r="L85" i="2"/>
  <c r="L17" i="2"/>
  <c r="BS43" i="2"/>
  <c r="BS46" i="2"/>
  <c r="BO35" i="2"/>
  <c r="BO36" i="2" s="1"/>
  <c r="BO79" i="2"/>
  <c r="BO119" i="2" s="1"/>
  <c r="BO87" i="2"/>
  <c r="BO40" i="2"/>
  <c r="BS87" i="2"/>
  <c r="BO117" i="2"/>
  <c r="BK125" i="2"/>
  <c r="BO100" i="2" s="1"/>
  <c r="N135" i="3"/>
  <c r="N137" i="3" s="1"/>
  <c r="N176" i="3"/>
  <c r="N186" i="3"/>
  <c r="L14" i="2"/>
  <c r="M247" i="2" s="1"/>
  <c r="L113" i="2"/>
  <c r="L93" i="2" s="1"/>
  <c r="BR40" i="2"/>
  <c r="BR35" i="2"/>
  <c r="BR36" i="2" s="1"/>
  <c r="M16" i="1"/>
  <c r="M18" i="1"/>
  <c r="CA17" i="1"/>
  <c r="CA19" i="1"/>
  <c r="BE13" i="2"/>
  <c r="BE119" i="2"/>
  <c r="BI116" i="2"/>
  <c r="BI119" i="2"/>
  <c r="BW124" i="1"/>
  <c r="BV40" i="1"/>
  <c r="BT151" i="1"/>
  <c r="BT26" i="1"/>
  <c r="BP82" i="1"/>
  <c r="BU110" i="1"/>
  <c r="BZ233" i="1"/>
  <c r="R223" i="1"/>
  <c r="BJ110" i="2"/>
  <c r="BN110" i="2"/>
  <c r="P86" i="2"/>
  <c r="BK142" i="2"/>
  <c r="BK205" i="1" s="1"/>
  <c r="BK127" i="2"/>
  <c r="BK102" i="2" s="1"/>
  <c r="BS26" i="1"/>
  <c r="BT193" i="1"/>
  <c r="BL96" i="1"/>
  <c r="BX96" i="1"/>
  <c r="M96" i="1"/>
  <c r="CH27" i="1"/>
  <c r="BZ373" i="1"/>
  <c r="BZ367" i="1"/>
  <c r="BW373" i="1"/>
  <c r="BW367" i="1"/>
  <c r="CB360" i="1"/>
  <c r="R373" i="1"/>
  <c r="BX360" i="1"/>
  <c r="BX353" i="1"/>
  <c r="BL360" i="1"/>
  <c r="BP367" i="1" s="1"/>
  <c r="BL349" i="1"/>
  <c r="BL350" i="1"/>
  <c r="BL351" i="1"/>
  <c r="BL352" i="1"/>
  <c r="BL353" i="1"/>
  <c r="BX359" i="1"/>
  <c r="BX352" i="1"/>
  <c r="BP345" i="1"/>
  <c r="BP349" i="1"/>
  <c r="BP350" i="1"/>
  <c r="BP351" i="1"/>
  <c r="BP353" i="1"/>
  <c r="CB349" i="1"/>
  <c r="CB350" i="1"/>
  <c r="CB351" i="1"/>
  <c r="CB352" i="1"/>
  <c r="CB353" i="1"/>
  <c r="BT357" i="1"/>
  <c r="BT349" i="1"/>
  <c r="BT350" i="1"/>
  <c r="BT351" i="1"/>
  <c r="BT352" i="1"/>
  <c r="BT353" i="1"/>
  <c r="BX356" i="1"/>
  <c r="BX349" i="1"/>
  <c r="BX350" i="1"/>
  <c r="BX351" i="1"/>
  <c r="BT329" i="1"/>
  <c r="BT359" i="1"/>
  <c r="BL329" i="1"/>
  <c r="BL311" i="1"/>
  <c r="BL309" i="1"/>
  <c r="BL312" i="1"/>
  <c r="BL313" i="1"/>
  <c r="BL358" i="1"/>
  <c r="BP365" i="1" s="1"/>
  <c r="BL310" i="1"/>
  <c r="BX254" i="1"/>
  <c r="BX247" i="1"/>
  <c r="BX358" i="1"/>
  <c r="BL251" i="1"/>
  <c r="BV224" i="1"/>
  <c r="BV117" i="1"/>
  <c r="BV223" i="1"/>
  <c r="BV120" i="1"/>
  <c r="BV119" i="1"/>
  <c r="BR230" i="1"/>
  <c r="BT223" i="1"/>
  <c r="BT119" i="1"/>
  <c r="BT118" i="1"/>
  <c r="BT117" i="1"/>
  <c r="BP140" i="1"/>
  <c r="BT19" i="1" s="1"/>
  <c r="BQ224" i="1"/>
  <c r="BQ118" i="1"/>
  <c r="BQ117" i="1"/>
  <c r="BQ120" i="1"/>
  <c r="BQ230" i="1"/>
  <c r="BQ233" i="1"/>
  <c r="BO118" i="1"/>
  <c r="BO223" i="1"/>
  <c r="BO117" i="1"/>
  <c r="BO119" i="1"/>
  <c r="BM223" i="1"/>
  <c r="BM121" i="1"/>
  <c r="BM120" i="1"/>
  <c r="BM117" i="1"/>
  <c r="BM124" i="1" s="1"/>
  <c r="BM119" i="1"/>
  <c r="BK120" i="1"/>
  <c r="BK117" i="1"/>
  <c r="BK224" i="1"/>
  <c r="BK118" i="1"/>
  <c r="BI223" i="1"/>
  <c r="BI120" i="1"/>
  <c r="BI224" i="1"/>
  <c r="BI118" i="1"/>
  <c r="O117" i="1"/>
  <c r="O118" i="1"/>
  <c r="M118" i="1"/>
  <c r="M224" i="1"/>
  <c r="M233" i="1" s="1"/>
  <c r="M117" i="1"/>
  <c r="M124" i="1" s="1"/>
  <c r="BZ210" i="1"/>
  <c r="BZ104" i="1"/>
  <c r="BZ211" i="1"/>
  <c r="BZ106" i="1"/>
  <c r="BZ103" i="1"/>
  <c r="BV217" i="1"/>
  <c r="BV106" i="1"/>
  <c r="BV104" i="1"/>
  <c r="BR220" i="1"/>
  <c r="BV220" i="1"/>
  <c r="BS210" i="1"/>
  <c r="BS211" i="1"/>
  <c r="BS105" i="1"/>
  <c r="BS104" i="1"/>
  <c r="BS106" i="1"/>
  <c r="BQ210" i="1"/>
  <c r="BQ103" i="1"/>
  <c r="BO211" i="1"/>
  <c r="BO105" i="1"/>
  <c r="BO104" i="1"/>
  <c r="BO107" i="1"/>
  <c r="BO103" i="1"/>
  <c r="BO210" i="1"/>
  <c r="BO220" i="1" s="1"/>
  <c r="BM210" i="1"/>
  <c r="BM107" i="1"/>
  <c r="BM211" i="1"/>
  <c r="BI220" i="1"/>
  <c r="M104" i="1"/>
  <c r="M211" i="1"/>
  <c r="M105" i="1"/>
  <c r="M106" i="1"/>
  <c r="M107" i="1"/>
  <c r="BV103" i="1"/>
  <c r="CE63" i="1"/>
  <c r="CE65" i="1"/>
  <c r="CE64" i="1"/>
  <c r="CE196" i="1"/>
  <c r="S196" i="1" s="1"/>
  <c r="S58" i="1" s="1"/>
  <c r="CE62" i="1"/>
  <c r="CE68" i="1" s="1"/>
  <c r="CE197" i="1"/>
  <c r="S197" i="1" s="1"/>
  <c r="S59" i="1" s="1"/>
  <c r="CE206" i="1"/>
  <c r="BZ196" i="1"/>
  <c r="BZ64" i="1"/>
  <c r="BZ63" i="1"/>
  <c r="BZ62" i="1"/>
  <c r="BZ65" i="1"/>
  <c r="BZ197" i="1"/>
  <c r="R197" i="1" s="1"/>
  <c r="R59" i="1" s="1"/>
  <c r="BV140" i="1"/>
  <c r="Q64" i="1"/>
  <c r="Q63" i="1"/>
  <c r="Q62" i="1"/>
  <c r="Q196" i="1"/>
  <c r="Q206" i="1" s="1"/>
  <c r="Q61" i="1"/>
  <c r="Q68" i="1" s="1"/>
  <c r="BU17" i="1"/>
  <c r="CB134" i="1"/>
  <c r="CB61" i="1"/>
  <c r="CB68" i="1" s="1"/>
  <c r="CA89" i="1"/>
  <c r="CA93" i="1"/>
  <c r="BW193" i="1"/>
  <c r="BQ184" i="1"/>
  <c r="BQ92" i="1"/>
  <c r="BQ183" i="1"/>
  <c r="BQ89" i="1"/>
  <c r="BO92" i="1"/>
  <c r="BO184" i="1"/>
  <c r="BO89" i="1"/>
  <c r="BO96" i="1" s="1"/>
  <c r="BK193" i="1"/>
  <c r="BO193" i="1"/>
  <c r="BM184" i="1"/>
  <c r="BM92" i="1"/>
  <c r="BM183" i="1"/>
  <c r="BM90" i="1"/>
  <c r="BM96" i="1" s="1"/>
  <c r="BM193" i="1"/>
  <c r="BI92" i="1"/>
  <c r="BI91" i="1"/>
  <c r="BI96" i="1" s="1"/>
  <c r="BI184" i="1"/>
  <c r="BE140" i="1"/>
  <c r="N89" i="1"/>
  <c r="CB79" i="1"/>
  <c r="CB77" i="1"/>
  <c r="CB76" i="1"/>
  <c r="CB72" i="1"/>
  <c r="BZ76" i="1"/>
  <c r="BZ82" i="1" s="1"/>
  <c r="BZ170" i="1"/>
  <c r="BZ180" i="1" s="1"/>
  <c r="BZ171" i="1"/>
  <c r="BV177" i="1"/>
  <c r="BW76" i="1"/>
  <c r="BW177" i="1"/>
  <c r="BW180" i="1" s="1"/>
  <c r="BW78" i="1"/>
  <c r="BS177" i="1"/>
  <c r="BU78" i="1"/>
  <c r="BU75" i="1"/>
  <c r="BU170" i="1"/>
  <c r="BU77" i="1"/>
  <c r="BJ171" i="1"/>
  <c r="BJ75" i="1"/>
  <c r="BJ79" i="1"/>
  <c r="BJ170" i="1"/>
  <c r="BJ78" i="1"/>
  <c r="O140" i="1"/>
  <c r="O180" i="1"/>
  <c r="N79" i="1"/>
  <c r="N76" i="1"/>
  <c r="N77" i="1"/>
  <c r="M164" i="1"/>
  <c r="M161" i="1"/>
  <c r="M200" i="1" s="1"/>
  <c r="M62" i="1" s="1"/>
  <c r="P75" i="1"/>
  <c r="BT125" i="1"/>
  <c r="BX125" i="1"/>
  <c r="CJ95" i="1"/>
  <c r="CJ97" i="1" s="1"/>
  <c r="CJ96" i="1"/>
  <c r="CF82" i="1"/>
  <c r="CJ83" i="1"/>
  <c r="BX39" i="1"/>
  <c r="BX40" i="1"/>
  <c r="BW41" i="1"/>
  <c r="BA23" i="1"/>
  <c r="BA24" i="1"/>
  <c r="AW23" i="1"/>
  <c r="AW24" i="1"/>
  <c r="AK23" i="1"/>
  <c r="AO24" i="1"/>
  <c r="BW86" i="2"/>
  <c r="BG43" i="2"/>
  <c r="BG46" i="2"/>
  <c r="BK94" i="2"/>
  <c r="BQ36" i="2"/>
  <c r="N84" i="2"/>
  <c r="M84" i="2"/>
  <c r="M113" i="2"/>
  <c r="M93" i="2" s="1"/>
  <c r="N29" i="2"/>
  <c r="N40" i="2"/>
  <c r="P35" i="2"/>
  <c r="P36" i="2" s="1"/>
  <c r="R121" i="3"/>
  <c r="BI16" i="2"/>
  <c r="BI113" i="2"/>
  <c r="BX220" i="1"/>
  <c r="M20" i="1"/>
  <c r="BE29" i="2"/>
  <c r="BE117" i="2"/>
  <c r="BI95" i="2" s="1"/>
  <c r="N20" i="2"/>
  <c r="N115" i="2"/>
  <c r="N94" i="2" s="1"/>
  <c r="N16" i="2"/>
  <c r="O132" i="3"/>
  <c r="O185" i="3"/>
  <c r="M82" i="2"/>
  <c r="L63" i="4"/>
  <c r="M194" i="2"/>
  <c r="M255" i="2"/>
  <c r="M20" i="2"/>
  <c r="N82" i="2"/>
  <c r="BM48" i="1"/>
  <c r="BM82" i="2"/>
  <c r="CA18" i="1"/>
  <c r="BI180" i="1"/>
  <c r="BR79" i="2"/>
  <c r="BR119" i="2" s="1"/>
  <c r="Q109" i="2"/>
  <c r="CA75" i="2"/>
  <c r="Q74" i="2"/>
  <c r="N99" i="2"/>
  <c r="BL110" i="2"/>
  <c r="BJ142" i="2"/>
  <c r="BJ127" i="2"/>
  <c r="O123" i="2"/>
  <c r="BP101" i="2"/>
  <c r="BH14" i="2"/>
  <c r="BH113" i="2"/>
  <c r="BJ16" i="2"/>
  <c r="BJ113" i="2"/>
  <c r="BL84" i="2"/>
  <c r="BL113" i="2"/>
  <c r="BI98" i="2"/>
  <c r="BM99" i="2"/>
  <c r="N63" i="4"/>
  <c r="Q177" i="3"/>
  <c r="Q186" i="3" s="1"/>
  <c r="Q182" i="3"/>
  <c r="Q194" i="3"/>
  <c r="O116" i="2"/>
  <c r="O194" i="2"/>
  <c r="Q103" i="3"/>
  <c r="P104" i="1"/>
  <c r="P103" i="1"/>
  <c r="Q118" i="1"/>
  <c r="Q117" i="1"/>
  <c r="BE20" i="2"/>
  <c r="BE115" i="2"/>
  <c r="BI20" i="2"/>
  <c r="BI86" i="2"/>
  <c r="BK110" i="2"/>
  <c r="O135" i="2"/>
  <c r="BO102" i="2"/>
  <c r="BO20" i="2"/>
  <c r="BO86" i="2"/>
  <c r="BS35" i="2"/>
  <c r="BS36" i="2" s="1"/>
  <c r="BS79" i="2"/>
  <c r="BS119" i="2" s="1"/>
  <c r="BR110" i="1"/>
  <c r="BM115" i="2"/>
  <c r="BM116" i="2"/>
  <c r="L115" i="2"/>
  <c r="L94" i="2" s="1"/>
  <c r="L28" i="2"/>
  <c r="BS190" i="1"/>
  <c r="BS93" i="1" s="1"/>
  <c r="BS96" i="1" s="1"/>
  <c r="BS193" i="1"/>
  <c r="BS151" i="1"/>
  <c r="BN154" i="1"/>
  <c r="N48" i="1"/>
  <c r="BM110" i="1"/>
  <c r="BI124" i="1"/>
  <c r="BS377" i="1"/>
  <c r="BN98" i="2"/>
  <c r="BP46" i="2"/>
  <c r="BP50" i="2"/>
  <c r="Q86" i="2"/>
  <c r="H170" i="2"/>
  <c r="M28" i="2"/>
  <c r="AV171" i="2"/>
  <c r="AU170" i="2"/>
  <c r="U86" i="3"/>
  <c r="CH215" i="1"/>
  <c r="CH219" i="1" s="1"/>
  <c r="CD220" i="1"/>
  <c r="BN82" i="1"/>
  <c r="BV190" i="1"/>
  <c r="BV193" i="1"/>
  <c r="CA82" i="1"/>
  <c r="BL82" i="1"/>
  <c r="M154" i="1"/>
  <c r="M131" i="1"/>
  <c r="P145" i="1"/>
  <c r="BM180" i="1"/>
  <c r="BZ68" i="1"/>
  <c r="BR377" i="1"/>
  <c r="BR375" i="1" s="1"/>
  <c r="BS366" i="1"/>
  <c r="BW366" i="1"/>
  <c r="BP359" i="1"/>
  <c r="Q366" i="1"/>
  <c r="Q371" i="1"/>
  <c r="CC370" i="1"/>
  <c r="CC365" i="1"/>
  <c r="BW371" i="1"/>
  <c r="BZ364" i="1"/>
  <c r="BZ372" i="1"/>
  <c r="BW369" i="1"/>
  <c r="BQ363" i="1"/>
  <c r="BM370" i="1"/>
  <c r="CG164" i="1"/>
  <c r="CG160" i="1"/>
  <c r="CG163" i="1"/>
  <c r="CG137" i="1" s="1"/>
  <c r="CG19" i="1" s="1"/>
  <c r="CC158" i="1"/>
  <c r="CC47" i="1"/>
  <c r="CC54" i="1" s="1"/>
  <c r="CC49" i="1"/>
  <c r="CC157" i="1"/>
  <c r="Q158" i="1"/>
  <c r="Q50" i="1"/>
  <c r="Q47" i="1"/>
  <c r="Q49" i="1"/>
  <c r="BT201" i="1"/>
  <c r="BT49" i="1"/>
  <c r="BR49" i="1"/>
  <c r="BK62" i="1"/>
  <c r="CC144" i="1"/>
  <c r="CC34" i="1"/>
  <c r="CC36" i="1"/>
  <c r="CC33" i="1"/>
  <c r="CC40" i="1" s="1"/>
  <c r="CC37" i="1"/>
  <c r="CA34" i="1"/>
  <c r="CA36" i="1"/>
  <c r="CA145" i="1"/>
  <c r="BW34" i="1"/>
  <c r="BW36" i="1"/>
  <c r="BW144" i="1"/>
  <c r="BS140" i="1"/>
  <c r="BW16" i="1" s="1"/>
  <c r="BS154" i="1"/>
  <c r="BQ144" i="1"/>
  <c r="BQ34" i="1"/>
  <c r="BQ36" i="1"/>
  <c r="BM140" i="1"/>
  <c r="BO34" i="1"/>
  <c r="BO40" i="1" s="1"/>
  <c r="BO37" i="1"/>
  <c r="BO145" i="1"/>
  <c r="O145" i="1" s="1"/>
  <c r="BO144" i="1"/>
  <c r="BK154" i="1"/>
  <c r="BK140" i="1"/>
  <c r="O144" i="1"/>
  <c r="BL34" i="1"/>
  <c r="BL35" i="1"/>
  <c r="BL33" i="1"/>
  <c r="BJ35" i="1"/>
  <c r="BJ40" i="1" s="1"/>
  <c r="BF140" i="1"/>
  <c r="BJ36" i="1"/>
  <c r="BJ145" i="1"/>
  <c r="BJ37" i="1"/>
  <c r="CE125" i="1"/>
  <c r="CI125" i="1"/>
  <c r="W124" i="1"/>
  <c r="X114" i="1"/>
  <c r="BT83" i="1"/>
  <c r="BX83" i="1"/>
  <c r="CD82" i="1"/>
  <c r="W72" i="1"/>
  <c r="V82" i="1"/>
  <c r="CI53" i="1"/>
  <c r="CI55" i="1" s="1"/>
  <c r="CI158" i="1"/>
  <c r="CI54" i="1"/>
  <c r="K379" i="2"/>
  <c r="K380" i="2"/>
  <c r="K384" i="2"/>
  <c r="K252" i="2"/>
  <c r="BM98" i="2"/>
  <c r="L372" i="2"/>
  <c r="L374" i="2"/>
  <c r="BU34" i="1"/>
  <c r="BU36" i="1"/>
  <c r="BS123" i="2"/>
  <c r="J75" i="2"/>
  <c r="J76" i="2"/>
  <c r="J77" i="2" s="1"/>
  <c r="AE72" i="2"/>
  <c r="D72" i="2"/>
  <c r="B72" i="2"/>
  <c r="Q71" i="2"/>
  <c r="Q72" i="2" s="1"/>
  <c r="Q180" i="2"/>
  <c r="Q179" i="2" s="1"/>
  <c r="N33" i="3"/>
  <c r="N145" i="3"/>
  <c r="J94" i="4"/>
  <c r="CA124" i="2"/>
  <c r="CA166" i="1"/>
  <c r="S118" i="2"/>
  <c r="T37" i="2"/>
  <c r="W39" i="3"/>
  <c r="V140" i="3"/>
  <c r="BM149" i="2"/>
  <c r="BG149" i="2"/>
  <c r="AF171" i="2"/>
  <c r="AF173" i="2" s="1"/>
  <c r="J252" i="2"/>
  <c r="O148" i="2"/>
  <c r="N153" i="1"/>
  <c r="BJ149" i="2"/>
  <c r="L148" i="2"/>
  <c r="L373" i="2"/>
  <c r="BZ170" i="2"/>
  <c r="J251" i="2"/>
  <c r="L376" i="2"/>
  <c r="X171" i="2"/>
  <c r="V107" i="3"/>
  <c r="V85" i="3" s="1"/>
  <c r="W84" i="3" s="1"/>
  <c r="BU145" i="1"/>
  <c r="BU35" i="1"/>
  <c r="BV373" i="1"/>
  <c r="CA371" i="1"/>
  <c r="BV365" i="1"/>
  <c r="BZ365" i="1"/>
  <c r="BR365" i="1"/>
  <c r="BR372" i="1"/>
  <c r="BY364" i="1"/>
  <c r="BY370" i="1"/>
  <c r="BV364" i="1"/>
  <c r="BV370" i="1"/>
  <c r="BU364" i="1"/>
  <c r="BQ370" i="1"/>
  <c r="BS363" i="1"/>
  <c r="BL359" i="1"/>
  <c r="BX344" i="1"/>
  <c r="BX357" i="1"/>
  <c r="BT356" i="1"/>
  <c r="CB320" i="1"/>
  <c r="BY333" i="1"/>
  <c r="BX329" i="1"/>
  <c r="BX323" i="1"/>
  <c r="CB323" i="1"/>
  <c r="BP305" i="1"/>
  <c r="BL273" i="1"/>
  <c r="BL271" i="1"/>
  <c r="BX271" i="1"/>
  <c r="BX273" i="1"/>
  <c r="BX251" i="1"/>
  <c r="BP245" i="1"/>
  <c r="BT245" i="1"/>
  <c r="BP251" i="1"/>
  <c r="CG224" i="1"/>
  <c r="CG226" i="1"/>
  <c r="T226" i="1" s="1"/>
  <c r="CD117" i="1"/>
  <c r="CD124" i="1" s="1"/>
  <c r="CD121" i="1"/>
  <c r="CD120" i="1"/>
  <c r="CD223" i="1"/>
  <c r="CD224" i="1"/>
  <c r="CD132" i="1" s="1"/>
  <c r="CD14" i="1" s="1"/>
  <c r="BU223" i="1"/>
  <c r="BU120" i="1"/>
  <c r="BU117" i="1"/>
  <c r="BN224" i="1"/>
  <c r="BN118" i="1"/>
  <c r="BN120" i="1"/>
  <c r="BN223" i="1"/>
  <c r="BL223" i="1"/>
  <c r="BL120" i="1"/>
  <c r="BL117" i="1"/>
  <c r="BL124" i="1" s="1"/>
  <c r="BL121" i="1"/>
  <c r="Q213" i="1"/>
  <c r="CH203" i="1"/>
  <c r="CJ203" i="1" s="1"/>
  <c r="CJ65" i="1" s="1"/>
  <c r="CH199" i="1"/>
  <c r="CH202" i="1"/>
  <c r="CJ202" i="1" s="1"/>
  <c r="BR140" i="1"/>
  <c r="BY171" i="1"/>
  <c r="BY79" i="1"/>
  <c r="BY75" i="1"/>
  <c r="CD166" i="1"/>
  <c r="BZ125" i="1"/>
  <c r="BB23" i="1"/>
  <c r="BB24" i="1"/>
  <c r="AZ23" i="1"/>
  <c r="AZ24" i="1"/>
  <c r="AT23" i="1"/>
  <c r="AT24" i="1"/>
  <c r="AL23" i="1"/>
  <c r="AL24" i="1"/>
  <c r="AP24" i="1"/>
  <c r="AD173" i="2"/>
  <c r="Q173" i="2"/>
  <c r="BT131" i="2"/>
  <c r="BT159" i="2"/>
  <c r="BT179" i="1"/>
  <c r="BS101" i="2"/>
  <c r="CD124" i="2"/>
  <c r="BU75" i="2"/>
  <c r="BY75" i="2"/>
  <c r="AW74" i="2"/>
  <c r="AV75" i="2"/>
  <c r="N172" i="2"/>
  <c r="BO126" i="2"/>
  <c r="BO101" i="2" s="1"/>
  <c r="CD134" i="2"/>
  <c r="BE72" i="2"/>
  <c r="R173" i="2"/>
  <c r="AU72" i="2"/>
  <c r="AS72" i="2"/>
  <c r="AQ72" i="2"/>
  <c r="BD68" i="2"/>
  <c r="BB68" i="2"/>
  <c r="AX68" i="2"/>
  <c r="AN68" i="2"/>
  <c r="AD68" i="2"/>
  <c r="E68" i="2"/>
  <c r="L164" i="3"/>
  <c r="F129" i="3"/>
  <c r="L78" i="3"/>
  <c r="L81" i="3" s="1"/>
  <c r="P45" i="4"/>
  <c r="P51" i="4" s="1"/>
  <c r="BA72" i="2"/>
  <c r="AY72" i="2"/>
  <c r="AM72" i="2"/>
  <c r="AK72" i="2"/>
  <c r="AI72" i="2"/>
  <c r="AG72" i="2"/>
  <c r="H72" i="2"/>
  <c r="AX72" i="2"/>
  <c r="AP72" i="2"/>
  <c r="AH72" i="2"/>
  <c r="E72" i="2"/>
  <c r="BE68" i="2"/>
  <c r="S182" i="3"/>
  <c r="O182" i="3"/>
  <c r="M155" i="3"/>
  <c r="N156" i="3" s="1"/>
  <c r="I155" i="3"/>
  <c r="C129" i="3"/>
  <c r="J86" i="3"/>
  <c r="T78" i="3"/>
  <c r="P78" i="3"/>
  <c r="P81" i="3" s="1"/>
  <c r="K78" i="3"/>
  <c r="K81" i="3" s="1"/>
  <c r="I78" i="3"/>
  <c r="E78" i="3"/>
  <c r="BN88" i="2"/>
  <c r="BJ57" i="2"/>
  <c r="BJ88" i="2"/>
  <c r="BL55" i="2"/>
  <c r="P68" i="2"/>
  <c r="BQ72" i="2"/>
  <c r="BM68" i="2"/>
  <c r="AP68" i="2"/>
  <c r="AL68" i="2"/>
  <c r="AH68" i="2"/>
  <c r="BJ429" i="2"/>
  <c r="BM72" i="2"/>
  <c r="BQ68" i="2"/>
  <c r="Y27" i="3"/>
  <c r="Z27" i="3" s="1"/>
  <c r="AA27" i="3" s="1"/>
  <c r="AB27" i="3" s="1"/>
  <c r="AC27" i="3" s="1"/>
  <c r="X29" i="3"/>
  <c r="CJ169" i="2"/>
  <c r="CJ171" i="2" s="1"/>
  <c r="Z66" i="3"/>
  <c r="AA66" i="3" s="1"/>
  <c r="AB66" i="3" s="1"/>
  <c r="AC66" i="3" s="1"/>
  <c r="T138" i="3"/>
  <c r="T149" i="3"/>
  <c r="T167" i="3"/>
  <c r="J156" i="3"/>
  <c r="J158" i="3" s="1"/>
  <c r="I159" i="3"/>
  <c r="S149" i="3"/>
  <c r="S138" i="3"/>
  <c r="S150" i="3"/>
  <c r="Y30" i="3"/>
  <c r="X189" i="3"/>
  <c r="Y178" i="3"/>
  <c r="X176" i="3"/>
  <c r="U19" i="3"/>
  <c r="V17" i="3"/>
  <c r="S15" i="4" s="1"/>
  <c r="U194" i="3"/>
  <c r="N167" i="3"/>
  <c r="N138" i="3"/>
  <c r="N149" i="3"/>
  <c r="T117" i="3"/>
  <c r="T118" i="3" s="1"/>
  <c r="T115" i="3"/>
  <c r="T116" i="3"/>
  <c r="T147" i="3"/>
  <c r="T168" i="3" s="1"/>
  <c r="T169" i="3" s="1"/>
  <c r="U146" i="3"/>
  <c r="V146" i="3" s="1"/>
  <c r="W146" i="3" s="1"/>
  <c r="X146" i="3" s="1"/>
  <c r="Y146" i="3" s="1"/>
  <c r="Z146" i="3" s="1"/>
  <c r="AA146" i="3" s="1"/>
  <c r="AB146" i="3" s="1"/>
  <c r="AC146" i="3" s="1"/>
  <c r="X31" i="3"/>
  <c r="Y31" i="3" s="1"/>
  <c r="Z31" i="3" s="1"/>
  <c r="AA31" i="3" s="1"/>
  <c r="AB31" i="3" s="1"/>
  <c r="AC31" i="3" s="1"/>
  <c r="W145" i="3"/>
  <c r="T164" i="3"/>
  <c r="L111" i="3"/>
  <c r="S173" i="3"/>
  <c r="U207" i="3"/>
  <c r="S153" i="3"/>
  <c r="L86" i="3"/>
  <c r="L89" i="3" s="1"/>
  <c r="D111" i="3"/>
  <c r="T22" i="4"/>
  <c r="T207" i="3"/>
  <c r="O114" i="3"/>
  <c r="O109" i="3"/>
  <c r="Y52" i="3"/>
  <c r="U147" i="3"/>
  <c r="U163" i="3"/>
  <c r="N147" i="3"/>
  <c r="Q142" i="3"/>
  <c r="O111" i="3"/>
  <c r="N109" i="3"/>
  <c r="N110" i="3"/>
  <c r="N111" i="3" s="1"/>
  <c r="Q110" i="3"/>
  <c r="N117" i="3"/>
  <c r="N118" i="3" s="1"/>
  <c r="R111" i="3"/>
  <c r="Y51" i="3"/>
  <c r="Y141" i="3"/>
  <c r="X39" i="3"/>
  <c r="Y39" i="3" s="1"/>
  <c r="W140" i="3"/>
  <c r="W107" i="3"/>
  <c r="W85" i="3" s="1"/>
  <c r="X84" i="3" s="1"/>
  <c r="X107" i="3"/>
  <c r="X85" i="3" s="1"/>
  <c r="Y84" i="3" s="1"/>
  <c r="M159" i="3"/>
  <c r="M156" i="3"/>
  <c r="M158" i="3" s="1"/>
  <c r="L159" i="3"/>
  <c r="B117" i="3"/>
  <c r="B118" i="3" s="1"/>
  <c r="B116" i="3"/>
  <c r="P84" i="3"/>
  <c r="P86" i="3" s="1"/>
  <c r="P89" i="3" s="1"/>
  <c r="O86" i="3"/>
  <c r="O89" i="3" s="1"/>
  <c r="F84" i="3"/>
  <c r="F86" i="3" s="1"/>
  <c r="E86" i="3"/>
  <c r="D117" i="3"/>
  <c r="D118" i="3" s="1"/>
  <c r="J117" i="3"/>
  <c r="J118" i="3" s="1"/>
  <c r="P111" i="3"/>
  <c r="N116" i="3"/>
  <c r="X54" i="3"/>
  <c r="K86" i="3"/>
  <c r="L109" i="3"/>
  <c r="G114" i="3"/>
  <c r="R155" i="3"/>
  <c r="R159" i="3" s="1"/>
  <c r="S154" i="3"/>
  <c r="I86" i="3"/>
  <c r="W56" i="3"/>
  <c r="G109" i="3"/>
  <c r="G85" i="3"/>
  <c r="H84" i="3" s="1"/>
  <c r="H86" i="3" s="1"/>
  <c r="B110" i="3"/>
  <c r="B111" i="3" s="1"/>
  <c r="M93" i="4"/>
  <c r="M92" i="4"/>
  <c r="M94" i="4" s="1"/>
  <c r="M79" i="2"/>
  <c r="L23" i="4"/>
  <c r="Q92" i="4"/>
  <c r="Q94" i="4" s="1"/>
  <c r="Q93" i="4"/>
  <c r="K23" i="4"/>
  <c r="L79" i="2"/>
  <c r="P85" i="4"/>
  <c r="P90" i="4" s="1"/>
  <c r="Q101" i="3"/>
  <c r="R92" i="4"/>
  <c r="R94" i="4" s="1"/>
  <c r="R93" i="4"/>
  <c r="N51" i="4"/>
  <c r="T192" i="3"/>
  <c r="T176" i="3"/>
  <c r="U117" i="3"/>
  <c r="U118" i="3" s="1"/>
  <c r="U116" i="3"/>
  <c r="Q112" i="3"/>
  <c r="Q176" i="3"/>
  <c r="S191" i="3"/>
  <c r="Q114" i="3"/>
  <c r="T155" i="3"/>
  <c r="Q57" i="3"/>
  <c r="S116" i="3"/>
  <c r="U49" i="3"/>
  <c r="S115" i="3"/>
  <c r="Q109" i="3"/>
  <c r="F118" i="3"/>
  <c r="Q174" i="3"/>
  <c r="P49" i="3"/>
  <c r="Q111" i="3"/>
  <c r="Q108" i="3"/>
  <c r="Q85" i="3"/>
  <c r="R84" i="3" s="1"/>
  <c r="R86" i="3" s="1"/>
  <c r="R89" i="3" s="1"/>
  <c r="L51" i="4"/>
  <c r="P35" i="3"/>
  <c r="P153" i="3"/>
  <c r="P155" i="3" s="1"/>
  <c r="O159" i="3"/>
  <c r="T159" i="3"/>
  <c r="O128" i="3"/>
  <c r="O127" i="3"/>
  <c r="O71" i="3"/>
  <c r="Y29" i="3"/>
  <c r="Z26" i="3"/>
  <c r="S127" i="3"/>
  <c r="S129" i="3" s="1"/>
  <c r="S71" i="3"/>
  <c r="R71" i="3"/>
  <c r="R127" i="3"/>
  <c r="R129" i="3" s="1"/>
  <c r="T172" i="2"/>
  <c r="S173" i="2"/>
  <c r="R67" i="4"/>
  <c r="R74" i="4" s="1"/>
  <c r="R75" i="4" s="1"/>
  <c r="CF173" i="2"/>
  <c r="T176" i="2"/>
  <c r="T178" i="2" s="1"/>
  <c r="S178" i="2"/>
  <c r="S180" i="2" s="1"/>
  <c r="T173" i="2"/>
  <c r="O31" i="1" l="1"/>
  <c r="T183" i="1"/>
  <c r="T192" i="1" s="1"/>
  <c r="T189" i="1"/>
  <c r="T188" i="1"/>
  <c r="T186" i="1"/>
  <c r="T184" i="1"/>
  <c r="S193" i="1"/>
  <c r="T190" i="1"/>
  <c r="T187" i="1"/>
  <c r="S156" i="2"/>
  <c r="CI157" i="2"/>
  <c r="CI220" i="1"/>
  <c r="X86" i="3"/>
  <c r="X88" i="3" s="1"/>
  <c r="V38" i="2" s="1"/>
  <c r="CH134" i="2"/>
  <c r="CH166" i="2" s="1"/>
  <c r="CD166" i="2"/>
  <c r="CD167" i="2" s="1"/>
  <c r="CD135" i="2" s="1"/>
  <c r="CD110" i="2" s="1"/>
  <c r="AX74" i="2"/>
  <c r="AW76" i="2"/>
  <c r="AW77" i="2" s="1"/>
  <c r="BA75" i="2"/>
  <c r="AW75" i="2"/>
  <c r="BT10" i="2"/>
  <c r="BT144" i="2"/>
  <c r="BT135" i="2"/>
  <c r="CH164" i="1"/>
  <c r="CH138" i="1" s="1"/>
  <c r="CH161" i="1"/>
  <c r="CH158" i="1"/>
  <c r="CD140" i="1"/>
  <c r="CH163" i="1"/>
  <c r="CH137" i="1" s="1"/>
  <c r="CH160" i="1"/>
  <c r="CH134" i="1" s="1"/>
  <c r="CH16" i="1" s="1"/>
  <c r="CH157" i="1"/>
  <c r="CH166" i="1"/>
  <c r="CH141" i="2" s="1"/>
  <c r="CH205" i="1"/>
  <c r="T199" i="1"/>
  <c r="T61" i="1" s="1"/>
  <c r="BL27" i="1"/>
  <c r="BL376" i="1"/>
  <c r="BL375" i="1" s="1"/>
  <c r="BL233" i="1"/>
  <c r="BN377" i="1"/>
  <c r="O224" i="1"/>
  <c r="CJ224" i="1"/>
  <c r="CG232" i="1"/>
  <c r="CG27" i="1"/>
  <c r="BX364" i="1"/>
  <c r="CB364" i="1"/>
  <c r="BX370" i="1"/>
  <c r="M149" i="2"/>
  <c r="BG125" i="2"/>
  <c r="S156" i="3"/>
  <c r="S158" i="3" s="1"/>
  <c r="V86" i="3"/>
  <c r="V88" i="3" s="1"/>
  <c r="T38" i="2" s="1"/>
  <c r="G86" i="3"/>
  <c r="X140" i="3"/>
  <c r="X145" i="3"/>
  <c r="CD99" i="2"/>
  <c r="CH124" i="2"/>
  <c r="BX78" i="1"/>
  <c r="BX76" i="1"/>
  <c r="BX77" i="1"/>
  <c r="BT140" i="1"/>
  <c r="BX170" i="1"/>
  <c r="BX180" i="1" s="1"/>
  <c r="BX79" i="1"/>
  <c r="BT180" i="1"/>
  <c r="BX75" i="1"/>
  <c r="BX171" i="1"/>
  <c r="BT177" i="1"/>
  <c r="BT106" i="2"/>
  <c r="BX106" i="2"/>
  <c r="BY82" i="1"/>
  <c r="BY377" i="1"/>
  <c r="BY375" i="1" s="1"/>
  <c r="BY180" i="1"/>
  <c r="CJ64" i="1"/>
  <c r="CJ68" i="1" s="1"/>
  <c r="CJ205" i="1"/>
  <c r="BN376" i="1"/>
  <c r="BN27" i="1"/>
  <c r="BN233" i="1"/>
  <c r="BN124" i="1"/>
  <c r="Q223" i="1"/>
  <c r="BU27" i="1"/>
  <c r="BU230" i="1"/>
  <c r="BU233" i="1" s="1"/>
  <c r="BU376" i="1"/>
  <c r="BU375" i="1" s="1"/>
  <c r="CD233" i="1"/>
  <c r="S223" i="1"/>
  <c r="S114" i="1" s="1"/>
  <c r="CD131" i="1"/>
  <c r="CD13" i="1" s="1"/>
  <c r="CD22" i="1" s="1"/>
  <c r="T117" i="1"/>
  <c r="T124" i="1" s="1"/>
  <c r="T232" i="1"/>
  <c r="BT363" i="1"/>
  <c r="BT371" i="1"/>
  <c r="BT369" i="1"/>
  <c r="BT373" i="1"/>
  <c r="Q145" i="1"/>
  <c r="BU151" i="1"/>
  <c r="BU26" i="1"/>
  <c r="BU154" i="1"/>
  <c r="BJ125" i="2"/>
  <c r="O124" i="2"/>
  <c r="O149" i="2"/>
  <c r="O125" i="2" s="1"/>
  <c r="BM125" i="2"/>
  <c r="CE99" i="2"/>
  <c r="CA99" i="2"/>
  <c r="CG72" i="1"/>
  <c r="CH72" i="1"/>
  <c r="W82" i="1"/>
  <c r="X72" i="1"/>
  <c r="W81" i="1"/>
  <c r="W83" i="1" s="1"/>
  <c r="CI72" i="1"/>
  <c r="BJ154" i="1"/>
  <c r="N145" i="1"/>
  <c r="BJ17" i="1"/>
  <c r="BJ18" i="1"/>
  <c r="BJ19" i="1"/>
  <c r="BL40" i="1"/>
  <c r="BO18" i="1"/>
  <c r="BO17" i="1"/>
  <c r="BO16" i="1"/>
  <c r="BO19" i="1"/>
  <c r="BO154" i="1"/>
  <c r="BO26" i="1"/>
  <c r="BQ19" i="1"/>
  <c r="BQ18" i="1"/>
  <c r="BQ16" i="1"/>
  <c r="BQ17" i="1"/>
  <c r="BW26" i="1"/>
  <c r="Q144" i="1"/>
  <c r="BW151" i="1"/>
  <c r="CC154" i="1"/>
  <c r="S144" i="1"/>
  <c r="CC131" i="1"/>
  <c r="BT63" i="1"/>
  <c r="BT136" i="1"/>
  <c r="BT18" i="1" s="1"/>
  <c r="Q54" i="1"/>
  <c r="Q167" i="1"/>
  <c r="CC132" i="1"/>
  <c r="CC14" i="1" s="1"/>
  <c r="CG166" i="1"/>
  <c r="T160" i="1"/>
  <c r="CG134" i="1"/>
  <c r="CG16" i="1" s="1"/>
  <c r="BP366" i="1"/>
  <c r="BP369" i="1"/>
  <c r="BP372" i="1"/>
  <c r="BP373" i="1"/>
  <c r="BP370" i="1"/>
  <c r="BP371" i="1"/>
  <c r="P31" i="1"/>
  <c r="BV93" i="1"/>
  <c r="BV96" i="1" s="1"/>
  <c r="Q190" i="1"/>
  <c r="CH157" i="2"/>
  <c r="CH165" i="2" s="1"/>
  <c r="CH220" i="1"/>
  <c r="BP55" i="2"/>
  <c r="BP429" i="2"/>
  <c r="BS37" i="1"/>
  <c r="BS40" i="1" s="1"/>
  <c r="BM94" i="2"/>
  <c r="BQ94" i="2"/>
  <c r="BL93" i="2"/>
  <c r="BP93" i="2"/>
  <c r="BN93" i="2"/>
  <c r="BJ93" i="2"/>
  <c r="BN102" i="2"/>
  <c r="BJ102" i="2"/>
  <c r="R75" i="2"/>
  <c r="Q75" i="2"/>
  <c r="Q76" i="2"/>
  <c r="Q77" i="2" s="1"/>
  <c r="O162" i="3"/>
  <c r="O164" i="3" s="1"/>
  <c r="O135" i="3"/>
  <c r="O137" i="3" s="1"/>
  <c r="N149" i="2"/>
  <c r="BI114" i="2"/>
  <c r="BI17" i="2"/>
  <c r="P16" i="1"/>
  <c r="P19" i="1"/>
  <c r="BJ376" i="1"/>
  <c r="BJ180" i="1"/>
  <c r="BJ82" i="1"/>
  <c r="BI17" i="1"/>
  <c r="BI19" i="1"/>
  <c r="BI18" i="1"/>
  <c r="O183" i="1"/>
  <c r="BM26" i="1"/>
  <c r="O184" i="1"/>
  <c r="CA96" i="1"/>
  <c r="CB16" i="1"/>
  <c r="CB141" i="1"/>
  <c r="BZ18" i="1"/>
  <c r="BZ17" i="1"/>
  <c r="BZ19" i="1"/>
  <c r="BZ16" i="1"/>
  <c r="BZ20" i="1"/>
  <c r="BZ206" i="1"/>
  <c r="R196" i="1"/>
  <c r="S67" i="1"/>
  <c r="S68" i="1"/>
  <c r="M220" i="1"/>
  <c r="M27" i="1"/>
  <c r="M132" i="1"/>
  <c r="M14" i="1" s="1"/>
  <c r="M264" i="2" s="1"/>
  <c r="BO110" i="1"/>
  <c r="BS376" i="1"/>
  <c r="BS375" i="1" s="1"/>
  <c r="BS27" i="1"/>
  <c r="BS217" i="1"/>
  <c r="BS107" i="1" s="1"/>
  <c r="BS220" i="1"/>
  <c r="BZ110" i="1"/>
  <c r="BZ377" i="1"/>
  <c r="CB211" i="1"/>
  <c r="BZ220" i="1"/>
  <c r="CB210" i="1"/>
  <c r="BK124" i="1"/>
  <c r="BM376" i="1"/>
  <c r="BM233" i="1"/>
  <c r="O223" i="1"/>
  <c r="BO124" i="1"/>
  <c r="BQ121" i="1"/>
  <c r="BQ124" i="1"/>
  <c r="P224" i="1"/>
  <c r="BQ377" i="1"/>
  <c r="BR233" i="1"/>
  <c r="BR121" i="1"/>
  <c r="BR124" i="1" s="1"/>
  <c r="CB363" i="1"/>
  <c r="BX363" i="1"/>
  <c r="BX369" i="1"/>
  <c r="BX361" i="1"/>
  <c r="BT370" i="1"/>
  <c r="BT364" i="1"/>
  <c r="CB366" i="1"/>
  <c r="BX372" i="1"/>
  <c r="BX366" i="1"/>
  <c r="BX373" i="1"/>
  <c r="BX367" i="1"/>
  <c r="CB373" i="1"/>
  <c r="CB371" i="1"/>
  <c r="CB361" i="1"/>
  <c r="CB369" i="1"/>
  <c r="CB367" i="1"/>
  <c r="CB372" i="1"/>
  <c r="CB370" i="1"/>
  <c r="BZ132" i="1"/>
  <c r="BZ14" i="1" s="1"/>
  <c r="BO63" i="1"/>
  <c r="BO61" i="1"/>
  <c r="BO64" i="1"/>
  <c r="BO62" i="1"/>
  <c r="R376" i="1"/>
  <c r="R375" i="1" s="1"/>
  <c r="R114" i="1"/>
  <c r="R233" i="1"/>
  <c r="BJ26" i="1"/>
  <c r="BE14" i="2"/>
  <c r="BE113" i="2"/>
  <c r="BE16" i="2"/>
  <c r="BI84" i="2"/>
  <c r="BI36" i="2"/>
  <c r="BI40" i="2"/>
  <c r="O94" i="2"/>
  <c r="P94" i="2"/>
  <c r="O43" i="2"/>
  <c r="O46" i="2"/>
  <c r="O50" i="2"/>
  <c r="BQ63" i="2"/>
  <c r="BQ89" i="2"/>
  <c r="BQ90" i="2"/>
  <c r="BU89" i="2"/>
  <c r="P17" i="1"/>
  <c r="P18" i="1"/>
  <c r="BT66" i="2"/>
  <c r="BT68" i="2" s="1"/>
  <c r="BT70" i="2"/>
  <c r="BT72" i="2" s="1"/>
  <c r="AF170" i="2"/>
  <c r="F170" i="2" s="1"/>
  <c r="BI16" i="1"/>
  <c r="BU90" i="2"/>
  <c r="BV93" i="2"/>
  <c r="BR93" i="2"/>
  <c r="R163" i="2"/>
  <c r="CB155" i="2"/>
  <c r="CB159" i="2" s="1"/>
  <c r="R159" i="2"/>
  <c r="P55" i="2"/>
  <c r="P77" i="2"/>
  <c r="P429" i="2"/>
  <c r="CE136" i="2"/>
  <c r="CE95" i="2"/>
  <c r="R53" i="1"/>
  <c r="R55" i="1" s="1"/>
  <c r="R54" i="1"/>
  <c r="CJ154" i="1"/>
  <c r="CJ140" i="2"/>
  <c r="R95" i="2"/>
  <c r="P97" i="2" s="1"/>
  <c r="R136" i="2"/>
  <c r="Y171" i="2"/>
  <c r="Z170" i="2"/>
  <c r="S224" i="1"/>
  <c r="S115" i="1" s="1"/>
  <c r="CE159" i="2"/>
  <c r="CE165" i="2"/>
  <c r="CE167" i="2" s="1"/>
  <c r="S40" i="2"/>
  <c r="U121" i="3"/>
  <c r="S117" i="2"/>
  <c r="S79" i="2"/>
  <c r="S35" i="2"/>
  <c r="S36" i="2" s="1"/>
  <c r="S29" i="2"/>
  <c r="S87" i="2"/>
  <c r="BV19" i="1"/>
  <c r="BV18" i="1"/>
  <c r="BV17" i="1"/>
  <c r="BV16" i="1"/>
  <c r="Q103" i="1"/>
  <c r="Q110" i="1" s="1"/>
  <c r="Q134" i="1"/>
  <c r="Q16" i="1" s="1"/>
  <c r="Q220" i="1"/>
  <c r="CB327" i="1"/>
  <c r="CB321" i="1"/>
  <c r="CB331" i="1"/>
  <c r="CB330" i="1"/>
  <c r="CB329" i="1"/>
  <c r="CB332" i="1"/>
  <c r="CB333" i="1"/>
  <c r="L151" i="2"/>
  <c r="L127" i="2" s="1"/>
  <c r="L124" i="2"/>
  <c r="M99" i="2" s="1"/>
  <c r="O37" i="1"/>
  <c r="O154" i="1"/>
  <c r="O36" i="1"/>
  <c r="O35" i="1"/>
  <c r="O33" i="1"/>
  <c r="O34" i="1"/>
  <c r="N140" i="1"/>
  <c r="O18" i="1" s="1"/>
  <c r="O45" i="1"/>
  <c r="N154" i="1"/>
  <c r="CI37" i="2"/>
  <c r="CG37" i="2"/>
  <c r="U37" i="2"/>
  <c r="V37" i="2" s="1"/>
  <c r="W37" i="2" s="1"/>
  <c r="X37" i="2" s="1"/>
  <c r="Y37" i="2" s="1"/>
  <c r="Z37" i="2" s="1"/>
  <c r="AA37" i="2" s="1"/>
  <c r="CJ37" i="2"/>
  <c r="CH37" i="2"/>
  <c r="CE49" i="1"/>
  <c r="CE158" i="1"/>
  <c r="CE132" i="1" s="1"/>
  <c r="CA140" i="1"/>
  <c r="CA167" i="1"/>
  <c r="CE47" i="1"/>
  <c r="CE54" i="1" s="1"/>
  <c r="CE48" i="1"/>
  <c r="CE50" i="1"/>
  <c r="CE157" i="1"/>
  <c r="CE131" i="1" s="1"/>
  <c r="CE13" i="1" s="1"/>
  <c r="CE51" i="1"/>
  <c r="N153" i="3"/>
  <c r="N155" i="3" s="1"/>
  <c r="N159" i="3" s="1"/>
  <c r="N35" i="3"/>
  <c r="BW98" i="2"/>
  <c r="BS98" i="2"/>
  <c r="CI166" i="1"/>
  <c r="CI141" i="2" s="1"/>
  <c r="CI148" i="2" s="1"/>
  <c r="CI26" i="1"/>
  <c r="CI132" i="1"/>
  <c r="CI14" i="1" s="1"/>
  <c r="CI22" i="1" s="1"/>
  <c r="X124" i="1"/>
  <c r="X123" i="1"/>
  <c r="X125" i="1" s="1"/>
  <c r="Y114" i="1"/>
  <c r="O30" i="1"/>
  <c r="O26" i="1"/>
  <c r="P144" i="1"/>
  <c r="BQ151" i="1"/>
  <c r="BQ154" i="1"/>
  <c r="BQ26" i="1"/>
  <c r="BW17" i="1"/>
  <c r="BW18" i="1"/>
  <c r="BW19" i="1"/>
  <c r="CA132" i="1"/>
  <c r="CA14" i="1" s="1"/>
  <c r="CA154" i="1"/>
  <c r="CA151" i="1"/>
  <c r="R145" i="1"/>
  <c r="CC167" i="1"/>
  <c r="CG138" i="1"/>
  <c r="CG20" i="1" s="1"/>
  <c r="CJ164" i="1"/>
  <c r="M13" i="1"/>
  <c r="M141" i="1"/>
  <c r="AV173" i="2"/>
  <c r="AV170" i="2"/>
  <c r="J170" i="2" s="1"/>
  <c r="O121" i="3"/>
  <c r="M87" i="2"/>
  <c r="N228" i="2"/>
  <c r="N227" i="2"/>
  <c r="M35" i="2"/>
  <c r="M36" i="2" s="1"/>
  <c r="M40" i="2"/>
  <c r="M29" i="2"/>
  <c r="N87" i="2"/>
  <c r="M117" i="2"/>
  <c r="BP70" i="2"/>
  <c r="BP72" i="2" s="1"/>
  <c r="BP66" i="2"/>
  <c r="BP68" i="2" s="1"/>
  <c r="BP120" i="2"/>
  <c r="L35" i="2"/>
  <c r="L117" i="2"/>
  <c r="L136" i="2" s="1"/>
  <c r="L87" i="2"/>
  <c r="M228" i="2"/>
  <c r="L29" i="2"/>
  <c r="M227" i="2"/>
  <c r="O110" i="2"/>
  <c r="P110" i="2"/>
  <c r="BE94" i="2"/>
  <c r="BI94" i="2"/>
  <c r="BJ114" i="2"/>
  <c r="BJ17" i="2"/>
  <c r="BJ85" i="2"/>
  <c r="BN85" i="2"/>
  <c r="P98" i="2"/>
  <c r="O98" i="2"/>
  <c r="BJ205" i="1"/>
  <c r="N142" i="2"/>
  <c r="N205" i="1" s="1"/>
  <c r="N250" i="2"/>
  <c r="N251" i="2"/>
  <c r="N85" i="2"/>
  <c r="P198" i="3"/>
  <c r="N114" i="2"/>
  <c r="N17" i="2"/>
  <c r="P133" i="3"/>
  <c r="O276" i="2"/>
  <c r="O85" i="2"/>
  <c r="N276" i="2"/>
  <c r="BI93" i="2"/>
  <c r="N46" i="2"/>
  <c r="N43" i="2"/>
  <c r="N50" i="2"/>
  <c r="BG120" i="2"/>
  <c r="BG70" i="2"/>
  <c r="BG72" i="2" s="1"/>
  <c r="BG57" i="2"/>
  <c r="BG66" i="2"/>
  <c r="BG68" i="2" s="1"/>
  <c r="BG77" i="2"/>
  <c r="BG50" i="2"/>
  <c r="BG55" i="2" s="1"/>
  <c r="BK88" i="2" s="1"/>
  <c r="N93" i="2"/>
  <c r="CB41" i="1"/>
  <c r="BX41" i="1"/>
  <c r="M203" i="1"/>
  <c r="M65" i="1" s="1"/>
  <c r="M50" i="1"/>
  <c r="BJ377" i="1"/>
  <c r="N171" i="1"/>
  <c r="Q170" i="1"/>
  <c r="BU177" i="1"/>
  <c r="BU180" i="1"/>
  <c r="BS180" i="1"/>
  <c r="BS79" i="1"/>
  <c r="BS82" i="1" s="1"/>
  <c r="BW79" i="1"/>
  <c r="BW82" i="1" s="1"/>
  <c r="BV79" i="1"/>
  <c r="BV82" i="1" s="1"/>
  <c r="BV180" i="1"/>
  <c r="CB81" i="1"/>
  <c r="CB82" i="1"/>
  <c r="BI193" i="1"/>
  <c r="N184" i="1"/>
  <c r="BI26" i="1"/>
  <c r="P183" i="1"/>
  <c r="BQ190" i="1"/>
  <c r="P184" i="1"/>
  <c r="M110" i="1"/>
  <c r="O211" i="1"/>
  <c r="O101" i="1" s="1"/>
  <c r="BM377" i="1"/>
  <c r="O210" i="1"/>
  <c r="BM27" i="1"/>
  <c r="BM220" i="1"/>
  <c r="BO27" i="1"/>
  <c r="BQ27" i="1"/>
  <c r="BQ217" i="1"/>
  <c r="P210" i="1"/>
  <c r="BQ376" i="1"/>
  <c r="BQ375" i="1" s="1"/>
  <c r="BS110" i="1"/>
  <c r="P211" i="1"/>
  <c r="P101" i="1" s="1"/>
  <c r="BV107" i="1"/>
  <c r="BV110" i="1" s="1"/>
  <c r="Q217" i="1"/>
  <c r="Q107" i="1" s="1"/>
  <c r="N224" i="1"/>
  <c r="BI377" i="1"/>
  <c r="BI233" i="1"/>
  <c r="BI27" i="1"/>
  <c r="N223" i="1"/>
  <c r="BI376" i="1"/>
  <c r="BI375" i="1" s="1"/>
  <c r="BK233" i="1"/>
  <c r="BK377" i="1"/>
  <c r="BK375" i="1" s="1"/>
  <c r="BK27" i="1"/>
  <c r="BO376" i="1"/>
  <c r="BO233" i="1"/>
  <c r="BT16" i="1"/>
  <c r="P223" i="1"/>
  <c r="BT230" i="1"/>
  <c r="BT121" i="1" s="1"/>
  <c r="BT124" i="1" s="1"/>
  <c r="BT233" i="1"/>
  <c r="BT376" i="1"/>
  <c r="BT375" i="1" s="1"/>
  <c r="BT27" i="1"/>
  <c r="BV376" i="1"/>
  <c r="BV230" i="1"/>
  <c r="BV121" i="1" s="1"/>
  <c r="BV124" i="1" s="1"/>
  <c r="BV27" i="1"/>
  <c r="BV233" i="1"/>
  <c r="BV377" i="1"/>
  <c r="Q224" i="1"/>
  <c r="BX371" i="1"/>
  <c r="BX365" i="1"/>
  <c r="CB365" i="1"/>
  <c r="BT372" i="1"/>
  <c r="BT366" i="1"/>
  <c r="BZ131" i="1"/>
  <c r="BZ13" i="1" s="1"/>
  <c r="BZ376" i="1"/>
  <c r="BZ375" i="1" s="1"/>
  <c r="BO377" i="1"/>
  <c r="BT37" i="1"/>
  <c r="BT40" i="1" s="1"/>
  <c r="BT154" i="1"/>
  <c r="N170" i="1"/>
  <c r="BR50" i="2"/>
  <c r="BR46" i="2"/>
  <c r="BR43" i="2"/>
  <c r="BK100" i="2"/>
  <c r="BO136" i="2"/>
  <c r="BO95" i="2"/>
  <c r="BS95" i="2"/>
  <c r="BO50" i="2"/>
  <c r="BO46" i="2"/>
  <c r="BO43" i="2"/>
  <c r="BS66" i="2"/>
  <c r="BS68" i="2" s="1"/>
  <c r="BS70" i="2"/>
  <c r="BS72" i="2" s="1"/>
  <c r="BM93" i="2"/>
  <c r="BM114" i="2"/>
  <c r="BM85" i="2"/>
  <c r="BM17" i="2"/>
  <c r="BQ85" i="2"/>
  <c r="M94" i="2"/>
  <c r="BS57" i="2"/>
  <c r="CF83" i="2"/>
  <c r="S11" i="2"/>
  <c r="BT17" i="1"/>
  <c r="BW88" i="2"/>
  <c r="CJ163" i="1"/>
  <c r="BR114" i="2"/>
  <c r="BV85" i="2"/>
  <c r="BR17" i="2"/>
  <c r="BR85" i="2"/>
  <c r="T176" i="1"/>
  <c r="T171" i="1"/>
  <c r="T174" i="1"/>
  <c r="T175" i="1"/>
  <c r="T173" i="1"/>
  <c r="T170" i="1"/>
  <c r="S155" i="2"/>
  <c r="T177" i="1"/>
  <c r="S180" i="1"/>
  <c r="T179" i="1"/>
  <c r="BJ16" i="1"/>
  <c r="BJ63" i="2" s="1"/>
  <c r="P279" i="2"/>
  <c r="P272" i="2"/>
  <c r="P275" i="2"/>
  <c r="P270" i="2"/>
  <c r="O58" i="4"/>
  <c r="O59" i="4" s="1"/>
  <c r="O60" i="4" s="1"/>
  <c r="P278" i="2"/>
  <c r="P277" i="2"/>
  <c r="P280" i="2"/>
  <c r="P274" i="2"/>
  <c r="Q280" i="2"/>
  <c r="CD136" i="2"/>
  <c r="CD95" i="2"/>
  <c r="CH154" i="2"/>
  <c r="CH140" i="1"/>
  <c r="CH140" i="2"/>
  <c r="CH154" i="1"/>
  <c r="T33" i="1"/>
  <c r="T40" i="1" s="1"/>
  <c r="T153" i="1"/>
  <c r="T134" i="1"/>
  <c r="T16" i="1" s="1"/>
  <c r="P177" i="1"/>
  <c r="Z204" i="3"/>
  <c r="Y205" i="3"/>
  <c r="Y207" i="3" s="1"/>
  <c r="CE57" i="2"/>
  <c r="CE88" i="2"/>
  <c r="CD57" i="2"/>
  <c r="CD88" i="2"/>
  <c r="R46" i="2"/>
  <c r="R50" i="2"/>
  <c r="R43" i="2"/>
  <c r="X132" i="2"/>
  <c r="CG132" i="1"/>
  <c r="CG14" i="1" s="1"/>
  <c r="BN90" i="2"/>
  <c r="BJ90" i="2"/>
  <c r="BJ89" i="2"/>
  <c r="BN89" i="2"/>
  <c r="BL57" i="2"/>
  <c r="BP88" i="2"/>
  <c r="BL88" i="2"/>
  <c r="T59" i="2"/>
  <c r="N52" i="4"/>
  <c r="O50" i="4" s="1"/>
  <c r="O52" i="4" s="1"/>
  <c r="P50" i="4" s="1"/>
  <c r="P52" i="4" s="1"/>
  <c r="Q50" i="4" s="1"/>
  <c r="Q52" i="4" s="1"/>
  <c r="R50" i="4" s="1"/>
  <c r="R52" i="4" s="1"/>
  <c r="S50" i="4" s="1"/>
  <c r="U175" i="2"/>
  <c r="S155" i="3"/>
  <c r="T156" i="3" s="1"/>
  <c r="T158" i="3" s="1"/>
  <c r="N158" i="3"/>
  <c r="O117" i="3"/>
  <c r="O118" i="3" s="1"/>
  <c r="O116" i="3"/>
  <c r="U35" i="3"/>
  <c r="U153" i="3"/>
  <c r="U155" i="3" s="1"/>
  <c r="U159" i="3" s="1"/>
  <c r="T150" i="3"/>
  <c r="Y145" i="3"/>
  <c r="Z30" i="3"/>
  <c r="W17" i="3"/>
  <c r="T15" i="4" s="1"/>
  <c r="Y176" i="3"/>
  <c r="Z178" i="3"/>
  <c r="Y189" i="3"/>
  <c r="Z52" i="3"/>
  <c r="Q163" i="3"/>
  <c r="Q164" i="3" s="1"/>
  <c r="Q147" i="3"/>
  <c r="U168" i="3"/>
  <c r="N150" i="3"/>
  <c r="O150" i="3"/>
  <c r="O149" i="3"/>
  <c r="N168" i="3"/>
  <c r="N169" i="3" s="1"/>
  <c r="O168" i="3"/>
  <c r="Z141" i="3"/>
  <c r="Z51" i="3"/>
  <c r="W86" i="3"/>
  <c r="W88" i="3" s="1"/>
  <c r="U38" i="2" s="1"/>
  <c r="Y140" i="3"/>
  <c r="Y107" i="3"/>
  <c r="Y85" i="3" s="1"/>
  <c r="Z84" i="3" s="1"/>
  <c r="Z39" i="3"/>
  <c r="S159" i="3"/>
  <c r="G116" i="3"/>
  <c r="G117" i="3"/>
  <c r="G118" i="3" s="1"/>
  <c r="X56" i="3"/>
  <c r="U22" i="4"/>
  <c r="Y54" i="3"/>
  <c r="O120" i="3"/>
  <c r="M119" i="2"/>
  <c r="P93" i="4"/>
  <c r="P92" i="4"/>
  <c r="P94" i="4"/>
  <c r="N120" i="3"/>
  <c r="BD79" i="2"/>
  <c r="L119" i="2"/>
  <c r="O112" i="3"/>
  <c r="L57" i="4"/>
  <c r="L85" i="4" s="1"/>
  <c r="L90" i="4" s="1"/>
  <c r="L94" i="4" s="1"/>
  <c r="N112" i="3"/>
  <c r="K51" i="4"/>
  <c r="K57" i="4"/>
  <c r="K85" i="4" s="1"/>
  <c r="K90" i="4" s="1"/>
  <c r="K94" i="4" s="1"/>
  <c r="Q115" i="3"/>
  <c r="Q116" i="3"/>
  <c r="Q117" i="3"/>
  <c r="Q118" i="3" s="1"/>
  <c r="Q69" i="3"/>
  <c r="CG38" i="2"/>
  <c r="U57" i="3"/>
  <c r="U173" i="3"/>
  <c r="U174" i="3"/>
  <c r="P57" i="3"/>
  <c r="P174" i="3"/>
  <c r="P173" i="3"/>
  <c r="Q86" i="3"/>
  <c r="Q89" i="3" s="1"/>
  <c r="Z201" i="3"/>
  <c r="Z29" i="3"/>
  <c r="AA26" i="3"/>
  <c r="Q156" i="3"/>
  <c r="Q158" i="3" s="1"/>
  <c r="P159" i="3"/>
  <c r="P128" i="3"/>
  <c r="P127" i="3"/>
  <c r="S67" i="4"/>
  <c r="U172" i="2"/>
  <c r="CG172" i="2"/>
  <c r="T180" i="2"/>
  <c r="T60" i="2"/>
  <c r="U184" i="1" l="1"/>
  <c r="U188" i="1"/>
  <c r="T156" i="2"/>
  <c r="U186" i="1"/>
  <c r="U189" i="1"/>
  <c r="U190" i="1"/>
  <c r="U187" i="1"/>
  <c r="U183" i="1"/>
  <c r="U192" i="1"/>
  <c r="U193" i="1" s="1"/>
  <c r="T193" i="1"/>
  <c r="CG23" i="1"/>
  <c r="CG22" i="1"/>
  <c r="Y132" i="2"/>
  <c r="R55" i="2"/>
  <c r="R77" i="2"/>
  <c r="R429" i="2"/>
  <c r="CH147" i="2"/>
  <c r="CH162" i="2"/>
  <c r="CH167" i="2" s="1"/>
  <c r="CH135" i="2" s="1"/>
  <c r="CH159" i="2"/>
  <c r="U173" i="1"/>
  <c r="U174" i="1"/>
  <c r="U171" i="1"/>
  <c r="U170" i="1"/>
  <c r="U179" i="1" s="1"/>
  <c r="T155" i="2"/>
  <c r="U176" i="1"/>
  <c r="U177" i="1"/>
  <c r="U175" i="1"/>
  <c r="T180" i="1"/>
  <c r="S83" i="2"/>
  <c r="S13" i="2"/>
  <c r="U196" i="3"/>
  <c r="S256" i="2"/>
  <c r="T259" i="2" s="1"/>
  <c r="T260" i="2"/>
  <c r="S221" i="2"/>
  <c r="S261" i="2" s="1"/>
  <c r="BO429" i="2"/>
  <c r="BO55" i="2"/>
  <c r="BR66" i="2"/>
  <c r="BR68" i="2" s="1"/>
  <c r="BR70" i="2"/>
  <c r="BR72" i="2" s="1"/>
  <c r="N72" i="1"/>
  <c r="N157" i="1"/>
  <c r="N180" i="1"/>
  <c r="N196" i="1"/>
  <c r="N58" i="1" s="1"/>
  <c r="BZ22" i="1"/>
  <c r="BZ23" i="1"/>
  <c r="Q115" i="1"/>
  <c r="BQ107" i="1"/>
  <c r="BQ110" i="1" s="1"/>
  <c r="P217" i="1"/>
  <c r="P107" i="1" s="1"/>
  <c r="BQ220" i="1"/>
  <c r="P190" i="1"/>
  <c r="P93" i="1" s="1"/>
  <c r="BQ93" i="1"/>
  <c r="BQ96" i="1" s="1"/>
  <c r="N87" i="1"/>
  <c r="N193" i="1"/>
  <c r="Q72" i="1"/>
  <c r="BQ157" i="1"/>
  <c r="BK157" i="1"/>
  <c r="BS157" i="1"/>
  <c r="BO157" i="1"/>
  <c r="BT157" i="1"/>
  <c r="O157" i="1"/>
  <c r="BP157" i="1"/>
  <c r="BR157" i="1"/>
  <c r="BL157" i="1"/>
  <c r="BW157" i="1"/>
  <c r="M157" i="1"/>
  <c r="BM157" i="1"/>
  <c r="BI157" i="1"/>
  <c r="BV157" i="1"/>
  <c r="BN157" i="1"/>
  <c r="P157" i="1"/>
  <c r="N55" i="2"/>
  <c r="N429" i="2"/>
  <c r="N77" i="2"/>
  <c r="N70" i="2"/>
  <c r="N72" i="2" s="1"/>
  <c r="N282" i="2"/>
  <c r="N66" i="2"/>
  <c r="N68" i="2" s="1"/>
  <c r="N120" i="2"/>
  <c r="P126" i="3" s="1"/>
  <c r="M61" i="4"/>
  <c r="O64" i="1"/>
  <c r="O63" i="1"/>
  <c r="O62" i="1"/>
  <c r="O61" i="1"/>
  <c r="M136" i="2"/>
  <c r="M95" i="2"/>
  <c r="N95" i="2"/>
  <c r="U176" i="2"/>
  <c r="V175" i="2" s="1"/>
  <c r="R272" i="2"/>
  <c r="R280" i="2"/>
  <c r="R274" i="2"/>
  <c r="R273" i="2"/>
  <c r="R277" i="2"/>
  <c r="R275" i="2"/>
  <c r="Q58" i="4"/>
  <c r="Q59" i="4" s="1"/>
  <c r="Q60" i="4" s="1"/>
  <c r="R270" i="2"/>
  <c r="R278" i="2"/>
  <c r="R279" i="2"/>
  <c r="R276" i="2"/>
  <c r="R271" i="2"/>
  <c r="R70" i="2"/>
  <c r="R72" i="2" s="1"/>
  <c r="R120" i="2"/>
  <c r="R282" i="2"/>
  <c r="R66" i="2"/>
  <c r="R68" i="2" s="1"/>
  <c r="Q61" i="4"/>
  <c r="CD90" i="2"/>
  <c r="CD89" i="2"/>
  <c r="CD77" i="2"/>
  <c r="CE89" i="2"/>
  <c r="CE77" i="2"/>
  <c r="Z205" i="3"/>
  <c r="Z207" i="3" s="1"/>
  <c r="AA204" i="3"/>
  <c r="P180" i="1"/>
  <c r="P79" i="1"/>
  <c r="P82" i="1" s="1"/>
  <c r="T154" i="1"/>
  <c r="U148" i="1"/>
  <c r="T154" i="2"/>
  <c r="T140" i="2"/>
  <c r="T147" i="2" s="1"/>
  <c r="CJ147" i="2" s="1"/>
  <c r="CJ123" i="2" s="1"/>
  <c r="CJ98" i="2" s="1"/>
  <c r="U151" i="1"/>
  <c r="U144" i="1"/>
  <c r="U149" i="1"/>
  <c r="U150" i="1"/>
  <c r="U147" i="1"/>
  <c r="U153" i="1" s="1"/>
  <c r="U145" i="1"/>
  <c r="CF155" i="2"/>
  <c r="S163" i="2"/>
  <c r="CJ50" i="1"/>
  <c r="CJ137" i="1"/>
  <c r="CJ19" i="1" s="1"/>
  <c r="N63" i="2"/>
  <c r="BO66" i="2"/>
  <c r="BO68" i="2" s="1"/>
  <c r="BO70" i="2"/>
  <c r="BO72" i="2" s="1"/>
  <c r="BO120" i="2"/>
  <c r="BR429" i="2"/>
  <c r="BR55" i="2"/>
  <c r="BR120" i="2"/>
  <c r="BV375" i="1"/>
  <c r="BO375" i="1"/>
  <c r="P27" i="1"/>
  <c r="P220" i="1"/>
  <c r="P100" i="1"/>
  <c r="P87" i="1"/>
  <c r="BQ193" i="1"/>
  <c r="P86" i="1"/>
  <c r="P193" i="1"/>
  <c r="P196" i="1"/>
  <c r="CB83" i="1"/>
  <c r="CF83" i="1"/>
  <c r="BU157" i="1"/>
  <c r="BU79" i="1"/>
  <c r="BU82" i="1" s="1"/>
  <c r="Q177" i="1"/>
  <c r="Q79" i="1" s="1"/>
  <c r="N73" i="1"/>
  <c r="BK89" i="2"/>
  <c r="BK90" i="2"/>
  <c r="N274" i="2"/>
  <c r="N272" i="2"/>
  <c r="N278" i="2"/>
  <c r="N273" i="2"/>
  <c r="N280" i="2"/>
  <c r="N271" i="2"/>
  <c r="N275" i="2"/>
  <c r="N277" i="2"/>
  <c r="N279" i="2"/>
  <c r="N270" i="2"/>
  <c r="M58" i="4"/>
  <c r="M59" i="4" s="1"/>
  <c r="M60" i="4" s="1"/>
  <c r="P135" i="3"/>
  <c r="P137" i="3" s="1"/>
  <c r="P162" i="3"/>
  <c r="P164" i="3" s="1"/>
  <c r="BN62" i="1"/>
  <c r="BN64" i="1"/>
  <c r="BN63" i="1"/>
  <c r="BN61" i="1"/>
  <c r="L36" i="2"/>
  <c r="L40" i="2"/>
  <c r="M50" i="2"/>
  <c r="M46" i="2"/>
  <c r="M43" i="2"/>
  <c r="CJ51" i="1"/>
  <c r="CJ138" i="1"/>
  <c r="CJ20" i="1" s="1"/>
  <c r="S157" i="1"/>
  <c r="S44" i="1" s="1"/>
  <c r="CA37" i="1"/>
  <c r="CA40" i="1" s="1"/>
  <c r="CA138" i="1"/>
  <c r="CA20" i="1" s="1"/>
  <c r="R151" i="1"/>
  <c r="CA23" i="1"/>
  <c r="CA22" i="1"/>
  <c r="P151" i="1"/>
  <c r="BQ37" i="1"/>
  <c r="BQ40" i="1" s="1"/>
  <c r="N127" i="3"/>
  <c r="N71" i="3"/>
  <c r="N128" i="3"/>
  <c r="CE14" i="1"/>
  <c r="U120" i="3"/>
  <c r="S119" i="2"/>
  <c r="CE135" i="2"/>
  <c r="CE110" i="2" s="1"/>
  <c r="CB163" i="2"/>
  <c r="R167" i="2"/>
  <c r="R135" i="2" s="1"/>
  <c r="R110" i="2" s="1"/>
  <c r="O55" i="2"/>
  <c r="P88" i="2" s="1"/>
  <c r="O77" i="2"/>
  <c r="O429" i="2"/>
  <c r="O273" i="2"/>
  <c r="O271" i="2"/>
  <c r="O277" i="2"/>
  <c r="O275" i="2"/>
  <c r="O272" i="2"/>
  <c r="O274" i="2"/>
  <c r="O280" i="2"/>
  <c r="O270" i="2"/>
  <c r="O279" i="2"/>
  <c r="O278" i="2"/>
  <c r="N58" i="4"/>
  <c r="N59" i="4" s="1"/>
  <c r="N60" i="4" s="1"/>
  <c r="R124" i="1"/>
  <c r="R123" i="1"/>
  <c r="P115" i="1"/>
  <c r="P377" i="1"/>
  <c r="P230" i="1"/>
  <c r="P121" i="1" s="1"/>
  <c r="R58" i="1"/>
  <c r="R131" i="1"/>
  <c r="BZ141" i="1"/>
  <c r="O87" i="1"/>
  <c r="BJ157" i="1"/>
  <c r="BJ375" i="1"/>
  <c r="N151" i="2"/>
  <c r="N127" i="2" s="1"/>
  <c r="N125" i="2"/>
  <c r="Q193" i="1"/>
  <c r="Q93" i="1"/>
  <c r="Q96" i="1" s="1"/>
  <c r="P132" i="1"/>
  <c r="CG141" i="2"/>
  <c r="CG140" i="1"/>
  <c r="CG141" i="1" s="1"/>
  <c r="S158" i="1"/>
  <c r="CC141" i="1"/>
  <c r="CC13" i="1"/>
  <c r="BO63" i="2"/>
  <c r="CI81" i="1"/>
  <c r="CI83" i="1" s="1"/>
  <c r="CI82" i="1"/>
  <c r="X81" i="1"/>
  <c r="X83" i="1" s="1"/>
  <c r="X82" i="1"/>
  <c r="Y72" i="1"/>
  <c r="CH81" i="1"/>
  <c r="CH83" i="1" s="1"/>
  <c r="CH82" i="1"/>
  <c r="BM100" i="2"/>
  <c r="BQ100" i="2"/>
  <c r="O151" i="2"/>
  <c r="O127" i="2" s="1"/>
  <c r="BN100" i="2"/>
  <c r="BJ100" i="2"/>
  <c r="BU37" i="1"/>
  <c r="BU40" i="1" s="1"/>
  <c r="Q151" i="1"/>
  <c r="U226" i="1"/>
  <c r="U223" i="1"/>
  <c r="U232" i="1" s="1"/>
  <c r="U227" i="1"/>
  <c r="T158" i="2"/>
  <c r="T143" i="2"/>
  <c r="T150" i="2" s="1"/>
  <c r="U229" i="1"/>
  <c r="U224" i="1"/>
  <c r="U228" i="1"/>
  <c r="U230" i="1"/>
  <c r="CD24" i="1"/>
  <c r="BN375" i="1"/>
  <c r="BT79" i="1"/>
  <c r="BT82" i="1" s="1"/>
  <c r="BX82" i="1"/>
  <c r="BX17" i="1"/>
  <c r="BX16" i="1"/>
  <c r="BX19" i="1"/>
  <c r="BX18" i="1"/>
  <c r="CG233" i="1"/>
  <c r="CG143" i="2"/>
  <c r="CG150" i="2" s="1"/>
  <c r="CG158" i="2"/>
  <c r="CG159" i="2" s="1"/>
  <c r="O115" i="1"/>
  <c r="O377" i="1"/>
  <c r="CH142" i="2"/>
  <c r="CH149" i="2" s="1"/>
  <c r="CH206" i="1"/>
  <c r="CJ157" i="1"/>
  <c r="CH131" i="1"/>
  <c r="CH13" i="1" s="1"/>
  <c r="CH26" i="1"/>
  <c r="CH19" i="1"/>
  <c r="CJ158" i="1"/>
  <c r="CH132" i="1"/>
  <c r="CH14" i="1" s="1"/>
  <c r="CH20" i="1"/>
  <c r="BT127" i="2"/>
  <c r="BT142" i="2"/>
  <c r="CI165" i="2"/>
  <c r="CI167" i="2" s="1"/>
  <c r="CI159" i="2"/>
  <c r="O132" i="1"/>
  <c r="BW90" i="2"/>
  <c r="BW89" i="2"/>
  <c r="P114" i="1"/>
  <c r="P233" i="1"/>
  <c r="P376" i="1"/>
  <c r="P375" i="1" s="1"/>
  <c r="N114" i="1"/>
  <c r="N233" i="1"/>
  <c r="N376" i="1"/>
  <c r="N375" i="1" s="1"/>
  <c r="N27" i="1"/>
  <c r="N115" i="1"/>
  <c r="N377" i="1"/>
  <c r="O100" i="1"/>
  <c r="O220" i="1"/>
  <c r="O27" i="1"/>
  <c r="M265" i="2"/>
  <c r="M259" i="2" s="1"/>
  <c r="M23" i="1"/>
  <c r="M22" i="1"/>
  <c r="M24" i="1" s="1"/>
  <c r="R31" i="1"/>
  <c r="R132" i="1"/>
  <c r="R154" i="1"/>
  <c r="P30" i="1"/>
  <c r="P154" i="1"/>
  <c r="P131" i="1"/>
  <c r="P26" i="1"/>
  <c r="O131" i="1"/>
  <c r="O13" i="1" s="1"/>
  <c r="O39" i="1"/>
  <c r="O40" i="1"/>
  <c r="Y124" i="1"/>
  <c r="Z114" i="1"/>
  <c r="Y123" i="1"/>
  <c r="Y125" i="1" s="1"/>
  <c r="CE22" i="1"/>
  <c r="CE24" i="1" s="1"/>
  <c r="CE167" i="1"/>
  <c r="CE17" i="1"/>
  <c r="CE16" i="1"/>
  <c r="CE63" i="2" s="1"/>
  <c r="S63" i="2" s="1"/>
  <c r="CE19" i="1"/>
  <c r="CE18" i="1"/>
  <c r="CE20" i="1"/>
  <c r="CE141" i="1"/>
  <c r="O20" i="1"/>
  <c r="O17" i="1"/>
  <c r="O16" i="1"/>
  <c r="O63" i="2" s="1"/>
  <c r="O19" i="1"/>
  <c r="O141" i="1"/>
  <c r="S95" i="2"/>
  <c r="S136" i="2"/>
  <c r="S43" i="2"/>
  <c r="S50" i="2"/>
  <c r="S46" i="2"/>
  <c r="AA170" i="2"/>
  <c r="AA171" i="2" s="1"/>
  <c r="Z171" i="2"/>
  <c r="P57" i="2"/>
  <c r="Q88" i="2"/>
  <c r="O120" i="2"/>
  <c r="Q126" i="3" s="1"/>
  <c r="Q129" i="3" s="1"/>
  <c r="O282" i="2"/>
  <c r="O70" i="2"/>
  <c r="O72" i="2" s="1"/>
  <c r="O66" i="2"/>
  <c r="O68" i="2" s="1"/>
  <c r="N61" i="4"/>
  <c r="BI43" i="2"/>
  <c r="BI63" i="2" s="1"/>
  <c r="BI46" i="2"/>
  <c r="M63" i="2"/>
  <c r="BE114" i="2"/>
  <c r="BE17" i="2"/>
  <c r="O114" i="1"/>
  <c r="O376" i="1"/>
  <c r="O375" i="1" s="1"/>
  <c r="O233" i="1"/>
  <c r="BM375" i="1"/>
  <c r="CB376" i="1"/>
  <c r="CB375" i="1" s="1"/>
  <c r="CB219" i="1"/>
  <c r="CB100" i="1"/>
  <c r="CB101" i="1"/>
  <c r="CB377" i="1"/>
  <c r="T69" i="1"/>
  <c r="CB63" i="2"/>
  <c r="CB90" i="2" s="1"/>
  <c r="CB23" i="1"/>
  <c r="O193" i="1"/>
  <c r="O86" i="1"/>
  <c r="O196" i="1"/>
  <c r="O58" i="1" s="1"/>
  <c r="BI85" i="2"/>
  <c r="O138" i="3"/>
  <c r="O156" i="3"/>
  <c r="O158" i="3" s="1"/>
  <c r="O167" i="3"/>
  <c r="O169" i="3" s="1"/>
  <c r="BP57" i="2"/>
  <c r="BP90" i="2" s="1"/>
  <c r="BT88" i="2"/>
  <c r="T47" i="1"/>
  <c r="T54" i="1" s="1"/>
  <c r="T166" i="1"/>
  <c r="S30" i="1"/>
  <c r="S39" i="1" s="1"/>
  <c r="S131" i="1"/>
  <c r="S13" i="1" s="1"/>
  <c r="BW37" i="1"/>
  <c r="BW40" i="1" s="1"/>
  <c r="BW154" i="1"/>
  <c r="Q30" i="1"/>
  <c r="Q154" i="1"/>
  <c r="Q131" i="1"/>
  <c r="Q26" i="1"/>
  <c r="N31" i="1"/>
  <c r="N26" i="1"/>
  <c r="CG81" i="1"/>
  <c r="CG83" i="1" s="1"/>
  <c r="CG82" i="1"/>
  <c r="O100" i="2"/>
  <c r="P100" i="2"/>
  <c r="O99" i="2"/>
  <c r="P99" i="2"/>
  <c r="Q31" i="1"/>
  <c r="Q132" i="1"/>
  <c r="S123" i="1"/>
  <c r="S124" i="1"/>
  <c r="Q230" i="1"/>
  <c r="Q121" i="1" s="1"/>
  <c r="BU121" i="1"/>
  <c r="BU124" i="1" s="1"/>
  <c r="Q114" i="1"/>
  <c r="Q233" i="1"/>
  <c r="Q376" i="1"/>
  <c r="Q27" i="1"/>
  <c r="CJ142" i="2"/>
  <c r="CJ206" i="1"/>
  <c r="Q171" i="1"/>
  <c r="BX377" i="1"/>
  <c r="BX158" i="1"/>
  <c r="BX197" i="1"/>
  <c r="BX26" i="1"/>
  <c r="BX376" i="1"/>
  <c r="BX375" i="1" s="1"/>
  <c r="BX157" i="1"/>
  <c r="BX196" i="1" s="1"/>
  <c r="M125" i="2"/>
  <c r="M100" i="2" s="1"/>
  <c r="M151" i="2"/>
  <c r="M127" i="2" s="1"/>
  <c r="M102" i="2" s="1"/>
  <c r="CJ115" i="1"/>
  <c r="CJ232" i="1"/>
  <c r="CJ27" i="1"/>
  <c r="CH148" i="2"/>
  <c r="CH18" i="1"/>
  <c r="CH135" i="1"/>
  <c r="CH17" i="1" s="1"/>
  <c r="CJ161" i="1"/>
  <c r="BT110" i="2"/>
  <c r="BX110" i="2"/>
  <c r="BT11" i="2"/>
  <c r="BT115" i="2"/>
  <c r="BT13" i="2"/>
  <c r="BT116" i="2"/>
  <c r="BT82" i="2"/>
  <c r="BT20" i="2"/>
  <c r="BT29" i="2"/>
  <c r="BT117" i="2"/>
  <c r="BX82" i="2"/>
  <c r="BT120" i="2"/>
  <c r="BT36" i="2"/>
  <c r="BT119" i="2"/>
  <c r="BB75" i="2"/>
  <c r="AX75" i="2"/>
  <c r="AX76" i="2"/>
  <c r="AX77" i="2" s="1"/>
  <c r="AY74" i="2"/>
  <c r="S164" i="2"/>
  <c r="CF156" i="2"/>
  <c r="BL89" i="2"/>
  <c r="BL90" i="2"/>
  <c r="X17" i="3"/>
  <c r="U15" i="4"/>
  <c r="AA178" i="3"/>
  <c r="Z176" i="3"/>
  <c r="Z189" i="3"/>
  <c r="AA30" i="3"/>
  <c r="Z145" i="3"/>
  <c r="U128" i="3"/>
  <c r="U127" i="3"/>
  <c r="AA52" i="3"/>
  <c r="Q168" i="3"/>
  <c r="Q150" i="3"/>
  <c r="R168" i="3"/>
  <c r="Q159" i="3"/>
  <c r="AA141" i="3"/>
  <c r="AA51" i="3"/>
  <c r="AA39" i="3"/>
  <c r="Z140" i="3"/>
  <c r="Z107" i="3"/>
  <c r="Z85" i="3" s="1"/>
  <c r="AA84" i="3" s="1"/>
  <c r="Y86" i="3"/>
  <c r="Y88" i="3" s="1"/>
  <c r="W38" i="2" s="1"/>
  <c r="CH38" i="2"/>
  <c r="CI38" i="2" s="1"/>
  <c r="CJ38" i="2" s="1"/>
  <c r="Y56" i="3"/>
  <c r="Z54" i="3"/>
  <c r="W22" i="4" s="1"/>
  <c r="V22" i="4"/>
  <c r="O115" i="3"/>
  <c r="O108" i="3"/>
  <c r="K52" i="4"/>
  <c r="L50" i="4" s="1"/>
  <c r="N108" i="3"/>
  <c r="N115" i="3"/>
  <c r="P69" i="3"/>
  <c r="U69" i="3"/>
  <c r="Q71" i="3"/>
  <c r="P129" i="3"/>
  <c r="AA29" i="3"/>
  <c r="AA201" i="3"/>
  <c r="AB26" i="3"/>
  <c r="U59" i="2"/>
  <c r="T67" i="4"/>
  <c r="U173" i="2"/>
  <c r="V172" i="2"/>
  <c r="U178" i="2"/>
  <c r="U60" i="2" s="1"/>
  <c r="CG173" i="2"/>
  <c r="CH172" i="2"/>
  <c r="CG176" i="2"/>
  <c r="T61" i="2"/>
  <c r="T67" i="2"/>
  <c r="V228" i="1" l="1"/>
  <c r="V229" i="1"/>
  <c r="U143" i="2"/>
  <c r="U150" i="2" s="1"/>
  <c r="V224" i="1"/>
  <c r="V230" i="1"/>
  <c r="V226" i="1"/>
  <c r="V227" i="1"/>
  <c r="V232" i="1" s="1"/>
  <c r="V223" i="1"/>
  <c r="U158" i="2"/>
  <c r="U166" i="2" s="1"/>
  <c r="V148" i="1"/>
  <c r="V147" i="1"/>
  <c r="V151" i="1"/>
  <c r="V149" i="1"/>
  <c r="V145" i="1"/>
  <c r="V153" i="1" s="1"/>
  <c r="U140" i="2"/>
  <c r="U147" i="2" s="1"/>
  <c r="U154" i="2"/>
  <c r="V150" i="1"/>
  <c r="V144" i="1"/>
  <c r="U154" i="1"/>
  <c r="V170" i="1"/>
  <c r="V177" i="1"/>
  <c r="V174" i="1"/>
  <c r="V176" i="1"/>
  <c r="U155" i="2"/>
  <c r="U163" i="2" s="1"/>
  <c r="V171" i="1"/>
  <c r="V179" i="1" s="1"/>
  <c r="V175" i="1"/>
  <c r="V173" i="1"/>
  <c r="U180" i="1"/>
  <c r="AY76" i="2"/>
  <c r="AY77" i="2" s="1"/>
  <c r="AY75" i="2"/>
  <c r="BC75" i="2"/>
  <c r="BT95" i="2"/>
  <c r="BT136" i="2"/>
  <c r="BX95" i="2"/>
  <c r="CJ48" i="1"/>
  <c r="CJ135" i="1"/>
  <c r="CJ17" i="1" s="1"/>
  <c r="Q14" i="1"/>
  <c r="Q258" i="2"/>
  <c r="Q248" i="2" s="1"/>
  <c r="CB109" i="1"/>
  <c r="CB111" i="1" s="1"/>
  <c r="CB110" i="1"/>
  <c r="O124" i="1"/>
  <c r="O123" i="1"/>
  <c r="BI77" i="2"/>
  <c r="BI70" i="2"/>
  <c r="BI72" i="2" s="1"/>
  <c r="BI66" i="2"/>
  <c r="BI68" i="2" s="1"/>
  <c r="BI120" i="2"/>
  <c r="BI50" i="2"/>
  <c r="Q269" i="2"/>
  <c r="P284" i="2"/>
  <c r="Q90" i="2"/>
  <c r="Q89" i="2"/>
  <c r="S70" i="2"/>
  <c r="S72" i="2" s="1"/>
  <c r="S66" i="2"/>
  <c r="S68" i="2" s="1"/>
  <c r="R61" i="4"/>
  <c r="S282" i="2"/>
  <c r="S120" i="2"/>
  <c r="S278" i="2"/>
  <c r="S277" i="2"/>
  <c r="S274" i="2"/>
  <c r="T43" i="2"/>
  <c r="S272" i="2"/>
  <c r="R58" i="4"/>
  <c r="R59" i="4" s="1"/>
  <c r="R60" i="4" s="1"/>
  <c r="S279" i="2"/>
  <c r="S275" i="2"/>
  <c r="S270" i="2"/>
  <c r="S280" i="2"/>
  <c r="CE23" i="1"/>
  <c r="O41" i="1"/>
  <c r="R39" i="1"/>
  <c r="O110" i="1"/>
  <c r="O109" i="1"/>
  <c r="O111" i="1" s="1"/>
  <c r="N124" i="1"/>
  <c r="N123" i="1"/>
  <c r="N125" i="1" s="1"/>
  <c r="BT125" i="2"/>
  <c r="BT205" i="1"/>
  <c r="CJ44" i="1"/>
  <c r="CJ166" i="1"/>
  <c r="CJ131" i="1"/>
  <c r="CJ13" i="1" s="1"/>
  <c r="CJ26" i="1"/>
  <c r="BP89" i="2"/>
  <c r="BX84" i="2"/>
  <c r="BT113" i="2"/>
  <c r="BT14" i="2"/>
  <c r="BT16" i="2"/>
  <c r="BT84" i="2"/>
  <c r="BT83" i="2"/>
  <c r="BX83" i="2"/>
  <c r="P11" i="2"/>
  <c r="CH141" i="1"/>
  <c r="CJ124" i="1"/>
  <c r="CJ123" i="1"/>
  <c r="CJ125" i="1" s="1"/>
  <c r="BX132" i="1"/>
  <c r="BX14" i="1" s="1"/>
  <c r="BX45" i="1"/>
  <c r="BX44" i="1"/>
  <c r="Q73" i="1"/>
  <c r="BQ158" i="1"/>
  <c r="M158" i="1"/>
  <c r="BN158" i="1"/>
  <c r="BV158" i="1"/>
  <c r="P158" i="1"/>
  <c r="BP158" i="1"/>
  <c r="BT158" i="1"/>
  <c r="BI158" i="1"/>
  <c r="BS158" i="1"/>
  <c r="BJ158" i="1"/>
  <c r="BK158" i="1"/>
  <c r="BU158" i="1"/>
  <c r="BU167" i="1" s="1"/>
  <c r="BW158" i="1"/>
  <c r="BO158" i="1"/>
  <c r="O158" i="1"/>
  <c r="BR158" i="1"/>
  <c r="BM158" i="1"/>
  <c r="BL158" i="1"/>
  <c r="Q123" i="1"/>
  <c r="Q125" i="1" s="1"/>
  <c r="Q124" i="1"/>
  <c r="T125" i="1"/>
  <c r="S125" i="1"/>
  <c r="N40" i="1"/>
  <c r="N39" i="1"/>
  <c r="N41" i="1" s="1"/>
  <c r="Q13" i="1"/>
  <c r="Q39" i="1"/>
  <c r="Q41" i="1" s="1"/>
  <c r="U163" i="1"/>
  <c r="T141" i="2"/>
  <c r="T148" i="2" s="1"/>
  <c r="U158" i="1"/>
  <c r="U160" i="1"/>
  <c r="U161" i="1"/>
  <c r="U157" i="1"/>
  <c r="U162" i="1"/>
  <c r="U166" i="1"/>
  <c r="CF213" i="1"/>
  <c r="S213" i="1" s="1"/>
  <c r="CF106" i="1"/>
  <c r="CF107" i="1"/>
  <c r="CF100" i="1"/>
  <c r="CF101" i="1"/>
  <c r="CB220" i="1"/>
  <c r="CF104" i="1"/>
  <c r="CF219" i="1"/>
  <c r="CF220" i="1" s="1"/>
  <c r="CF105" i="1"/>
  <c r="S77" i="2"/>
  <c r="S429" i="2"/>
  <c r="S55" i="2"/>
  <c r="CA141" i="1"/>
  <c r="AA114" i="1"/>
  <c r="Z124" i="1"/>
  <c r="Z123" i="1"/>
  <c r="Z125" i="1" s="1"/>
  <c r="O265" i="2"/>
  <c r="O259" i="2" s="1"/>
  <c r="O249" i="2" s="1"/>
  <c r="P13" i="1"/>
  <c r="P40" i="1"/>
  <c r="P39" i="1"/>
  <c r="P41" i="1" s="1"/>
  <c r="R14" i="1"/>
  <c r="R258" i="2"/>
  <c r="R248" i="2" s="1"/>
  <c r="R252" i="2" s="1"/>
  <c r="P124" i="1"/>
  <c r="P123" i="1"/>
  <c r="P125" i="1" s="1"/>
  <c r="O14" i="1"/>
  <c r="O264" i="2" s="1"/>
  <c r="O258" i="2"/>
  <c r="O248" i="2" s="1"/>
  <c r="O252" i="2" s="1"/>
  <c r="CI135" i="2"/>
  <c r="BT102" i="2"/>
  <c r="BX102" i="2"/>
  <c r="CH22" i="1"/>
  <c r="CH24" i="1" s="1"/>
  <c r="CH23" i="1"/>
  <c r="CJ150" i="2"/>
  <c r="Q37" i="1"/>
  <c r="Q40" i="1" s="1"/>
  <c r="Q138" i="1"/>
  <c r="Q20" i="1" s="1"/>
  <c r="O102" i="2"/>
  <c r="P102" i="2"/>
  <c r="Z72" i="1"/>
  <c r="Y82" i="1"/>
  <c r="Y81" i="1"/>
  <c r="Y83" i="1" s="1"/>
  <c r="CC23" i="1"/>
  <c r="CC22" i="1"/>
  <c r="CC24" i="1" s="1"/>
  <c r="S45" i="1"/>
  <c r="S53" i="1" s="1"/>
  <c r="S132" i="1"/>
  <c r="CG148" i="2"/>
  <c r="CG151" i="2" s="1"/>
  <c r="CG144" i="2"/>
  <c r="CG10" i="2" s="1"/>
  <c r="N100" i="2"/>
  <c r="R68" i="1"/>
  <c r="R67" i="1"/>
  <c r="CB131" i="2"/>
  <c r="CB106" i="2" s="1"/>
  <c r="CB167" i="2"/>
  <c r="CB135" i="2" s="1"/>
  <c r="CB110" i="2" s="1"/>
  <c r="CI24" i="1"/>
  <c r="R138" i="1"/>
  <c r="R20" i="1" s="1"/>
  <c r="R37" i="1"/>
  <c r="R40" i="1" s="1"/>
  <c r="M272" i="2"/>
  <c r="M279" i="2"/>
  <c r="M275" i="2"/>
  <c r="M278" i="2"/>
  <c r="M274" i="2"/>
  <c r="M276" i="2"/>
  <c r="M273" i="2"/>
  <c r="M271" i="2"/>
  <c r="M270" i="2"/>
  <c r="M277" i="2"/>
  <c r="L58" i="4"/>
  <c r="L59" i="4" s="1"/>
  <c r="L60" i="4" s="1"/>
  <c r="M429" i="2"/>
  <c r="M55" i="2"/>
  <c r="M77" i="2"/>
  <c r="P138" i="3"/>
  <c r="P167" i="3"/>
  <c r="P169" i="3" s="1"/>
  <c r="Q167" i="3"/>
  <c r="Q169" i="3" s="1"/>
  <c r="P156" i="3"/>
  <c r="P158" i="3" s="1"/>
  <c r="P149" i="3"/>
  <c r="P150" i="3"/>
  <c r="BU164" i="1"/>
  <c r="BU196" i="1"/>
  <c r="BU131" i="1" s="1"/>
  <c r="U26" i="1"/>
  <c r="CE90" i="2"/>
  <c r="N57" i="2"/>
  <c r="N88" i="2"/>
  <c r="BN196" i="1"/>
  <c r="BN164" i="1"/>
  <c r="BN167" i="1" s="1"/>
  <c r="BI164" i="1"/>
  <c r="BI196" i="1"/>
  <c r="M196" i="1"/>
  <c r="M58" i="1" s="1"/>
  <c r="M167" i="1"/>
  <c r="BL167" i="1"/>
  <c r="BL164" i="1"/>
  <c r="BL196" i="1"/>
  <c r="BL131" i="1" s="1"/>
  <c r="BP164" i="1"/>
  <c r="BP167" i="1" s="1"/>
  <c r="BP196" i="1"/>
  <c r="BP131" i="1" s="1"/>
  <c r="BT131" i="1"/>
  <c r="BT164" i="1"/>
  <c r="BT167" i="1"/>
  <c r="BT196" i="1"/>
  <c r="BT58" i="1" s="1"/>
  <c r="BS164" i="1"/>
  <c r="BS167" i="1"/>
  <c r="BS196" i="1"/>
  <c r="BQ167" i="1"/>
  <c r="BQ164" i="1"/>
  <c r="BQ131" i="1"/>
  <c r="BQ196" i="1"/>
  <c r="Q81" i="1"/>
  <c r="Q82" i="1"/>
  <c r="N96" i="1"/>
  <c r="N95" i="1"/>
  <c r="N97" i="1" s="1"/>
  <c r="N81" i="1"/>
  <c r="N82" i="1"/>
  <c r="S271" i="2"/>
  <c r="U188" i="3"/>
  <c r="U179" i="3"/>
  <c r="U192" i="3" s="1"/>
  <c r="U178" i="3"/>
  <c r="U191" i="3"/>
  <c r="CJ155" i="2"/>
  <c r="T163" i="2"/>
  <c r="CH144" i="2"/>
  <c r="CH10" i="2" s="1"/>
  <c r="R88" i="2"/>
  <c r="R57" i="2"/>
  <c r="Z132" i="2"/>
  <c r="BT94" i="2"/>
  <c r="BX94" i="2"/>
  <c r="CJ143" i="2"/>
  <c r="CJ233" i="1"/>
  <c r="BX164" i="1"/>
  <c r="BX167" i="1"/>
  <c r="BX131" i="1"/>
  <c r="BX59" i="1"/>
  <c r="T41" i="1"/>
  <c r="S41" i="1"/>
  <c r="BT89" i="2"/>
  <c r="BT90" i="2"/>
  <c r="O96" i="1"/>
  <c r="O95" i="1"/>
  <c r="O97" i="1" s="1"/>
  <c r="CJ45" i="1"/>
  <c r="CJ132" i="1"/>
  <c r="CJ14" i="1" s="1"/>
  <c r="T166" i="2"/>
  <c r="CJ158" i="2"/>
  <c r="P14" i="1"/>
  <c r="P264" i="2" s="1"/>
  <c r="P258" i="2"/>
  <c r="N102" i="2"/>
  <c r="BJ131" i="1"/>
  <c r="BJ164" i="1"/>
  <c r="BJ167" i="1"/>
  <c r="BJ196" i="1"/>
  <c r="R13" i="1"/>
  <c r="O88" i="2"/>
  <c r="O57" i="2"/>
  <c r="U108" i="3"/>
  <c r="U115" i="3"/>
  <c r="P37" i="1"/>
  <c r="P138" i="1"/>
  <c r="P20" i="1" s="1"/>
  <c r="M66" i="2"/>
  <c r="M68" i="2" s="1"/>
  <c r="M282" i="2"/>
  <c r="M120" i="2"/>
  <c r="O126" i="3" s="1"/>
  <c r="O129" i="3" s="1"/>
  <c r="L61" i="4"/>
  <c r="L46" i="2"/>
  <c r="L43" i="2"/>
  <c r="K58" i="4" s="1"/>
  <c r="K59" i="4" s="1"/>
  <c r="K60" i="4" s="1"/>
  <c r="L50" i="2"/>
  <c r="N158" i="1"/>
  <c r="P58" i="1"/>
  <c r="P95" i="1"/>
  <c r="P96" i="1"/>
  <c r="P109" i="1"/>
  <c r="P110" i="1"/>
  <c r="BR57" i="2"/>
  <c r="BR88" i="2"/>
  <c r="BV88" i="2"/>
  <c r="T162" i="2"/>
  <c r="CJ154" i="2"/>
  <c r="AB204" i="3"/>
  <c r="AA205" i="3"/>
  <c r="AA207" i="3" s="1"/>
  <c r="P44" i="1"/>
  <c r="BV196" i="1"/>
  <c r="BV164" i="1"/>
  <c r="BM131" i="1"/>
  <c r="BM164" i="1"/>
  <c r="BM196" i="1"/>
  <c r="BW167" i="1"/>
  <c r="BW164" i="1"/>
  <c r="BW196" i="1"/>
  <c r="BR131" i="1"/>
  <c r="BR164" i="1"/>
  <c r="BR167" i="1"/>
  <c r="BR196" i="1"/>
  <c r="BO164" i="1"/>
  <c r="BO167" i="1"/>
  <c r="BO196" i="1"/>
  <c r="BO131" i="1"/>
  <c r="BK131" i="1"/>
  <c r="BK196" i="1"/>
  <c r="BK164" i="1"/>
  <c r="Q180" i="1"/>
  <c r="Q377" i="1"/>
  <c r="Q375" i="1" s="1"/>
  <c r="BO57" i="2"/>
  <c r="BO88" i="2"/>
  <c r="BS88" i="2"/>
  <c r="S273" i="2"/>
  <c r="S16" i="2"/>
  <c r="S14" i="2"/>
  <c r="S113" i="2"/>
  <c r="S84" i="2"/>
  <c r="S257" i="2"/>
  <c r="CH151" i="2"/>
  <c r="CG24" i="1"/>
  <c r="V189" i="1"/>
  <c r="V190" i="1"/>
  <c r="V183" i="1"/>
  <c r="V184" i="1"/>
  <c r="V192" i="1" s="1"/>
  <c r="V188" i="1"/>
  <c r="U156" i="2"/>
  <c r="U164" i="2" s="1"/>
  <c r="V187" i="1"/>
  <c r="V186" i="1"/>
  <c r="CJ156" i="2"/>
  <c r="T164" i="2"/>
  <c r="AB30" i="3"/>
  <c r="AA145" i="3"/>
  <c r="U129" i="3"/>
  <c r="AA176" i="3"/>
  <c r="AA189" i="3"/>
  <c r="AB178" i="3"/>
  <c r="Y17" i="3"/>
  <c r="V15" i="4"/>
  <c r="AB52" i="3"/>
  <c r="AB141" i="3"/>
  <c r="AB51" i="3"/>
  <c r="Z86" i="3"/>
  <c r="Z88" i="3" s="1"/>
  <c r="X38" i="2" s="1"/>
  <c r="AB39" i="3"/>
  <c r="AA107" i="3"/>
  <c r="AA85" i="3" s="1"/>
  <c r="AA140" i="3"/>
  <c r="Z56" i="3"/>
  <c r="AA54" i="3"/>
  <c r="X22" i="4" s="1"/>
  <c r="U71" i="3"/>
  <c r="P71" i="3"/>
  <c r="AC26" i="3"/>
  <c r="AB201" i="3"/>
  <c r="AB29" i="3"/>
  <c r="U180" i="2"/>
  <c r="CG59" i="2"/>
  <c r="CG178" i="2"/>
  <c r="CH175" i="2"/>
  <c r="CH176" i="2" s="1"/>
  <c r="CH173" i="2"/>
  <c r="CI172" i="2"/>
  <c r="W172" i="2"/>
  <c r="V173" i="2"/>
  <c r="V176" i="2"/>
  <c r="U67" i="4"/>
  <c r="T278" i="2"/>
  <c r="T71" i="2"/>
  <c r="T272" i="2"/>
  <c r="U67" i="2"/>
  <c r="U61" i="2"/>
  <c r="BP13" i="1" l="1"/>
  <c r="T55" i="1"/>
  <c r="S55" i="1"/>
  <c r="W184" i="1"/>
  <c r="W186" i="1"/>
  <c r="W190" i="1"/>
  <c r="W187" i="1"/>
  <c r="V156" i="2"/>
  <c r="V164" i="2" s="1"/>
  <c r="W188" i="1"/>
  <c r="W183" i="1"/>
  <c r="W192" i="1" s="1"/>
  <c r="W189" i="1"/>
  <c r="V193" i="1"/>
  <c r="BU13" i="1"/>
  <c r="W149" i="1"/>
  <c r="W151" i="1"/>
  <c r="W150" i="1"/>
  <c r="W145" i="1"/>
  <c r="V154" i="2"/>
  <c r="W144" i="1"/>
  <c r="V140" i="2"/>
  <c r="V147" i="2" s="1"/>
  <c r="W147" i="1"/>
  <c r="W153" i="1" s="1"/>
  <c r="W148" i="1"/>
  <c r="V154" i="1"/>
  <c r="BL13" i="1"/>
  <c r="W176" i="1"/>
  <c r="W177" i="1"/>
  <c r="V155" i="2"/>
  <c r="V163" i="2" s="1"/>
  <c r="W175" i="1"/>
  <c r="W173" i="1"/>
  <c r="W171" i="1"/>
  <c r="W174" i="1"/>
  <c r="W170" i="1"/>
  <c r="W179" i="1" s="1"/>
  <c r="V180" i="1"/>
  <c r="W229" i="1"/>
  <c r="W224" i="1"/>
  <c r="V158" i="2"/>
  <c r="V166" i="2" s="1"/>
  <c r="W228" i="1"/>
  <c r="W226" i="1"/>
  <c r="V143" i="2"/>
  <c r="V150" i="2" s="1"/>
  <c r="W223" i="1"/>
  <c r="W232" i="1" s="1"/>
  <c r="W230" i="1"/>
  <c r="W227" i="1"/>
  <c r="T113" i="2"/>
  <c r="U113" i="2" s="1"/>
  <c r="V113" i="2" s="1"/>
  <c r="W113" i="2" s="1"/>
  <c r="X113" i="2" s="1"/>
  <c r="Y113" i="2" s="1"/>
  <c r="Z113" i="2" s="1"/>
  <c r="AA113" i="2" s="1"/>
  <c r="S93" i="2"/>
  <c r="S17" i="2"/>
  <c r="U198" i="3"/>
  <c r="V198" i="3" s="1"/>
  <c r="W198" i="3" s="1"/>
  <c r="X198" i="3" s="1"/>
  <c r="Y198" i="3" s="1"/>
  <c r="Z198" i="3" s="1"/>
  <c r="AA198" i="3" s="1"/>
  <c r="AB198" i="3" s="1"/>
  <c r="AC198" i="3" s="1"/>
  <c r="S85" i="2"/>
  <c r="S276" i="2"/>
  <c r="S114" i="2"/>
  <c r="U133" i="3"/>
  <c r="BO90" i="2"/>
  <c r="BO89" i="2"/>
  <c r="BS90" i="2"/>
  <c r="BS89" i="2"/>
  <c r="BK51" i="1"/>
  <c r="BK203" i="1"/>
  <c r="BK65" i="1" s="1"/>
  <c r="BK13" i="1"/>
  <c r="BO13" i="1"/>
  <c r="BR13" i="1"/>
  <c r="BW58" i="1"/>
  <c r="BM138" i="1"/>
  <c r="BM20" i="1" s="1"/>
  <c r="BM203" i="1"/>
  <c r="BM65" i="1" s="1"/>
  <c r="BM51" i="1"/>
  <c r="O164" i="1"/>
  <c r="BM13" i="1"/>
  <c r="BV58" i="1"/>
  <c r="BV131" i="1"/>
  <c r="BR89" i="2"/>
  <c r="BR63" i="2"/>
  <c r="BR90" i="2" s="1"/>
  <c r="BV89" i="2"/>
  <c r="BV90" i="2"/>
  <c r="P111" i="1"/>
  <c r="Q111" i="1"/>
  <c r="P97" i="1"/>
  <c r="Q97" i="1"/>
  <c r="L55" i="2"/>
  <c r="L77" i="2"/>
  <c r="L429" i="2"/>
  <c r="L120" i="2"/>
  <c r="N126" i="3" s="1"/>
  <c r="N129" i="3" s="1"/>
  <c r="L57" i="2"/>
  <c r="M269" i="2" s="1"/>
  <c r="L70" i="2"/>
  <c r="L72" i="2" s="1"/>
  <c r="L66" i="2"/>
  <c r="L68" i="2" s="1"/>
  <c r="K61" i="4"/>
  <c r="R23" i="1"/>
  <c r="R22" i="1"/>
  <c r="BJ13" i="1"/>
  <c r="R284" i="2"/>
  <c r="R283" i="2" s="1"/>
  <c r="R89" i="2"/>
  <c r="S269" i="2"/>
  <c r="R90" i="2"/>
  <c r="CH11" i="2"/>
  <c r="CH83" i="2" s="1"/>
  <c r="CH82" i="2"/>
  <c r="CH13" i="2"/>
  <c r="U189" i="3"/>
  <c r="U176" i="3"/>
  <c r="R83" i="1"/>
  <c r="Q83" i="1"/>
  <c r="BQ13" i="1"/>
  <c r="BI138" i="1"/>
  <c r="BI203" i="1"/>
  <c r="BI65" i="1" s="1"/>
  <c r="BI68" i="1" s="1"/>
  <c r="BI51" i="1"/>
  <c r="N164" i="1"/>
  <c r="BN58" i="1"/>
  <c r="N284" i="2"/>
  <c r="O269" i="2"/>
  <c r="N89" i="2"/>
  <c r="CH19" i="2"/>
  <c r="CH127" i="2"/>
  <c r="CH102" i="2" s="1"/>
  <c r="T247" i="2"/>
  <c r="S253" i="2"/>
  <c r="BK58" i="1"/>
  <c r="BK167" i="1"/>
  <c r="BO58" i="1"/>
  <c r="BO51" i="1"/>
  <c r="BO203" i="1"/>
  <c r="BO65" i="1" s="1"/>
  <c r="BO138" i="1"/>
  <c r="BO20" i="1" s="1"/>
  <c r="BR58" i="1"/>
  <c r="BR51" i="1"/>
  <c r="BR203" i="1"/>
  <c r="BR65" i="1" s="1"/>
  <c r="BW131" i="1"/>
  <c r="BW51" i="1"/>
  <c r="BW203" i="1"/>
  <c r="BW65" i="1" s="1"/>
  <c r="BM206" i="1"/>
  <c r="BM58" i="1"/>
  <c r="BM167" i="1"/>
  <c r="BV51" i="1"/>
  <c r="BV138" i="1"/>
  <c r="BV20" i="1" s="1"/>
  <c r="BV203" i="1"/>
  <c r="BV65" i="1" s="1"/>
  <c r="BV167" i="1"/>
  <c r="AC204" i="3"/>
  <c r="AC205" i="3" s="1"/>
  <c r="AB205" i="3"/>
  <c r="AB207" i="3" s="1"/>
  <c r="N44" i="1"/>
  <c r="N197" i="1"/>
  <c r="O284" i="2"/>
  <c r="O283" i="2" s="1"/>
  <c r="O89" i="2"/>
  <c r="P269" i="2"/>
  <c r="O90" i="2"/>
  <c r="R141" i="1"/>
  <c r="BJ58" i="1"/>
  <c r="BJ51" i="1"/>
  <c r="BJ203" i="1"/>
  <c r="BJ65" i="1" s="1"/>
  <c r="BX13" i="1"/>
  <c r="BX51" i="1"/>
  <c r="BX138" i="1"/>
  <c r="BX20" i="1" s="1"/>
  <c r="BX203" i="1"/>
  <c r="BX65" i="1" s="1"/>
  <c r="AA132" i="2"/>
  <c r="N83" i="1"/>
  <c r="O83" i="1"/>
  <c r="BQ58" i="1"/>
  <c r="BQ51" i="1"/>
  <c r="P164" i="1"/>
  <c r="BQ203" i="1"/>
  <c r="BQ65" i="1" s="1"/>
  <c r="BS58" i="1"/>
  <c r="BS131" i="1"/>
  <c r="BT51" i="1"/>
  <c r="BT138" i="1"/>
  <c r="BT20" i="1" s="1"/>
  <c r="BT203" i="1"/>
  <c r="BT65" i="1" s="1"/>
  <c r="BL51" i="1"/>
  <c r="BL203" i="1"/>
  <c r="BL65" i="1" s="1"/>
  <c r="BL138" i="1"/>
  <c r="BL20" i="1" s="1"/>
  <c r="BI167" i="1"/>
  <c r="BI131" i="1"/>
  <c r="BN131" i="1"/>
  <c r="M70" i="2"/>
  <c r="M72" i="2" s="1"/>
  <c r="M57" i="2"/>
  <c r="M280" i="2"/>
  <c r="R125" i="1"/>
  <c r="CG82" i="2"/>
  <c r="CG11" i="2"/>
  <c r="CG83" i="2" s="1"/>
  <c r="S14" i="1"/>
  <c r="S22" i="1" s="1"/>
  <c r="S258" i="2"/>
  <c r="CJ126" i="2"/>
  <c r="CJ101" i="2" s="1"/>
  <c r="P141" i="1"/>
  <c r="O22" i="1"/>
  <c r="AA123" i="1"/>
  <c r="AA125" i="1" s="1"/>
  <c r="AA124" i="1"/>
  <c r="S57" i="2"/>
  <c r="S88" i="2"/>
  <c r="S103" i="1"/>
  <c r="S110" i="1" s="1"/>
  <c r="S219" i="1"/>
  <c r="Q141" i="1"/>
  <c r="BM45" i="1"/>
  <c r="BM44" i="1"/>
  <c r="BM132" i="1"/>
  <c r="BM14" i="1" s="1"/>
  <c r="BM197" i="1"/>
  <c r="BM59" i="1" s="1"/>
  <c r="O44" i="1"/>
  <c r="O197" i="1"/>
  <c r="BW132" i="1"/>
  <c r="BW14" i="1" s="1"/>
  <c r="BW44" i="1"/>
  <c r="BW45" i="1"/>
  <c r="BW197" i="1"/>
  <c r="BW59" i="1" s="1"/>
  <c r="BK197" i="1"/>
  <c r="BK59" i="1" s="1"/>
  <c r="BK45" i="1"/>
  <c r="BK44" i="1"/>
  <c r="BS44" i="1"/>
  <c r="BS45" i="1"/>
  <c r="BS132" i="1"/>
  <c r="BS14" i="1" s="1"/>
  <c r="BS197" i="1"/>
  <c r="BS59" i="1" s="1"/>
  <c r="BT44" i="1"/>
  <c r="BT45" i="1"/>
  <c r="BT197" i="1"/>
  <c r="BT59" i="1" s="1"/>
  <c r="BT68" i="1" s="1"/>
  <c r="P45" i="1"/>
  <c r="P53" i="1" s="1"/>
  <c r="P197" i="1"/>
  <c r="BN44" i="1"/>
  <c r="BN197" i="1"/>
  <c r="BN59" i="1" s="1"/>
  <c r="BN45" i="1"/>
  <c r="BQ44" i="1"/>
  <c r="BQ45" i="1"/>
  <c r="BQ197" i="1"/>
  <c r="BQ59" i="1" s="1"/>
  <c r="BX54" i="1"/>
  <c r="BX53" i="1"/>
  <c r="Q260" i="2"/>
  <c r="P256" i="2"/>
  <c r="Q259" i="2" s="1"/>
  <c r="P221" i="2"/>
  <c r="P261" i="2" s="1"/>
  <c r="P83" i="2"/>
  <c r="R196" i="3"/>
  <c r="Q83" i="2"/>
  <c r="P13" i="2"/>
  <c r="Q273" i="2"/>
  <c r="BT17" i="2"/>
  <c r="BT114" i="2"/>
  <c r="BT85" i="2"/>
  <c r="BX85" i="2"/>
  <c r="BX93" i="2"/>
  <c r="BT93" i="2"/>
  <c r="CJ22" i="1"/>
  <c r="CJ24" i="1" s="1"/>
  <c r="CJ23" i="1"/>
  <c r="CJ54" i="1"/>
  <c r="CJ53" i="1"/>
  <c r="CJ55" i="1" s="1"/>
  <c r="BT100" i="2"/>
  <c r="BX100" i="2"/>
  <c r="R41" i="1"/>
  <c r="P90" i="2"/>
  <c r="P89" i="2"/>
  <c r="BI55" i="2"/>
  <c r="BI429" i="2"/>
  <c r="U162" i="2"/>
  <c r="BS51" i="1"/>
  <c r="BS203" i="1"/>
  <c r="BS65" i="1" s="1"/>
  <c r="BT13" i="1"/>
  <c r="BP58" i="1"/>
  <c r="BP203" i="1"/>
  <c r="BP65" i="1" s="1"/>
  <c r="BP51" i="1"/>
  <c r="BP138" i="1"/>
  <c r="BP20" i="1" s="1"/>
  <c r="BL58" i="1"/>
  <c r="BN51" i="1"/>
  <c r="BN203" i="1"/>
  <c r="BN65" i="1" s="1"/>
  <c r="BN138" i="1"/>
  <c r="BN20" i="1" s="1"/>
  <c r="BU58" i="1"/>
  <c r="BU51" i="1"/>
  <c r="BU203" i="1"/>
  <c r="BU65" i="1" s="1"/>
  <c r="R69" i="1"/>
  <c r="S69" i="1"/>
  <c r="CG19" i="2"/>
  <c r="CG127" i="2"/>
  <c r="CG102" i="2" s="1"/>
  <c r="Z82" i="1"/>
  <c r="Z81" i="1"/>
  <c r="Z83" i="1" s="1"/>
  <c r="AA72" i="1"/>
  <c r="P23" i="1"/>
  <c r="P22" i="1"/>
  <c r="P24" i="1" s="1"/>
  <c r="P265" i="2"/>
  <c r="P259" i="2" s="1"/>
  <c r="P249" i="2" s="1"/>
  <c r="O23" i="1"/>
  <c r="CJ213" i="1"/>
  <c r="CF110" i="1"/>
  <c r="CF109" i="1"/>
  <c r="CF111" i="1" s="1"/>
  <c r="V158" i="1"/>
  <c r="V162" i="1"/>
  <c r="V163" i="1"/>
  <c r="U141" i="2"/>
  <c r="U148" i="2" s="1"/>
  <c r="V161" i="1"/>
  <c r="V157" i="1"/>
  <c r="V26" i="1" s="1"/>
  <c r="V160" i="1"/>
  <c r="V166" i="1"/>
  <c r="CJ148" i="2"/>
  <c r="Q22" i="1"/>
  <c r="Q24" i="1" s="1"/>
  <c r="Q23" i="1"/>
  <c r="BL197" i="1"/>
  <c r="BL59" i="1" s="1"/>
  <c r="BL45" i="1"/>
  <c r="BL44" i="1"/>
  <c r="BR197" i="1"/>
  <c r="BR59" i="1" s="1"/>
  <c r="BR45" i="1"/>
  <c r="BR44" i="1"/>
  <c r="BO44" i="1"/>
  <c r="BO45" i="1"/>
  <c r="BO197" i="1"/>
  <c r="BO59" i="1" s="1"/>
  <c r="BU44" i="1"/>
  <c r="BU197" i="1"/>
  <c r="BU59" i="1" s="1"/>
  <c r="BU45" i="1"/>
  <c r="BU132" i="1"/>
  <c r="BU14" i="1" s="1"/>
  <c r="BJ45" i="1"/>
  <c r="BJ44" i="1"/>
  <c r="BJ132" i="1"/>
  <c r="BJ14" i="1" s="1"/>
  <c r="BJ197" i="1"/>
  <c r="BJ59" i="1" s="1"/>
  <c r="BI45" i="1"/>
  <c r="BI44" i="1"/>
  <c r="BI197" i="1"/>
  <c r="BI206" i="1" s="1"/>
  <c r="BP197" i="1"/>
  <c r="BP59" i="1" s="1"/>
  <c r="BP44" i="1"/>
  <c r="BP132" i="1"/>
  <c r="BP14" i="1" s="1"/>
  <c r="BP45" i="1"/>
  <c r="BV132" i="1"/>
  <c r="BV14" i="1" s="1"/>
  <c r="BV45" i="1"/>
  <c r="BV44" i="1"/>
  <c r="BV197" i="1"/>
  <c r="BV59" i="1" s="1"/>
  <c r="M44" i="1"/>
  <c r="M197" i="1"/>
  <c r="M59" i="1" s="1"/>
  <c r="M68" i="1" s="1"/>
  <c r="CJ141" i="2"/>
  <c r="CJ144" i="2" s="1"/>
  <c r="CJ10" i="2" s="1"/>
  <c r="CJ82" i="2" s="1"/>
  <c r="CJ140" i="1"/>
  <c r="CJ141" i="1" s="1"/>
  <c r="BX64" i="1"/>
  <c r="BX62" i="1"/>
  <c r="BX63" i="1"/>
  <c r="BX206" i="1"/>
  <c r="BX61" i="1"/>
  <c r="CG43" i="2"/>
  <c r="CH43" i="2" s="1"/>
  <c r="CI43" i="2" s="1"/>
  <c r="U43" i="2"/>
  <c r="T279" i="2"/>
  <c r="O125" i="1"/>
  <c r="BX58" i="1"/>
  <c r="AB189" i="3"/>
  <c r="AC178" i="3"/>
  <c r="AB176" i="3"/>
  <c r="Z17" i="3"/>
  <c r="W15" i="4" s="1"/>
  <c r="AC30" i="3"/>
  <c r="AC145" i="3" s="1"/>
  <c r="AB145" i="3"/>
  <c r="AC52" i="3"/>
  <c r="AC141" i="3"/>
  <c r="AC51" i="3"/>
  <c r="AB84" i="3"/>
  <c r="AA86" i="3"/>
  <c r="AA88" i="3" s="1"/>
  <c r="Y38" i="2" s="1"/>
  <c r="AC39" i="3"/>
  <c r="AB107" i="3"/>
  <c r="AB85" i="3" s="1"/>
  <c r="AC84" i="3" s="1"/>
  <c r="AB140" i="3"/>
  <c r="AB54" i="3"/>
  <c r="Y22" i="4" s="1"/>
  <c r="AA56" i="3"/>
  <c r="AC201" i="3"/>
  <c r="AC207" i="3" s="1"/>
  <c r="AC29" i="3"/>
  <c r="CJ172" i="2"/>
  <c r="CJ173" i="2" s="1"/>
  <c r="CI173" i="2"/>
  <c r="CH178" i="2"/>
  <c r="CH59" i="2"/>
  <c r="CI175" i="2"/>
  <c r="CI176" i="2" s="1"/>
  <c r="V59" i="2"/>
  <c r="W175" i="2"/>
  <c r="W176" i="2" s="1"/>
  <c r="V178" i="2"/>
  <c r="V67" i="4"/>
  <c r="W173" i="2"/>
  <c r="X172" i="2"/>
  <c r="CG60" i="2"/>
  <c r="CG76" i="2" s="1"/>
  <c r="CG180" i="2"/>
  <c r="CG61" i="2" s="1"/>
  <c r="U71" i="2"/>
  <c r="U278" i="2"/>
  <c r="X147" i="1" l="1"/>
  <c r="W154" i="2"/>
  <c r="X145" i="1"/>
  <c r="X149" i="1"/>
  <c r="W140" i="2"/>
  <c r="W147" i="2" s="1"/>
  <c r="X151" i="1"/>
  <c r="X144" i="1"/>
  <c r="X148" i="1"/>
  <c r="X153" i="1" s="1"/>
  <c r="X150" i="1"/>
  <c r="W154" i="1"/>
  <c r="Q55" i="1"/>
  <c r="X227" i="1"/>
  <c r="X228" i="1"/>
  <c r="X226" i="1"/>
  <c r="W158" i="2"/>
  <c r="W166" i="2" s="1"/>
  <c r="X224" i="1"/>
  <c r="W143" i="2"/>
  <c r="W150" i="2" s="1"/>
  <c r="X229" i="1"/>
  <c r="X230" i="1"/>
  <c r="X232" i="1"/>
  <c r="X223" i="1"/>
  <c r="X177" i="1"/>
  <c r="X175" i="1"/>
  <c r="W155" i="2"/>
  <c r="W163" i="2" s="1"/>
  <c r="X174" i="1"/>
  <c r="X173" i="1"/>
  <c r="X176" i="1"/>
  <c r="X179" i="1" s="1"/>
  <c r="X171" i="1"/>
  <c r="X170" i="1"/>
  <c r="W180" i="1"/>
  <c r="X188" i="1"/>
  <c r="X187" i="1"/>
  <c r="X189" i="1"/>
  <c r="X183" i="1"/>
  <c r="X192" i="1" s="1"/>
  <c r="X184" i="1"/>
  <c r="X186" i="1"/>
  <c r="W156" i="2"/>
  <c r="W164" i="2" s="1"/>
  <c r="X190" i="1"/>
  <c r="W193" i="1"/>
  <c r="BX67" i="1"/>
  <c r="BX68" i="1"/>
  <c r="BV53" i="1"/>
  <c r="BV54" i="1"/>
  <c r="BI54" i="1"/>
  <c r="BI53" i="1"/>
  <c r="BU53" i="1"/>
  <c r="BU54" i="1"/>
  <c r="BO54" i="1"/>
  <c r="BO53" i="1"/>
  <c r="BR53" i="1"/>
  <c r="BR54" i="1"/>
  <c r="BL53" i="1"/>
  <c r="BL54" i="1"/>
  <c r="AA81" i="1"/>
  <c r="AA83" i="1" s="1"/>
  <c r="AA82" i="1"/>
  <c r="CG86" i="2"/>
  <c r="CG20" i="2"/>
  <c r="CG115" i="2"/>
  <c r="CG94" i="2" s="1"/>
  <c r="BU206" i="1"/>
  <c r="BL67" i="1"/>
  <c r="BL68" i="1"/>
  <c r="P273" i="2"/>
  <c r="R179" i="3"/>
  <c r="R192" i="3" s="1"/>
  <c r="R191" i="3"/>
  <c r="R188" i="3"/>
  <c r="R178" i="3"/>
  <c r="Q272" i="2"/>
  <c r="Q250" i="2"/>
  <c r="BQ54" i="1"/>
  <c r="BQ53" i="1"/>
  <c r="BN53" i="1"/>
  <c r="BN54" i="1"/>
  <c r="BT53" i="1"/>
  <c r="BT55" i="1" s="1"/>
  <c r="BT54" i="1"/>
  <c r="BS53" i="1"/>
  <c r="BS55" i="1" s="1"/>
  <c r="BS54" i="1"/>
  <c r="O53" i="1"/>
  <c r="V43" i="2"/>
  <c r="W43" i="2" s="1"/>
  <c r="X43" i="2" s="1"/>
  <c r="Y43" i="2" s="1"/>
  <c r="Z43" i="2" s="1"/>
  <c r="AA43" i="2" s="1"/>
  <c r="U279" i="2"/>
  <c r="BT206" i="1"/>
  <c r="BP53" i="1"/>
  <c r="BP54" i="1"/>
  <c r="BI132" i="1"/>
  <c r="BJ53" i="1"/>
  <c r="BJ54" i="1"/>
  <c r="BO132" i="1"/>
  <c r="BR132" i="1"/>
  <c r="BL132" i="1"/>
  <c r="CJ124" i="2"/>
  <c r="CJ99" i="2" s="1"/>
  <c r="BU138" i="1"/>
  <c r="BU20" i="1" s="1"/>
  <c r="BU67" i="1"/>
  <c r="BU68" i="1"/>
  <c r="BL206" i="1"/>
  <c r="BP206" i="1"/>
  <c r="BS138" i="1"/>
  <c r="BS20" i="1" s="1"/>
  <c r="BI57" i="2"/>
  <c r="BM88" i="2"/>
  <c r="BI88" i="2"/>
  <c r="Q84" i="2"/>
  <c r="P16" i="2"/>
  <c r="P257" i="2"/>
  <c r="P84" i="2"/>
  <c r="P14" i="2"/>
  <c r="P113" i="2"/>
  <c r="BX55" i="1"/>
  <c r="CB55" i="1"/>
  <c r="BQ132" i="1"/>
  <c r="BN132" i="1"/>
  <c r="BN14" i="1" s="1"/>
  <c r="P59" i="1"/>
  <c r="BT132" i="1"/>
  <c r="BK53" i="1"/>
  <c r="BK54" i="1"/>
  <c r="BK132" i="1"/>
  <c r="BW54" i="1"/>
  <c r="BW53" i="1"/>
  <c r="O59" i="1"/>
  <c r="BM54" i="1"/>
  <c r="BM53" i="1"/>
  <c r="BM55" i="1" s="1"/>
  <c r="S284" i="2"/>
  <c r="S283" i="2" s="1"/>
  <c r="S89" i="2"/>
  <c r="T269" i="2"/>
  <c r="S90" i="2"/>
  <c r="T24" i="1"/>
  <c r="S24" i="1"/>
  <c r="CG13" i="2"/>
  <c r="N269" i="2"/>
  <c r="M284" i="2"/>
  <c r="BN13" i="1"/>
  <c r="BN141" i="1"/>
  <c r="BT67" i="1"/>
  <c r="BT69" i="1" s="1"/>
  <c r="BS206" i="1"/>
  <c r="BQ138" i="1"/>
  <c r="BQ20" i="1" s="1"/>
  <c r="P51" i="1"/>
  <c r="P203" i="1"/>
  <c r="P65" i="1" s="1"/>
  <c r="P167" i="1"/>
  <c r="BQ206" i="1"/>
  <c r="BX22" i="1"/>
  <c r="BX23" i="1"/>
  <c r="BJ206" i="1"/>
  <c r="N53" i="1"/>
  <c r="BM67" i="1"/>
  <c r="BM69" i="1" s="1"/>
  <c r="BM68" i="1"/>
  <c r="BW138" i="1"/>
  <c r="BW20" i="1" s="1"/>
  <c r="BR138" i="1"/>
  <c r="BR20" i="1" s="1"/>
  <c r="BR67" i="1"/>
  <c r="BR68" i="1"/>
  <c r="BO206" i="1"/>
  <c r="BK67" i="1"/>
  <c r="BK68" i="1"/>
  <c r="CH20" i="2"/>
  <c r="CH86" i="2"/>
  <c r="CH115" i="2"/>
  <c r="CH94" i="2" s="1"/>
  <c r="BN206" i="1"/>
  <c r="N50" i="1"/>
  <c r="N54" i="1" s="1"/>
  <c r="N203" i="1"/>
  <c r="N65" i="1" s="1"/>
  <c r="N167" i="1"/>
  <c r="M67" i="1"/>
  <c r="M69" i="1" s="1"/>
  <c r="R24" i="1"/>
  <c r="P54" i="1"/>
  <c r="BV206" i="1"/>
  <c r="BM141" i="1"/>
  <c r="O50" i="1"/>
  <c r="O54" i="1" s="1"/>
  <c r="O203" i="1"/>
  <c r="O65" i="1" s="1"/>
  <c r="O167" i="1"/>
  <c r="BW206" i="1"/>
  <c r="BK138" i="1"/>
  <c r="BK20" i="1" s="1"/>
  <c r="BU23" i="1"/>
  <c r="BU22" i="1"/>
  <c r="BP141" i="1"/>
  <c r="M54" i="1"/>
  <c r="M53" i="1"/>
  <c r="M55" i="1" s="1"/>
  <c r="W158" i="1"/>
  <c r="W161" i="1"/>
  <c r="W162" i="1"/>
  <c r="W160" i="1"/>
  <c r="W163" i="1"/>
  <c r="V141" i="2"/>
  <c r="V148" i="2" s="1"/>
  <c r="W157" i="1"/>
  <c r="W26" i="1" s="1"/>
  <c r="W166" i="1"/>
  <c r="BP67" i="1"/>
  <c r="BP69" i="1" s="1"/>
  <c r="BP68" i="1"/>
  <c r="P251" i="2"/>
  <c r="P271" i="2"/>
  <c r="T214" i="1"/>
  <c r="CJ214" i="1" s="1"/>
  <c r="CJ104" i="1" s="1"/>
  <c r="T217" i="1"/>
  <c r="CJ217" i="1" s="1"/>
  <c r="CJ107" i="1" s="1"/>
  <c r="S220" i="1"/>
  <c r="S157" i="2"/>
  <c r="T210" i="1"/>
  <c r="CJ210" i="1" s="1"/>
  <c r="T215" i="1"/>
  <c r="CJ215" i="1" s="1"/>
  <c r="CJ105" i="1" s="1"/>
  <c r="T211" i="1"/>
  <c r="CJ211" i="1" s="1"/>
  <c r="CJ101" i="1" s="1"/>
  <c r="T213" i="1"/>
  <c r="T216" i="1"/>
  <c r="CJ216" i="1" s="1"/>
  <c r="CJ106" i="1" s="1"/>
  <c r="BI13" i="1"/>
  <c r="N131" i="1"/>
  <c r="BI141" i="1"/>
  <c r="BS13" i="1"/>
  <c r="BS141" i="1"/>
  <c r="BS68" i="1"/>
  <c r="BS67" i="1"/>
  <c r="BS69" i="1" s="1"/>
  <c r="BQ68" i="1"/>
  <c r="BQ67" i="1"/>
  <c r="BQ69" i="1" s="1"/>
  <c r="BX141" i="1"/>
  <c r="BJ138" i="1"/>
  <c r="BJ20" i="1" s="1"/>
  <c r="BJ67" i="1"/>
  <c r="BJ68" i="1"/>
  <c r="N59" i="1"/>
  <c r="BW13" i="1"/>
  <c r="BR206" i="1"/>
  <c r="BO67" i="1"/>
  <c r="BO69" i="1" s="1"/>
  <c r="BO68" i="1"/>
  <c r="BK206" i="1"/>
  <c r="S248" i="2"/>
  <c r="S251" i="2"/>
  <c r="S252" i="2"/>
  <c r="S250" i="2"/>
  <c r="N283" i="2"/>
  <c r="BN68" i="1"/>
  <c r="BN67" i="1"/>
  <c r="BN69" i="1" s="1"/>
  <c r="BI20" i="1"/>
  <c r="CH16" i="2"/>
  <c r="CH84" i="2"/>
  <c r="CH14" i="2"/>
  <c r="BJ23" i="1"/>
  <c r="BJ22" i="1"/>
  <c r="BJ24" i="1" s="1"/>
  <c r="M283" i="2"/>
  <c r="BV13" i="1"/>
  <c r="BV141" i="1"/>
  <c r="BV67" i="1"/>
  <c r="BV68" i="1"/>
  <c r="BM23" i="1"/>
  <c r="BM22" i="1"/>
  <c r="BW67" i="1"/>
  <c r="BW68" i="1"/>
  <c r="U135" i="3"/>
  <c r="U137" i="3" s="1"/>
  <c r="U162" i="3"/>
  <c r="U164" i="3" s="1"/>
  <c r="V162" i="2"/>
  <c r="BP22" i="1"/>
  <c r="BP23" i="1"/>
  <c r="AA17" i="3"/>
  <c r="X15" i="4" s="1"/>
  <c r="AC189" i="3"/>
  <c r="AC176" i="3"/>
  <c r="AB86" i="3"/>
  <c r="AB88" i="3" s="1"/>
  <c r="Z38" i="2" s="1"/>
  <c r="AC140" i="3"/>
  <c r="AC107" i="3"/>
  <c r="AC85" i="3" s="1"/>
  <c r="AC86" i="3" s="1"/>
  <c r="AC88" i="3" s="1"/>
  <c r="AA38" i="2" s="1"/>
  <c r="AC54" i="3"/>
  <c r="AC56" i="3" s="1"/>
  <c r="Z22" i="4"/>
  <c r="AB56" i="3"/>
  <c r="CH60" i="2"/>
  <c r="CH76" i="2" s="1"/>
  <c r="CH180" i="2"/>
  <c r="CH61" i="2" s="1"/>
  <c r="CH63" i="2" s="1"/>
  <c r="CJ175" i="2"/>
  <c r="CJ176" i="2" s="1"/>
  <c r="CI178" i="2"/>
  <c r="CI59" i="2"/>
  <c r="CG63" i="2"/>
  <c r="Y172" i="2"/>
  <c r="W67" i="4"/>
  <c r="X173" i="2"/>
  <c r="V180" i="2"/>
  <c r="V60" i="2"/>
  <c r="W59" i="2"/>
  <c r="X175" i="2"/>
  <c r="X176" i="2" s="1"/>
  <c r="W178" i="2"/>
  <c r="Y174" i="1" l="1"/>
  <c r="Y176" i="1"/>
  <c r="X155" i="2"/>
  <c r="X163" i="2" s="1"/>
  <c r="Y173" i="1"/>
  <c r="Y171" i="1"/>
  <c r="Y177" i="1"/>
  <c r="Y175" i="1"/>
  <c r="Y179" i="1"/>
  <c r="Y170" i="1"/>
  <c r="X180" i="1"/>
  <c r="Y190" i="1"/>
  <c r="Y187" i="1"/>
  <c r="Y188" i="1"/>
  <c r="Y184" i="1"/>
  <c r="Y192" i="1" s="1"/>
  <c r="Y186" i="1"/>
  <c r="X156" i="2"/>
  <c r="X164" i="2" s="1"/>
  <c r="Y183" i="1"/>
  <c r="Y189" i="1"/>
  <c r="X193" i="1"/>
  <c r="Y148" i="1"/>
  <c r="Y145" i="1"/>
  <c r="Y149" i="1"/>
  <c r="Y144" i="1"/>
  <c r="Y153" i="1"/>
  <c r="Y151" i="1"/>
  <c r="Y154" i="1"/>
  <c r="Y147" i="1"/>
  <c r="X140" i="2"/>
  <c r="X147" i="2" s="1"/>
  <c r="Y150" i="1"/>
  <c r="X154" i="2"/>
  <c r="X154" i="1"/>
  <c r="BW23" i="1"/>
  <c r="BW22" i="1"/>
  <c r="CF157" i="2"/>
  <c r="CF159" i="2" s="1"/>
  <c r="S165" i="2"/>
  <c r="S167" i="2" s="1"/>
  <c r="S159" i="2"/>
  <c r="X163" i="1"/>
  <c r="W141" i="2"/>
  <c r="W148" i="2" s="1"/>
  <c r="X158" i="1"/>
  <c r="X162" i="1"/>
  <c r="X157" i="1"/>
  <c r="X161" i="1"/>
  <c r="X166" i="1" s="1"/>
  <c r="X160" i="1"/>
  <c r="BN23" i="1"/>
  <c r="BN22" i="1"/>
  <c r="BN24" i="1" s="1"/>
  <c r="BT14" i="1"/>
  <c r="BT141" i="1"/>
  <c r="BQ14" i="1"/>
  <c r="BQ141" i="1"/>
  <c r="Q247" i="2"/>
  <c r="Q252" i="2" s="1"/>
  <c r="P253" i="2"/>
  <c r="BO14" i="1"/>
  <c r="BO141" i="1"/>
  <c r="O55" i="1"/>
  <c r="BU141" i="1"/>
  <c r="U167" i="3"/>
  <c r="U169" i="3" s="1"/>
  <c r="U138" i="3"/>
  <c r="U156" i="3"/>
  <c r="U150" i="3"/>
  <c r="U149" i="3"/>
  <c r="U158" i="3" s="1"/>
  <c r="CA69" i="1"/>
  <c r="BW69" i="1"/>
  <c r="BZ69" i="1"/>
  <c r="BV69" i="1"/>
  <c r="BV22" i="1"/>
  <c r="BV23" i="1"/>
  <c r="CH17" i="2"/>
  <c r="CH85" i="2"/>
  <c r="CH114" i="2"/>
  <c r="N138" i="1"/>
  <c r="N20" i="1" s="1"/>
  <c r="BW141" i="1"/>
  <c r="N206" i="1"/>
  <c r="BS22" i="1"/>
  <c r="BS23" i="1"/>
  <c r="N13" i="1"/>
  <c r="T219" i="1"/>
  <c r="CJ100" i="1"/>
  <c r="CJ219" i="1"/>
  <c r="CJ220" i="1" s="1"/>
  <c r="BY24" i="1"/>
  <c r="BJ141" i="1"/>
  <c r="CB24" i="1"/>
  <c r="CG14" i="2"/>
  <c r="CG84" i="2"/>
  <c r="CG16" i="2"/>
  <c r="O206" i="1"/>
  <c r="CA55" i="1"/>
  <c r="BW55" i="1"/>
  <c r="BK14" i="1"/>
  <c r="BK141" i="1"/>
  <c r="P206" i="1"/>
  <c r="Q93" i="2"/>
  <c r="P93" i="2"/>
  <c r="P96" i="2" s="1"/>
  <c r="Q97" i="2" s="1"/>
  <c r="P114" i="2"/>
  <c r="P17" i="2"/>
  <c r="Q276" i="2"/>
  <c r="Q85" i="2"/>
  <c r="P85" i="2"/>
  <c r="P276" i="2"/>
  <c r="P283" i="2" s="1"/>
  <c r="R198" i="3"/>
  <c r="R133" i="3"/>
  <c r="BI90" i="2"/>
  <c r="BI89" i="2"/>
  <c r="BM89" i="2"/>
  <c r="BM90" i="2"/>
  <c r="BU69" i="1"/>
  <c r="BY69" i="1"/>
  <c r="BR14" i="1"/>
  <c r="BR141" i="1"/>
  <c r="BI14" i="1"/>
  <c r="N132" i="1"/>
  <c r="BP55" i="1"/>
  <c r="BQ55" i="1"/>
  <c r="R176" i="3"/>
  <c r="R189" i="3"/>
  <c r="BO55" i="1"/>
  <c r="X26" i="1"/>
  <c r="W162" i="2"/>
  <c r="N68" i="1"/>
  <c r="N67" i="1"/>
  <c r="N69" i="1" s="1"/>
  <c r="BI22" i="1"/>
  <c r="BI24" i="1" s="1"/>
  <c r="BI23" i="1"/>
  <c r="BR69" i="1"/>
  <c r="N55" i="1"/>
  <c r="O67" i="1"/>
  <c r="O68" i="1"/>
  <c r="P68" i="1"/>
  <c r="P67" i="1"/>
  <c r="BL14" i="1"/>
  <c r="BL141" i="1"/>
  <c r="BN55" i="1"/>
  <c r="Q283" i="2"/>
  <c r="BR55" i="1"/>
  <c r="BU55" i="1"/>
  <c r="BY55" i="1"/>
  <c r="BV55" i="1"/>
  <c r="BZ55" i="1"/>
  <c r="CB69" i="1"/>
  <c r="BX69" i="1"/>
  <c r="Y229" i="1"/>
  <c r="Y227" i="1"/>
  <c r="X143" i="2"/>
  <c r="X150" i="2" s="1"/>
  <c r="Y228" i="1"/>
  <c r="X158" i="2"/>
  <c r="X166" i="2" s="1"/>
  <c r="Y224" i="1"/>
  <c r="Y232" i="1" s="1"/>
  <c r="Y226" i="1"/>
  <c r="Y230" i="1"/>
  <c r="Y223" i="1"/>
  <c r="P55" i="1"/>
  <c r="AB17" i="3"/>
  <c r="Y15" i="4" s="1"/>
  <c r="V67" i="2"/>
  <c r="V279" i="2"/>
  <c r="V61" i="2"/>
  <c r="W60" i="2"/>
  <c r="W180" i="2"/>
  <c r="X178" i="2"/>
  <c r="Y175" i="2"/>
  <c r="Y176" i="2" s="1"/>
  <c r="X59" i="2"/>
  <c r="Z172" i="2"/>
  <c r="Y173" i="2"/>
  <c r="X67" i="4"/>
  <c r="CI60" i="2"/>
  <c r="CI76" i="2" s="1"/>
  <c r="CI180" i="2"/>
  <c r="CI61" i="2" s="1"/>
  <c r="CI63" i="2" s="1"/>
  <c r="CJ178" i="2"/>
  <c r="CJ59" i="2"/>
  <c r="Z224" i="1" l="1"/>
  <c r="Z227" i="1"/>
  <c r="Y158" i="2"/>
  <c r="Y166" i="2" s="1"/>
  <c r="Z228" i="1"/>
  <c r="Z229" i="1"/>
  <c r="Z230" i="1"/>
  <c r="Y143" i="2"/>
  <c r="Y150" i="2" s="1"/>
  <c r="Z226" i="1"/>
  <c r="Z232" i="1" s="1"/>
  <c r="Z223" i="1"/>
  <c r="Z188" i="1"/>
  <c r="Y156" i="2"/>
  <c r="Y164" i="2" s="1"/>
  <c r="Z183" i="1"/>
  <c r="Z192" i="1" s="1"/>
  <c r="Z187" i="1"/>
  <c r="Z189" i="1"/>
  <c r="Z190" i="1"/>
  <c r="Z186" i="1"/>
  <c r="Z184" i="1"/>
  <c r="Y193" i="1"/>
  <c r="Y161" i="1"/>
  <c r="Y163" i="1"/>
  <c r="Y157" i="1"/>
  <c r="Y160" i="1"/>
  <c r="X141" i="2"/>
  <c r="X148" i="2" s="1"/>
  <c r="Y158" i="1"/>
  <c r="Y162" i="1"/>
  <c r="Y166" i="1"/>
  <c r="P69" i="1"/>
  <c r="Q69" i="1"/>
  <c r="N14" i="1"/>
  <c r="N264" i="2" s="1"/>
  <c r="N258" i="2"/>
  <c r="N248" i="2" s="1"/>
  <c r="N252" i="2" s="1"/>
  <c r="R135" i="3"/>
  <c r="R137" i="3" s="1"/>
  <c r="R162" i="3"/>
  <c r="R164" i="3" s="1"/>
  <c r="BK22" i="1"/>
  <c r="BK24" i="1" s="1"/>
  <c r="BK23" i="1"/>
  <c r="CG85" i="2"/>
  <c r="CG114" i="2"/>
  <c r="CG17" i="2"/>
  <c r="U215" i="1"/>
  <c r="U216" i="1"/>
  <c r="U217" i="1"/>
  <c r="U210" i="1"/>
  <c r="U214" i="1"/>
  <c r="U211" i="1"/>
  <c r="U213" i="1"/>
  <c r="U219" i="1"/>
  <c r="T157" i="2"/>
  <c r="T220" i="1"/>
  <c r="N265" i="2"/>
  <c r="N259" i="2" s="1"/>
  <c r="N249" i="2" s="1"/>
  <c r="N22" i="1"/>
  <c r="N23" i="1"/>
  <c r="BZ24" i="1"/>
  <c r="BO23" i="1"/>
  <c r="BO22" i="1"/>
  <c r="BO24" i="1" s="1"/>
  <c r="BQ23" i="1"/>
  <c r="BQ22" i="1"/>
  <c r="BT22" i="1"/>
  <c r="BT23" i="1"/>
  <c r="X162" i="2"/>
  <c r="Z145" i="1"/>
  <c r="Y154" i="2"/>
  <c r="Z150" i="1"/>
  <c r="Z144" i="1"/>
  <c r="Z148" i="1"/>
  <c r="Z149" i="1"/>
  <c r="Z151" i="1"/>
  <c r="Y140" i="2"/>
  <c r="Y147" i="2" s="1"/>
  <c r="Z147" i="1"/>
  <c r="Z153" i="1" s="1"/>
  <c r="Z175" i="1"/>
  <c r="Z173" i="1"/>
  <c r="Z176" i="1"/>
  <c r="Z177" i="1"/>
  <c r="Z174" i="1"/>
  <c r="Y155" i="2"/>
  <c r="Y163" i="2" s="1"/>
  <c r="Z171" i="1"/>
  <c r="Z170" i="1"/>
  <c r="Z179" i="1" s="1"/>
  <c r="Y180" i="1"/>
  <c r="BL22" i="1"/>
  <c r="BL23" i="1"/>
  <c r="O69" i="1"/>
  <c r="BR22" i="1"/>
  <c r="BR24" i="1" s="1"/>
  <c r="BR23" i="1"/>
  <c r="CJ109" i="1"/>
  <c r="CJ111" i="1" s="1"/>
  <c r="CJ110" i="1"/>
  <c r="N141" i="1"/>
  <c r="P248" i="2"/>
  <c r="P252" i="2" s="1"/>
  <c r="S135" i="2"/>
  <c r="S110" i="2" s="1"/>
  <c r="BW24" i="1"/>
  <c r="CA24" i="1"/>
  <c r="BM24" i="1"/>
  <c r="Y26" i="1"/>
  <c r="AC17" i="3"/>
  <c r="Z15" i="4"/>
  <c r="AA172" i="2"/>
  <c r="Y67" i="4"/>
  <c r="Z173" i="2"/>
  <c r="V71" i="2"/>
  <c r="V278" i="2"/>
  <c r="X60" i="2"/>
  <c r="X180" i="2"/>
  <c r="CJ60" i="2"/>
  <c r="CJ76" i="2" s="1"/>
  <c r="CJ180" i="2"/>
  <c r="CJ61" i="2" s="1"/>
  <c r="W61" i="2"/>
  <c r="W279" i="2"/>
  <c r="W67" i="2"/>
  <c r="Z175" i="2"/>
  <c r="Z176" i="2" s="1"/>
  <c r="Y59" i="2"/>
  <c r="Y178" i="2"/>
  <c r="AA174" i="1" l="1"/>
  <c r="Z155" i="2"/>
  <c r="Z163" i="2" s="1"/>
  <c r="AA173" i="1"/>
  <c r="AA175" i="1"/>
  <c r="AA171" i="1"/>
  <c r="AA177" i="1"/>
  <c r="AA176" i="1"/>
  <c r="AA179" i="1" s="1"/>
  <c r="AA170" i="1"/>
  <c r="Z180" i="1"/>
  <c r="Z140" i="2"/>
  <c r="Z147" i="2" s="1"/>
  <c r="AA148" i="1"/>
  <c r="AA149" i="1"/>
  <c r="AA150" i="1"/>
  <c r="AA147" i="1"/>
  <c r="AA151" i="1"/>
  <c r="Z154" i="2"/>
  <c r="AA145" i="1"/>
  <c r="AA153" i="1" s="1"/>
  <c r="AA144" i="1"/>
  <c r="Z154" i="1"/>
  <c r="Z156" i="2"/>
  <c r="Z164" i="2" s="1"/>
  <c r="AA184" i="1"/>
  <c r="AA189" i="1"/>
  <c r="AA188" i="1"/>
  <c r="AA183" i="1"/>
  <c r="AA192" i="1" s="1"/>
  <c r="AA186" i="1"/>
  <c r="AA187" i="1"/>
  <c r="AA190" i="1"/>
  <c r="Z193" i="1"/>
  <c r="AA230" i="1"/>
  <c r="Z143" i="2"/>
  <c r="Z150" i="2" s="1"/>
  <c r="AA224" i="1"/>
  <c r="AA226" i="1"/>
  <c r="AA228" i="1"/>
  <c r="AA227" i="1"/>
  <c r="Z158" i="2"/>
  <c r="Z166" i="2" s="1"/>
  <c r="AA229" i="1"/>
  <c r="AA223" i="1"/>
  <c r="AA232" i="1" s="1"/>
  <c r="BQ24" i="1"/>
  <c r="BU24" i="1"/>
  <c r="BS24" i="1"/>
  <c r="N24" i="1"/>
  <c r="O24" i="1"/>
  <c r="V217" i="1"/>
  <c r="V211" i="1"/>
  <c r="V214" i="1"/>
  <c r="V213" i="1"/>
  <c r="U157" i="2"/>
  <c r="V216" i="1"/>
  <c r="V210" i="1"/>
  <c r="V219" i="1" s="1"/>
  <c r="V215" i="1"/>
  <c r="U220" i="1"/>
  <c r="Z162" i="1"/>
  <c r="Z157" i="1"/>
  <c r="Z158" i="1"/>
  <c r="Z166" i="1" s="1"/>
  <c r="Y141" i="2"/>
  <c r="Y148" i="2" s="1"/>
  <c r="Z163" i="1"/>
  <c r="Z160" i="1"/>
  <c r="Z161" i="1"/>
  <c r="BL24" i="1"/>
  <c r="BP24" i="1"/>
  <c r="Z26" i="1"/>
  <c r="Y162" i="2"/>
  <c r="BT24" i="1"/>
  <c r="BX24" i="1"/>
  <c r="BV24" i="1"/>
  <c r="T165" i="2"/>
  <c r="T167" i="2" s="1"/>
  <c r="CJ157" i="2"/>
  <c r="CJ159" i="2" s="1"/>
  <c r="T159" i="2"/>
  <c r="R138" i="3"/>
  <c r="R156" i="3"/>
  <c r="S167" i="3"/>
  <c r="S169" i="3" s="1"/>
  <c r="R167" i="3"/>
  <c r="R169" i="3" s="1"/>
  <c r="R150" i="3"/>
  <c r="R149" i="3"/>
  <c r="R158" i="3" s="1"/>
  <c r="Y180" i="2"/>
  <c r="Y60" i="2"/>
  <c r="W71" i="2"/>
  <c r="W278" i="2"/>
  <c r="Z178" i="2"/>
  <c r="Z59" i="2"/>
  <c r="AA175" i="2"/>
  <c r="AA176" i="2" s="1"/>
  <c r="X61" i="2"/>
  <c r="X67" i="2"/>
  <c r="X279" i="2"/>
  <c r="Z67" i="4"/>
  <c r="AA173" i="2"/>
  <c r="W213" i="1" l="1"/>
  <c r="V157" i="2"/>
  <c r="W216" i="1"/>
  <c r="W215" i="1"/>
  <c r="W211" i="1"/>
  <c r="W217" i="1"/>
  <c r="W214" i="1"/>
  <c r="W219" i="1" s="1"/>
  <c r="W210" i="1"/>
  <c r="V220" i="1"/>
  <c r="AA143" i="2"/>
  <c r="AA150" i="2" s="1"/>
  <c r="AA158" i="2"/>
  <c r="AA166" i="2" s="1"/>
  <c r="AA140" i="2"/>
  <c r="AA147" i="2" s="1"/>
  <c r="AA154" i="2"/>
  <c r="AA154" i="1"/>
  <c r="AA155" i="2"/>
  <c r="AA163" i="2" s="1"/>
  <c r="AA180" i="1"/>
  <c r="AA163" i="1"/>
  <c r="AA162" i="1"/>
  <c r="AA158" i="1"/>
  <c r="AA161" i="1"/>
  <c r="Z141" i="2"/>
  <c r="Z148" i="2" s="1"/>
  <c r="AA160" i="1"/>
  <c r="AA157" i="1"/>
  <c r="AA166" i="1" s="1"/>
  <c r="AA141" i="2" s="1"/>
  <c r="AA148" i="2" s="1"/>
  <c r="AA156" i="2"/>
  <c r="AA164" i="2" s="1"/>
  <c r="AA193" i="1"/>
  <c r="U165" i="2"/>
  <c r="U167" i="2" s="1"/>
  <c r="U135" i="2" s="1"/>
  <c r="U159" i="2"/>
  <c r="T135" i="2"/>
  <c r="T110" i="2" s="1"/>
  <c r="AA26" i="1"/>
  <c r="Z162" i="2"/>
  <c r="AA178" i="2"/>
  <c r="AA59" i="2"/>
  <c r="Z60" i="2"/>
  <c r="Z180" i="2"/>
  <c r="Y67" i="2"/>
  <c r="Y279" i="2"/>
  <c r="Y61" i="2"/>
  <c r="X71" i="2"/>
  <c r="X278" i="2"/>
  <c r="X213" i="1" l="1"/>
  <c r="X217" i="1"/>
  <c r="X214" i="1"/>
  <c r="X216" i="1"/>
  <c r="X210" i="1"/>
  <c r="X219" i="1" s="1"/>
  <c r="X211" i="1"/>
  <c r="X215" i="1"/>
  <c r="W157" i="2"/>
  <c r="W220" i="1"/>
  <c r="U110" i="2"/>
  <c r="AA162" i="2"/>
  <c r="V165" i="2"/>
  <c r="V167" i="2" s="1"/>
  <c r="V135" i="2" s="1"/>
  <c r="V110" i="2" s="1"/>
  <c r="V159" i="2"/>
  <c r="Y71" i="2"/>
  <c r="Y278" i="2"/>
  <c r="Z67" i="2"/>
  <c r="Z279" i="2"/>
  <c r="Z61" i="2"/>
  <c r="AA180" i="2"/>
  <c r="AA60" i="2"/>
  <c r="Y216" i="1" l="1"/>
  <c r="Y217" i="1"/>
  <c r="Y210" i="1"/>
  <c r="Y219" i="1" s="1"/>
  <c r="X157" i="2"/>
  <c r="Y215" i="1"/>
  <c r="Y211" i="1"/>
  <c r="Y214" i="1"/>
  <c r="Y213" i="1"/>
  <c r="X220" i="1"/>
  <c r="W165" i="2"/>
  <c r="W167" i="2" s="1"/>
  <c r="W135" i="2" s="1"/>
  <c r="W110" i="2" s="1"/>
  <c r="W159" i="2"/>
  <c r="AA67" i="2"/>
  <c r="AA279" i="2"/>
  <c r="AA61" i="2"/>
  <c r="Z278" i="2"/>
  <c r="Z71" i="2"/>
  <c r="Z211" i="1" l="1"/>
  <c r="Z216" i="1"/>
  <c r="Y157" i="2"/>
  <c r="Z213" i="1"/>
  <c r="Z217" i="1"/>
  <c r="Z215" i="1"/>
  <c r="Z214" i="1"/>
  <c r="Z210" i="1"/>
  <c r="Z219" i="1" s="1"/>
  <c r="Y220" i="1"/>
  <c r="X165" i="2"/>
  <c r="X167" i="2" s="1"/>
  <c r="X159" i="2"/>
  <c r="AA278" i="2"/>
  <c r="AA71" i="2"/>
  <c r="AA210" i="1" l="1"/>
  <c r="Z157" i="2"/>
  <c r="AA215" i="1"/>
  <c r="AA217" i="1"/>
  <c r="AA213" i="1"/>
  <c r="AA216" i="1"/>
  <c r="AA214" i="1"/>
  <c r="AA211" i="1"/>
  <c r="AA219" i="1" s="1"/>
  <c r="Z220" i="1"/>
  <c r="Y165" i="2"/>
  <c r="Y167" i="2" s="1"/>
  <c r="Y159" i="2"/>
  <c r="X135" i="2"/>
  <c r="X110" i="2" s="1"/>
  <c r="Q289" i="2"/>
  <c r="R289" i="2"/>
  <c r="T23" i="3"/>
  <c r="T24" i="3" s="1"/>
  <c r="T99" i="3" s="1"/>
  <c r="T101" i="3"/>
  <c r="U23" i="3"/>
  <c r="U24" i="3" s="1"/>
  <c r="U99" i="3" s="1"/>
  <c r="V94" i="3"/>
  <c r="U101" i="3"/>
  <c r="AE57" i="3"/>
  <c r="AA157" i="2" l="1"/>
  <c r="AA220" i="1"/>
  <c r="Y135" i="2"/>
  <c r="Y110" i="2" s="1"/>
  <c r="Z165" i="2"/>
  <c r="Z167" i="2" s="1"/>
  <c r="Z135" i="2" s="1"/>
  <c r="Z110" i="2" s="1"/>
  <c r="Z159" i="2"/>
  <c r="U94" i="3"/>
  <c r="U96" i="3" s="1"/>
  <c r="AA165" i="2" l="1"/>
  <c r="AA167" i="2" s="1"/>
  <c r="AA135" i="2" s="1"/>
  <c r="AA110" i="2" s="1"/>
  <c r="AA159" i="2"/>
  <c r="V13" i="3" l="1"/>
  <c r="W13" i="3"/>
  <c r="X13" i="3"/>
  <c r="Y13" i="3"/>
  <c r="Z13" i="3"/>
  <c r="AA13" i="3"/>
  <c r="AB13" i="3"/>
  <c r="AC13" i="3"/>
  <c r="V14" i="3"/>
  <c r="W14" i="3"/>
  <c r="X14" i="3"/>
  <c r="Y14" i="3"/>
  <c r="Z14" i="3"/>
  <c r="AA14" i="3"/>
  <c r="AB14" i="3"/>
  <c r="AC14" i="3"/>
  <c r="V15" i="3"/>
  <c r="W15" i="3"/>
  <c r="X15" i="3"/>
  <c r="Y15" i="3"/>
  <c r="Z15" i="3"/>
  <c r="AA15" i="3"/>
  <c r="AB15" i="3"/>
  <c r="AC15" i="3"/>
  <c r="V16" i="3"/>
  <c r="W16" i="3"/>
  <c r="X16" i="3"/>
  <c r="Y16" i="3"/>
  <c r="Z16" i="3"/>
  <c r="AA16" i="3"/>
  <c r="AB16" i="3"/>
  <c r="AC16" i="3"/>
  <c r="V19" i="3"/>
  <c r="W19" i="3"/>
  <c r="X19" i="3"/>
  <c r="Y19" i="3"/>
  <c r="Z19" i="3"/>
  <c r="AA19" i="3"/>
  <c r="AB19" i="3"/>
  <c r="AC19" i="3"/>
  <c r="S23" i="3"/>
  <c r="V23" i="3"/>
  <c r="W23" i="3"/>
  <c r="X23" i="3"/>
  <c r="Y23" i="3"/>
  <c r="Z23" i="3"/>
  <c r="AA23" i="3"/>
  <c r="AB23" i="3"/>
  <c r="AC23" i="3"/>
  <c r="S24" i="3"/>
  <c r="V24" i="3"/>
  <c r="W24" i="3"/>
  <c r="X24" i="3"/>
  <c r="Y24" i="3"/>
  <c r="Z24" i="3"/>
  <c r="AA24" i="3"/>
  <c r="AB24" i="3"/>
  <c r="AC24" i="3"/>
  <c r="V25" i="3"/>
  <c r="W25" i="3"/>
  <c r="X25" i="3"/>
  <c r="Y25" i="3"/>
  <c r="Z25" i="3"/>
  <c r="AA25" i="3"/>
  <c r="AB25" i="3"/>
  <c r="AC25" i="3"/>
  <c r="V33" i="3"/>
  <c r="W33" i="3"/>
  <c r="X33" i="3"/>
  <c r="Y33" i="3"/>
  <c r="Z33" i="3"/>
  <c r="AA33" i="3"/>
  <c r="AB33" i="3"/>
  <c r="AC33" i="3"/>
  <c r="V35" i="3"/>
  <c r="W35" i="3"/>
  <c r="X35" i="3"/>
  <c r="Y35" i="3"/>
  <c r="Z35" i="3"/>
  <c r="AA35" i="3"/>
  <c r="AB35" i="3"/>
  <c r="AC35" i="3"/>
  <c r="V42" i="3"/>
  <c r="W42" i="3"/>
  <c r="X42" i="3"/>
  <c r="Y42" i="3"/>
  <c r="Z42" i="3"/>
  <c r="AA42" i="3"/>
  <c r="AB42" i="3"/>
  <c r="AC42" i="3"/>
  <c r="V43" i="3"/>
  <c r="W43" i="3"/>
  <c r="X43" i="3"/>
  <c r="Y43" i="3"/>
  <c r="Z43" i="3"/>
  <c r="AA43" i="3"/>
  <c r="AB43" i="3"/>
  <c r="AC43" i="3"/>
  <c r="V44" i="3"/>
  <c r="W44" i="3"/>
  <c r="X44" i="3"/>
  <c r="Y44" i="3"/>
  <c r="Z44" i="3"/>
  <c r="AA44" i="3"/>
  <c r="AB44" i="3"/>
  <c r="AC44" i="3"/>
  <c r="V45" i="3"/>
  <c r="W45" i="3"/>
  <c r="X45" i="3"/>
  <c r="Y45" i="3"/>
  <c r="Z45" i="3"/>
  <c r="AA45" i="3"/>
  <c r="AB45" i="3"/>
  <c r="AC45" i="3"/>
  <c r="V49" i="3"/>
  <c r="W49" i="3"/>
  <c r="X49" i="3"/>
  <c r="Y49" i="3"/>
  <c r="Z49" i="3"/>
  <c r="AA49" i="3"/>
  <c r="AB49" i="3"/>
  <c r="AC49" i="3"/>
  <c r="V57" i="3"/>
  <c r="W57" i="3"/>
  <c r="X57" i="3"/>
  <c r="Y57" i="3"/>
  <c r="Z57" i="3"/>
  <c r="AA57" i="3"/>
  <c r="AB57" i="3"/>
  <c r="AC57" i="3"/>
  <c r="V64" i="3"/>
  <c r="W64" i="3"/>
  <c r="X64" i="3"/>
  <c r="Y64" i="3"/>
  <c r="Z64" i="3"/>
  <c r="AA64" i="3"/>
  <c r="AB64" i="3"/>
  <c r="AC64" i="3"/>
  <c r="V67" i="3"/>
  <c r="W67" i="3"/>
  <c r="X67" i="3"/>
  <c r="Y67" i="3"/>
  <c r="Z67" i="3"/>
  <c r="AA67" i="3"/>
  <c r="AB67" i="3"/>
  <c r="AC67" i="3"/>
  <c r="V69" i="3"/>
  <c r="W69" i="3"/>
  <c r="X69" i="3"/>
  <c r="Y69" i="3"/>
  <c r="Z69" i="3"/>
  <c r="AA69" i="3"/>
  <c r="AB69" i="3"/>
  <c r="AC69" i="3"/>
  <c r="V71" i="3"/>
  <c r="W71" i="3"/>
  <c r="X71" i="3"/>
  <c r="Y71" i="3"/>
  <c r="Z71" i="3"/>
  <c r="AA71" i="3"/>
  <c r="AB71" i="3"/>
  <c r="AC71" i="3"/>
  <c r="W76" i="3"/>
  <c r="X76" i="3"/>
  <c r="Y76" i="3"/>
  <c r="Z76" i="3"/>
  <c r="AA76" i="3"/>
  <c r="AB76" i="3"/>
  <c r="AC76" i="3"/>
  <c r="V77" i="3"/>
  <c r="W77" i="3"/>
  <c r="X77" i="3"/>
  <c r="Y77" i="3"/>
  <c r="Z77" i="3"/>
  <c r="AA77" i="3"/>
  <c r="AB77" i="3"/>
  <c r="AC77" i="3"/>
  <c r="V78" i="3"/>
  <c r="W78" i="3"/>
  <c r="X78" i="3"/>
  <c r="Y78" i="3"/>
  <c r="Z78" i="3"/>
  <c r="AA78" i="3"/>
  <c r="AB78" i="3"/>
  <c r="AC78" i="3"/>
  <c r="S80" i="3"/>
  <c r="T80" i="3"/>
  <c r="U80" i="3"/>
  <c r="V80" i="3"/>
  <c r="W80" i="3"/>
  <c r="X80" i="3"/>
  <c r="Y80" i="3"/>
  <c r="Z80" i="3"/>
  <c r="AA80" i="3"/>
  <c r="AB80" i="3"/>
  <c r="AC80" i="3"/>
  <c r="S81" i="3"/>
  <c r="T81" i="3"/>
  <c r="U81" i="3"/>
  <c r="S88" i="3"/>
  <c r="T88" i="3"/>
  <c r="U88" i="3"/>
  <c r="S89" i="3"/>
  <c r="T89" i="3"/>
  <c r="U89" i="3"/>
  <c r="V91" i="3"/>
  <c r="W91" i="3"/>
  <c r="X91" i="3"/>
  <c r="Y91" i="3"/>
  <c r="Z91" i="3"/>
  <c r="AA91" i="3"/>
  <c r="AB91" i="3"/>
  <c r="AC91" i="3"/>
  <c r="T94" i="3"/>
  <c r="W94" i="3"/>
  <c r="X94" i="3"/>
  <c r="Y94" i="3"/>
  <c r="Z94" i="3"/>
  <c r="AA94" i="3"/>
  <c r="AB94" i="3"/>
  <c r="AC94" i="3"/>
  <c r="V95" i="3"/>
  <c r="W95" i="3"/>
  <c r="X95" i="3"/>
  <c r="Y95" i="3"/>
  <c r="Z95" i="3"/>
  <c r="AA95" i="3"/>
  <c r="AB95" i="3"/>
  <c r="AC95" i="3"/>
  <c r="S96" i="3"/>
  <c r="T96" i="3"/>
  <c r="S97" i="3"/>
  <c r="V97" i="3"/>
  <c r="W97" i="3"/>
  <c r="X97" i="3"/>
  <c r="Y97" i="3"/>
  <c r="Z97" i="3"/>
  <c r="AA97" i="3"/>
  <c r="AB97" i="3"/>
  <c r="AC97" i="3"/>
  <c r="S99" i="3"/>
  <c r="V99" i="3"/>
  <c r="W99" i="3"/>
  <c r="X99" i="3"/>
  <c r="Y99" i="3"/>
  <c r="Z99" i="3"/>
  <c r="AA99" i="3"/>
  <c r="AB99" i="3"/>
  <c r="AC99" i="3"/>
  <c r="V100" i="3"/>
  <c r="W100" i="3"/>
  <c r="X100" i="3"/>
  <c r="Y100" i="3"/>
  <c r="Z100" i="3"/>
  <c r="AA100" i="3"/>
  <c r="AB100" i="3"/>
  <c r="AC100" i="3"/>
  <c r="S101" i="3"/>
  <c r="V108" i="3"/>
  <c r="W108" i="3"/>
  <c r="X108" i="3"/>
  <c r="Y108" i="3"/>
  <c r="Z108" i="3"/>
  <c r="AA108" i="3"/>
  <c r="AB108" i="3"/>
  <c r="AC108" i="3"/>
  <c r="V109" i="3"/>
  <c r="W109" i="3"/>
  <c r="X109" i="3"/>
  <c r="Y109" i="3"/>
  <c r="Z109" i="3"/>
  <c r="AA109" i="3"/>
  <c r="AB109" i="3"/>
  <c r="AC109" i="3"/>
  <c r="V110" i="3"/>
  <c r="W110" i="3"/>
  <c r="X110" i="3"/>
  <c r="Y110" i="3"/>
  <c r="Z110" i="3"/>
  <c r="AA110" i="3"/>
  <c r="AB110" i="3"/>
  <c r="AC110" i="3"/>
  <c r="V111" i="3"/>
  <c r="W111" i="3"/>
  <c r="X111" i="3"/>
  <c r="Y111" i="3"/>
  <c r="Z111" i="3"/>
  <c r="AA111" i="3"/>
  <c r="AB111" i="3"/>
  <c r="AC111" i="3"/>
  <c r="V112" i="3"/>
  <c r="W112" i="3"/>
  <c r="X112" i="3"/>
  <c r="Y112" i="3"/>
  <c r="Z112" i="3"/>
  <c r="AA112" i="3"/>
  <c r="AB112" i="3"/>
  <c r="AC112" i="3"/>
  <c r="V114" i="3"/>
  <c r="W114" i="3"/>
  <c r="X114" i="3"/>
  <c r="Y114" i="3"/>
  <c r="Z114" i="3"/>
  <c r="AA114" i="3"/>
  <c r="AB114" i="3"/>
  <c r="AC114" i="3"/>
  <c r="V115" i="3"/>
  <c r="W115" i="3"/>
  <c r="X115" i="3"/>
  <c r="Y115" i="3"/>
  <c r="Z115" i="3"/>
  <c r="AA115" i="3"/>
  <c r="AB115" i="3"/>
  <c r="AC115" i="3"/>
  <c r="V116" i="3"/>
  <c r="W116" i="3"/>
  <c r="X116" i="3"/>
  <c r="Y116" i="3"/>
  <c r="Z116" i="3"/>
  <c r="AA116" i="3"/>
  <c r="AB116" i="3"/>
  <c r="AC116" i="3"/>
  <c r="V117" i="3"/>
  <c r="W117" i="3"/>
  <c r="X117" i="3"/>
  <c r="Y117" i="3"/>
  <c r="Z117" i="3"/>
  <c r="AA117" i="3"/>
  <c r="AB117" i="3"/>
  <c r="AC117" i="3"/>
  <c r="V118" i="3"/>
  <c r="W118" i="3"/>
  <c r="X118" i="3"/>
  <c r="Y118" i="3"/>
  <c r="Z118" i="3"/>
  <c r="AA118" i="3"/>
  <c r="AB118" i="3"/>
  <c r="AC118" i="3"/>
  <c r="V120" i="3"/>
  <c r="W120" i="3"/>
  <c r="X120" i="3"/>
  <c r="Y120" i="3"/>
  <c r="Z120" i="3"/>
  <c r="AA120" i="3"/>
  <c r="AB120" i="3"/>
  <c r="AC120" i="3"/>
  <c r="V121" i="3"/>
  <c r="W121" i="3"/>
  <c r="X121" i="3"/>
  <c r="Y121" i="3"/>
  <c r="Z121" i="3"/>
  <c r="AA121" i="3"/>
  <c r="AB121" i="3"/>
  <c r="AC121" i="3"/>
  <c r="V127" i="3"/>
  <c r="W127" i="3"/>
  <c r="X127" i="3"/>
  <c r="Y127" i="3"/>
  <c r="Z127" i="3"/>
  <c r="AA127" i="3"/>
  <c r="AB127" i="3"/>
  <c r="AC127" i="3"/>
  <c r="V128" i="3"/>
  <c r="W128" i="3"/>
  <c r="X128" i="3"/>
  <c r="Y128" i="3"/>
  <c r="Z128" i="3"/>
  <c r="AA128" i="3"/>
  <c r="AB128" i="3"/>
  <c r="AC128" i="3"/>
  <c r="V129" i="3"/>
  <c r="W129" i="3"/>
  <c r="X129" i="3"/>
  <c r="Y129" i="3"/>
  <c r="Z129" i="3"/>
  <c r="AA129" i="3"/>
  <c r="AB129" i="3"/>
  <c r="AC129" i="3"/>
  <c r="V132" i="3"/>
  <c r="W132" i="3"/>
  <c r="X132" i="3"/>
  <c r="Y132" i="3"/>
  <c r="Z132" i="3"/>
  <c r="AA132" i="3"/>
  <c r="AB132" i="3"/>
  <c r="AC132" i="3"/>
  <c r="V133" i="3"/>
  <c r="W133" i="3"/>
  <c r="X133" i="3"/>
  <c r="Y133" i="3"/>
  <c r="Z133" i="3"/>
  <c r="AA133" i="3"/>
  <c r="AB133" i="3"/>
  <c r="AC133" i="3"/>
  <c r="V135" i="3"/>
  <c r="W135" i="3"/>
  <c r="X135" i="3"/>
  <c r="Y135" i="3"/>
  <c r="Z135" i="3"/>
  <c r="AA135" i="3"/>
  <c r="AB135" i="3"/>
  <c r="AC135" i="3"/>
  <c r="V137" i="3"/>
  <c r="W137" i="3"/>
  <c r="X137" i="3"/>
  <c r="Y137" i="3"/>
  <c r="Z137" i="3"/>
  <c r="AA137" i="3"/>
  <c r="AB137" i="3"/>
  <c r="AC137" i="3"/>
  <c r="V138" i="3"/>
  <c r="W138" i="3"/>
  <c r="X138" i="3"/>
  <c r="Y138" i="3"/>
  <c r="Z138" i="3"/>
  <c r="AA138" i="3"/>
  <c r="AB138" i="3"/>
  <c r="AC138" i="3"/>
  <c r="V142" i="3"/>
  <c r="W142" i="3"/>
  <c r="X142" i="3"/>
  <c r="Y142" i="3"/>
  <c r="Z142" i="3"/>
  <c r="AA142" i="3"/>
  <c r="AB142" i="3"/>
  <c r="AC142" i="3"/>
  <c r="V144" i="3"/>
  <c r="W144" i="3"/>
  <c r="X144" i="3"/>
  <c r="Y144" i="3"/>
  <c r="Z144" i="3"/>
  <c r="AA144" i="3"/>
  <c r="AB144" i="3"/>
  <c r="AC144" i="3"/>
  <c r="V147" i="3"/>
  <c r="W147" i="3"/>
  <c r="X147" i="3"/>
  <c r="Y147" i="3"/>
  <c r="Z147" i="3"/>
  <c r="AA147" i="3"/>
  <c r="AB147" i="3"/>
  <c r="AC147" i="3"/>
  <c r="V149" i="3"/>
  <c r="W149" i="3"/>
  <c r="X149" i="3"/>
  <c r="Y149" i="3"/>
  <c r="Z149" i="3"/>
  <c r="AA149" i="3"/>
  <c r="AB149" i="3"/>
  <c r="AC149" i="3"/>
  <c r="V150" i="3"/>
  <c r="W150" i="3"/>
  <c r="X150" i="3"/>
  <c r="Y150" i="3"/>
  <c r="Z150" i="3"/>
  <c r="AA150" i="3"/>
  <c r="AB150" i="3"/>
  <c r="AC150" i="3"/>
  <c r="V153" i="3"/>
  <c r="W153" i="3"/>
  <c r="X153" i="3"/>
  <c r="Y153" i="3"/>
  <c r="Z153" i="3"/>
  <c r="AA153" i="3"/>
  <c r="AB153" i="3"/>
  <c r="AC153" i="3"/>
  <c r="V154" i="3"/>
  <c r="W154" i="3"/>
  <c r="X154" i="3"/>
  <c r="Y154" i="3"/>
  <c r="Z154" i="3"/>
  <c r="AA154" i="3"/>
  <c r="AB154" i="3"/>
  <c r="AC154" i="3"/>
  <c r="V155" i="3"/>
  <c r="W155" i="3"/>
  <c r="X155" i="3"/>
  <c r="Y155" i="3"/>
  <c r="Z155" i="3"/>
  <c r="AA155" i="3"/>
  <c r="AB155" i="3"/>
  <c r="AC155" i="3"/>
  <c r="V156" i="3"/>
  <c r="W156" i="3"/>
  <c r="X156" i="3"/>
  <c r="Y156" i="3"/>
  <c r="Z156" i="3"/>
  <c r="AA156" i="3"/>
  <c r="AB156" i="3"/>
  <c r="AC156" i="3"/>
  <c r="V158" i="3"/>
  <c r="W158" i="3"/>
  <c r="X158" i="3"/>
  <c r="Y158" i="3"/>
  <c r="Z158" i="3"/>
  <c r="AA158" i="3"/>
  <c r="AB158" i="3"/>
  <c r="AC158" i="3"/>
  <c r="V159" i="3"/>
  <c r="W159" i="3"/>
  <c r="X159" i="3"/>
  <c r="Y159" i="3"/>
  <c r="Z159" i="3"/>
  <c r="AA159" i="3"/>
  <c r="AB159" i="3"/>
  <c r="AC159" i="3"/>
  <c r="V162" i="3"/>
  <c r="W162" i="3"/>
  <c r="X162" i="3"/>
  <c r="Y162" i="3"/>
  <c r="Z162" i="3"/>
  <c r="AA162" i="3"/>
  <c r="AB162" i="3"/>
  <c r="AC162" i="3"/>
  <c r="V163" i="3"/>
  <c r="W163" i="3"/>
  <c r="X163" i="3"/>
  <c r="Y163" i="3"/>
  <c r="Z163" i="3"/>
  <c r="AA163" i="3"/>
  <c r="AB163" i="3"/>
  <c r="AC163" i="3"/>
  <c r="V164" i="3"/>
  <c r="W164" i="3"/>
  <c r="X164" i="3"/>
  <c r="Y164" i="3"/>
  <c r="Z164" i="3"/>
  <c r="AA164" i="3"/>
  <c r="AB164" i="3"/>
  <c r="AC164" i="3"/>
  <c r="V167" i="3"/>
  <c r="W167" i="3"/>
  <c r="X167" i="3"/>
  <c r="Y167" i="3"/>
  <c r="Z167" i="3"/>
  <c r="AA167" i="3"/>
  <c r="AB167" i="3"/>
  <c r="AC167" i="3"/>
  <c r="V168" i="3"/>
  <c r="W168" i="3"/>
  <c r="X168" i="3"/>
  <c r="Y168" i="3"/>
  <c r="Z168" i="3"/>
  <c r="AA168" i="3"/>
  <c r="AB168" i="3"/>
  <c r="AC168" i="3"/>
  <c r="V169" i="3"/>
  <c r="W169" i="3"/>
  <c r="X169" i="3"/>
  <c r="Y169" i="3"/>
  <c r="Z169" i="3"/>
  <c r="AA169" i="3"/>
  <c r="AB169" i="3"/>
  <c r="AC169" i="3"/>
  <c r="V173" i="3"/>
  <c r="W173" i="3"/>
  <c r="X173" i="3"/>
  <c r="Y173" i="3"/>
  <c r="Z173" i="3"/>
  <c r="AA173" i="3"/>
  <c r="AB173" i="3"/>
  <c r="AC173" i="3"/>
  <c r="V174" i="3"/>
  <c r="W174" i="3"/>
  <c r="X174" i="3"/>
  <c r="Y174" i="3"/>
  <c r="Z174" i="3"/>
  <c r="AA174" i="3"/>
  <c r="AB174" i="3"/>
  <c r="AC174" i="3"/>
  <c r="V181" i="3"/>
  <c r="W181" i="3"/>
  <c r="X181" i="3"/>
  <c r="Y181" i="3"/>
  <c r="Z181" i="3"/>
  <c r="AA181" i="3"/>
  <c r="AB181" i="3"/>
  <c r="AC181" i="3"/>
  <c r="V182" i="3"/>
  <c r="W182" i="3"/>
  <c r="X182" i="3"/>
  <c r="Y182" i="3"/>
  <c r="Z182" i="3"/>
  <c r="AA182" i="3"/>
  <c r="AB182" i="3"/>
  <c r="AC182" i="3"/>
  <c r="V185" i="3"/>
  <c r="W185" i="3"/>
  <c r="X185" i="3"/>
  <c r="Y185" i="3"/>
  <c r="Z185" i="3"/>
  <c r="AA185" i="3"/>
  <c r="AB185" i="3"/>
  <c r="AC185" i="3"/>
  <c r="V188" i="3"/>
  <c r="W188" i="3"/>
  <c r="X188" i="3"/>
  <c r="Y188" i="3"/>
  <c r="Z188" i="3"/>
  <c r="AA188" i="3"/>
  <c r="AB188" i="3"/>
  <c r="AC188" i="3"/>
  <c r="V191" i="3"/>
  <c r="W191" i="3"/>
  <c r="X191" i="3"/>
  <c r="Y191" i="3"/>
  <c r="Z191" i="3"/>
  <c r="AA191" i="3"/>
  <c r="AB191" i="3"/>
  <c r="AC191" i="3"/>
  <c r="V194" i="3"/>
  <c r="W194" i="3"/>
  <c r="X194" i="3"/>
  <c r="Y194" i="3"/>
  <c r="Z194" i="3"/>
  <c r="AA194" i="3"/>
  <c r="AB194" i="3"/>
  <c r="AC194" i="3"/>
  <c r="V196" i="3"/>
  <c r="W196" i="3"/>
  <c r="X196" i="3"/>
  <c r="Y196" i="3"/>
  <c r="Z196" i="3"/>
  <c r="AA196" i="3"/>
  <c r="AB196" i="3"/>
  <c r="AC196" i="3"/>
  <c r="S11" i="4"/>
  <c r="T11" i="4"/>
  <c r="U11" i="4"/>
  <c r="V11" i="4"/>
  <c r="W11" i="4"/>
  <c r="X11" i="4"/>
  <c r="Y11" i="4"/>
  <c r="Z11" i="4"/>
  <c r="S12" i="4"/>
  <c r="T12" i="4"/>
  <c r="U12" i="4"/>
  <c r="V12" i="4"/>
  <c r="W12" i="4"/>
  <c r="X12" i="4"/>
  <c r="Y12" i="4"/>
  <c r="Z12" i="4"/>
  <c r="S14" i="4"/>
  <c r="T14" i="4"/>
  <c r="U14" i="4"/>
  <c r="V14" i="4"/>
  <c r="W14" i="4"/>
  <c r="X14" i="4"/>
  <c r="Y14" i="4"/>
  <c r="Z14" i="4"/>
  <c r="S16" i="4"/>
  <c r="T16" i="4"/>
  <c r="U16" i="4"/>
  <c r="V16" i="4"/>
  <c r="W16" i="4"/>
  <c r="X16" i="4"/>
  <c r="Y16" i="4"/>
  <c r="Z16" i="4"/>
  <c r="S17" i="4"/>
  <c r="T17" i="4"/>
  <c r="U17" i="4"/>
  <c r="V17" i="4"/>
  <c r="W17" i="4"/>
  <c r="X17" i="4"/>
  <c r="Y17" i="4"/>
  <c r="Z17" i="4"/>
  <c r="S18" i="4"/>
  <c r="T18" i="4"/>
  <c r="U18" i="4"/>
  <c r="V18" i="4"/>
  <c r="W18" i="4"/>
  <c r="X18" i="4"/>
  <c r="Y18" i="4"/>
  <c r="Z18" i="4"/>
  <c r="S20" i="4"/>
  <c r="T20" i="4"/>
  <c r="U20" i="4"/>
  <c r="V20" i="4"/>
  <c r="W20" i="4"/>
  <c r="X20" i="4"/>
  <c r="Y20" i="4"/>
  <c r="Z20" i="4"/>
  <c r="S21" i="4"/>
  <c r="T21" i="4"/>
  <c r="U21" i="4"/>
  <c r="V21" i="4"/>
  <c r="W21" i="4"/>
  <c r="X21" i="4"/>
  <c r="Y21" i="4"/>
  <c r="Z21" i="4"/>
  <c r="S23" i="4"/>
  <c r="T23" i="4"/>
  <c r="U23" i="4"/>
  <c r="V23" i="4"/>
  <c r="W23" i="4"/>
  <c r="X23" i="4"/>
  <c r="Y23" i="4"/>
  <c r="Z23" i="4"/>
  <c r="S26" i="4"/>
  <c r="T26" i="4"/>
  <c r="U26" i="4"/>
  <c r="V26" i="4"/>
  <c r="W26" i="4"/>
  <c r="X26" i="4"/>
  <c r="Y26" i="4"/>
  <c r="Z26" i="4"/>
  <c r="S30" i="4"/>
  <c r="T30" i="4"/>
  <c r="U30" i="4"/>
  <c r="V30" i="4"/>
  <c r="W30" i="4"/>
  <c r="X30" i="4"/>
  <c r="Y30" i="4"/>
  <c r="Z30" i="4"/>
  <c r="S43" i="4"/>
  <c r="T43" i="4"/>
  <c r="U43" i="4"/>
  <c r="V43" i="4"/>
  <c r="W43" i="4"/>
  <c r="X43" i="4"/>
  <c r="Y43" i="4"/>
  <c r="Z43" i="4"/>
  <c r="S45" i="4"/>
  <c r="T45" i="4"/>
  <c r="U45" i="4"/>
  <c r="V45" i="4"/>
  <c r="W45" i="4"/>
  <c r="X45" i="4"/>
  <c r="Y45" i="4"/>
  <c r="Z45" i="4"/>
  <c r="T50" i="4"/>
  <c r="U50" i="4"/>
  <c r="V50" i="4"/>
  <c r="W50" i="4"/>
  <c r="X50" i="4"/>
  <c r="Y50" i="4"/>
  <c r="Z50" i="4"/>
  <c r="S51" i="4"/>
  <c r="T51" i="4"/>
  <c r="U51" i="4"/>
  <c r="V51" i="4"/>
  <c r="W51" i="4"/>
  <c r="X51" i="4"/>
  <c r="Y51" i="4"/>
  <c r="Z51" i="4"/>
  <c r="S52" i="4"/>
  <c r="T52" i="4"/>
  <c r="U52" i="4"/>
  <c r="V52" i="4"/>
  <c r="W52" i="4"/>
  <c r="X52" i="4"/>
  <c r="Y52" i="4"/>
  <c r="Z52" i="4"/>
  <c r="S57" i="4"/>
  <c r="T57" i="4"/>
  <c r="U57" i="4"/>
  <c r="V57" i="4"/>
  <c r="W57" i="4"/>
  <c r="X57" i="4"/>
  <c r="Y57" i="4"/>
  <c r="Z57" i="4"/>
  <c r="S58" i="4"/>
  <c r="T58" i="4"/>
  <c r="U58" i="4"/>
  <c r="V58" i="4"/>
  <c r="W58" i="4"/>
  <c r="X58" i="4"/>
  <c r="Y58" i="4"/>
  <c r="Z58" i="4"/>
  <c r="S59" i="4"/>
  <c r="T59" i="4"/>
  <c r="U59" i="4"/>
  <c r="V59" i="4"/>
  <c r="W59" i="4"/>
  <c r="X59" i="4"/>
  <c r="Y59" i="4"/>
  <c r="Z59" i="4"/>
  <c r="S60" i="4"/>
  <c r="T60" i="4"/>
  <c r="U60" i="4"/>
  <c r="V60" i="4"/>
  <c r="W60" i="4"/>
  <c r="X60" i="4"/>
  <c r="Y60" i="4"/>
  <c r="Z60" i="4"/>
  <c r="S61" i="4"/>
  <c r="T61" i="4"/>
  <c r="U61" i="4"/>
  <c r="V61" i="4"/>
  <c r="W61" i="4"/>
  <c r="X61" i="4"/>
  <c r="Y61" i="4"/>
  <c r="Z61" i="4"/>
  <c r="S63" i="4"/>
  <c r="T63" i="4"/>
  <c r="U63" i="4"/>
  <c r="V63" i="4"/>
  <c r="W63" i="4"/>
  <c r="X63" i="4"/>
  <c r="Y63" i="4"/>
  <c r="Z63" i="4"/>
  <c r="S65" i="4"/>
  <c r="T65" i="4"/>
  <c r="U65" i="4"/>
  <c r="V65" i="4"/>
  <c r="W65" i="4"/>
  <c r="X65" i="4"/>
  <c r="Y65" i="4"/>
  <c r="Z65" i="4"/>
  <c r="S66" i="4"/>
  <c r="T66" i="4"/>
  <c r="U66" i="4"/>
  <c r="V66" i="4"/>
  <c r="W66" i="4"/>
  <c r="X66" i="4"/>
  <c r="Y66" i="4"/>
  <c r="Z66" i="4"/>
  <c r="S68" i="4"/>
  <c r="T68" i="4"/>
  <c r="U68" i="4"/>
  <c r="V68" i="4"/>
  <c r="W68" i="4"/>
  <c r="X68" i="4"/>
  <c r="Y68" i="4"/>
  <c r="Z68" i="4"/>
  <c r="T71" i="4"/>
  <c r="U71" i="4"/>
  <c r="V71" i="4"/>
  <c r="W71" i="4"/>
  <c r="X71" i="4"/>
  <c r="Y71" i="4"/>
  <c r="Z71" i="4"/>
  <c r="S74" i="4"/>
  <c r="T74" i="4"/>
  <c r="U74" i="4"/>
  <c r="V74" i="4"/>
  <c r="W74" i="4"/>
  <c r="X74" i="4"/>
  <c r="Y74" i="4"/>
  <c r="Z74" i="4"/>
  <c r="S75" i="4"/>
  <c r="T75" i="4"/>
  <c r="U75" i="4"/>
  <c r="V75" i="4"/>
  <c r="W75" i="4"/>
  <c r="X75" i="4"/>
  <c r="Y75" i="4"/>
  <c r="Z75" i="4"/>
  <c r="S85" i="4"/>
  <c r="T85" i="4"/>
  <c r="U85" i="4"/>
  <c r="V85" i="4"/>
  <c r="W85" i="4"/>
  <c r="X85" i="4"/>
  <c r="Y85" i="4"/>
  <c r="Z85" i="4"/>
  <c r="S90" i="4"/>
  <c r="T90" i="4"/>
  <c r="U90" i="4"/>
  <c r="V90" i="4"/>
  <c r="W90" i="4"/>
  <c r="X90" i="4"/>
  <c r="Y90" i="4"/>
  <c r="Z90" i="4"/>
  <c r="S91" i="4"/>
  <c r="T91" i="4"/>
  <c r="U91" i="4"/>
  <c r="V91" i="4"/>
  <c r="W91" i="4"/>
  <c r="X91" i="4"/>
  <c r="Y91" i="4"/>
  <c r="Z91" i="4"/>
  <c r="S92" i="4"/>
  <c r="T92" i="4"/>
  <c r="U92" i="4"/>
  <c r="V92" i="4"/>
  <c r="W92" i="4"/>
  <c r="X92" i="4"/>
  <c r="Y92" i="4"/>
  <c r="Z92" i="4"/>
  <c r="S93" i="4"/>
  <c r="T93" i="4"/>
  <c r="U93" i="4"/>
  <c r="V93" i="4"/>
  <c r="W93" i="4"/>
  <c r="X93" i="4"/>
  <c r="Y93" i="4"/>
  <c r="Z93" i="4"/>
  <c r="S94" i="4"/>
  <c r="T94" i="4"/>
  <c r="U94" i="4"/>
  <c r="V94" i="4"/>
  <c r="W94" i="4"/>
  <c r="X94" i="4"/>
  <c r="Y94" i="4"/>
  <c r="Z94" i="4"/>
  <c r="T10" i="2"/>
  <c r="U10" i="2"/>
  <c r="V10" i="2"/>
  <c r="W10" i="2"/>
  <c r="X10" i="2"/>
  <c r="Y10" i="2"/>
  <c r="Z10" i="2"/>
  <c r="AA10" i="2"/>
  <c r="CI10" i="2"/>
  <c r="T11" i="2"/>
  <c r="U11" i="2"/>
  <c r="V11" i="2"/>
  <c r="W11" i="2"/>
  <c r="X11" i="2"/>
  <c r="Y11" i="2"/>
  <c r="Z11" i="2"/>
  <c r="AA11" i="2"/>
  <c r="CI11" i="2"/>
  <c r="CJ11" i="2"/>
  <c r="T13" i="2"/>
  <c r="U13" i="2"/>
  <c r="V13" i="2"/>
  <c r="W13" i="2"/>
  <c r="X13" i="2"/>
  <c r="Y13" i="2"/>
  <c r="Z13" i="2"/>
  <c r="AA13" i="2"/>
  <c r="CI13" i="2"/>
  <c r="CJ13" i="2"/>
  <c r="T14" i="2"/>
  <c r="U14" i="2"/>
  <c r="V14" i="2"/>
  <c r="W14" i="2"/>
  <c r="X14" i="2"/>
  <c r="Y14" i="2"/>
  <c r="Z14" i="2"/>
  <c r="AA14" i="2"/>
  <c r="CI14" i="2"/>
  <c r="CJ14" i="2"/>
  <c r="T16" i="2"/>
  <c r="U16" i="2"/>
  <c r="V16" i="2"/>
  <c r="W16" i="2"/>
  <c r="X16" i="2"/>
  <c r="Y16" i="2"/>
  <c r="Z16" i="2"/>
  <c r="AA16" i="2"/>
  <c r="CI16" i="2"/>
  <c r="CJ16" i="2"/>
  <c r="T17" i="2"/>
  <c r="U17" i="2"/>
  <c r="V17" i="2"/>
  <c r="W17" i="2"/>
  <c r="X17" i="2"/>
  <c r="Y17" i="2"/>
  <c r="Z17" i="2"/>
  <c r="AA17" i="2"/>
  <c r="CI17" i="2"/>
  <c r="CJ17" i="2"/>
  <c r="T19" i="2"/>
  <c r="U19" i="2"/>
  <c r="V19" i="2"/>
  <c r="W19" i="2"/>
  <c r="X19" i="2"/>
  <c r="Y19" i="2"/>
  <c r="Z19" i="2"/>
  <c r="AA19" i="2"/>
  <c r="CI19" i="2"/>
  <c r="CJ19" i="2"/>
  <c r="T20" i="2"/>
  <c r="U20" i="2"/>
  <c r="V20" i="2"/>
  <c r="W20" i="2"/>
  <c r="X20" i="2"/>
  <c r="Y20" i="2"/>
  <c r="Z20" i="2"/>
  <c r="AA20" i="2"/>
  <c r="CI20" i="2"/>
  <c r="CJ20" i="2"/>
  <c r="T22" i="2"/>
  <c r="U22" i="2"/>
  <c r="V22" i="2"/>
  <c r="W22" i="2"/>
  <c r="X22" i="2"/>
  <c r="Y22" i="2"/>
  <c r="Z22" i="2"/>
  <c r="AA22" i="2"/>
  <c r="CG22" i="2"/>
  <c r="CH22" i="2"/>
  <c r="CI22" i="2"/>
  <c r="CJ22" i="2"/>
  <c r="T25" i="2"/>
  <c r="U25" i="2"/>
  <c r="V25" i="2"/>
  <c r="W25" i="2"/>
  <c r="X25" i="2"/>
  <c r="Y25" i="2"/>
  <c r="Z25" i="2"/>
  <c r="AA25" i="2"/>
  <c r="CG25" i="2"/>
  <c r="CH25" i="2"/>
  <c r="CI25" i="2"/>
  <c r="CJ25" i="2"/>
  <c r="T28" i="2"/>
  <c r="U28" i="2"/>
  <c r="V28" i="2"/>
  <c r="W28" i="2"/>
  <c r="X28" i="2"/>
  <c r="Y28" i="2"/>
  <c r="Z28" i="2"/>
  <c r="AA28" i="2"/>
  <c r="CG28" i="2"/>
  <c r="CH28" i="2"/>
  <c r="CI28" i="2"/>
  <c r="CJ28" i="2"/>
  <c r="T29" i="2"/>
  <c r="U29" i="2"/>
  <c r="V29" i="2"/>
  <c r="W29" i="2"/>
  <c r="X29" i="2"/>
  <c r="Y29" i="2"/>
  <c r="Z29" i="2"/>
  <c r="AA29" i="2"/>
  <c r="CG29" i="2"/>
  <c r="CH29" i="2"/>
  <c r="CI29" i="2"/>
  <c r="CJ29" i="2"/>
  <c r="T35" i="2"/>
  <c r="U35" i="2"/>
  <c r="V35" i="2"/>
  <c r="W35" i="2"/>
  <c r="X35" i="2"/>
  <c r="Y35" i="2"/>
  <c r="Z35" i="2"/>
  <c r="AA35" i="2"/>
  <c r="T36" i="2"/>
  <c r="U36" i="2"/>
  <c r="V36" i="2"/>
  <c r="W36" i="2"/>
  <c r="X36" i="2"/>
  <c r="Y36" i="2"/>
  <c r="Z36" i="2"/>
  <c r="AA36" i="2"/>
  <c r="T40" i="2"/>
  <c r="U40" i="2"/>
  <c r="V40" i="2"/>
  <c r="W40" i="2"/>
  <c r="X40" i="2"/>
  <c r="Y40" i="2"/>
  <c r="Z40" i="2"/>
  <c r="AA40" i="2"/>
  <c r="CG40" i="2"/>
  <c r="CH40" i="2"/>
  <c r="CI40" i="2"/>
  <c r="CJ40" i="2"/>
  <c r="T42" i="2"/>
  <c r="U42" i="2"/>
  <c r="V42" i="2"/>
  <c r="W42" i="2"/>
  <c r="X42" i="2"/>
  <c r="Y42" i="2"/>
  <c r="Z42" i="2"/>
  <c r="AA42" i="2"/>
  <c r="CG42" i="2"/>
  <c r="CH42" i="2"/>
  <c r="CI42" i="2"/>
  <c r="CJ42" i="2"/>
  <c r="CJ43" i="2"/>
  <c r="T46" i="2"/>
  <c r="U46" i="2"/>
  <c r="V46" i="2"/>
  <c r="W46" i="2"/>
  <c r="X46" i="2"/>
  <c r="Y46" i="2"/>
  <c r="Z46" i="2"/>
  <c r="AA46" i="2"/>
  <c r="CG46" i="2"/>
  <c r="CH46" i="2"/>
  <c r="CI46" i="2"/>
  <c r="CJ46" i="2"/>
  <c r="T50" i="2"/>
  <c r="U50" i="2"/>
  <c r="V50" i="2"/>
  <c r="W50" i="2"/>
  <c r="X50" i="2"/>
  <c r="Y50" i="2"/>
  <c r="Z50" i="2"/>
  <c r="AA50" i="2"/>
  <c r="CG50" i="2"/>
  <c r="CH50" i="2"/>
  <c r="CI50" i="2"/>
  <c r="CJ50" i="2"/>
  <c r="T55" i="2"/>
  <c r="U55" i="2"/>
  <c r="V55" i="2"/>
  <c r="W55" i="2"/>
  <c r="X55" i="2"/>
  <c r="Y55" i="2"/>
  <c r="Z55" i="2"/>
  <c r="AA55" i="2"/>
  <c r="CG55" i="2"/>
  <c r="CH55" i="2"/>
  <c r="CI55" i="2"/>
  <c r="CJ55" i="2"/>
  <c r="T57" i="2"/>
  <c r="U57" i="2"/>
  <c r="V57" i="2"/>
  <c r="W57" i="2"/>
  <c r="X57" i="2"/>
  <c r="Y57" i="2"/>
  <c r="Z57" i="2"/>
  <c r="AA57" i="2"/>
  <c r="CG57" i="2"/>
  <c r="CH57" i="2"/>
  <c r="CI57" i="2"/>
  <c r="CJ57" i="2"/>
  <c r="U63" i="2"/>
  <c r="V63" i="2"/>
  <c r="W63" i="2"/>
  <c r="X63" i="2"/>
  <c r="Y63" i="2"/>
  <c r="Z63" i="2"/>
  <c r="AA63" i="2"/>
  <c r="CJ63" i="2"/>
  <c r="T66" i="2"/>
  <c r="U66" i="2"/>
  <c r="V66" i="2"/>
  <c r="W66" i="2"/>
  <c r="X66" i="2"/>
  <c r="Y66" i="2"/>
  <c r="Z66" i="2"/>
  <c r="AA66" i="2"/>
  <c r="T68" i="2"/>
  <c r="U68" i="2"/>
  <c r="V68" i="2"/>
  <c r="W68" i="2"/>
  <c r="X68" i="2"/>
  <c r="Y68" i="2"/>
  <c r="Z68" i="2"/>
  <c r="AA68" i="2"/>
  <c r="T70" i="2"/>
  <c r="U70" i="2"/>
  <c r="V70" i="2"/>
  <c r="W70" i="2"/>
  <c r="X70" i="2"/>
  <c r="Y70" i="2"/>
  <c r="Z70" i="2"/>
  <c r="AA70" i="2"/>
  <c r="T72" i="2"/>
  <c r="U72" i="2"/>
  <c r="V72" i="2"/>
  <c r="W72" i="2"/>
  <c r="X72" i="2"/>
  <c r="Y72" i="2"/>
  <c r="Z72" i="2"/>
  <c r="AA72" i="2"/>
  <c r="T74" i="2"/>
  <c r="U74" i="2"/>
  <c r="V74" i="2"/>
  <c r="W74" i="2"/>
  <c r="X74" i="2"/>
  <c r="Y74" i="2"/>
  <c r="Z74" i="2"/>
  <c r="AA74" i="2"/>
  <c r="T75" i="2"/>
  <c r="U75" i="2"/>
  <c r="V75" i="2"/>
  <c r="W75" i="2"/>
  <c r="X75" i="2"/>
  <c r="Y75" i="2"/>
  <c r="Z75" i="2"/>
  <c r="AA75" i="2"/>
  <c r="T76" i="2"/>
  <c r="U76" i="2"/>
  <c r="V76" i="2"/>
  <c r="W76" i="2"/>
  <c r="X76" i="2"/>
  <c r="Y76" i="2"/>
  <c r="Z76" i="2"/>
  <c r="AA76" i="2"/>
  <c r="CG77" i="2"/>
  <c r="CH77" i="2"/>
  <c r="CI77" i="2"/>
  <c r="CJ77" i="2"/>
  <c r="T79" i="2"/>
  <c r="U79" i="2"/>
  <c r="V79" i="2"/>
  <c r="W79" i="2"/>
  <c r="X79" i="2"/>
  <c r="Y79" i="2"/>
  <c r="Z79" i="2"/>
  <c r="AA79" i="2"/>
  <c r="CG79" i="2"/>
  <c r="CH79" i="2"/>
  <c r="CI79" i="2"/>
  <c r="CJ79" i="2"/>
  <c r="T82" i="2"/>
  <c r="U82" i="2"/>
  <c r="V82" i="2"/>
  <c r="W82" i="2"/>
  <c r="X82" i="2"/>
  <c r="Y82" i="2"/>
  <c r="Z82" i="2"/>
  <c r="AA82" i="2"/>
  <c r="CI82" i="2"/>
  <c r="T83" i="2"/>
  <c r="U83" i="2"/>
  <c r="V83" i="2"/>
  <c r="W83" i="2"/>
  <c r="X83" i="2"/>
  <c r="Y83" i="2"/>
  <c r="Z83" i="2"/>
  <c r="AA83" i="2"/>
  <c r="CI83" i="2"/>
  <c r="CJ83" i="2"/>
  <c r="T84" i="2"/>
  <c r="U84" i="2"/>
  <c r="V84" i="2"/>
  <c r="W84" i="2"/>
  <c r="X84" i="2"/>
  <c r="Y84" i="2"/>
  <c r="Z84" i="2"/>
  <c r="AA84" i="2"/>
  <c r="CI84" i="2"/>
  <c r="CJ84" i="2"/>
  <c r="T85" i="2"/>
  <c r="U85" i="2"/>
  <c r="V85" i="2"/>
  <c r="W85" i="2"/>
  <c r="X85" i="2"/>
  <c r="Y85" i="2"/>
  <c r="Z85" i="2"/>
  <c r="AA85" i="2"/>
  <c r="CI85" i="2"/>
  <c r="CJ85" i="2"/>
  <c r="T86" i="2"/>
  <c r="U86" i="2"/>
  <c r="V86" i="2"/>
  <c r="W86" i="2"/>
  <c r="X86" i="2"/>
  <c r="Y86" i="2"/>
  <c r="Z86" i="2"/>
  <c r="AA86" i="2"/>
  <c r="CI86" i="2"/>
  <c r="CJ86" i="2"/>
  <c r="T87" i="2"/>
  <c r="U87" i="2"/>
  <c r="V87" i="2"/>
  <c r="W87" i="2"/>
  <c r="X87" i="2"/>
  <c r="Y87" i="2"/>
  <c r="Z87" i="2"/>
  <c r="AA87" i="2"/>
  <c r="CG87" i="2"/>
  <c r="CH87" i="2"/>
  <c r="CI87" i="2"/>
  <c r="CJ87" i="2"/>
  <c r="T88" i="2"/>
  <c r="U88" i="2"/>
  <c r="V88" i="2"/>
  <c r="W88" i="2"/>
  <c r="X88" i="2"/>
  <c r="Y88" i="2"/>
  <c r="Z88" i="2"/>
  <c r="AA88" i="2"/>
  <c r="CG88" i="2"/>
  <c r="CH88" i="2"/>
  <c r="CI88" i="2"/>
  <c r="CJ88" i="2"/>
  <c r="T89" i="2"/>
  <c r="U89" i="2"/>
  <c r="V89" i="2"/>
  <c r="W89" i="2"/>
  <c r="X89" i="2"/>
  <c r="Y89" i="2"/>
  <c r="Z89" i="2"/>
  <c r="AA89" i="2"/>
  <c r="CG89" i="2"/>
  <c r="CH89" i="2"/>
  <c r="CI89" i="2"/>
  <c r="CJ89" i="2"/>
  <c r="T90" i="2"/>
  <c r="U90" i="2"/>
  <c r="V90" i="2"/>
  <c r="W90" i="2"/>
  <c r="X90" i="2"/>
  <c r="Y90" i="2"/>
  <c r="Z90" i="2"/>
  <c r="AA90" i="2"/>
  <c r="CG90" i="2"/>
  <c r="CH90" i="2"/>
  <c r="CI90" i="2"/>
  <c r="CJ90" i="2"/>
  <c r="CJ93" i="2"/>
  <c r="T94" i="2"/>
  <c r="U94" i="2"/>
  <c r="V94" i="2"/>
  <c r="W94" i="2"/>
  <c r="X94" i="2"/>
  <c r="Y94" i="2"/>
  <c r="Z94" i="2"/>
  <c r="AA94" i="2"/>
  <c r="CI94" i="2"/>
  <c r="CJ94" i="2"/>
  <c r="T95" i="2"/>
  <c r="U95" i="2"/>
  <c r="V95" i="2"/>
  <c r="W95" i="2"/>
  <c r="X95" i="2"/>
  <c r="Y95" i="2"/>
  <c r="Z95" i="2"/>
  <c r="AA95" i="2"/>
  <c r="CG95" i="2"/>
  <c r="CH95" i="2"/>
  <c r="CI95" i="2"/>
  <c r="CJ95" i="2"/>
  <c r="CJ100" i="2"/>
  <c r="T102" i="2"/>
  <c r="U102" i="2"/>
  <c r="V102" i="2"/>
  <c r="W102" i="2"/>
  <c r="X102" i="2"/>
  <c r="Y102" i="2"/>
  <c r="Z102" i="2"/>
  <c r="AA102" i="2"/>
  <c r="CI102" i="2"/>
  <c r="CJ102" i="2"/>
  <c r="CC105" i="2"/>
  <c r="CF105" i="2"/>
  <c r="CC106" i="2"/>
  <c r="CF106" i="2"/>
  <c r="CC107" i="2"/>
  <c r="CF107" i="2"/>
  <c r="CC108" i="2"/>
  <c r="CF108" i="2"/>
  <c r="CC109" i="2"/>
  <c r="CF109" i="2"/>
  <c r="CC110" i="2"/>
  <c r="CF110" i="2"/>
  <c r="CJ113" i="2"/>
  <c r="T114" i="2"/>
  <c r="U114" i="2"/>
  <c r="V114" i="2"/>
  <c r="W114" i="2"/>
  <c r="X114" i="2"/>
  <c r="Y114" i="2"/>
  <c r="Z114" i="2"/>
  <c r="AA114" i="2"/>
  <c r="CI114" i="2"/>
  <c r="CJ114" i="2"/>
  <c r="T115" i="2"/>
  <c r="U115" i="2"/>
  <c r="V115" i="2"/>
  <c r="W115" i="2"/>
  <c r="X115" i="2"/>
  <c r="Y115" i="2"/>
  <c r="Z115" i="2"/>
  <c r="AA115" i="2"/>
  <c r="CI115" i="2"/>
  <c r="CJ115" i="2"/>
  <c r="CG116" i="2"/>
  <c r="CH116" i="2"/>
  <c r="CI116" i="2"/>
  <c r="CJ116" i="2"/>
  <c r="T117" i="2"/>
  <c r="U117" i="2"/>
  <c r="V117" i="2"/>
  <c r="W117" i="2"/>
  <c r="X117" i="2"/>
  <c r="Y117" i="2"/>
  <c r="Z117" i="2"/>
  <c r="AA117" i="2"/>
  <c r="CG117" i="2"/>
  <c r="CH117" i="2"/>
  <c r="CI117" i="2"/>
  <c r="CJ117" i="2"/>
  <c r="T119" i="2"/>
  <c r="U119" i="2"/>
  <c r="V119" i="2"/>
  <c r="W119" i="2"/>
  <c r="X119" i="2"/>
  <c r="Y119" i="2"/>
  <c r="Z119" i="2"/>
  <c r="AA119" i="2"/>
  <c r="CG119" i="2"/>
  <c r="CH119" i="2"/>
  <c r="CI119" i="2"/>
  <c r="CJ119" i="2"/>
  <c r="T120" i="2"/>
  <c r="U120" i="2"/>
  <c r="V120" i="2"/>
  <c r="W120" i="2"/>
  <c r="X120" i="2"/>
  <c r="Y120" i="2"/>
  <c r="Z120" i="2"/>
  <c r="AA120" i="2"/>
  <c r="CG120" i="2"/>
  <c r="CH120" i="2"/>
  <c r="CI120" i="2"/>
  <c r="CJ120" i="2"/>
  <c r="CJ125" i="2"/>
  <c r="T127" i="2"/>
  <c r="U127" i="2"/>
  <c r="V127" i="2"/>
  <c r="W127" i="2"/>
  <c r="X127" i="2"/>
  <c r="Y127" i="2"/>
  <c r="Z127" i="2"/>
  <c r="AA127" i="2"/>
  <c r="CI127" i="2"/>
  <c r="CJ127" i="2"/>
  <c r="W128" i="2"/>
  <c r="X128" i="2"/>
  <c r="Y128" i="2"/>
  <c r="Z128" i="2"/>
  <c r="AA128" i="2"/>
  <c r="CC130" i="2"/>
  <c r="CF130" i="2"/>
  <c r="CG130" i="2"/>
  <c r="CJ130" i="2"/>
  <c r="CC131" i="2"/>
  <c r="CF131" i="2"/>
  <c r="CG131" i="2"/>
  <c r="CJ131" i="2"/>
  <c r="CC132" i="2"/>
  <c r="CF132" i="2"/>
  <c r="CG132" i="2"/>
  <c r="CJ132" i="2"/>
  <c r="CC133" i="2"/>
  <c r="CF133" i="2"/>
  <c r="CG133" i="2"/>
  <c r="CJ133" i="2"/>
  <c r="CC134" i="2"/>
  <c r="CF134" i="2"/>
  <c r="CG134" i="2"/>
  <c r="CJ134" i="2"/>
  <c r="CC135" i="2"/>
  <c r="CF135" i="2"/>
  <c r="CG135" i="2"/>
  <c r="CJ135" i="2"/>
  <c r="T136" i="2"/>
  <c r="U136" i="2"/>
  <c r="V136" i="2"/>
  <c r="W136" i="2"/>
  <c r="X136" i="2"/>
  <c r="Y136" i="2"/>
  <c r="Z136" i="2"/>
  <c r="AA136" i="2"/>
  <c r="CG136" i="2"/>
  <c r="CH136" i="2"/>
  <c r="CI136" i="2"/>
  <c r="CJ136" i="2"/>
  <c r="T139" i="2"/>
  <c r="T142" i="2"/>
  <c r="U142" i="2"/>
  <c r="V142" i="2"/>
  <c r="W142" i="2"/>
  <c r="X142" i="2"/>
  <c r="Y142" i="2"/>
  <c r="Z142" i="2"/>
  <c r="AA142" i="2"/>
  <c r="CI142" i="2"/>
  <c r="T144" i="2"/>
  <c r="U144" i="2"/>
  <c r="V144" i="2"/>
  <c r="W144" i="2"/>
  <c r="X144" i="2"/>
  <c r="Y144" i="2"/>
  <c r="Z144" i="2"/>
  <c r="AA144" i="2"/>
  <c r="CI144" i="2"/>
  <c r="T149" i="2"/>
  <c r="U149" i="2"/>
  <c r="V149" i="2"/>
  <c r="W149" i="2"/>
  <c r="X149" i="2"/>
  <c r="Y149" i="2"/>
  <c r="Z149" i="2"/>
  <c r="AA149" i="2"/>
  <c r="CI149" i="2"/>
  <c r="CJ149" i="2"/>
  <c r="T151" i="2"/>
  <c r="U151" i="2"/>
  <c r="V151" i="2"/>
  <c r="W151" i="2"/>
  <c r="X151" i="2"/>
  <c r="Y151" i="2"/>
  <c r="Z151" i="2"/>
  <c r="AA151" i="2"/>
  <c r="CI151" i="2"/>
  <c r="CJ151" i="2"/>
  <c r="CC160" i="2"/>
  <c r="CG160" i="2"/>
  <c r="CC162" i="2"/>
  <c r="CF162" i="2"/>
  <c r="CG162" i="2"/>
  <c r="CJ162" i="2"/>
  <c r="CC163" i="2"/>
  <c r="CF163" i="2"/>
  <c r="CG163" i="2"/>
  <c r="CJ163" i="2"/>
  <c r="CC164" i="2"/>
  <c r="CF164" i="2"/>
  <c r="CG164" i="2"/>
  <c r="CJ164" i="2"/>
  <c r="CC165" i="2"/>
  <c r="CF165" i="2"/>
  <c r="CG165" i="2"/>
  <c r="CJ165" i="2"/>
  <c r="CC166" i="2"/>
  <c r="CF166" i="2"/>
  <c r="CG166" i="2"/>
  <c r="CJ166" i="2"/>
  <c r="CC167" i="2"/>
  <c r="CF167" i="2"/>
  <c r="CG167" i="2"/>
  <c r="CJ167" i="2"/>
  <c r="T184" i="2"/>
  <c r="U184" i="2"/>
  <c r="V184" i="2"/>
  <c r="W184" i="2"/>
  <c r="X184" i="2"/>
  <c r="Y184" i="2"/>
  <c r="Z184" i="2"/>
  <c r="AA184" i="2"/>
  <c r="T186" i="2"/>
  <c r="U186" i="2"/>
  <c r="V186" i="2"/>
  <c r="W186" i="2"/>
  <c r="X186" i="2"/>
  <c r="Y186" i="2"/>
  <c r="Z186" i="2"/>
  <c r="AA186" i="2"/>
  <c r="T193" i="2"/>
  <c r="U193" i="2"/>
  <c r="V193" i="2"/>
  <c r="W193" i="2"/>
  <c r="X193" i="2"/>
  <c r="Y193" i="2"/>
  <c r="Z193" i="2"/>
  <c r="AA193" i="2"/>
  <c r="T195" i="2"/>
  <c r="U195" i="2"/>
  <c r="V195" i="2"/>
  <c r="W195" i="2"/>
  <c r="X195" i="2"/>
  <c r="Y195" i="2"/>
  <c r="Z195" i="2"/>
  <c r="AA195" i="2"/>
  <c r="T221" i="2"/>
  <c r="U221" i="2"/>
  <c r="V221" i="2"/>
  <c r="W221" i="2"/>
  <c r="X221" i="2"/>
  <c r="Y221" i="2"/>
  <c r="Z221" i="2"/>
  <c r="AA221" i="2"/>
  <c r="U247" i="2"/>
  <c r="V247" i="2"/>
  <c r="W247" i="2"/>
  <c r="X247" i="2"/>
  <c r="Y247" i="2"/>
  <c r="Z247" i="2"/>
  <c r="AA247" i="2"/>
  <c r="T248" i="2"/>
  <c r="U248" i="2"/>
  <c r="V248" i="2"/>
  <c r="W248" i="2"/>
  <c r="X248" i="2"/>
  <c r="Y248" i="2"/>
  <c r="Z248" i="2"/>
  <c r="AA248" i="2"/>
  <c r="T250" i="2"/>
  <c r="U250" i="2"/>
  <c r="V250" i="2"/>
  <c r="W250" i="2"/>
  <c r="X250" i="2"/>
  <c r="Y250" i="2"/>
  <c r="Z250" i="2"/>
  <c r="AA250" i="2"/>
  <c r="T251" i="2"/>
  <c r="U251" i="2"/>
  <c r="V251" i="2"/>
  <c r="W251" i="2"/>
  <c r="X251" i="2"/>
  <c r="Y251" i="2"/>
  <c r="Z251" i="2"/>
  <c r="AA251" i="2"/>
  <c r="T252" i="2"/>
  <c r="U252" i="2"/>
  <c r="V252" i="2"/>
  <c r="W252" i="2"/>
  <c r="X252" i="2"/>
  <c r="Y252" i="2"/>
  <c r="Z252" i="2"/>
  <c r="AA252" i="2"/>
  <c r="T253" i="2"/>
  <c r="U253" i="2"/>
  <c r="V253" i="2"/>
  <c r="W253" i="2"/>
  <c r="X253" i="2"/>
  <c r="Y253" i="2"/>
  <c r="Z253" i="2"/>
  <c r="AA253" i="2"/>
  <c r="T255" i="2"/>
  <c r="U255" i="2"/>
  <c r="V255" i="2"/>
  <c r="W255" i="2"/>
  <c r="X255" i="2"/>
  <c r="Y255" i="2"/>
  <c r="Z255" i="2"/>
  <c r="AA255" i="2"/>
  <c r="T256" i="2"/>
  <c r="U256" i="2"/>
  <c r="V256" i="2"/>
  <c r="W256" i="2"/>
  <c r="X256" i="2"/>
  <c r="Y256" i="2"/>
  <c r="Z256" i="2"/>
  <c r="AA256" i="2"/>
  <c r="T257" i="2"/>
  <c r="U257" i="2"/>
  <c r="V257" i="2"/>
  <c r="W257" i="2"/>
  <c r="X257" i="2"/>
  <c r="Y257" i="2"/>
  <c r="Z257" i="2"/>
  <c r="AA257" i="2"/>
  <c r="U258" i="2"/>
  <c r="V258" i="2"/>
  <c r="W258" i="2"/>
  <c r="X258" i="2"/>
  <c r="Y258" i="2"/>
  <c r="Z258" i="2"/>
  <c r="AA258" i="2"/>
  <c r="U259" i="2"/>
  <c r="V259" i="2"/>
  <c r="W259" i="2"/>
  <c r="X259" i="2"/>
  <c r="Y259" i="2"/>
  <c r="Z259" i="2"/>
  <c r="AA259" i="2"/>
  <c r="U260" i="2"/>
  <c r="V260" i="2"/>
  <c r="W260" i="2"/>
  <c r="X260" i="2"/>
  <c r="Y260" i="2"/>
  <c r="Z260" i="2"/>
  <c r="AA260" i="2"/>
  <c r="T261" i="2"/>
  <c r="U261" i="2"/>
  <c r="V261" i="2"/>
  <c r="W261" i="2"/>
  <c r="X261" i="2"/>
  <c r="Y261" i="2"/>
  <c r="Z261" i="2"/>
  <c r="AA261" i="2"/>
  <c r="U269" i="2"/>
  <c r="V269" i="2"/>
  <c r="W269" i="2"/>
  <c r="X269" i="2"/>
  <c r="Y269" i="2"/>
  <c r="Z269" i="2"/>
  <c r="AA269" i="2"/>
  <c r="T270" i="2"/>
  <c r="U270" i="2"/>
  <c r="V270" i="2"/>
  <c r="W270" i="2"/>
  <c r="X270" i="2"/>
  <c r="Y270" i="2"/>
  <c r="Z270" i="2"/>
  <c r="AA270" i="2"/>
  <c r="T271" i="2"/>
  <c r="U271" i="2"/>
  <c r="V271" i="2"/>
  <c r="W271" i="2"/>
  <c r="X271" i="2"/>
  <c r="Y271" i="2"/>
  <c r="Z271" i="2"/>
  <c r="AA271" i="2"/>
  <c r="U272" i="2"/>
  <c r="V272" i="2"/>
  <c r="W272" i="2"/>
  <c r="X272" i="2"/>
  <c r="Y272" i="2"/>
  <c r="Z272" i="2"/>
  <c r="AA272" i="2"/>
  <c r="T273" i="2"/>
  <c r="U273" i="2"/>
  <c r="V273" i="2"/>
  <c r="W273" i="2"/>
  <c r="X273" i="2"/>
  <c r="Y273" i="2"/>
  <c r="Z273" i="2"/>
  <c r="AA273" i="2"/>
  <c r="T274" i="2"/>
  <c r="U274" i="2"/>
  <c r="V274" i="2"/>
  <c r="W274" i="2"/>
  <c r="X274" i="2"/>
  <c r="Y274" i="2"/>
  <c r="Z274" i="2"/>
  <c r="AA274" i="2"/>
  <c r="T275" i="2"/>
  <c r="U275" i="2"/>
  <c r="V275" i="2"/>
  <c r="W275" i="2"/>
  <c r="X275" i="2"/>
  <c r="Y275" i="2"/>
  <c r="Z275" i="2"/>
  <c r="AA275" i="2"/>
  <c r="T276" i="2"/>
  <c r="U276" i="2"/>
  <c r="V276" i="2"/>
  <c r="W276" i="2"/>
  <c r="X276" i="2"/>
  <c r="Y276" i="2"/>
  <c r="Z276" i="2"/>
  <c r="AA276" i="2"/>
  <c r="T277" i="2"/>
  <c r="U277" i="2"/>
  <c r="V277" i="2"/>
  <c r="W277" i="2"/>
  <c r="X277" i="2"/>
  <c r="Y277" i="2"/>
  <c r="Z277" i="2"/>
  <c r="AA277" i="2"/>
  <c r="T280" i="2"/>
  <c r="U280" i="2"/>
  <c r="V280" i="2"/>
  <c r="W280" i="2"/>
  <c r="X280" i="2"/>
  <c r="Y280" i="2"/>
  <c r="Z280" i="2"/>
  <c r="AA280" i="2"/>
  <c r="T282" i="2"/>
  <c r="U282" i="2"/>
  <c r="V282" i="2"/>
  <c r="W282" i="2"/>
  <c r="X282" i="2"/>
  <c r="Y282" i="2"/>
  <c r="Z282" i="2"/>
  <c r="AA282" i="2"/>
  <c r="T283" i="2"/>
  <c r="U283" i="2"/>
  <c r="V283" i="2"/>
  <c r="W283" i="2"/>
  <c r="X283" i="2"/>
  <c r="Y283" i="2"/>
  <c r="Z283" i="2"/>
  <c r="AA283" i="2"/>
  <c r="T284" i="2"/>
  <c r="U284" i="2"/>
  <c r="V284" i="2"/>
  <c r="W284" i="2"/>
  <c r="X284" i="2"/>
  <c r="Y284" i="2"/>
  <c r="Z284" i="2"/>
  <c r="AA284" i="2"/>
  <c r="T429" i="2"/>
  <c r="U429" i="2"/>
  <c r="V429" i="2"/>
  <c r="W429" i="2"/>
  <c r="X429" i="2"/>
  <c r="Y429" i="2"/>
  <c r="Z429" i="2"/>
  <c r="AA429" i="2"/>
  <c r="CG429" i="2"/>
  <c r="CH429" i="2"/>
  <c r="CI429" i="2"/>
  <c r="CJ429" i="2"/>
  <c r="U13" i="1"/>
  <c r="V13" i="1"/>
  <c r="W13" i="1"/>
  <c r="X13" i="1"/>
  <c r="Y13" i="1"/>
  <c r="Z13" i="1"/>
  <c r="AA13" i="1"/>
  <c r="U14" i="1"/>
  <c r="V14" i="1"/>
  <c r="W14" i="1"/>
  <c r="X14" i="1"/>
  <c r="Y14" i="1"/>
  <c r="Z14" i="1"/>
  <c r="AA14" i="1"/>
  <c r="U16" i="1"/>
  <c r="V16" i="1"/>
  <c r="W16" i="1"/>
  <c r="X16" i="1"/>
  <c r="Y16" i="1"/>
  <c r="Z16" i="1"/>
  <c r="AA16" i="1"/>
  <c r="T17" i="1"/>
  <c r="U17" i="1"/>
  <c r="V17" i="1"/>
  <c r="W17" i="1"/>
  <c r="X17" i="1"/>
  <c r="Y17" i="1"/>
  <c r="Z17" i="1"/>
  <c r="AA17" i="1"/>
  <c r="U18" i="1"/>
  <c r="V18" i="1"/>
  <c r="W18" i="1"/>
  <c r="X18" i="1"/>
  <c r="Y18" i="1"/>
  <c r="Z18" i="1"/>
  <c r="AA18" i="1"/>
  <c r="CI18" i="1"/>
  <c r="U19" i="1"/>
  <c r="V19" i="1"/>
  <c r="W19" i="1"/>
  <c r="X19" i="1"/>
  <c r="Y19" i="1"/>
  <c r="Z19" i="1"/>
  <c r="AA19" i="1"/>
  <c r="S20" i="1"/>
  <c r="U20" i="1"/>
  <c r="V20" i="1"/>
  <c r="W20" i="1"/>
  <c r="X20" i="1"/>
  <c r="Y20" i="1"/>
  <c r="Z20" i="1"/>
  <c r="AA20" i="1"/>
  <c r="CD20" i="1"/>
  <c r="CF20" i="1"/>
  <c r="U22" i="1"/>
  <c r="V22" i="1"/>
  <c r="W22" i="1"/>
  <c r="X22" i="1"/>
  <c r="Y22" i="1"/>
  <c r="Z22" i="1"/>
  <c r="AA22" i="1"/>
  <c r="S23" i="1"/>
  <c r="T23" i="1"/>
  <c r="U23" i="1"/>
  <c r="V23" i="1"/>
  <c r="W23" i="1"/>
  <c r="X23" i="1"/>
  <c r="Y23" i="1"/>
  <c r="Z23" i="1"/>
  <c r="AA23" i="1"/>
  <c r="CD23" i="1"/>
  <c r="CF23" i="1"/>
  <c r="CI23" i="1"/>
  <c r="U24" i="1"/>
  <c r="V24" i="1"/>
  <c r="W24" i="1"/>
  <c r="X24" i="1"/>
  <c r="Y24" i="1"/>
  <c r="Z24" i="1"/>
  <c r="AA24" i="1"/>
  <c r="U27" i="1"/>
  <c r="V27" i="1"/>
  <c r="W27" i="1"/>
  <c r="X27" i="1"/>
  <c r="Y27" i="1"/>
  <c r="Z27" i="1"/>
  <c r="AA27" i="1"/>
  <c r="S37" i="1"/>
  <c r="CF37" i="1"/>
  <c r="S40" i="1"/>
  <c r="CF40" i="1"/>
  <c r="S51" i="1"/>
  <c r="CD51" i="1"/>
  <c r="S54" i="1"/>
  <c r="CD54" i="1"/>
  <c r="T62" i="1"/>
  <c r="CI63" i="1"/>
  <c r="T68" i="1"/>
  <c r="CI68" i="1"/>
  <c r="U131" i="1"/>
  <c r="V131" i="1"/>
  <c r="W131" i="1"/>
  <c r="X131" i="1"/>
  <c r="Y131" i="1"/>
  <c r="Z131" i="1"/>
  <c r="AA131" i="1"/>
  <c r="U132" i="1"/>
  <c r="V132" i="1"/>
  <c r="W132" i="1"/>
  <c r="X132" i="1"/>
  <c r="Y132" i="1"/>
  <c r="Z132" i="1"/>
  <c r="AA132" i="1"/>
  <c r="U134" i="1"/>
  <c r="V134" i="1"/>
  <c r="W134" i="1"/>
  <c r="X134" i="1"/>
  <c r="Y134" i="1"/>
  <c r="Z134" i="1"/>
  <c r="AA134" i="1"/>
  <c r="T135" i="1"/>
  <c r="U135" i="1"/>
  <c r="V135" i="1"/>
  <c r="W135" i="1"/>
  <c r="X135" i="1"/>
  <c r="Y135" i="1"/>
  <c r="Z135" i="1"/>
  <c r="AA135" i="1"/>
  <c r="U136" i="1"/>
  <c r="V136" i="1"/>
  <c r="W136" i="1"/>
  <c r="X136" i="1"/>
  <c r="Y136" i="1"/>
  <c r="Z136" i="1"/>
  <c r="AA136" i="1"/>
  <c r="CI136" i="1"/>
  <c r="U137" i="1"/>
  <c r="V137" i="1"/>
  <c r="W137" i="1"/>
  <c r="X137" i="1"/>
  <c r="Y137" i="1"/>
  <c r="Z137" i="1"/>
  <c r="AA137" i="1"/>
  <c r="S138" i="1"/>
  <c r="U138" i="1"/>
  <c r="V138" i="1"/>
  <c r="W138" i="1"/>
  <c r="X138" i="1"/>
  <c r="Y138" i="1"/>
  <c r="Z138" i="1"/>
  <c r="AA138" i="1"/>
  <c r="CD138" i="1"/>
  <c r="CF138" i="1"/>
  <c r="T140" i="1"/>
  <c r="U140" i="1"/>
  <c r="V140" i="1"/>
  <c r="W140" i="1"/>
  <c r="X140" i="1"/>
  <c r="Y140" i="1"/>
  <c r="Z140" i="1"/>
  <c r="AA140" i="1"/>
  <c r="CI140" i="1"/>
  <c r="S141" i="1"/>
  <c r="T141" i="1"/>
  <c r="U141" i="1"/>
  <c r="V141" i="1"/>
  <c r="W141" i="1"/>
  <c r="X141" i="1"/>
  <c r="Y141" i="1"/>
  <c r="Z141" i="1"/>
  <c r="AA141" i="1"/>
  <c r="CD141" i="1"/>
  <c r="CF141" i="1"/>
  <c r="CI141" i="1"/>
  <c r="S151" i="1"/>
  <c r="CF151" i="1"/>
  <c r="S154" i="1"/>
  <c r="CF154" i="1"/>
  <c r="S164" i="1"/>
  <c r="CD164" i="1"/>
  <c r="CD167" i="1"/>
  <c r="U196" i="1"/>
  <c r="V196" i="1"/>
  <c r="W196" i="1"/>
  <c r="X196" i="1"/>
  <c r="Y196" i="1"/>
  <c r="Z196" i="1"/>
  <c r="AA196" i="1"/>
  <c r="U197" i="1"/>
  <c r="V197" i="1"/>
  <c r="W197" i="1"/>
  <c r="X197" i="1"/>
  <c r="Y197" i="1"/>
  <c r="Z197" i="1"/>
  <c r="AA197" i="1"/>
  <c r="U199" i="1"/>
  <c r="V199" i="1"/>
  <c r="W199" i="1"/>
  <c r="X199" i="1"/>
  <c r="Y199" i="1"/>
  <c r="Z199" i="1"/>
  <c r="AA199" i="1"/>
  <c r="T200" i="1"/>
  <c r="U200" i="1"/>
  <c r="V200" i="1"/>
  <c r="W200" i="1"/>
  <c r="X200" i="1"/>
  <c r="Y200" i="1"/>
  <c r="Z200" i="1"/>
  <c r="AA200" i="1"/>
  <c r="U201" i="1"/>
  <c r="V201" i="1"/>
  <c r="W201" i="1"/>
  <c r="X201" i="1"/>
  <c r="Y201" i="1"/>
  <c r="Z201" i="1"/>
  <c r="AA201" i="1"/>
  <c r="CI201" i="1"/>
  <c r="U202" i="1"/>
  <c r="V202" i="1"/>
  <c r="W202" i="1"/>
  <c r="X202" i="1"/>
  <c r="Y202" i="1"/>
  <c r="Z202" i="1"/>
  <c r="AA202" i="1"/>
  <c r="U203" i="1"/>
  <c r="V203" i="1"/>
  <c r="W203" i="1"/>
  <c r="X203" i="1"/>
  <c r="Y203" i="1"/>
  <c r="Z203" i="1"/>
  <c r="AA203" i="1"/>
  <c r="T205" i="1"/>
  <c r="U205" i="1"/>
  <c r="V205" i="1"/>
  <c r="W205" i="1"/>
  <c r="X205" i="1"/>
  <c r="Y205" i="1"/>
  <c r="Z205" i="1"/>
  <c r="AA205" i="1"/>
  <c r="CI205" i="1"/>
  <c r="CI206" i="1"/>
</calcChain>
</file>

<file path=xl/comments1.xml><?xml version="1.0" encoding="utf-8"?>
<comments xmlns="http://schemas.openxmlformats.org/spreadsheetml/2006/main">
  <authors>
    <author>Kaufman, Pamela (Research)</author>
    <author>paxtokei</author>
    <author>ayalavin</author>
    <author>colantuo</author>
  </authors>
  <commentList>
    <comment ref="BU8" authorId="0">
      <text>
        <r>
          <rPr>
            <b/>
            <sz val="9"/>
            <color indexed="81"/>
            <rFont val="Tahoma"/>
            <family val="2"/>
          </rPr>
          <t>Kaufman, Pamela (Research):</t>
        </r>
        <r>
          <rPr>
            <sz val="9"/>
            <color indexed="81"/>
            <rFont val="Tahoma"/>
            <family val="2"/>
          </rPr>
          <t xml:space="preserve">
Vol/mix and price prorated by change in org sales</t>
        </r>
      </text>
    </comment>
    <comment ref="BV8" authorId="0">
      <text>
        <r>
          <rPr>
            <b/>
            <sz val="9"/>
            <color indexed="81"/>
            <rFont val="Tahoma"/>
            <family val="2"/>
          </rPr>
          <t>Kaufman, Pamela (Research):</t>
        </r>
        <r>
          <rPr>
            <sz val="9"/>
            <color indexed="81"/>
            <rFont val="Tahoma"/>
            <family val="2"/>
          </rPr>
          <t xml:space="preserve">
Vol/mix and price prorated by change in org sales</t>
        </r>
      </text>
    </comment>
    <comment ref="J13" authorId="1">
      <text>
        <r>
          <rPr>
            <b/>
            <sz val="8"/>
            <color indexed="81"/>
            <rFont val="Tahoma"/>
            <family val="2"/>
          </rPr>
          <t>paxtokei:</t>
        </r>
        <r>
          <rPr>
            <sz val="8"/>
            <color indexed="81"/>
            <rFont val="Tahoma"/>
            <family val="2"/>
          </rPr>
          <t xml:space="preserve">
Prior: -1.8% + 0.8%</t>
        </r>
      </text>
    </comment>
    <comment ref="K13" authorId="1">
      <text>
        <r>
          <rPr>
            <b/>
            <sz val="8"/>
            <color indexed="81"/>
            <rFont val="Tahoma"/>
            <family val="2"/>
          </rPr>
          <t>paxtokei:</t>
        </r>
        <r>
          <rPr>
            <sz val="8"/>
            <color indexed="81"/>
            <rFont val="Tahoma"/>
            <family val="2"/>
          </rPr>
          <t xml:space="preserve">
Prior: -0.2%</t>
        </r>
      </text>
    </comment>
    <comment ref="L13" authorId="1">
      <text>
        <r>
          <rPr>
            <b/>
            <sz val="8"/>
            <color indexed="81"/>
            <rFont val="Tahoma"/>
            <family val="2"/>
          </rPr>
          <t>paxtokei:</t>
        </r>
        <r>
          <rPr>
            <sz val="8"/>
            <color indexed="81"/>
            <rFont val="Tahoma"/>
            <family val="2"/>
          </rPr>
          <t xml:space="preserve">
Source: 2011 10K pg 28
Prior: 2.6%</t>
        </r>
      </text>
    </comment>
    <comment ref="J14" authorId="1">
      <text>
        <r>
          <rPr>
            <b/>
            <sz val="8"/>
            <color indexed="81"/>
            <rFont val="Tahoma"/>
            <family val="2"/>
          </rPr>
          <t>paxtokei:</t>
        </r>
        <r>
          <rPr>
            <sz val="8"/>
            <color indexed="81"/>
            <rFont val="Tahoma"/>
            <family val="2"/>
          </rPr>
          <t xml:space="preserve">
2009 10K pg 27: 7.4% higher net pricing and 0.2% "2008 favorable resolution of a Brazilian VAT claim"
Prior: 7.6%</t>
        </r>
      </text>
    </comment>
    <comment ref="K14" authorId="1">
      <text>
        <r>
          <rPr>
            <b/>
            <sz val="8"/>
            <color indexed="81"/>
            <rFont val="Tahoma"/>
            <family val="2"/>
          </rPr>
          <t>paxtokei:</t>
        </r>
        <r>
          <rPr>
            <sz val="8"/>
            <color indexed="81"/>
            <rFont val="Tahoma"/>
            <family val="2"/>
          </rPr>
          <t xml:space="preserve">
Prior: 1.7%</t>
        </r>
      </text>
    </comment>
    <comment ref="L14" authorId="1">
      <text>
        <r>
          <rPr>
            <b/>
            <sz val="8"/>
            <color indexed="81"/>
            <rFont val="Tahoma"/>
            <family val="2"/>
          </rPr>
          <t>paxtokei:</t>
        </r>
        <r>
          <rPr>
            <sz val="8"/>
            <color indexed="81"/>
            <rFont val="Tahoma"/>
            <family val="2"/>
          </rPr>
          <t xml:space="preserve">
Source: 2011 10K pg 28
Prior: 1.1%</t>
        </r>
      </text>
    </comment>
    <comment ref="P19" authorId="2">
      <text>
        <r>
          <rPr>
            <b/>
            <sz val="8"/>
            <color indexed="81"/>
            <rFont val="Tahoma"/>
            <family val="2"/>
          </rPr>
          <t>ayalavin:</t>
        </r>
        <r>
          <rPr>
            <sz val="8"/>
            <color indexed="81"/>
            <rFont val="Tahoma"/>
            <family val="2"/>
          </rPr>
          <t xml:space="preserve">
Easter shift of somekind?</t>
        </r>
      </text>
    </comment>
    <comment ref="Q22" authorId="0">
      <text>
        <r>
          <rPr>
            <b/>
            <sz val="9"/>
            <color indexed="81"/>
            <rFont val="Tahoma"/>
            <family val="2"/>
          </rPr>
          <t>Kaufman, Pamela (Research):</t>
        </r>
        <r>
          <rPr>
            <sz val="9"/>
            <color indexed="81"/>
            <rFont val="Tahoma"/>
            <family val="2"/>
          </rPr>
          <t xml:space="preserve">
Excluding Venezuela, ~90 bps impact from SKU rationalization</t>
        </r>
      </text>
    </comment>
    <comment ref="BM22" authorId="2">
      <text>
        <r>
          <rPr>
            <b/>
            <sz val="8"/>
            <color indexed="81"/>
            <rFont val="Tahoma"/>
            <family val="2"/>
          </rPr>
          <t>ayalavin:</t>
        </r>
        <r>
          <rPr>
            <sz val="8"/>
            <color indexed="81"/>
            <rFont val="Tahoma"/>
            <family val="2"/>
          </rPr>
          <t xml:space="preserve">
(-) coffee: 1.3%
(-) capacity constraints: 0.5%
(-) shift to Gulf JV: 30 bps - sold to JV, but can't book as rev, JV will sell to wholesale, then can book revenue (assuming consolidated then backed out of noncontrolling)</t>
        </r>
      </text>
    </comment>
    <comment ref="BN22" authorId="2">
      <text>
        <r>
          <rPr>
            <b/>
            <sz val="8"/>
            <color indexed="81"/>
            <rFont val="Tahoma"/>
            <family val="2"/>
          </rPr>
          <t>ayalavin:</t>
        </r>
        <r>
          <rPr>
            <sz val="8"/>
            <color indexed="81"/>
            <rFont val="Tahoma"/>
            <family val="2"/>
          </rPr>
          <t xml:space="preserve">
(-) Coffee pricing headwind of 0.8%
(-) Capacity constraints a 0.2% headwind
(-) Gum declines still a headwind, but share on right path</t>
        </r>
      </text>
    </comment>
    <comment ref="BO22" authorId="2">
      <text>
        <r>
          <rPr>
            <b/>
            <sz val="8"/>
            <color indexed="81"/>
            <rFont val="Tahoma"/>
            <family val="2"/>
          </rPr>
          <t>ayalavin:</t>
        </r>
        <r>
          <rPr>
            <sz val="8"/>
            <color indexed="81"/>
            <rFont val="Tahoma"/>
            <family val="2"/>
          </rPr>
          <t xml:space="preserve">
(-) coffee pricing will still be a headwind but no where near a point</t>
        </r>
      </text>
    </comment>
    <comment ref="BQ22" authorId="2">
      <text>
        <r>
          <rPr>
            <b/>
            <sz val="8"/>
            <color indexed="81"/>
            <rFont val="Tahoma"/>
            <family val="2"/>
          </rPr>
          <t>ayalavin:</t>
        </r>
        <r>
          <rPr>
            <sz val="8"/>
            <color indexed="81"/>
            <rFont val="Tahoma"/>
            <family val="2"/>
          </rPr>
          <t xml:space="preserve">
(-) coffee pricing will still be a headwind but no where near a point</t>
        </r>
      </text>
    </comment>
    <comment ref="BU22" authorId="0">
      <text>
        <r>
          <rPr>
            <b/>
            <sz val="9"/>
            <color indexed="81"/>
            <rFont val="Tahoma"/>
            <family val="2"/>
          </rPr>
          <t>Kaufman, Pamela (Research):</t>
        </r>
        <r>
          <rPr>
            <sz val="9"/>
            <color indexed="81"/>
            <rFont val="Tahoma"/>
            <family val="2"/>
          </rPr>
          <t xml:space="preserve">
50 bps benefit Easter</t>
        </r>
      </text>
    </comment>
    <comment ref="CB22" authorId="0">
      <text>
        <r>
          <rPr>
            <b/>
            <sz val="9"/>
            <color indexed="81"/>
            <rFont val="Tahoma"/>
            <family val="2"/>
          </rPr>
          <t>Kaufman, Pamela (Research):</t>
        </r>
        <r>
          <rPr>
            <sz val="9"/>
            <color indexed="81"/>
            <rFont val="Tahoma"/>
            <family val="2"/>
          </rPr>
          <t xml:space="preserve">
60 bps impact from India demonetization</t>
        </r>
      </text>
    </comment>
    <comment ref="BM26" authorId="2">
      <text>
        <r>
          <rPr>
            <b/>
            <sz val="8"/>
            <color indexed="81"/>
            <rFont val="Tahoma"/>
            <family val="2"/>
          </rPr>
          <t>ayalavin:</t>
        </r>
        <r>
          <rPr>
            <sz val="8"/>
            <color indexed="81"/>
            <rFont val="Tahoma"/>
            <family val="2"/>
          </rPr>
          <t xml:space="preserve">
9.3% per company
39% tax rate</t>
        </r>
      </text>
    </comment>
    <comment ref="BN26" authorId="2">
      <text>
        <r>
          <rPr>
            <b/>
            <sz val="8"/>
            <color indexed="81"/>
            <rFont val="Tahoma"/>
            <family val="2"/>
          </rPr>
          <t>ayalavin:</t>
        </r>
        <r>
          <rPr>
            <sz val="8"/>
            <color indexed="81"/>
            <rFont val="Tahoma"/>
            <family val="2"/>
          </rPr>
          <t xml:space="preserve">
9.7% according to company release (i.e., excluding Australia &amp; Japan in Asia Pac)</t>
        </r>
      </text>
    </comment>
    <comment ref="BM27" authorId="2">
      <text>
        <r>
          <rPr>
            <b/>
            <sz val="8"/>
            <color indexed="81"/>
            <rFont val="Tahoma"/>
            <family val="2"/>
          </rPr>
          <t>ayalavin:</t>
        </r>
        <r>
          <rPr>
            <sz val="8"/>
            <color indexed="81"/>
            <rFont val="Tahoma"/>
            <family val="2"/>
          </rPr>
          <t xml:space="preserve">
poor gum performance in developed markets continues, taking time to roll out initiatives across all different outlets, longer than they wanted</t>
        </r>
      </text>
    </comment>
    <comment ref="BM30" authorId="2">
      <text>
        <r>
          <rPr>
            <b/>
            <sz val="8"/>
            <color indexed="81"/>
            <rFont val="Tahoma"/>
            <family val="2"/>
          </rPr>
          <t>ayalavin:</t>
        </r>
        <r>
          <rPr>
            <sz val="8"/>
            <color indexed="81"/>
            <rFont val="Tahoma"/>
            <family val="2"/>
          </rPr>
          <t xml:space="preserve">
(+) expansion into North / Northeast Brazil
(-) Spending behind expansion in North/Northeast, but still not seeing full sales flow through as they continue to build out infrastructure, would expect more later on
shipped to consumption in Brazil</t>
        </r>
      </text>
    </comment>
    <comment ref="BN30" authorId="2">
      <text>
        <r>
          <rPr>
            <b/>
            <sz val="8"/>
            <color indexed="81"/>
            <rFont val="Tahoma"/>
            <family val="2"/>
          </rPr>
          <t>ayalavin:</t>
        </r>
        <r>
          <rPr>
            <sz val="8"/>
            <color indexed="81"/>
            <rFont val="Tahoma"/>
            <family val="2"/>
          </rPr>
          <t xml:space="preserve">
(-) lower volume / mix in Mexico</t>
        </r>
      </text>
    </comment>
    <comment ref="O31" authorId="2">
      <text>
        <r>
          <rPr>
            <b/>
            <sz val="8"/>
            <color indexed="81"/>
            <rFont val="Tahoma"/>
            <family val="2"/>
          </rPr>
          <t>ayalavin:</t>
        </r>
        <r>
          <rPr>
            <sz val="8"/>
            <color indexed="81"/>
            <rFont val="Tahoma"/>
            <family val="2"/>
          </rPr>
          <t xml:space="preserve">
(+) Venezuela pricing impact carries through
(-) not sure how long Argentina price controls last</t>
        </r>
      </text>
    </comment>
    <comment ref="BM31" authorId="2">
      <text>
        <r>
          <rPr>
            <b/>
            <sz val="8"/>
            <color indexed="81"/>
            <rFont val="Tahoma"/>
            <family val="2"/>
          </rPr>
          <t>ayalavin:</t>
        </r>
        <r>
          <rPr>
            <sz val="8"/>
            <color indexed="81"/>
            <rFont val="Tahoma"/>
            <family val="2"/>
          </rPr>
          <t xml:space="preserve">
(+) Venezuela inflation
(+/-) Argentina price controls</t>
        </r>
      </text>
    </comment>
    <comment ref="BN31" authorId="2">
      <text>
        <r>
          <rPr>
            <b/>
            <sz val="8"/>
            <color indexed="81"/>
            <rFont val="Tahoma"/>
            <family val="2"/>
          </rPr>
          <t>ayalavin:</t>
        </r>
        <r>
          <rPr>
            <sz val="8"/>
            <color indexed="81"/>
            <rFont val="Tahoma"/>
            <family val="2"/>
          </rPr>
          <t xml:space="preserve">
(+) Driven by inflationary economies -- Venezuela</t>
        </r>
      </text>
    </comment>
    <comment ref="BK39" authorId="2">
      <text>
        <r>
          <rPr>
            <b/>
            <sz val="8"/>
            <color indexed="81"/>
            <rFont val="Tahoma"/>
            <family val="2"/>
          </rPr>
          <t>ayalavin:</t>
        </r>
        <r>
          <rPr>
            <sz val="8"/>
            <color indexed="81"/>
            <rFont val="Tahoma"/>
            <family val="2"/>
          </rPr>
          <t xml:space="preserve">
Brazil - flat in 3Q</t>
        </r>
      </text>
    </comment>
    <comment ref="BL39" authorId="2">
      <text>
        <r>
          <rPr>
            <b/>
            <sz val="8"/>
            <color indexed="81"/>
            <rFont val="Tahoma"/>
            <family val="2"/>
          </rPr>
          <t>ayalavin:</t>
        </r>
        <r>
          <rPr>
            <sz val="8"/>
            <color indexed="81"/>
            <rFont val="Tahoma"/>
            <family val="2"/>
          </rPr>
          <t xml:space="preserve">
Brazil +MSD in 4Q</t>
        </r>
      </text>
    </comment>
    <comment ref="BM39" authorId="2">
      <text>
        <r>
          <rPr>
            <b/>
            <sz val="8"/>
            <color indexed="81"/>
            <rFont val="Tahoma"/>
            <family val="2"/>
          </rPr>
          <t>ayalavin:</t>
        </r>
        <r>
          <rPr>
            <sz val="8"/>
            <color indexed="81"/>
            <rFont val="Tahoma"/>
            <family val="2"/>
          </rPr>
          <t xml:space="preserve">
(+) Brazil grew strongly, up mid-teens - a solid Easter season and Lacta gains</t>
        </r>
      </text>
    </comment>
    <comment ref="BN39" authorId="2">
      <text>
        <r>
          <rPr>
            <b/>
            <sz val="8"/>
            <color indexed="81"/>
            <rFont val="Tahoma"/>
            <family val="2"/>
          </rPr>
          <t>ayalavin:</t>
        </r>
        <r>
          <rPr>
            <sz val="8"/>
            <color indexed="81"/>
            <rFont val="Tahoma"/>
            <family val="2"/>
          </rPr>
          <t xml:space="preserve">
(+) Brazil +DD on strong vol/mix/price</t>
        </r>
      </text>
    </comment>
    <comment ref="M45" authorId="2">
      <text>
        <r>
          <rPr>
            <b/>
            <sz val="8"/>
            <color indexed="81"/>
            <rFont val="Tahoma"/>
            <family val="2"/>
          </rPr>
          <t>ayalavin:</t>
        </r>
        <r>
          <rPr>
            <sz val="8"/>
            <color indexed="81"/>
            <rFont val="Tahoma"/>
            <family val="2"/>
          </rPr>
          <t xml:space="preserve">
(+) Venezuela pricing impact carries through
(-) not sure how long Argentina price controls last</t>
        </r>
      </text>
    </comment>
    <comment ref="N45" authorId="2">
      <text>
        <r>
          <rPr>
            <b/>
            <sz val="8"/>
            <color indexed="81"/>
            <rFont val="Tahoma"/>
            <family val="2"/>
          </rPr>
          <t>ayalavin:</t>
        </r>
        <r>
          <rPr>
            <sz val="8"/>
            <color indexed="81"/>
            <rFont val="Tahoma"/>
            <family val="2"/>
          </rPr>
          <t xml:space="preserve">
(+) Venezuela pricing impact carries through
(-) not sure how long Argentina price controls last</t>
        </r>
      </text>
    </comment>
    <comment ref="O45" authorId="2">
      <text>
        <r>
          <rPr>
            <b/>
            <sz val="8"/>
            <color indexed="81"/>
            <rFont val="Tahoma"/>
            <family val="2"/>
          </rPr>
          <t>ayalavin:</t>
        </r>
        <r>
          <rPr>
            <sz val="8"/>
            <color indexed="81"/>
            <rFont val="Tahoma"/>
            <family val="2"/>
          </rPr>
          <t xml:space="preserve">
(+) Venezuela pricing impact carries through
(-) not sure how long Argentina price controls last</t>
        </r>
      </text>
    </comment>
    <comment ref="BK53" authorId="2">
      <text>
        <r>
          <rPr>
            <b/>
            <sz val="8"/>
            <color indexed="81"/>
            <rFont val="Tahoma"/>
            <family val="2"/>
          </rPr>
          <t>ayalavin:</t>
        </r>
        <r>
          <rPr>
            <sz val="8"/>
            <color indexed="81"/>
            <rFont val="Tahoma"/>
            <family val="2"/>
          </rPr>
          <t xml:space="preserve">
Brazil - flat in 3Q</t>
        </r>
      </text>
    </comment>
    <comment ref="BL53" authorId="2">
      <text>
        <r>
          <rPr>
            <b/>
            <sz val="8"/>
            <color indexed="81"/>
            <rFont val="Tahoma"/>
            <family val="2"/>
          </rPr>
          <t>ayalavin:</t>
        </r>
        <r>
          <rPr>
            <sz val="8"/>
            <color indexed="81"/>
            <rFont val="Tahoma"/>
            <family val="2"/>
          </rPr>
          <t xml:space="preserve">
Brazil +MSD in 4Q</t>
        </r>
      </text>
    </comment>
    <comment ref="BM53" authorId="2">
      <text>
        <r>
          <rPr>
            <b/>
            <sz val="8"/>
            <color indexed="81"/>
            <rFont val="Tahoma"/>
            <family val="2"/>
          </rPr>
          <t>ayalavin:</t>
        </r>
        <r>
          <rPr>
            <sz val="8"/>
            <color indexed="81"/>
            <rFont val="Tahoma"/>
            <family val="2"/>
          </rPr>
          <t xml:space="preserve">
(+) Brazil grew strongly, up mid-teens - a solid Easter season and Lacta gains</t>
        </r>
      </text>
    </comment>
    <comment ref="BN53" authorId="2">
      <text>
        <r>
          <rPr>
            <b/>
            <sz val="8"/>
            <color indexed="81"/>
            <rFont val="Tahoma"/>
            <family val="2"/>
          </rPr>
          <t>ayalavin:</t>
        </r>
        <r>
          <rPr>
            <sz val="8"/>
            <color indexed="81"/>
            <rFont val="Tahoma"/>
            <family val="2"/>
          </rPr>
          <t xml:space="preserve">
(+) Brazil +DD on strong vol/mix/price</t>
        </r>
      </text>
    </comment>
    <comment ref="BK72" authorId="2">
      <text>
        <r>
          <rPr>
            <b/>
            <sz val="8"/>
            <color indexed="81"/>
            <rFont val="Tahoma"/>
            <family val="2"/>
          </rPr>
          <t>ayalavin:</t>
        </r>
        <r>
          <rPr>
            <sz val="8"/>
            <color indexed="81"/>
            <rFont val="Tahoma"/>
            <family val="2"/>
          </rPr>
          <t xml:space="preserve">
launched Stride in China in the middle of the quarter</t>
        </r>
      </text>
    </comment>
    <comment ref="Q81" authorId="0">
      <text>
        <r>
          <rPr>
            <b/>
            <sz val="9"/>
            <color indexed="81"/>
            <rFont val="Tahoma"/>
            <family val="2"/>
          </rPr>
          <t>Kaufman, Pamela (Research):</t>
        </r>
        <r>
          <rPr>
            <sz val="9"/>
            <color indexed="81"/>
            <rFont val="Tahoma"/>
            <family val="2"/>
          </rPr>
          <t xml:space="preserve">
100 bps impact from SKU rationalization</t>
        </r>
      </text>
    </comment>
    <comment ref="BM81" authorId="2">
      <text>
        <r>
          <rPr>
            <b/>
            <sz val="8"/>
            <color indexed="81"/>
            <rFont val="Tahoma"/>
            <family val="2"/>
          </rPr>
          <t>ayalavin:</t>
        </r>
        <r>
          <rPr>
            <sz val="8"/>
            <color indexed="81"/>
            <rFont val="Tahoma"/>
            <family val="2"/>
          </rPr>
          <t xml:space="preserve">
(+) China up more than 20%
(-) capacity constraints half a point headwind to total company, implies ~3.3% for AsiaPac Segment, did stretch capacity more than expected and used some co-packers to help offset some of the impact relative to what they thought it would be at CAGNY
(-) gum decline in Japan
(-) slight decline in Australia</t>
        </r>
      </text>
    </comment>
    <comment ref="BN81" authorId="2">
      <text>
        <r>
          <rPr>
            <b/>
            <sz val="8"/>
            <color indexed="81"/>
            <rFont val="Tahoma"/>
            <family val="2"/>
          </rPr>
          <t>ayalavin:</t>
        </r>
        <r>
          <rPr>
            <sz val="8"/>
            <color indexed="81"/>
            <rFont val="Tahoma"/>
            <family val="2"/>
          </rPr>
          <t xml:space="preserve">
(+) DD (%) growth in China, India &amp; the Philippines 
(-) China slowed sequentially on slowing category trends in Biscuits, Stride continues to boost topline
(-) DM was down MSD (%)</t>
        </r>
      </text>
    </comment>
    <comment ref="BP81" authorId="3">
      <text>
        <r>
          <rPr>
            <b/>
            <sz val="8"/>
            <color indexed="81"/>
            <rFont val="Tahoma"/>
            <family val="2"/>
          </rPr>
          <t>colantuo:</t>
        </r>
        <r>
          <rPr>
            <sz val="8"/>
            <color indexed="81"/>
            <rFont val="Tahoma"/>
            <family val="2"/>
          </rPr>
          <t xml:space="preserve">
China was down DD driven by inventory drawdown of Golden Oreos</t>
        </r>
      </text>
    </comment>
    <comment ref="BM95" authorId="2">
      <text>
        <r>
          <rPr>
            <b/>
            <sz val="8"/>
            <color indexed="81"/>
            <rFont val="Tahoma"/>
            <family val="2"/>
          </rPr>
          <t>ayalavin:</t>
        </r>
        <r>
          <rPr>
            <sz val="8"/>
            <color indexed="81"/>
            <rFont val="Tahoma"/>
            <family val="2"/>
          </rPr>
          <t xml:space="preserve">
(-) 3% hit to EEMEA on Gulf JV transition</t>
        </r>
      </text>
    </comment>
    <comment ref="BN95" authorId="2">
      <text>
        <r>
          <rPr>
            <b/>
            <sz val="8"/>
            <color indexed="81"/>
            <rFont val="Tahoma"/>
            <family val="2"/>
          </rPr>
          <t>ayalavin:</t>
        </r>
        <r>
          <rPr>
            <sz val="8"/>
            <color indexed="81"/>
            <rFont val="Tahoma"/>
            <family val="2"/>
          </rPr>
          <t xml:space="preserve">
(+) 3% rebound from JV transition in this quarter</t>
        </r>
      </text>
    </comment>
    <comment ref="BL105" authorId="2">
      <text>
        <r>
          <rPr>
            <b/>
            <sz val="8"/>
            <color indexed="81"/>
            <rFont val="Tahoma"/>
            <family val="2"/>
          </rPr>
          <t>ayalavin:</t>
        </r>
        <r>
          <rPr>
            <sz val="8"/>
            <color indexed="81"/>
            <rFont val="Tahoma"/>
            <family val="2"/>
          </rPr>
          <t xml:space="preserve">
During the three months ended December 31, 2012, we completed several divestitures within our Europe segment which generated cash proceeds of $200 million and pre-tax gains of $107 million. The divestitures primarily included a dinners and sauces grocery business in Germany and Belgium and a canned meat business in Italy. The aggregate operating results of these divestitures were not material to our condensed consolidated financial statements as of and for the three months ended March 31, 2012.</t>
        </r>
      </text>
    </comment>
    <comment ref="BM109" authorId="2">
      <text>
        <r>
          <rPr>
            <b/>
            <sz val="8"/>
            <color indexed="81"/>
            <rFont val="Tahoma"/>
            <family val="2"/>
          </rPr>
          <t>ayalavin:</t>
        </r>
        <r>
          <rPr>
            <sz val="8"/>
            <color indexed="81"/>
            <rFont val="Tahoma"/>
            <family val="2"/>
          </rPr>
          <t xml:space="preserve">
(-) Coffee pricing impact was -2 points
(-) gum category continued to decline across Europe, competitors becoming a little more promotional, likely to respond a bit more</t>
        </r>
      </text>
    </comment>
    <comment ref="BN109" authorId="2">
      <text>
        <r>
          <rPr>
            <b/>
            <sz val="8"/>
            <color indexed="81"/>
            <rFont val="Tahoma"/>
            <family val="2"/>
          </rPr>
          <t>ayalavin:</t>
        </r>
        <r>
          <rPr>
            <sz val="8"/>
            <color indexed="81"/>
            <rFont val="Tahoma"/>
            <family val="2"/>
          </rPr>
          <t xml:space="preserve">
(-) Lower coffee revenues were a 1.3% impact</t>
        </r>
      </text>
    </comment>
    <comment ref="BQ114" authorId="3">
      <text>
        <r>
          <rPr>
            <b/>
            <sz val="8"/>
            <color indexed="81"/>
            <rFont val="Tahoma"/>
            <family val="2"/>
          </rPr>
          <t>colantuo:</t>
        </r>
        <r>
          <rPr>
            <sz val="8"/>
            <color indexed="81"/>
            <rFont val="Tahoma"/>
            <family val="2"/>
          </rPr>
          <t xml:space="preserve">
Easter shift</t>
        </r>
      </text>
    </comment>
    <comment ref="BM123" authorId="2">
      <text>
        <r>
          <rPr>
            <b/>
            <sz val="8"/>
            <color indexed="81"/>
            <rFont val="Tahoma"/>
            <family val="2"/>
          </rPr>
          <t>ayalavin:</t>
        </r>
        <r>
          <rPr>
            <sz val="8"/>
            <color indexed="81"/>
            <rFont val="Tahoma"/>
            <family val="2"/>
          </rPr>
          <t xml:space="preserve">
(-) trailing tracked channel due to weakness in C-store (lost some distribution) and some modest SKU rationalization at retail</t>
        </r>
      </text>
    </comment>
    <comment ref="L157" authorId="0">
      <text>
        <r>
          <rPr>
            <b/>
            <sz val="9"/>
            <color indexed="81"/>
            <rFont val="Tahoma"/>
            <family val="2"/>
          </rPr>
          <t>Kaufman, Pamela (Research):</t>
        </r>
        <r>
          <rPr>
            <sz val="9"/>
            <color indexed="81"/>
            <rFont val="Tahoma"/>
            <family val="2"/>
          </rPr>
          <t xml:space="preserve">
Includes 47% of old EMEA segment based on annual data</t>
        </r>
      </text>
    </comment>
    <comment ref="M157" authorId="0">
      <text>
        <r>
          <rPr>
            <b/>
            <sz val="9"/>
            <color indexed="81"/>
            <rFont val="Tahoma"/>
            <family val="2"/>
          </rPr>
          <t>Kaufman, Pamela (Research):</t>
        </r>
        <r>
          <rPr>
            <sz val="9"/>
            <color indexed="81"/>
            <rFont val="Tahoma"/>
            <family val="2"/>
          </rPr>
          <t xml:space="preserve">
Includes 47% of old EMEA segment based on annual data</t>
        </r>
      </text>
    </comment>
    <comment ref="N157" authorId="0">
      <text>
        <r>
          <rPr>
            <b/>
            <sz val="9"/>
            <color indexed="81"/>
            <rFont val="Tahoma"/>
            <family val="2"/>
          </rPr>
          <t>Kaufman, Pamela (Research):</t>
        </r>
        <r>
          <rPr>
            <sz val="9"/>
            <color indexed="81"/>
            <rFont val="Tahoma"/>
            <family val="2"/>
          </rPr>
          <t xml:space="preserve">
Includes 47% of old EMEA segment based on annual data</t>
        </r>
      </text>
    </comment>
    <comment ref="O157" authorId="0">
      <text>
        <r>
          <rPr>
            <b/>
            <sz val="9"/>
            <color indexed="81"/>
            <rFont val="Tahoma"/>
            <family val="2"/>
          </rPr>
          <t>Kaufman, Pamela (Research):</t>
        </r>
        <r>
          <rPr>
            <sz val="9"/>
            <color indexed="81"/>
            <rFont val="Tahoma"/>
            <family val="2"/>
          </rPr>
          <t xml:space="preserve">
Includes 47% of old EMEA segment based on annual data</t>
        </r>
      </text>
    </comment>
    <comment ref="P157" authorId="0">
      <text>
        <r>
          <rPr>
            <b/>
            <sz val="9"/>
            <color indexed="81"/>
            <rFont val="Tahoma"/>
            <family val="2"/>
          </rPr>
          <t>Kaufman, Pamela (Research):</t>
        </r>
        <r>
          <rPr>
            <sz val="9"/>
            <color indexed="81"/>
            <rFont val="Tahoma"/>
            <family val="2"/>
          </rPr>
          <t xml:space="preserve">
Includes 47% of old EMEA segment based on annual data</t>
        </r>
      </text>
    </comment>
    <comment ref="BI157" authorId="0">
      <text>
        <r>
          <rPr>
            <b/>
            <sz val="9"/>
            <color indexed="81"/>
            <rFont val="Tahoma"/>
            <family val="2"/>
          </rPr>
          <t>Kaufman, Pamela (Research):</t>
        </r>
        <r>
          <rPr>
            <sz val="9"/>
            <color indexed="81"/>
            <rFont val="Tahoma"/>
            <family val="2"/>
          </rPr>
          <t xml:space="preserve">
Includes 47% of old EMEA segment based on annual data</t>
        </r>
      </text>
    </comment>
    <comment ref="BJ157" authorId="0">
      <text>
        <r>
          <rPr>
            <b/>
            <sz val="9"/>
            <color indexed="81"/>
            <rFont val="Tahoma"/>
            <family val="2"/>
          </rPr>
          <t>Kaufman, Pamela (Research):</t>
        </r>
        <r>
          <rPr>
            <sz val="9"/>
            <color indexed="81"/>
            <rFont val="Tahoma"/>
            <family val="2"/>
          </rPr>
          <t xml:space="preserve">
Includes 47% of old EMEA segment based on annual data</t>
        </r>
      </text>
    </comment>
    <comment ref="BK157" authorId="0">
      <text>
        <r>
          <rPr>
            <b/>
            <sz val="9"/>
            <color indexed="81"/>
            <rFont val="Tahoma"/>
            <family val="2"/>
          </rPr>
          <t>Kaufman, Pamela (Research):</t>
        </r>
        <r>
          <rPr>
            <sz val="9"/>
            <color indexed="81"/>
            <rFont val="Tahoma"/>
            <family val="2"/>
          </rPr>
          <t xml:space="preserve">
Includes 47% of old EMEA segment based on annual data</t>
        </r>
      </text>
    </comment>
    <comment ref="BL157" authorId="0">
      <text>
        <r>
          <rPr>
            <b/>
            <sz val="9"/>
            <color indexed="81"/>
            <rFont val="Tahoma"/>
            <family val="2"/>
          </rPr>
          <t>Kaufman, Pamela (Research):</t>
        </r>
        <r>
          <rPr>
            <sz val="9"/>
            <color indexed="81"/>
            <rFont val="Tahoma"/>
            <family val="2"/>
          </rPr>
          <t xml:space="preserve">
Includes 47% of old EMEA segment based on annual data</t>
        </r>
      </text>
    </comment>
    <comment ref="BM157" authorId="0">
      <text>
        <r>
          <rPr>
            <b/>
            <sz val="9"/>
            <color indexed="81"/>
            <rFont val="Tahoma"/>
            <family val="2"/>
          </rPr>
          <t>Kaufman, Pamela (Research):</t>
        </r>
        <r>
          <rPr>
            <sz val="9"/>
            <color indexed="81"/>
            <rFont val="Tahoma"/>
            <family val="2"/>
          </rPr>
          <t xml:space="preserve">
Includes 47% of old EMEA segment based on annual data</t>
        </r>
      </text>
    </comment>
    <comment ref="BN157" authorId="0">
      <text>
        <r>
          <rPr>
            <b/>
            <sz val="9"/>
            <color indexed="81"/>
            <rFont val="Tahoma"/>
            <family val="2"/>
          </rPr>
          <t>Kaufman, Pamela (Research):</t>
        </r>
        <r>
          <rPr>
            <sz val="9"/>
            <color indexed="81"/>
            <rFont val="Tahoma"/>
            <family val="2"/>
          </rPr>
          <t xml:space="preserve">
Includes 47% of old EMEA segment based on annual data</t>
        </r>
      </text>
    </comment>
    <comment ref="BO157" authorId="0">
      <text>
        <r>
          <rPr>
            <b/>
            <sz val="9"/>
            <color indexed="81"/>
            <rFont val="Tahoma"/>
            <family val="2"/>
          </rPr>
          <t>Kaufman, Pamela (Research):</t>
        </r>
        <r>
          <rPr>
            <sz val="9"/>
            <color indexed="81"/>
            <rFont val="Tahoma"/>
            <family val="2"/>
          </rPr>
          <t xml:space="preserve">
Includes 47% of old EMEA segment based on annual data</t>
        </r>
      </text>
    </comment>
    <comment ref="BP157" authorId="0">
      <text>
        <r>
          <rPr>
            <b/>
            <sz val="9"/>
            <color indexed="81"/>
            <rFont val="Tahoma"/>
            <family val="2"/>
          </rPr>
          <t>Kaufman, Pamela (Research):</t>
        </r>
        <r>
          <rPr>
            <sz val="9"/>
            <color indexed="81"/>
            <rFont val="Tahoma"/>
            <family val="2"/>
          </rPr>
          <t xml:space="preserve">
Includes 47% of old EMEA segment based on annual data</t>
        </r>
      </text>
    </comment>
    <comment ref="BQ157" authorId="0">
      <text>
        <r>
          <rPr>
            <b/>
            <sz val="9"/>
            <color indexed="81"/>
            <rFont val="Tahoma"/>
            <family val="2"/>
          </rPr>
          <t>Kaufman, Pamela (Research):</t>
        </r>
        <r>
          <rPr>
            <sz val="9"/>
            <color indexed="81"/>
            <rFont val="Tahoma"/>
            <family val="2"/>
          </rPr>
          <t xml:space="preserve">
Includes 47% of old EMEA segment based on annual data</t>
        </r>
      </text>
    </comment>
    <comment ref="BR157" authorId="0">
      <text>
        <r>
          <rPr>
            <b/>
            <sz val="9"/>
            <color indexed="81"/>
            <rFont val="Tahoma"/>
            <family val="2"/>
          </rPr>
          <t>Kaufman, Pamela (Research):</t>
        </r>
        <r>
          <rPr>
            <sz val="9"/>
            <color indexed="81"/>
            <rFont val="Tahoma"/>
            <family val="2"/>
          </rPr>
          <t xml:space="preserve">
Includes 47% of old EMEA segment based on annual data</t>
        </r>
      </text>
    </comment>
    <comment ref="BS157" authorId="0">
      <text>
        <r>
          <rPr>
            <b/>
            <sz val="9"/>
            <color indexed="81"/>
            <rFont val="Tahoma"/>
            <family val="2"/>
          </rPr>
          <t>Kaufman, Pamela (Research):</t>
        </r>
        <r>
          <rPr>
            <sz val="9"/>
            <color indexed="81"/>
            <rFont val="Tahoma"/>
            <family val="2"/>
          </rPr>
          <t xml:space="preserve">
Includes 47% of old EMEA segment based on annual data</t>
        </r>
      </text>
    </comment>
    <comment ref="BT157" authorId="0">
      <text>
        <r>
          <rPr>
            <b/>
            <sz val="9"/>
            <color indexed="81"/>
            <rFont val="Tahoma"/>
            <family val="2"/>
          </rPr>
          <t>Kaufman, Pamela (Research):</t>
        </r>
        <r>
          <rPr>
            <sz val="9"/>
            <color indexed="81"/>
            <rFont val="Tahoma"/>
            <family val="2"/>
          </rPr>
          <t xml:space="preserve">
Includes 47% of old EMEA segment based on annual data</t>
        </r>
      </text>
    </comment>
    <comment ref="BU157" authorId="0">
      <text>
        <r>
          <rPr>
            <b/>
            <sz val="9"/>
            <color indexed="81"/>
            <rFont val="Tahoma"/>
            <family val="2"/>
          </rPr>
          <t>Kaufman, Pamela (Research):</t>
        </r>
        <r>
          <rPr>
            <sz val="9"/>
            <color indexed="81"/>
            <rFont val="Tahoma"/>
            <family val="2"/>
          </rPr>
          <t xml:space="preserve">
Includes 47% of old EMEA segment based on annual data</t>
        </r>
      </text>
    </comment>
    <comment ref="BV157" authorId="0">
      <text>
        <r>
          <rPr>
            <b/>
            <sz val="9"/>
            <color indexed="81"/>
            <rFont val="Tahoma"/>
            <family val="2"/>
          </rPr>
          <t>Kaufman, Pamela (Research):</t>
        </r>
        <r>
          <rPr>
            <sz val="9"/>
            <color indexed="81"/>
            <rFont val="Tahoma"/>
            <family val="2"/>
          </rPr>
          <t xml:space="preserve">
Includes 47% of old EMEA segment based on annual data</t>
        </r>
      </text>
    </comment>
    <comment ref="BW157" authorId="0">
      <text>
        <r>
          <rPr>
            <b/>
            <sz val="9"/>
            <color indexed="81"/>
            <rFont val="Tahoma"/>
            <family val="2"/>
          </rPr>
          <t>Kaufman, Pamela (Research):</t>
        </r>
        <r>
          <rPr>
            <sz val="9"/>
            <color indexed="81"/>
            <rFont val="Tahoma"/>
            <family val="2"/>
          </rPr>
          <t xml:space="preserve">
Includes 47% of old EMEA segment based on annual data</t>
        </r>
      </text>
    </comment>
    <comment ref="BX157" authorId="0">
      <text>
        <r>
          <rPr>
            <b/>
            <sz val="9"/>
            <color indexed="81"/>
            <rFont val="Tahoma"/>
            <family val="2"/>
          </rPr>
          <t>Kaufman, Pamela (Research):</t>
        </r>
        <r>
          <rPr>
            <sz val="9"/>
            <color indexed="81"/>
            <rFont val="Tahoma"/>
            <family val="2"/>
          </rPr>
          <t xml:space="preserve">
Includes 47% of old EMEA segment based on annual data</t>
        </r>
      </text>
    </comment>
    <comment ref="L158" authorId="0">
      <text>
        <r>
          <rPr>
            <b/>
            <sz val="9"/>
            <color indexed="81"/>
            <rFont val="Tahoma"/>
            <family val="2"/>
          </rPr>
          <t>Kaufman, Pamela (Research):</t>
        </r>
        <r>
          <rPr>
            <sz val="9"/>
            <color indexed="81"/>
            <rFont val="Tahoma"/>
            <family val="2"/>
          </rPr>
          <t xml:space="preserve">
Includes 30% of old EMEA segment based on annual data</t>
        </r>
      </text>
    </comment>
    <comment ref="M158" authorId="0">
      <text>
        <r>
          <rPr>
            <b/>
            <sz val="9"/>
            <color indexed="81"/>
            <rFont val="Tahoma"/>
            <family val="2"/>
          </rPr>
          <t>Kaufman, Pamela (Research):</t>
        </r>
        <r>
          <rPr>
            <sz val="9"/>
            <color indexed="81"/>
            <rFont val="Tahoma"/>
            <family val="2"/>
          </rPr>
          <t xml:space="preserve">
Includes 30% of old EMEA segment based on annual data</t>
        </r>
      </text>
    </comment>
    <comment ref="N158" authorId="0">
      <text>
        <r>
          <rPr>
            <b/>
            <sz val="9"/>
            <color indexed="81"/>
            <rFont val="Tahoma"/>
            <family val="2"/>
          </rPr>
          <t>Kaufman, Pamela (Research):</t>
        </r>
        <r>
          <rPr>
            <sz val="9"/>
            <color indexed="81"/>
            <rFont val="Tahoma"/>
            <family val="2"/>
          </rPr>
          <t xml:space="preserve">
Includes 30% of old EMEA segment based on annual data</t>
        </r>
      </text>
    </comment>
    <comment ref="O158" authorId="0">
      <text>
        <r>
          <rPr>
            <b/>
            <sz val="9"/>
            <color indexed="81"/>
            <rFont val="Tahoma"/>
            <family val="2"/>
          </rPr>
          <t>Kaufman, Pamela (Research):</t>
        </r>
        <r>
          <rPr>
            <sz val="9"/>
            <color indexed="81"/>
            <rFont val="Tahoma"/>
            <family val="2"/>
          </rPr>
          <t xml:space="preserve">
Includes 30% of old EMEA segment based on annual data</t>
        </r>
      </text>
    </comment>
    <comment ref="P158" authorId="0">
      <text>
        <r>
          <rPr>
            <b/>
            <sz val="9"/>
            <color indexed="81"/>
            <rFont val="Tahoma"/>
            <family val="2"/>
          </rPr>
          <t>Kaufman, Pamela (Research):</t>
        </r>
        <r>
          <rPr>
            <sz val="9"/>
            <color indexed="81"/>
            <rFont val="Tahoma"/>
            <family val="2"/>
          </rPr>
          <t xml:space="preserve">
Includes 30% of old EMEA segment based on annual data</t>
        </r>
      </text>
    </comment>
    <comment ref="BI158" authorId="0">
      <text>
        <r>
          <rPr>
            <b/>
            <sz val="9"/>
            <color indexed="81"/>
            <rFont val="Tahoma"/>
            <family val="2"/>
          </rPr>
          <t>Kaufman, Pamela (Research):</t>
        </r>
        <r>
          <rPr>
            <sz val="9"/>
            <color indexed="81"/>
            <rFont val="Tahoma"/>
            <family val="2"/>
          </rPr>
          <t xml:space="preserve">
Includes 30% of old EMEA segment based on annual data</t>
        </r>
      </text>
    </comment>
    <comment ref="BJ158" authorId="0">
      <text>
        <r>
          <rPr>
            <b/>
            <sz val="9"/>
            <color indexed="81"/>
            <rFont val="Tahoma"/>
            <family val="2"/>
          </rPr>
          <t>Kaufman, Pamela (Research):</t>
        </r>
        <r>
          <rPr>
            <sz val="9"/>
            <color indexed="81"/>
            <rFont val="Tahoma"/>
            <family val="2"/>
          </rPr>
          <t xml:space="preserve">
Includes 30% of old EMEA segment based on annual data</t>
        </r>
      </text>
    </comment>
    <comment ref="BK158" authorId="0">
      <text>
        <r>
          <rPr>
            <b/>
            <sz val="9"/>
            <color indexed="81"/>
            <rFont val="Tahoma"/>
            <family val="2"/>
          </rPr>
          <t>Kaufman, Pamela (Research):</t>
        </r>
        <r>
          <rPr>
            <sz val="9"/>
            <color indexed="81"/>
            <rFont val="Tahoma"/>
            <family val="2"/>
          </rPr>
          <t xml:space="preserve">
Includes 30% of old EMEA segment based on annual data</t>
        </r>
      </text>
    </comment>
    <comment ref="BL158" authorId="0">
      <text>
        <r>
          <rPr>
            <b/>
            <sz val="9"/>
            <color indexed="81"/>
            <rFont val="Tahoma"/>
            <family val="2"/>
          </rPr>
          <t>Kaufman, Pamela (Research):</t>
        </r>
        <r>
          <rPr>
            <sz val="9"/>
            <color indexed="81"/>
            <rFont val="Tahoma"/>
            <family val="2"/>
          </rPr>
          <t xml:space="preserve">
Includes 30% of old EMEA segment based on annual data</t>
        </r>
      </text>
    </comment>
    <comment ref="BM158" authorId="0">
      <text>
        <r>
          <rPr>
            <b/>
            <sz val="9"/>
            <color indexed="81"/>
            <rFont val="Tahoma"/>
            <family val="2"/>
          </rPr>
          <t>Kaufman, Pamela (Research):</t>
        </r>
        <r>
          <rPr>
            <sz val="9"/>
            <color indexed="81"/>
            <rFont val="Tahoma"/>
            <family val="2"/>
          </rPr>
          <t xml:space="preserve">
Includes 30% of old EMEA segment based on annual data</t>
        </r>
      </text>
    </comment>
    <comment ref="BN158" authorId="0">
      <text>
        <r>
          <rPr>
            <b/>
            <sz val="9"/>
            <color indexed="81"/>
            <rFont val="Tahoma"/>
            <family val="2"/>
          </rPr>
          <t>Kaufman, Pamela (Research):</t>
        </r>
        <r>
          <rPr>
            <sz val="9"/>
            <color indexed="81"/>
            <rFont val="Tahoma"/>
            <family val="2"/>
          </rPr>
          <t xml:space="preserve">
Includes 30% of old EMEA segment based on annual data</t>
        </r>
      </text>
    </comment>
    <comment ref="BO158" authorId="0">
      <text>
        <r>
          <rPr>
            <b/>
            <sz val="9"/>
            <color indexed="81"/>
            <rFont val="Tahoma"/>
            <family val="2"/>
          </rPr>
          <t>Kaufman, Pamela (Research):</t>
        </r>
        <r>
          <rPr>
            <sz val="9"/>
            <color indexed="81"/>
            <rFont val="Tahoma"/>
            <family val="2"/>
          </rPr>
          <t xml:space="preserve">
Includes 30% of old EMEA segment based on annual data</t>
        </r>
      </text>
    </comment>
    <comment ref="BP158" authorId="0">
      <text>
        <r>
          <rPr>
            <b/>
            <sz val="9"/>
            <color indexed="81"/>
            <rFont val="Tahoma"/>
            <family val="2"/>
          </rPr>
          <t>Kaufman, Pamela (Research):</t>
        </r>
        <r>
          <rPr>
            <sz val="9"/>
            <color indexed="81"/>
            <rFont val="Tahoma"/>
            <family val="2"/>
          </rPr>
          <t xml:space="preserve">
Includes 30% of old EMEA segment based on annual data</t>
        </r>
      </text>
    </comment>
    <comment ref="BQ158" authorId="0">
      <text>
        <r>
          <rPr>
            <b/>
            <sz val="9"/>
            <color indexed="81"/>
            <rFont val="Tahoma"/>
            <family val="2"/>
          </rPr>
          <t>Kaufman, Pamela (Research):</t>
        </r>
        <r>
          <rPr>
            <sz val="9"/>
            <color indexed="81"/>
            <rFont val="Tahoma"/>
            <family val="2"/>
          </rPr>
          <t xml:space="preserve">
Includes 30% of old EMEA segment based on annual data</t>
        </r>
      </text>
    </comment>
    <comment ref="BR158" authorId="0">
      <text>
        <r>
          <rPr>
            <b/>
            <sz val="9"/>
            <color indexed="81"/>
            <rFont val="Tahoma"/>
            <family val="2"/>
          </rPr>
          <t>Kaufman, Pamela (Research):</t>
        </r>
        <r>
          <rPr>
            <sz val="9"/>
            <color indexed="81"/>
            <rFont val="Tahoma"/>
            <family val="2"/>
          </rPr>
          <t xml:space="preserve">
Includes 30% of old EMEA segment based on annual data</t>
        </r>
      </text>
    </comment>
    <comment ref="BS158" authorId="0">
      <text>
        <r>
          <rPr>
            <b/>
            <sz val="9"/>
            <color indexed="81"/>
            <rFont val="Tahoma"/>
            <family val="2"/>
          </rPr>
          <t>Kaufman, Pamela (Research):</t>
        </r>
        <r>
          <rPr>
            <sz val="9"/>
            <color indexed="81"/>
            <rFont val="Tahoma"/>
            <family val="2"/>
          </rPr>
          <t xml:space="preserve">
Includes 30% of old EMEA segment based on annual data</t>
        </r>
      </text>
    </comment>
    <comment ref="BT158" authorId="0">
      <text>
        <r>
          <rPr>
            <b/>
            <sz val="9"/>
            <color indexed="81"/>
            <rFont val="Tahoma"/>
            <family val="2"/>
          </rPr>
          <t>Kaufman, Pamela (Research):</t>
        </r>
        <r>
          <rPr>
            <sz val="9"/>
            <color indexed="81"/>
            <rFont val="Tahoma"/>
            <family val="2"/>
          </rPr>
          <t xml:space="preserve">
Includes 30% of old EMEA segment based on annual data</t>
        </r>
      </text>
    </comment>
    <comment ref="BU158" authorId="0">
      <text>
        <r>
          <rPr>
            <b/>
            <sz val="9"/>
            <color indexed="81"/>
            <rFont val="Tahoma"/>
            <family val="2"/>
          </rPr>
          <t>Kaufman, Pamela (Research):</t>
        </r>
        <r>
          <rPr>
            <sz val="9"/>
            <color indexed="81"/>
            <rFont val="Tahoma"/>
            <family val="2"/>
          </rPr>
          <t xml:space="preserve">
Includes 30% of old EMEA segment based on annual data</t>
        </r>
      </text>
    </comment>
    <comment ref="BV158" authorId="0">
      <text>
        <r>
          <rPr>
            <b/>
            <sz val="9"/>
            <color indexed="81"/>
            <rFont val="Tahoma"/>
            <family val="2"/>
          </rPr>
          <t>Kaufman, Pamela (Research):</t>
        </r>
        <r>
          <rPr>
            <sz val="9"/>
            <color indexed="81"/>
            <rFont val="Tahoma"/>
            <family val="2"/>
          </rPr>
          <t xml:space="preserve">
Includes 30% of old EMEA segment based on annual data</t>
        </r>
      </text>
    </comment>
    <comment ref="BW158" authorId="0">
      <text>
        <r>
          <rPr>
            <b/>
            <sz val="9"/>
            <color indexed="81"/>
            <rFont val="Tahoma"/>
            <family val="2"/>
          </rPr>
          <t>Kaufman, Pamela (Research):</t>
        </r>
        <r>
          <rPr>
            <sz val="9"/>
            <color indexed="81"/>
            <rFont val="Tahoma"/>
            <family val="2"/>
          </rPr>
          <t xml:space="preserve">
Includes 30% of old EMEA segment based on annual data</t>
        </r>
      </text>
    </comment>
    <comment ref="BX158" authorId="0">
      <text>
        <r>
          <rPr>
            <b/>
            <sz val="9"/>
            <color indexed="81"/>
            <rFont val="Tahoma"/>
            <family val="2"/>
          </rPr>
          <t>Kaufman, Pamela (Research):</t>
        </r>
        <r>
          <rPr>
            <sz val="9"/>
            <color indexed="81"/>
            <rFont val="Tahoma"/>
            <family val="2"/>
          </rPr>
          <t xml:space="preserve">
Includes 30% of old EMEA segment based on annual data</t>
        </r>
      </text>
    </comment>
    <comment ref="BI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J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K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L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M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N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O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P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Q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R161"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I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J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K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L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M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N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O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P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Q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R162"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I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J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K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L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M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N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O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P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Q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R163" authorId="0">
      <text>
        <r>
          <rPr>
            <b/>
            <sz val="9"/>
            <color indexed="81"/>
            <rFont val="Tahoma"/>
            <family val="2"/>
          </rPr>
          <t>Kaufman, Pamela (Research):</t>
        </r>
        <r>
          <rPr>
            <sz val="9"/>
            <color indexed="81"/>
            <rFont val="Tahoma"/>
            <family val="2"/>
          </rPr>
          <t xml:space="preserve">
attributed 62% of acquisitions to AMEA, consistent with % sales on IS</t>
        </r>
      </text>
    </comment>
    <comment ref="BQ164" authorId="0">
      <text>
        <r>
          <rPr>
            <b/>
            <sz val="9"/>
            <color indexed="81"/>
            <rFont val="Tahoma"/>
            <family val="2"/>
          </rPr>
          <t>Kaufman, Pamela (Research):</t>
        </r>
        <r>
          <rPr>
            <sz val="9"/>
            <color indexed="81"/>
            <rFont val="Tahoma"/>
            <family val="2"/>
          </rPr>
          <t xml:space="preserve">
Coffee spin</t>
        </r>
      </text>
    </comment>
    <comment ref="BR164" authorId="0">
      <text>
        <r>
          <rPr>
            <b/>
            <sz val="9"/>
            <color indexed="81"/>
            <rFont val="Tahoma"/>
            <family val="2"/>
          </rPr>
          <t>Kaufman, Pamela (Research):</t>
        </r>
        <r>
          <rPr>
            <sz val="9"/>
            <color indexed="81"/>
            <rFont val="Tahoma"/>
            <family val="2"/>
          </rPr>
          <t xml:space="preserve">
Coffee spin</t>
        </r>
      </text>
    </comment>
    <comment ref="BS164" authorId="0">
      <text>
        <r>
          <rPr>
            <b/>
            <sz val="9"/>
            <color indexed="81"/>
            <rFont val="Tahoma"/>
            <family val="2"/>
          </rPr>
          <t>Kaufman, Pamela (Research):</t>
        </r>
        <r>
          <rPr>
            <sz val="9"/>
            <color indexed="81"/>
            <rFont val="Tahoma"/>
            <family val="2"/>
          </rPr>
          <t xml:space="preserve">
Coffee spin</t>
        </r>
      </text>
    </comment>
    <comment ref="BT164" authorId="0">
      <text>
        <r>
          <rPr>
            <b/>
            <sz val="9"/>
            <color indexed="81"/>
            <rFont val="Tahoma"/>
            <family val="2"/>
          </rPr>
          <t>Kaufman, Pamela (Research):</t>
        </r>
        <r>
          <rPr>
            <sz val="9"/>
            <color indexed="81"/>
            <rFont val="Tahoma"/>
            <family val="2"/>
          </rPr>
          <t xml:space="preserve">
Coffee spin</t>
        </r>
      </text>
    </comment>
    <comment ref="BQ179" authorId="0">
      <text>
        <r>
          <rPr>
            <b/>
            <sz val="9"/>
            <color indexed="81"/>
            <rFont val="Tahoma"/>
            <family val="2"/>
          </rPr>
          <t>Kaufman, Pamela (Research):</t>
        </r>
        <r>
          <rPr>
            <sz val="9"/>
            <color indexed="81"/>
            <rFont val="Tahoma"/>
            <family val="2"/>
          </rPr>
          <t xml:space="preserve">
Ex coffee</t>
        </r>
      </text>
    </comment>
    <comment ref="BR179" authorId="0">
      <text>
        <r>
          <rPr>
            <b/>
            <sz val="9"/>
            <color indexed="81"/>
            <rFont val="Tahoma"/>
            <family val="2"/>
          </rPr>
          <t>Kaufman, Pamela (Research):</t>
        </r>
        <r>
          <rPr>
            <sz val="9"/>
            <color indexed="81"/>
            <rFont val="Tahoma"/>
            <family val="2"/>
          </rPr>
          <t xml:space="preserve">
Ex coffee</t>
        </r>
      </text>
    </comment>
    <comment ref="BS179" authorId="0">
      <text>
        <r>
          <rPr>
            <b/>
            <sz val="9"/>
            <color indexed="81"/>
            <rFont val="Tahoma"/>
            <family val="2"/>
          </rPr>
          <t>Kaufman, Pamela (Research):</t>
        </r>
        <r>
          <rPr>
            <sz val="9"/>
            <color indexed="81"/>
            <rFont val="Tahoma"/>
            <family val="2"/>
          </rPr>
          <t xml:space="preserve">
Ex coffee</t>
        </r>
      </text>
    </comment>
    <comment ref="BT179" authorId="0">
      <text>
        <r>
          <rPr>
            <b/>
            <sz val="9"/>
            <color indexed="81"/>
            <rFont val="Tahoma"/>
            <family val="2"/>
          </rPr>
          <t>Kaufman, Pamela (Research):</t>
        </r>
        <r>
          <rPr>
            <sz val="9"/>
            <color indexed="81"/>
            <rFont val="Tahoma"/>
            <family val="2"/>
          </rPr>
          <t xml:space="preserve">
Ex coffee</t>
        </r>
      </text>
    </comment>
    <comment ref="BM187" authorId="2">
      <text>
        <r>
          <rPr>
            <b/>
            <sz val="8"/>
            <color indexed="81"/>
            <rFont val="Tahoma"/>
            <family val="2"/>
          </rPr>
          <t>ayalavin:</t>
        </r>
        <r>
          <rPr>
            <sz val="8"/>
            <color indexed="81"/>
            <rFont val="Tahoma"/>
            <family val="2"/>
          </rPr>
          <t xml:space="preserve">
on February 22, 2013, the company acquired the remaining interest in a biscuit operation in Morocco, which is now a wholly-owned subsidiary within the EEMEA segment</t>
        </r>
      </text>
    </comment>
    <comment ref="BQ190" authorId="0">
      <text>
        <r>
          <rPr>
            <b/>
            <sz val="9"/>
            <color indexed="81"/>
            <rFont val="Tahoma"/>
            <family val="2"/>
          </rPr>
          <t>Kaufman, Pamela (Research):</t>
        </r>
        <r>
          <rPr>
            <sz val="9"/>
            <color indexed="81"/>
            <rFont val="Tahoma"/>
            <family val="2"/>
          </rPr>
          <t xml:space="preserve">
Coffee Spin</t>
        </r>
      </text>
    </comment>
    <comment ref="BR190" authorId="0">
      <text>
        <r>
          <rPr>
            <b/>
            <sz val="9"/>
            <color indexed="81"/>
            <rFont val="Tahoma"/>
            <family val="2"/>
          </rPr>
          <t>Kaufman, Pamela (Research):</t>
        </r>
        <r>
          <rPr>
            <sz val="9"/>
            <color indexed="81"/>
            <rFont val="Tahoma"/>
            <family val="2"/>
          </rPr>
          <t xml:space="preserve">
Coffee Spin</t>
        </r>
      </text>
    </comment>
    <comment ref="BS190" authorId="0">
      <text>
        <r>
          <rPr>
            <b/>
            <sz val="9"/>
            <color indexed="81"/>
            <rFont val="Tahoma"/>
            <family val="2"/>
          </rPr>
          <t>Kaufman, Pamela (Research):</t>
        </r>
        <r>
          <rPr>
            <sz val="9"/>
            <color indexed="81"/>
            <rFont val="Tahoma"/>
            <family val="2"/>
          </rPr>
          <t xml:space="preserve">
Coffee Spin</t>
        </r>
      </text>
    </comment>
    <comment ref="BT190" authorId="0">
      <text>
        <r>
          <rPr>
            <b/>
            <sz val="9"/>
            <color indexed="81"/>
            <rFont val="Tahoma"/>
            <family val="2"/>
          </rPr>
          <t>Kaufman, Pamela (Research):</t>
        </r>
        <r>
          <rPr>
            <sz val="9"/>
            <color indexed="81"/>
            <rFont val="Tahoma"/>
            <family val="2"/>
          </rPr>
          <t xml:space="preserve">
Coffee Spin</t>
        </r>
      </text>
    </comment>
    <comment ref="BQ191" authorId="0">
      <text>
        <r>
          <rPr>
            <b/>
            <sz val="9"/>
            <color indexed="81"/>
            <rFont val="Tahoma"/>
            <family val="2"/>
          </rPr>
          <t>Kaufman, Pamela (Research):</t>
        </r>
        <r>
          <rPr>
            <sz val="9"/>
            <color indexed="81"/>
            <rFont val="Tahoma"/>
            <family val="2"/>
          </rPr>
          <t xml:space="preserve">
Coffee Spin</t>
        </r>
      </text>
    </comment>
    <comment ref="BR191" authorId="0">
      <text>
        <r>
          <rPr>
            <b/>
            <sz val="9"/>
            <color indexed="81"/>
            <rFont val="Tahoma"/>
            <family val="2"/>
          </rPr>
          <t>Kaufman, Pamela (Research):</t>
        </r>
        <r>
          <rPr>
            <sz val="9"/>
            <color indexed="81"/>
            <rFont val="Tahoma"/>
            <family val="2"/>
          </rPr>
          <t xml:space="preserve">
Coffee Spin</t>
        </r>
      </text>
    </comment>
    <comment ref="BS191" authorId="0">
      <text>
        <r>
          <rPr>
            <b/>
            <sz val="9"/>
            <color indexed="81"/>
            <rFont val="Tahoma"/>
            <family val="2"/>
          </rPr>
          <t>Kaufman, Pamela (Research):</t>
        </r>
        <r>
          <rPr>
            <sz val="9"/>
            <color indexed="81"/>
            <rFont val="Tahoma"/>
            <family val="2"/>
          </rPr>
          <t xml:space="preserve">
Coffee Spin</t>
        </r>
      </text>
    </comment>
    <comment ref="BT191" authorId="0">
      <text>
        <r>
          <rPr>
            <b/>
            <sz val="9"/>
            <color indexed="81"/>
            <rFont val="Tahoma"/>
            <family val="2"/>
          </rPr>
          <t>Kaufman, Pamela (Research):</t>
        </r>
        <r>
          <rPr>
            <sz val="9"/>
            <color indexed="81"/>
            <rFont val="Tahoma"/>
            <family val="2"/>
          </rPr>
          <t xml:space="preserve">
Coffee Spin</t>
        </r>
      </text>
    </comment>
    <comment ref="CB200" authorId="0">
      <text>
        <r>
          <rPr>
            <b/>
            <sz val="9"/>
            <color indexed="81"/>
            <rFont val="Tahoma"/>
            <family val="2"/>
          </rPr>
          <t>Kaufman, Pamela (Research):</t>
        </r>
        <r>
          <rPr>
            <sz val="9"/>
            <color indexed="81"/>
            <rFont val="Tahoma"/>
            <family val="2"/>
          </rPr>
          <t xml:space="preserve">
license to manufacture Cadbury branded biscuits in UK, France, Ireland, NA, Saudia Arabia</t>
        </r>
      </text>
    </comment>
    <comment ref="BQ217" authorId="0">
      <text>
        <r>
          <rPr>
            <b/>
            <sz val="9"/>
            <color indexed="81"/>
            <rFont val="Tahoma"/>
            <family val="2"/>
          </rPr>
          <t>Kaufman, Pamela (Research):</t>
        </r>
        <r>
          <rPr>
            <sz val="9"/>
            <color indexed="81"/>
            <rFont val="Tahoma"/>
            <family val="2"/>
          </rPr>
          <t xml:space="preserve">
Coffee Spin</t>
        </r>
      </text>
    </comment>
    <comment ref="BR217" authorId="0">
      <text>
        <r>
          <rPr>
            <b/>
            <sz val="9"/>
            <color indexed="81"/>
            <rFont val="Tahoma"/>
            <family val="2"/>
          </rPr>
          <t>Kaufman, Pamela (Research):</t>
        </r>
        <r>
          <rPr>
            <sz val="9"/>
            <color indexed="81"/>
            <rFont val="Tahoma"/>
            <family val="2"/>
          </rPr>
          <t xml:space="preserve">
Coffee Spin</t>
        </r>
      </text>
    </comment>
    <comment ref="BS217" authorId="0">
      <text>
        <r>
          <rPr>
            <b/>
            <sz val="9"/>
            <color indexed="81"/>
            <rFont val="Tahoma"/>
            <family val="2"/>
          </rPr>
          <t>Kaufman, Pamela (Research):</t>
        </r>
        <r>
          <rPr>
            <sz val="9"/>
            <color indexed="81"/>
            <rFont val="Tahoma"/>
            <family val="2"/>
          </rPr>
          <t xml:space="preserve">
Coffee Spin</t>
        </r>
      </text>
    </comment>
    <comment ref="BT217" authorId="0">
      <text>
        <r>
          <rPr>
            <b/>
            <sz val="9"/>
            <color indexed="81"/>
            <rFont val="Tahoma"/>
            <family val="2"/>
          </rPr>
          <t>Kaufman, Pamela (Research):</t>
        </r>
        <r>
          <rPr>
            <sz val="9"/>
            <color indexed="81"/>
            <rFont val="Tahoma"/>
            <family val="2"/>
          </rPr>
          <t xml:space="preserve">
Coffee Spin</t>
        </r>
      </text>
    </comment>
    <comment ref="BY316" authorId="0">
      <text>
        <r>
          <rPr>
            <b/>
            <sz val="9"/>
            <color indexed="81"/>
            <rFont val="Tahoma"/>
            <family val="2"/>
          </rPr>
          <t>Kaufman, Pamela (Research):</t>
        </r>
        <r>
          <rPr>
            <sz val="9"/>
            <color indexed="81"/>
            <rFont val="Tahoma"/>
            <family val="2"/>
          </rPr>
          <t xml:space="preserve">
Need to be restated when 2017 quarterlies come out</t>
        </r>
      </text>
    </comment>
    <comment ref="Q382" authorId="0">
      <text>
        <r>
          <rPr>
            <b/>
            <sz val="9"/>
            <color indexed="81"/>
            <rFont val="Tahoma"/>
            <family val="2"/>
          </rPr>
          <t>Kaufman, Pamela (Research):</t>
        </r>
        <r>
          <rPr>
            <sz val="9"/>
            <color indexed="81"/>
            <rFont val="Tahoma"/>
            <family val="2"/>
          </rPr>
          <t xml:space="preserve">
MSD</t>
        </r>
      </text>
    </comment>
    <comment ref="BV382" authorId="0">
      <text>
        <r>
          <rPr>
            <b/>
            <sz val="9"/>
            <color indexed="81"/>
            <rFont val="Tahoma"/>
            <family val="2"/>
          </rPr>
          <t>Kaufman, Pamela (Research):</t>
        </r>
        <r>
          <rPr>
            <sz val="9"/>
            <color indexed="81"/>
            <rFont val="Tahoma"/>
            <family val="2"/>
          </rPr>
          <t xml:space="preserve">
LSD</t>
        </r>
      </text>
    </comment>
    <comment ref="BW382" authorId="0">
      <text>
        <r>
          <rPr>
            <b/>
            <sz val="9"/>
            <color indexed="81"/>
            <rFont val="Tahoma"/>
            <family val="2"/>
          </rPr>
          <t>Kaufman, Pamela (Research):</t>
        </r>
        <r>
          <rPr>
            <sz val="9"/>
            <color indexed="81"/>
            <rFont val="Tahoma"/>
            <family val="2"/>
          </rPr>
          <t xml:space="preserve">
low-MSD</t>
        </r>
      </text>
    </comment>
    <comment ref="P383" authorId="0">
      <text>
        <r>
          <rPr>
            <b/>
            <sz val="9"/>
            <color indexed="81"/>
            <rFont val="Tahoma"/>
            <family val="2"/>
          </rPr>
          <t>Kaufman, Pamela (Research):</t>
        </r>
        <r>
          <rPr>
            <sz val="9"/>
            <color indexed="81"/>
            <rFont val="Tahoma"/>
            <family val="2"/>
          </rPr>
          <t xml:space="preserve">
Expect Russia to be challenging in 2015 due to currency devlauation</t>
        </r>
      </text>
    </comment>
    <comment ref="Q383" authorId="0">
      <text>
        <r>
          <rPr>
            <b/>
            <sz val="9"/>
            <color indexed="81"/>
            <rFont val="Tahoma"/>
            <family val="2"/>
          </rPr>
          <t>Kaufman, Pamela (Research):</t>
        </r>
        <r>
          <rPr>
            <sz val="9"/>
            <color indexed="81"/>
            <rFont val="Tahoma"/>
            <family val="2"/>
          </rPr>
          <t xml:space="preserve">
high teens</t>
        </r>
      </text>
    </comment>
    <comment ref="BU383" authorId="0">
      <text>
        <r>
          <rPr>
            <b/>
            <sz val="9"/>
            <color indexed="81"/>
            <rFont val="Tahoma"/>
            <family val="2"/>
          </rPr>
          <t>Kaufman, Pamela (Research):</t>
        </r>
        <r>
          <rPr>
            <sz val="9"/>
            <color indexed="81"/>
            <rFont val="Tahoma"/>
            <family val="2"/>
          </rPr>
          <t xml:space="preserve">
mid-teens</t>
        </r>
      </text>
    </comment>
    <comment ref="BV383" authorId="0">
      <text>
        <r>
          <rPr>
            <b/>
            <sz val="9"/>
            <color indexed="81"/>
            <rFont val="Tahoma"/>
            <family val="2"/>
          </rPr>
          <t>Kaufman, Pamela (Research):</t>
        </r>
        <r>
          <rPr>
            <sz val="9"/>
            <color indexed="81"/>
            <rFont val="Tahoma"/>
            <family val="2"/>
          </rPr>
          <t xml:space="preserve">
Over 20%</t>
        </r>
      </text>
    </comment>
    <comment ref="P384" authorId="0">
      <text>
        <r>
          <rPr>
            <b/>
            <sz val="9"/>
            <color indexed="81"/>
            <rFont val="Tahoma"/>
            <family val="2"/>
          </rPr>
          <t>Kaufman, Pamela (Research):</t>
        </r>
        <r>
          <rPr>
            <sz val="9"/>
            <color indexed="81"/>
            <rFont val="Tahoma"/>
            <family val="2"/>
          </rPr>
          <t xml:space="preserve">
Down MSD</t>
        </r>
      </text>
    </comment>
    <comment ref="Q384" authorId="0">
      <text>
        <r>
          <rPr>
            <b/>
            <sz val="9"/>
            <color indexed="81"/>
            <rFont val="Tahoma"/>
            <family val="2"/>
          </rPr>
          <t>Kaufman, Pamela (Research):</t>
        </r>
        <r>
          <rPr>
            <sz val="9"/>
            <color indexed="81"/>
            <rFont val="Tahoma"/>
            <family val="2"/>
          </rPr>
          <t xml:space="preserve">
HSD</t>
        </r>
      </text>
    </comment>
    <comment ref="BU384" authorId="0">
      <text>
        <r>
          <rPr>
            <b/>
            <sz val="9"/>
            <color indexed="81"/>
            <rFont val="Tahoma"/>
            <family val="2"/>
          </rPr>
          <t>Kaufman, Pamela (Research):</t>
        </r>
        <r>
          <rPr>
            <sz val="9"/>
            <color indexed="81"/>
            <rFont val="Tahoma"/>
            <family val="2"/>
          </rPr>
          <t xml:space="preserve">
HSD</t>
        </r>
      </text>
    </comment>
    <comment ref="BV384" authorId="0">
      <text>
        <r>
          <rPr>
            <b/>
            <sz val="9"/>
            <color indexed="81"/>
            <rFont val="Tahoma"/>
            <family val="2"/>
          </rPr>
          <t>Kaufman, Pamela (Research):</t>
        </r>
        <r>
          <rPr>
            <sz val="9"/>
            <color indexed="81"/>
            <rFont val="Tahoma"/>
            <family val="2"/>
          </rPr>
          <t xml:space="preserve">
Over 20%</t>
        </r>
      </text>
    </comment>
    <comment ref="BW384" authorId="0">
      <text>
        <r>
          <rPr>
            <b/>
            <sz val="9"/>
            <color indexed="81"/>
            <rFont val="Tahoma"/>
            <family val="2"/>
          </rPr>
          <t>Kaufman, Pamela (Research):</t>
        </r>
        <r>
          <rPr>
            <sz val="9"/>
            <color indexed="81"/>
            <rFont val="Tahoma"/>
            <family val="2"/>
          </rPr>
          <t xml:space="preserve">
Mid to HSD</t>
        </r>
      </text>
    </comment>
    <comment ref="P385" authorId="0">
      <text>
        <r>
          <rPr>
            <b/>
            <sz val="9"/>
            <color indexed="81"/>
            <rFont val="Tahoma"/>
            <family val="2"/>
          </rPr>
          <t>Kaufman, Pamela (Research):</t>
        </r>
        <r>
          <rPr>
            <sz val="9"/>
            <color indexed="81"/>
            <rFont val="Tahoma"/>
            <family val="2"/>
          </rPr>
          <t xml:space="preserve">
Expect Russia to be challenging in 2015 due to currency devlauation</t>
        </r>
      </text>
    </comment>
    <comment ref="BU385" authorId="0">
      <text>
        <r>
          <rPr>
            <b/>
            <sz val="9"/>
            <color indexed="81"/>
            <rFont val="Tahoma"/>
            <family val="2"/>
          </rPr>
          <t>Kaufman, Pamela (Research):</t>
        </r>
        <r>
          <rPr>
            <sz val="9"/>
            <color indexed="81"/>
            <rFont val="Tahoma"/>
            <family val="2"/>
          </rPr>
          <t xml:space="preserve">
MSD</t>
        </r>
      </text>
    </comment>
  </commentList>
</comments>
</file>

<file path=xl/comments2.xml><?xml version="1.0" encoding="utf-8"?>
<comments xmlns="http://schemas.openxmlformats.org/spreadsheetml/2006/main">
  <authors>
    <author>Jackie Inglesby</author>
    <author>ayalavin</author>
    <author>Colantuoni, John (Research)</author>
    <author>matgrai</author>
    <author>Kaufman, Pamela (Research)</author>
    <author>pamelk</author>
    <author>colantuo</author>
    <author>Grainger, Matthew (Research)</author>
    <author>brendr</author>
    <author>andresq</author>
  </authors>
  <commentList>
    <comment ref="I11" authorId="0">
      <text>
        <r>
          <rPr>
            <b/>
            <sz val="8"/>
            <color indexed="81"/>
            <rFont val="Tahoma"/>
            <family val="2"/>
          </rPr>
          <t>Jackie Inglesby:</t>
        </r>
        <r>
          <rPr>
            <sz val="8"/>
            <color indexed="81"/>
            <rFont val="Tahoma"/>
            <family val="2"/>
          </rPr>
          <t xml:space="preserve">
Restatement: Assume cost methodology change is sppread ratably among 4 Q's-- $83 million.  Excise tax and LIFO charge spread among quarters as incurred</t>
        </r>
      </text>
    </comment>
    <comment ref="AU11" authorId="0">
      <text>
        <r>
          <rPr>
            <b/>
            <sz val="8"/>
            <color indexed="81"/>
            <rFont val="Tahoma"/>
            <family val="2"/>
          </rPr>
          <t>Jackie Inglesby:</t>
        </r>
        <r>
          <rPr>
            <sz val="8"/>
            <color indexed="81"/>
            <rFont val="Tahoma"/>
            <family val="2"/>
          </rPr>
          <t xml:space="preserve">
ex-items</t>
        </r>
      </text>
    </comment>
    <comment ref="O14" authorId="1">
      <text>
        <r>
          <rPr>
            <b/>
            <sz val="8"/>
            <color indexed="81"/>
            <rFont val="Tahoma"/>
            <family val="2"/>
          </rPr>
          <t>ayalavin:</t>
        </r>
        <r>
          <rPr>
            <sz val="8"/>
            <color indexed="81"/>
            <rFont val="Tahoma"/>
            <family val="2"/>
          </rPr>
          <t xml:space="preserve">
biggest opportunity to close margin gap is through GM: 250-300 bps below peers according to co</t>
        </r>
      </text>
    </comment>
    <comment ref="BM14" authorId="1">
      <text>
        <r>
          <rPr>
            <b/>
            <sz val="8"/>
            <color indexed="81"/>
            <rFont val="Tahoma"/>
            <family val="2"/>
          </rPr>
          <t>ayalavin:</t>
        </r>
        <r>
          <rPr>
            <sz val="8"/>
            <color indexed="81"/>
            <rFont val="Tahoma"/>
            <family val="2"/>
          </rPr>
          <t xml:space="preserve">
(-) gum - 50bps
(-) argentina price controls
(-) coffee pricing
(-) russia chocolate pricing
(+/-) productivity a little light of 4%
(+/-) input cost inflation of 1%
(-) transactional currency impact</t>
        </r>
      </text>
    </comment>
    <comment ref="BO14" authorId="1">
      <text>
        <r>
          <rPr>
            <b/>
            <sz val="8"/>
            <color indexed="81"/>
            <rFont val="Tahoma"/>
            <family val="2"/>
          </rPr>
          <t>ayalavin:</t>
        </r>
        <r>
          <rPr>
            <sz val="8"/>
            <color indexed="81"/>
            <rFont val="Tahoma"/>
            <family val="2"/>
          </rPr>
          <t xml:space="preserve">
disproportionate productivity in 2H</t>
        </r>
      </text>
    </comment>
    <comment ref="BR14" authorId="2">
      <text>
        <r>
          <rPr>
            <b/>
            <sz val="9"/>
            <color indexed="81"/>
            <rFont val="Tahoma"/>
            <family val="2"/>
          </rPr>
          <t>Colantuoni, John (Research):</t>
        </r>
        <r>
          <rPr>
            <sz val="9"/>
            <color indexed="81"/>
            <rFont val="Tahoma"/>
            <family val="2"/>
          </rPr>
          <t xml:space="preserve">
Mark-to-market hedging pressured GMs 90 bps</t>
        </r>
      </text>
    </comment>
    <comment ref="BM16" authorId="1">
      <text>
        <r>
          <rPr>
            <b/>
            <sz val="8"/>
            <color indexed="81"/>
            <rFont val="Tahoma"/>
            <family val="2"/>
          </rPr>
          <t>ayalavin:</t>
        </r>
        <r>
          <rPr>
            <sz val="8"/>
            <color indexed="81"/>
            <rFont val="Tahoma"/>
            <family val="2"/>
          </rPr>
          <t xml:space="preserve">
Excluding these factors, selling, general and administrative expenses increased $133 million from the first quarter of 2012, driven primarily by higher overhead costs in Latin America, Asia Pacific and EEMEA as well as higher advertising and consumer promotion costs in Asia Pacific and EEMEA.</t>
        </r>
      </text>
    </comment>
    <comment ref="BO20" authorId="1">
      <text>
        <r>
          <rPr>
            <b/>
            <sz val="8"/>
            <color indexed="81"/>
            <rFont val="Tahoma"/>
            <family val="2"/>
          </rPr>
          <t>ayalavin:</t>
        </r>
        <r>
          <rPr>
            <sz val="8"/>
            <color indexed="81"/>
            <rFont val="Tahoma"/>
            <family val="2"/>
          </rPr>
          <t xml:space="preserve">
more of a margin pickup in the back half of the year</t>
        </r>
      </text>
    </comment>
    <comment ref="AT22" authorId="0">
      <text>
        <r>
          <rPr>
            <b/>
            <sz val="8"/>
            <color indexed="81"/>
            <rFont val="Tahoma"/>
            <family val="2"/>
          </rPr>
          <t>Jackie Inglesby:</t>
        </r>
        <r>
          <rPr>
            <sz val="8"/>
            <color indexed="81"/>
            <rFont val="Tahoma"/>
            <family val="2"/>
          </rPr>
          <t xml:space="preserve">
General Corp Expenses minus unrealized hedge gains</t>
        </r>
      </text>
    </comment>
    <comment ref="AU22" authorId="0">
      <text>
        <r>
          <rPr>
            <b/>
            <sz val="8"/>
            <color indexed="81"/>
            <rFont val="Tahoma"/>
            <family val="2"/>
          </rPr>
          <t>Jackie Inglesby:</t>
        </r>
        <r>
          <rPr>
            <sz val="8"/>
            <color indexed="81"/>
            <rFont val="Tahoma"/>
            <family val="2"/>
          </rPr>
          <t xml:space="preserve">
General corp expenses + unrealized hedging loss</t>
        </r>
      </text>
    </comment>
    <comment ref="AX22" authorId="0">
      <text>
        <r>
          <rPr>
            <b/>
            <sz val="8"/>
            <color indexed="81"/>
            <rFont val="Tahoma"/>
            <family val="2"/>
          </rPr>
          <t>Jackie Inglesby:</t>
        </r>
        <r>
          <rPr>
            <sz val="8"/>
            <color indexed="81"/>
            <rFont val="Tahoma"/>
            <family val="2"/>
          </rPr>
          <t xml:space="preserve">
negative hedgingg, pension, gen corp</t>
        </r>
      </text>
    </comment>
    <comment ref="BC22" authorId="0">
      <text>
        <r>
          <rPr>
            <b/>
            <sz val="10"/>
            <color indexed="81"/>
            <rFont val="Tahoma"/>
            <family val="2"/>
          </rPr>
          <t>Jackie Inglesby:</t>
        </r>
        <r>
          <rPr>
            <sz val="10"/>
            <color indexed="81"/>
            <rFont val="Tahoma"/>
            <family val="2"/>
          </rPr>
          <t xml:space="preserve">
negative (unrealized g/l + HQ pension + general corp) minus integration prog costs minus non-segment acquisition related costs</t>
        </r>
      </text>
    </comment>
    <comment ref="BM22" authorId="1">
      <text>
        <r>
          <rPr>
            <b/>
            <sz val="8"/>
            <color indexed="81"/>
            <rFont val="Tahoma"/>
            <family val="2"/>
          </rPr>
          <t>ayalavin:</t>
        </r>
        <r>
          <rPr>
            <sz val="8"/>
            <color indexed="81"/>
            <rFont val="Tahoma"/>
            <family val="2"/>
          </rPr>
          <t xml:space="preserve">
majority of dissynergies hit in 1H</t>
        </r>
      </text>
    </comment>
    <comment ref="BQ23" authorId="2">
      <text>
        <r>
          <rPr>
            <b/>
            <sz val="9"/>
            <color indexed="81"/>
            <rFont val="Tahoma"/>
            <family val="2"/>
          </rPr>
          <t>Colantuoni, John (Research):</t>
        </r>
        <r>
          <rPr>
            <sz val="9"/>
            <color indexed="81"/>
            <rFont val="Tahoma"/>
            <family val="2"/>
          </rPr>
          <t xml:space="preserve">
Schedule 8</t>
        </r>
      </text>
    </comment>
    <comment ref="DP24" authorId="1">
      <text>
        <r>
          <rPr>
            <b/>
            <sz val="8"/>
            <color indexed="81"/>
            <rFont val="Tahoma"/>
            <family val="2"/>
          </rPr>
          <t>ayalavin:</t>
        </r>
        <r>
          <rPr>
            <sz val="8"/>
            <color indexed="81"/>
            <rFont val="Tahoma"/>
            <family val="2"/>
          </rPr>
          <t xml:space="preserve">
asset impairment</t>
        </r>
      </text>
    </comment>
    <comment ref="DQ24" authorId="1">
      <text>
        <r>
          <rPr>
            <b/>
            <sz val="8"/>
            <color indexed="81"/>
            <rFont val="Tahoma"/>
            <family val="2"/>
          </rPr>
          <t>ayalavin:</t>
        </r>
        <r>
          <rPr>
            <sz val="8"/>
            <color indexed="81"/>
            <rFont val="Tahoma"/>
            <family val="2"/>
          </rPr>
          <t xml:space="preserve">
asset impairment</t>
        </r>
      </text>
    </comment>
    <comment ref="BN25" authorId="3">
      <text>
        <r>
          <rPr>
            <b/>
            <sz val="8"/>
            <color indexed="81"/>
            <rFont val="Tahoma"/>
            <family val="2"/>
          </rPr>
          <t>matgrai:</t>
        </r>
        <r>
          <rPr>
            <sz val="8"/>
            <color indexed="81"/>
            <rFont val="Tahoma"/>
            <family val="2"/>
          </rPr>
          <t xml:space="preserve">
assumes step up of ~50 bps from corporate dissynergies</t>
        </r>
      </text>
    </comment>
    <comment ref="BQ25" authorId="2">
      <text>
        <r>
          <rPr>
            <b/>
            <sz val="9"/>
            <color indexed="81"/>
            <rFont val="Tahoma"/>
            <family val="2"/>
          </rPr>
          <t>Colantuoni, John (Research):</t>
        </r>
        <r>
          <rPr>
            <sz val="9"/>
            <color indexed="81"/>
            <rFont val="Tahoma"/>
            <family val="2"/>
          </rPr>
          <t xml:space="preserve">
Schedule 8</t>
        </r>
      </text>
    </comment>
    <comment ref="O26" authorId="1">
      <text>
        <r>
          <rPr>
            <b/>
            <sz val="8"/>
            <color indexed="81"/>
            <rFont val="Tahoma"/>
            <family val="2"/>
          </rPr>
          <t>ayalavin:</t>
        </r>
        <r>
          <rPr>
            <sz val="8"/>
            <color indexed="81"/>
            <rFont val="Tahoma"/>
            <family val="2"/>
          </rPr>
          <t xml:space="preserve">
We currently estimate annual amortization expense for each of the next five years to be approximately $215 million.</t>
        </r>
      </text>
    </comment>
    <comment ref="BQ26" authorId="2">
      <text>
        <r>
          <rPr>
            <b/>
            <sz val="9"/>
            <color indexed="81"/>
            <rFont val="Tahoma"/>
            <family val="2"/>
          </rPr>
          <t>Colantuoni, John (Research):</t>
        </r>
        <r>
          <rPr>
            <sz val="9"/>
            <color indexed="81"/>
            <rFont val="Tahoma"/>
            <family val="2"/>
          </rPr>
          <t xml:space="preserve">
Schedule 8</t>
        </r>
      </text>
    </comment>
    <comment ref="Q29" authorId="4">
      <text>
        <r>
          <rPr>
            <b/>
            <sz val="9"/>
            <color indexed="81"/>
            <rFont val="Tahoma"/>
            <family val="2"/>
          </rPr>
          <t>Kaufman, Pamela (Research):</t>
        </r>
        <r>
          <rPr>
            <sz val="9"/>
            <color indexed="81"/>
            <rFont val="Tahoma"/>
            <family val="2"/>
          </rPr>
          <t xml:space="preserve">
Q2: 14%, temporary 20-30 bps impact from stranded costs</t>
        </r>
      </text>
    </comment>
    <comment ref="T29" authorId="4">
      <text>
        <r>
          <rPr>
            <b/>
            <sz val="9"/>
            <color indexed="81"/>
            <rFont val="Tahoma"/>
            <family val="2"/>
          </rPr>
          <t xml:space="preserve">Kaufman, Pamela (Research): </t>
        </r>
        <r>
          <rPr>
            <sz val="9"/>
            <color indexed="81"/>
            <rFont val="Tahoma"/>
            <family val="2"/>
          </rPr>
          <t xml:space="preserve">17% ex pension accounting </t>
        </r>
      </text>
    </comment>
    <comment ref="BM29" authorId="1">
      <text>
        <r>
          <rPr>
            <b/>
            <sz val="8"/>
            <color indexed="81"/>
            <rFont val="Tahoma"/>
            <family val="2"/>
          </rPr>
          <t>ayalavin:</t>
        </r>
        <r>
          <rPr>
            <sz val="8"/>
            <color indexed="81"/>
            <rFont val="Tahoma"/>
            <family val="2"/>
          </rPr>
          <t xml:space="preserve">
11.3% excluding  Venezuela (-60 bps) &amp; lapping of one time impacts (-40 bps)</t>
        </r>
      </text>
    </comment>
    <comment ref="BO29" authorId="1">
      <text>
        <r>
          <rPr>
            <b/>
            <sz val="8"/>
            <color indexed="81"/>
            <rFont val="Tahoma"/>
            <family val="2"/>
          </rPr>
          <t>ayalavin:</t>
        </r>
        <r>
          <rPr>
            <sz val="8"/>
            <color indexed="81"/>
            <rFont val="Tahoma"/>
            <family val="2"/>
          </rPr>
          <t xml:space="preserve">
2H adjusted OI margin guidance: 13%</t>
        </r>
      </text>
    </comment>
    <comment ref="O36" authorId="1">
      <text>
        <r>
          <rPr>
            <b/>
            <sz val="8"/>
            <color indexed="81"/>
            <rFont val="Tahoma"/>
            <family val="2"/>
          </rPr>
          <t>ayalavin:</t>
        </r>
        <r>
          <rPr>
            <sz val="8"/>
            <color indexed="81"/>
            <rFont val="Tahoma"/>
            <family val="2"/>
          </rPr>
          <t xml:space="preserve">
guidance: ~12%
base: 12.2%
(+) 60-90 bps base margin expansion
(-) 50-70 bps EM investment
(-) 10-20 bps in ongoing restructuring</t>
        </r>
      </text>
    </comment>
    <comment ref="P36" authorId="1">
      <text>
        <r>
          <rPr>
            <b/>
            <sz val="8"/>
            <color indexed="81"/>
            <rFont val="Tahoma"/>
            <family val="2"/>
          </rPr>
          <t>ayalavin:</t>
        </r>
        <r>
          <rPr>
            <sz val="8"/>
            <color indexed="81"/>
            <rFont val="Tahoma"/>
            <family val="2"/>
          </rPr>
          <t xml:space="preserve">
guidance: high 12's
base: 12%
(+) 60-90 bps base margin expansion
(-) 10 bps EM investment
(-) 10-20 bps in ongoing restructuring</t>
        </r>
      </text>
    </comment>
    <comment ref="Q36" authorId="1">
      <text>
        <r>
          <rPr>
            <b/>
            <sz val="8"/>
            <color indexed="81"/>
            <rFont val="Tahoma"/>
            <family val="2"/>
          </rPr>
          <t>ayalavin:</t>
        </r>
        <r>
          <rPr>
            <sz val="8"/>
            <color indexed="81"/>
            <rFont val="Tahoma"/>
            <family val="2"/>
          </rPr>
          <t xml:space="preserve">
guidance: ~13%</t>
        </r>
      </text>
    </comment>
    <comment ref="BM36" authorId="1">
      <text>
        <r>
          <rPr>
            <b/>
            <sz val="8"/>
            <color indexed="81"/>
            <rFont val="Tahoma"/>
            <family val="2"/>
          </rPr>
          <t>ayalavin:</t>
        </r>
        <r>
          <rPr>
            <sz val="8"/>
            <color indexed="81"/>
            <rFont val="Tahoma"/>
            <family val="2"/>
          </rPr>
          <t xml:space="preserve">
11.3% excluding  Venezuela (-60 bps) &amp; lapping of one time impacts (-40 bps)</t>
        </r>
      </text>
    </comment>
    <comment ref="BO36" authorId="1">
      <text>
        <r>
          <rPr>
            <b/>
            <sz val="8"/>
            <color indexed="81"/>
            <rFont val="Tahoma"/>
            <family val="2"/>
          </rPr>
          <t>ayalavin:</t>
        </r>
        <r>
          <rPr>
            <sz val="8"/>
            <color indexed="81"/>
            <rFont val="Tahoma"/>
            <family val="2"/>
          </rPr>
          <t xml:space="preserve">
2H adjusted OI margin guidance: 13%</t>
        </r>
      </text>
    </comment>
    <comment ref="BP38" authorId="5">
      <text>
        <r>
          <rPr>
            <b/>
            <sz val="8"/>
            <color indexed="81"/>
            <rFont val="Tahoma"/>
            <family val="2"/>
          </rPr>
          <t>pamelk:</t>
        </r>
        <r>
          <rPr>
            <sz val="8"/>
            <color indexed="81"/>
            <rFont val="Tahoma"/>
            <family val="2"/>
          </rPr>
          <t xml:space="preserve">
Schedule 4</t>
        </r>
      </text>
    </comment>
    <comment ref="BQ38" authorId="5">
      <text>
        <r>
          <rPr>
            <b/>
            <sz val="8"/>
            <color indexed="81"/>
            <rFont val="Tahoma"/>
            <family val="2"/>
          </rPr>
          <t>pamelk:</t>
        </r>
        <r>
          <rPr>
            <sz val="8"/>
            <color indexed="81"/>
            <rFont val="Tahoma"/>
            <family val="2"/>
          </rPr>
          <t xml:space="preserve">
Schedule 4</t>
        </r>
      </text>
    </comment>
    <comment ref="AP42" authorId="0">
      <text>
        <r>
          <rPr>
            <b/>
            <sz val="8"/>
            <color indexed="81"/>
            <rFont val="Tahoma"/>
            <family val="2"/>
          </rPr>
          <t>Jackie Inglesby:</t>
        </r>
        <r>
          <rPr>
            <sz val="8"/>
            <color indexed="81"/>
            <rFont val="Tahoma"/>
            <family val="2"/>
          </rPr>
          <t xml:space="preserve">
$389 pre-Restatemetn</t>
        </r>
      </text>
    </comment>
    <comment ref="AQ42" authorId="0">
      <text>
        <r>
          <rPr>
            <b/>
            <sz val="8"/>
            <color indexed="81"/>
            <rFont val="Tahoma"/>
            <family val="2"/>
          </rPr>
          <t>Jackie Inglesby:</t>
        </r>
        <r>
          <rPr>
            <sz val="8"/>
            <color indexed="81"/>
            <rFont val="Tahoma"/>
            <family val="2"/>
          </rPr>
          <t xml:space="preserve">
$318 million pre-restatement</t>
        </r>
      </text>
    </comment>
    <comment ref="AR42" authorId="0">
      <text>
        <r>
          <rPr>
            <b/>
            <sz val="8"/>
            <color indexed="81"/>
            <rFont val="Tahoma"/>
            <family val="2"/>
          </rPr>
          <t>Jackie Inglesby:</t>
        </r>
        <r>
          <rPr>
            <sz val="8"/>
            <color indexed="81"/>
            <rFont val="Tahoma"/>
            <family val="2"/>
          </rPr>
          <t xml:space="preserve">
$272 million pre-restatement</t>
        </r>
      </text>
    </comment>
    <comment ref="BQ42" authorId="5">
      <text>
        <r>
          <rPr>
            <b/>
            <sz val="8"/>
            <color indexed="81"/>
            <rFont val="Tahoma"/>
            <family val="2"/>
          </rPr>
          <t>pamelk:</t>
        </r>
        <r>
          <rPr>
            <sz val="8"/>
            <color indexed="81"/>
            <rFont val="Tahoma"/>
            <family val="2"/>
          </rPr>
          <t xml:space="preserve">
Schedule 4</t>
        </r>
      </text>
    </comment>
    <comment ref="O43" authorId="3">
      <text>
        <r>
          <rPr>
            <b/>
            <sz val="8"/>
            <color indexed="81"/>
            <rFont val="Tahoma"/>
            <family val="2"/>
          </rPr>
          <t xml:space="preserve">ayalavin:
Guidance now around 10-13% in '13, followed by around 20-22% for next 3-5 yrs, and then steady state of around 25%
Prior guidance:
</t>
        </r>
        <r>
          <rPr>
            <sz val="8"/>
            <color indexed="81"/>
            <rFont val="Tahoma"/>
            <family val="2"/>
          </rPr>
          <t>guidance: 12-14%
tax rate benefit = 11-14 cents</t>
        </r>
      </text>
    </comment>
    <comment ref="BM43" authorId="1">
      <text>
        <r>
          <rPr>
            <b/>
            <sz val="8"/>
            <color indexed="81"/>
            <rFont val="Tahoma"/>
            <family val="2"/>
          </rPr>
          <t>ayalavin:</t>
        </r>
        <r>
          <rPr>
            <sz val="8"/>
            <color indexed="81"/>
            <rFont val="Tahoma"/>
            <family val="2"/>
          </rPr>
          <t xml:space="preserve">
The 2013 effective tax rate reflects the impact of favorable discrete items, which totaled $125 million in the quarter. These favorable discrete items primarily resulted from net favorable tax audit settlements and expirations of the statutes of limitations in several jurisdictions of $80 million and corrections of prior-year amounts of $36 million.</t>
        </r>
      </text>
    </comment>
    <comment ref="BO43" authorId="1">
      <text>
        <r>
          <rPr>
            <b/>
            <sz val="8"/>
            <color indexed="81"/>
            <rFont val="Tahoma"/>
            <family val="2"/>
          </rPr>
          <t>ayalavin:</t>
        </r>
        <r>
          <rPr>
            <sz val="8"/>
            <color indexed="81"/>
            <rFont val="Tahoma"/>
            <family val="2"/>
          </rPr>
          <t xml:space="preserve">
below 16-20%
</t>
        </r>
      </text>
    </comment>
    <comment ref="BP43" authorId="1">
      <text>
        <r>
          <rPr>
            <b/>
            <sz val="8"/>
            <color indexed="81"/>
            <rFont val="Tahoma"/>
            <family val="2"/>
          </rPr>
          <t>ayalavin:</t>
        </r>
        <r>
          <rPr>
            <sz val="8"/>
            <color indexed="81"/>
            <rFont val="Tahoma"/>
            <family val="2"/>
          </rPr>
          <t xml:space="preserve">
New guidance: Expect Q4 around 20%;
Prior guidance: 16-20% for 2H</t>
        </r>
      </text>
    </comment>
    <comment ref="BQ53" authorId="5">
      <text>
        <r>
          <rPr>
            <b/>
            <sz val="8"/>
            <color indexed="81"/>
            <rFont val="Tahoma"/>
            <family val="2"/>
          </rPr>
          <t>pamelk:</t>
        </r>
        <r>
          <rPr>
            <sz val="8"/>
            <color indexed="81"/>
            <rFont val="Tahoma"/>
            <family val="2"/>
          </rPr>
          <t xml:space="preserve">
One-time benefit from tax settlement</t>
        </r>
      </text>
    </comment>
    <comment ref="O57" authorId="1">
      <text>
        <r>
          <rPr>
            <b/>
            <sz val="8"/>
            <color indexed="81"/>
            <rFont val="Tahoma"/>
            <family val="2"/>
          </rPr>
          <t>ayalavin:</t>
        </r>
        <r>
          <rPr>
            <sz val="8"/>
            <color indexed="81"/>
            <rFont val="Tahoma"/>
            <family val="2"/>
          </rPr>
          <t xml:space="preserve">
guidance of $1.55 - 1.60 incorproates 4 cent Venezuela hit, but not $0.05 cents of FX
3Q13: Guidance $1.57-1.62</t>
        </r>
      </text>
    </comment>
    <comment ref="P57" authorId="2">
      <text>
        <r>
          <rPr>
            <b/>
            <sz val="9"/>
            <color indexed="81"/>
            <rFont val="Tahoma"/>
            <family val="2"/>
          </rPr>
          <t>Colantuoni, John (Research):</t>
        </r>
        <r>
          <rPr>
            <sz val="9"/>
            <color indexed="81"/>
            <rFont val="Tahoma"/>
            <family val="2"/>
          </rPr>
          <t xml:space="preserve">
Guidance: 1.64-1.69;
Prior guidance 1.67 to 1.72</t>
        </r>
      </text>
    </comment>
    <comment ref="BL57" authorId="1">
      <text>
        <r>
          <rPr>
            <b/>
            <sz val="8"/>
            <color indexed="81"/>
            <rFont val="Tahoma"/>
            <family val="2"/>
          </rPr>
          <t>ayalavin:</t>
        </r>
        <r>
          <rPr>
            <sz val="8"/>
            <color indexed="81"/>
            <rFont val="Tahoma"/>
            <family val="2"/>
          </rPr>
          <t xml:space="preserve">
$0.36 according to filing</t>
        </r>
      </text>
    </comment>
    <comment ref="BM57" authorId="1">
      <text>
        <r>
          <rPr>
            <b/>
            <sz val="8"/>
            <color indexed="81"/>
            <rFont val="Tahoma"/>
            <family val="2"/>
          </rPr>
          <t>ayalavin:</t>
        </r>
        <r>
          <rPr>
            <sz val="8"/>
            <color indexed="81"/>
            <rFont val="Tahoma"/>
            <family val="2"/>
          </rPr>
          <t xml:space="preserve">
(-) stepped up investments 1 cent drag
(-) Cycling impact of prior year one timers in Russia / Asia was a 1 cent drag
(+/-) Taxes 7 cent benefit from discrete items</t>
        </r>
      </text>
    </comment>
    <comment ref="O63" authorId="1">
      <text>
        <r>
          <rPr>
            <b/>
            <sz val="8"/>
            <color indexed="81"/>
            <rFont val="Tahoma"/>
            <family val="2"/>
          </rPr>
          <t>ayalavin:</t>
        </r>
        <r>
          <rPr>
            <sz val="8"/>
            <color indexed="81"/>
            <rFont val="Tahoma"/>
            <family val="2"/>
          </rPr>
          <t xml:space="preserve">
Negative 5 cents of FX as of May 7 FX rates. Venezuela ~4 cent hit</t>
        </r>
      </text>
    </comment>
    <comment ref="P63" authorId="6">
      <text>
        <r>
          <rPr>
            <b/>
            <sz val="8"/>
            <color indexed="81"/>
            <rFont val="Tahoma"/>
            <family val="2"/>
          </rPr>
          <t>colantuo:</t>
        </r>
        <r>
          <rPr>
            <sz val="8"/>
            <color indexed="81"/>
            <rFont val="Tahoma"/>
            <family val="2"/>
          </rPr>
          <t xml:space="preserve">
$0.15 guidance; actualized EPS amounts larger than impact implied by model</t>
        </r>
      </text>
    </comment>
    <comment ref="L69" authorId="0">
      <text>
        <r>
          <rPr>
            <b/>
            <sz val="8"/>
            <color indexed="81"/>
            <rFont val="Tahoma"/>
            <family val="2"/>
          </rPr>
          <t>Jackie Inglesby:</t>
        </r>
        <r>
          <rPr>
            <sz val="8"/>
            <color indexed="81"/>
            <rFont val="Tahoma"/>
            <family val="2"/>
          </rPr>
          <t xml:space="preserve">
$0.05 from pizza biz</t>
        </r>
      </text>
    </comment>
    <comment ref="BI82" authorId="0">
      <text>
        <r>
          <rPr>
            <b/>
            <sz val="8"/>
            <color indexed="81"/>
            <rFont val="Tahoma"/>
            <family val="2"/>
          </rPr>
          <t>Jackie Inglesby:</t>
        </r>
        <r>
          <rPr>
            <sz val="8"/>
            <color indexed="81"/>
            <rFont val="Tahoma"/>
            <family val="2"/>
          </rPr>
          <t xml:space="preserve">
Will benefit from an earlier Easter</t>
        </r>
      </text>
    </comment>
    <comment ref="R98" authorId="4">
      <text>
        <r>
          <rPr>
            <b/>
            <sz val="9"/>
            <color indexed="81"/>
            <rFont val="Tahoma"/>
            <family val="2"/>
          </rPr>
          <t>Kaufman, Pamela (Research):</t>
        </r>
        <r>
          <rPr>
            <sz val="9"/>
            <color indexed="81"/>
            <rFont val="Tahoma"/>
            <family val="2"/>
          </rPr>
          <t xml:space="preserve">
80 bps benefit from VAT</t>
        </r>
      </text>
    </comment>
    <comment ref="S98" authorId="4">
      <text>
        <r>
          <rPr>
            <b/>
            <sz val="9"/>
            <color indexed="81"/>
            <rFont val="Tahoma"/>
            <family val="2"/>
          </rPr>
          <t>Kaufman, Pamela (Research):</t>
        </r>
        <r>
          <rPr>
            <sz val="9"/>
            <color indexed="81"/>
            <rFont val="Tahoma"/>
            <family val="2"/>
          </rPr>
          <t xml:space="preserve">
80 bps benefit from VAT</t>
        </r>
      </text>
    </comment>
    <comment ref="BQ107" authorId="6">
      <text>
        <r>
          <rPr>
            <b/>
            <sz val="8"/>
            <color indexed="81"/>
            <rFont val="Tahoma"/>
            <family val="2"/>
          </rPr>
          <t>colantuo:</t>
        </r>
        <r>
          <rPr>
            <sz val="8"/>
            <color indexed="81"/>
            <rFont val="Tahoma"/>
            <family val="2"/>
          </rPr>
          <t xml:space="preserve">
Ukraine unrest</t>
        </r>
      </text>
    </comment>
    <comment ref="O115" authorId="4">
      <text>
        <r>
          <rPr>
            <b/>
            <sz val="9"/>
            <color indexed="81"/>
            <rFont val="Tahoma"/>
            <family val="2"/>
          </rPr>
          <t>Kaufman, Pamela (Research):</t>
        </r>
        <r>
          <rPr>
            <sz val="9"/>
            <color indexed="81"/>
            <rFont val="Tahoma"/>
            <family val="2"/>
          </rPr>
          <t xml:space="preserve">
10.6% adjusted EBIT margin</t>
        </r>
      </text>
    </comment>
    <comment ref="CA130" authorId="7">
      <text>
        <r>
          <rPr>
            <b/>
            <sz val="9"/>
            <color indexed="81"/>
            <rFont val="Tahoma"/>
            <family val="2"/>
          </rPr>
          <t>Grainger, Matthew (Research):</t>
        </r>
        <r>
          <rPr>
            <sz val="9"/>
            <color indexed="81"/>
            <rFont val="Tahoma"/>
            <family val="2"/>
          </rPr>
          <t xml:space="preserve">
11.4% ex VAT settlement</t>
        </r>
      </text>
    </comment>
    <comment ref="BT139" authorId="4">
      <text>
        <r>
          <rPr>
            <b/>
            <sz val="9"/>
            <color indexed="81"/>
            <rFont val="Tahoma"/>
            <family val="2"/>
          </rPr>
          <t>Kaufman, Pamela (Research):</t>
        </r>
        <r>
          <rPr>
            <sz val="9"/>
            <color indexed="81"/>
            <rFont val="Tahoma"/>
            <family val="2"/>
          </rPr>
          <t xml:space="preserve">
For AMEA and Europe segments</t>
        </r>
      </text>
    </comment>
    <comment ref="BE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F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G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H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I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J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K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L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M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N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O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P141" authorId="4">
      <text>
        <r>
          <rPr>
            <b/>
            <sz val="9"/>
            <color indexed="81"/>
            <rFont val="Tahoma"/>
            <family val="2"/>
          </rPr>
          <t>Kaufman, Pamela (Research):</t>
        </r>
        <r>
          <rPr>
            <sz val="9"/>
            <color indexed="81"/>
            <rFont val="Tahoma"/>
            <family val="2"/>
          </rPr>
          <t xml:space="preserve">
Subsequent periods include ~62% of the historic EMEA segment sales</t>
        </r>
      </text>
    </comment>
    <comment ref="BT146" authorId="4">
      <text>
        <r>
          <rPr>
            <b/>
            <sz val="9"/>
            <color indexed="81"/>
            <rFont val="Tahoma"/>
            <family val="2"/>
          </rPr>
          <t>Kaufman, Pamela (Research):</t>
        </r>
        <r>
          <rPr>
            <sz val="9"/>
            <color indexed="81"/>
            <rFont val="Tahoma"/>
            <family val="2"/>
          </rPr>
          <t xml:space="preserve">
For AMEA and Europe segments</t>
        </r>
      </text>
    </comment>
    <comment ref="BE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F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G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H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I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J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K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L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M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N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O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BP148" authorId="4">
      <text>
        <r>
          <rPr>
            <b/>
            <sz val="9"/>
            <color indexed="81"/>
            <rFont val="Tahoma"/>
            <family val="2"/>
          </rPr>
          <t>Kaufman, Pamela (Research):</t>
        </r>
        <r>
          <rPr>
            <sz val="9"/>
            <color indexed="81"/>
            <rFont val="Tahoma"/>
            <family val="2"/>
          </rPr>
          <t xml:space="preserve">
Subsequent periods include ~73% of historic EMEA segment profitability</t>
        </r>
      </text>
    </comment>
    <comment ref="D169" authorId="8">
      <text>
        <r>
          <rPr>
            <sz val="8"/>
            <color indexed="81"/>
            <rFont val="Tahoma"/>
            <family val="2"/>
          </rPr>
          <t>During 2002, the Company repurchased
approximately 4.4 million shares of its Class A common stock at a cost of $170
million.
Source: 2002 10-K, p.39</t>
        </r>
      </text>
    </comment>
    <comment ref="E169" authorId="8">
      <text>
        <r>
          <rPr>
            <sz val="8"/>
            <color indexed="81"/>
            <rFont val="Tahoma"/>
            <family val="2"/>
          </rPr>
          <t>During 2003, Kraft repurchased 12.5 million shares at a cost of $380 million.
Source: 2003 10-K, p. 36</t>
        </r>
        <r>
          <rPr>
            <sz val="8"/>
            <color indexed="81"/>
            <rFont val="Tahoma"/>
            <family val="2"/>
          </rPr>
          <t xml:space="preserve">
</t>
        </r>
      </text>
    </comment>
    <comment ref="F169" authorId="8">
      <text>
        <r>
          <rPr>
            <sz val="8"/>
            <color indexed="81"/>
            <rFont val="Tahoma"/>
            <family val="2"/>
          </rPr>
          <t>During 2004, Kraft repurchased 21.5 million shares at a cost of $700 million.
Source: 2004 10-K, p. 42</t>
        </r>
        <r>
          <rPr>
            <sz val="8"/>
            <color indexed="81"/>
            <rFont val="Tahoma"/>
            <family val="2"/>
          </rPr>
          <t xml:space="preserve">
</t>
        </r>
      </text>
    </comment>
    <comment ref="G169" authorId="8">
      <text>
        <r>
          <rPr>
            <sz val="8"/>
            <color indexed="81"/>
            <rFont val="Tahoma"/>
            <family val="2"/>
          </rPr>
          <t>During 2005, the Company repurchased 39.2 million shares at a cost of $1.2 billion.
Source: 2005 10-K, p. 46</t>
        </r>
      </text>
    </comment>
    <comment ref="I169" authorId="8">
      <text>
        <r>
          <rPr>
            <sz val="8"/>
            <color indexed="81"/>
            <rFont val="Tahoma"/>
            <family val="2"/>
          </rPr>
          <t>During 2007, we repurchased 110.1 million shares of our Common Stock for approximately $3.6 billion under
our share repurchase programs.
Source: 2007 10-K, p. 18</t>
        </r>
      </text>
    </comment>
    <comment ref="J169" authorId="8">
      <text>
        <r>
          <rPr>
            <sz val="8"/>
            <color indexed="81"/>
            <rFont val="Tahoma"/>
            <family val="2"/>
          </rPr>
          <t>During 2008, we repurchased 25.3 million shares of our Common Stock for $777 million under our $5.0 billion share repurchase program.</t>
        </r>
        <r>
          <rPr>
            <sz val="8"/>
            <color indexed="81"/>
            <rFont val="Tahoma"/>
            <family val="2"/>
          </rPr>
          <t xml:space="preserve">
Source: 2008 10-K, p. 18</t>
        </r>
      </text>
    </comment>
    <comment ref="K169" authorId="8">
      <text>
        <r>
          <rPr>
            <sz val="8"/>
            <color indexed="81"/>
            <rFont val="Tahoma"/>
            <family val="2"/>
          </rPr>
          <t>"We did not repurchase any shares in 2010 or 2009."
Source: 2010 10-K, p.20</t>
        </r>
        <r>
          <rPr>
            <sz val="8"/>
            <color indexed="81"/>
            <rFont val="Tahoma"/>
            <family val="2"/>
          </rPr>
          <t xml:space="preserve">
</t>
        </r>
      </text>
    </comment>
    <comment ref="L169" authorId="8">
      <text>
        <r>
          <rPr>
            <sz val="8"/>
            <color indexed="81"/>
            <rFont val="Tahoma"/>
            <family val="2"/>
          </rPr>
          <t>"Under the terms of our final offer and the subsequent offer, we agreed to pay Cadbury shareholders 500 pence in cash and 0.1874 shares of Kraft Foods Common Stock per Cadbury ordinary share validly tendered."
Souce: 2010 10-K, p. 4</t>
        </r>
      </text>
    </comment>
    <comment ref="P169" authorId="2">
      <text>
        <r>
          <rPr>
            <b/>
            <sz val="9"/>
            <color indexed="81"/>
            <rFont val="Tahoma"/>
            <family val="2"/>
          </rPr>
          <t>Colantuoni, John (Research):</t>
        </r>
        <r>
          <rPr>
            <sz val="9"/>
            <color indexed="81"/>
            <rFont val="Tahoma"/>
            <family val="2"/>
          </rPr>
          <t xml:space="preserve">
Expected to repurchase 1-2B shares in 2014</t>
        </r>
      </text>
    </comment>
    <comment ref="AC169" authorId="8">
      <text>
        <r>
          <rPr>
            <sz val="8"/>
            <color indexed="81"/>
            <rFont val="Tahoma"/>
            <family val="2"/>
          </rPr>
          <t xml:space="preserve">Kraft repurchased 4.9 million shares of its Class A common stock during the first quarter of 2004 at a cost of $163 million.
Source: 1Q04 10-Q, p. 35 </t>
        </r>
      </text>
    </comment>
    <comment ref="AD169" authorId="8">
      <text>
        <r>
          <rPr>
            <sz val="8"/>
            <color indexed="81"/>
            <rFont val="Tahoma"/>
            <family val="2"/>
          </rPr>
          <t>Kraft repurchased 10.1 million shares of its Class A common stock during the first six months of 2004 at a cost of $325 million.
Source: 2Q04 10-Q, p. 41</t>
        </r>
      </text>
    </comment>
    <comment ref="AE169" authorId="8">
      <text>
        <r>
          <rPr>
            <sz val="8"/>
            <color indexed="81"/>
            <rFont val="Tahoma"/>
            <family val="2"/>
          </rPr>
          <t>Kraft repurchased 15.4 million shares of its Class A common stock during the first nine months of 2004 at a cost of $487 million.
Source: 3Q04 10-Q, p. 43</t>
        </r>
      </text>
    </comment>
    <comment ref="AG169" authorId="8">
      <text>
        <r>
          <rPr>
            <sz val="8"/>
            <color indexed="81"/>
            <rFont val="Tahoma"/>
            <family val="2"/>
          </rPr>
          <t xml:space="preserve">Kraft repurchased 5.3 million shares of its Class A common stock during the first quarter of 2005 at a cost of $175 million.
Source: 1Q05 10-Q, p. 35 </t>
        </r>
      </text>
    </comment>
    <comment ref="AH169" authorId="8">
      <text>
        <r>
          <rPr>
            <sz val="8"/>
            <color indexed="81"/>
            <rFont val="Tahoma"/>
            <family val="2"/>
          </rPr>
          <t xml:space="preserve">During the first six months of 2005 and 2004, the Company repurchased 12.3 million and 10.1 million shares,
respectively, of its Class A common stock at a cost of $400 million and $325 million, respectively.
Source: 2Q05 10-Q, p. 51
</t>
        </r>
      </text>
    </comment>
    <comment ref="AI169" authorId="8">
      <text>
        <r>
          <rPr>
            <sz val="8"/>
            <color indexed="81"/>
            <rFont val="Tahoma"/>
            <family val="2"/>
          </rPr>
          <t>During the first nine months of 2005 and 2004, the Company repurchased 25.3 million and 15.4 million shares,
respectively, of its Class A common stock at a cost of $800 million and $487 million, respectively.
Source: 3Q05 10-Q, p.51</t>
        </r>
      </text>
    </comment>
    <comment ref="AK169" authorId="8">
      <text>
        <r>
          <rPr>
            <sz val="8"/>
            <color indexed="81"/>
            <rFont val="Tahoma"/>
            <family val="2"/>
          </rPr>
          <t>During the first quarter of 2006 the Company repurchased 8.5 million of its Class A common stock under its $1.5 billion repurchase program at a cost of $250 million. In addition, as of March 31, 2006, the Company repurchased 2.0 million shares of its Class A common stock, under its new $2.0 billion authority, at an aggregate cost of $62 million, bringing total repurchases for the first quarter of 2006 to 10.5 million shares for $312 million.
Source: 1Q06 10-Q, p. 37</t>
        </r>
      </text>
    </comment>
    <comment ref="AL169" authorId="8">
      <text>
        <r>
          <rPr>
            <sz val="8"/>
            <color indexed="81"/>
            <rFont val="Tahoma"/>
            <family val="2"/>
          </rPr>
          <t>During the first six months of 2006 the Company repurchased 8.5 million of its Class A common stock under its $1.5 billion repurchase program at a cost of $250 million.  In addition, as of June 30, 2006, the Company repurchased 12.0 million shares of its Class A common stock, under its new $2.0 billion authority, at an aggregate cost of $375 million, bringing total repurchases for the first six months of 2006 to 20.5 million shares for $625 million.
Source: 2Q06 10-Q, p. 51</t>
        </r>
      </text>
    </comment>
    <comment ref="AM169" authorId="8">
      <text>
        <r>
          <rPr>
            <sz val="8"/>
            <color indexed="81"/>
            <rFont val="Tahoma"/>
            <family val="2"/>
          </rPr>
          <t xml:space="preserve">During the first nine months of 2006 the Company repurchased 8.5 million of its Class A common stock under its $1.5 billion repurchase program at a cost of $250 million. In addition, as of September 30, 2006, the Company repurchased 21.3 million shares of its Class A common stock, under its new $2.0 billion authority, at a cost of $687 million, bringing total repurchases for the first nine months of 2006 to 29.8 million shares for $937 million.
</t>
        </r>
        <r>
          <rPr>
            <sz val="8"/>
            <color indexed="81"/>
            <rFont val="Tahoma"/>
            <family val="2"/>
          </rPr>
          <t xml:space="preserve">
Source: 3Q06 10-Q, p. 53</t>
        </r>
      </text>
    </comment>
    <comment ref="AO169" authorId="8">
      <text>
        <r>
          <rPr>
            <sz val="8"/>
            <color indexed="81"/>
            <rFont val="Tahoma"/>
            <family val="2"/>
          </rPr>
          <t>During the first quarter of 2007, the Company repurchased 4.4 million shares of its Class A common stock under its $2.0 billion repurchase program at a cost of $140 million. 
In addition, in March 2007, the Company purchased 1.4 million shares of its Class A common stock at an aggregate cost of $46.5 million from Altria according to the provisions of the Distribution agreement.
Source: 1Q07 10-Q, p. 28</t>
        </r>
      </text>
    </comment>
    <comment ref="AP169" authorId="8">
      <text>
        <r>
          <rPr>
            <sz val="8"/>
            <color indexed="81"/>
            <rFont val="Tahoma"/>
            <family val="2"/>
          </rPr>
          <t>The total repurchases under the above programs for the first six months of 2007 were 65.1 million shares for approximately $2.1 billion. 
Source: 2Q07 10-Q, p. 32
Condensed Consolidated Statements of Shareholders’ Equity;
Class A common stock repurchased;
Cost of repurchased stock: $2,187.
Source: 2Q07 10-Q, p. 5</t>
        </r>
      </text>
    </comment>
    <comment ref="AQ169" authorId="8">
      <text>
        <r>
          <rPr>
            <sz val="8"/>
            <color indexed="81"/>
            <rFont val="Tahoma"/>
            <family val="2"/>
          </rPr>
          <t>During the third quarter of 2007,
we repurchased 30.2 million shares of our Common Stock for approximately $1.0 billion, bringing total repurchases since the beginning of the program to 90.9 million shares for $3.0 billion.
Source: 3Q07 10-Q, p.23
Condensed Consolidated Statements of Shareholders’ Equity;
Common Stock repurchased;
Treasury stock: $3,186.
Source: 3Q07 10-Q, p. 5</t>
        </r>
      </text>
    </comment>
    <comment ref="AS169" authorId="8">
      <text>
        <r>
          <rPr>
            <sz val="8"/>
            <color indexed="81"/>
            <rFont val="Tahoma"/>
            <family val="2"/>
          </rPr>
          <t>During the first quarter of 2008, we repurchased 21.3 million shares of our Common Stock for $650 million under our $5.0 billion share repurchase program. We had $850 million remaining under our share repurchase program at March 31, 2008.
Source: 1Q08 10-Q, p.19</t>
        </r>
      </text>
    </comment>
    <comment ref="AT169" authorId="8">
      <text>
        <r>
          <rPr>
            <sz val="8"/>
            <color indexed="81"/>
            <rFont val="Tahoma"/>
            <family val="2"/>
          </rPr>
          <t>During the second quarter of 2008, we did not repurchase any shares of our Common Stock under the program. We had $850 million remaining under our share repurchase program at June 30, 2008.
Source: 2Q08 10-Q, p. 22</t>
        </r>
      </text>
    </comment>
    <comment ref="AU169" authorId="8">
      <text>
        <r>
          <rPr>
            <sz val="8"/>
            <color indexed="81"/>
            <rFont val="Tahoma"/>
            <family val="2"/>
          </rPr>
          <t xml:space="preserve">During the first nine months of 2008, we repurchased 25.3 million shares of our Common Stock for $777 million under our $5.0 billion share
repurchase program, including 4.0 million shares repurchased in the third quarter of 2008 for $127 million. We had $723 million remaining under
our share repurchase program at September 30, 2008.
Source: 3Q08 10-Q, p.22
</t>
        </r>
      </text>
    </comment>
    <comment ref="AW169" authorId="8">
      <text>
        <r>
          <rPr>
            <sz val="8"/>
            <color indexed="81"/>
            <rFont val="Tahoma"/>
            <family val="2"/>
          </rPr>
          <t>"We did not repurchase any shares in the first quarter of 2009."
Source: 1Q09 10-Q, p.18</t>
        </r>
      </text>
    </comment>
    <comment ref="AX169" authorId="8">
      <text>
        <r>
          <rPr>
            <sz val="8"/>
            <color indexed="81"/>
            <rFont val="Tahoma"/>
            <family val="2"/>
          </rPr>
          <t>"We have not repurchased any shares in 2009."
Source: 2Q09 10-Q, p. 22</t>
        </r>
      </text>
    </comment>
    <comment ref="AY169" authorId="8">
      <text>
        <r>
          <rPr>
            <sz val="8"/>
            <color indexed="81"/>
            <rFont val="Tahoma"/>
            <family val="2"/>
          </rPr>
          <t>"We have not repurchased any shares in 2009."
Source: 3Q09 10-Q, p. 23</t>
        </r>
      </text>
    </comment>
    <comment ref="BA169" authorId="8">
      <text>
        <r>
          <rPr>
            <sz val="8"/>
            <color indexed="81"/>
            <rFont val="Tahoma"/>
            <family val="2"/>
          </rPr>
          <t>"On February 2, 2010, we acquired 71.73% of Cadbury's Shares for $13.1 billion. From February 2, 2010 through March 31, 2010, we acquired an additional 27.03% of Cadbury's Shares for $5.2 billion."
Source: 1Q10 10-Q, p. 6</t>
        </r>
        <r>
          <rPr>
            <sz val="8"/>
            <color indexed="81"/>
            <rFont val="Tahoma"/>
            <family val="2"/>
          </rPr>
          <t xml:space="preserve">
</t>
        </r>
      </text>
    </comment>
    <comment ref="BR169" authorId="6">
      <text>
        <r>
          <rPr>
            <b/>
            <sz val="8"/>
            <color indexed="81"/>
            <rFont val="Tahoma"/>
            <family val="2"/>
          </rPr>
          <t>colantuo:</t>
        </r>
        <r>
          <rPr>
            <sz val="8"/>
            <color indexed="81"/>
            <rFont val="Tahoma"/>
            <family val="2"/>
          </rPr>
          <t xml:space="preserve">
Expect to have 4.8B of the 7.7B share repurchase authorized after 2Q14</t>
        </r>
      </text>
    </comment>
    <comment ref="BA170" authorId="8">
      <text>
        <r>
          <rPr>
            <sz val="8"/>
            <color indexed="81"/>
            <rFont val="Tahoma"/>
            <family val="2"/>
          </rPr>
          <t xml:space="preserve">Under the terms of our final offer and the subsequent offer, we agreed to pay Cadbury shareholders 500 pence in cash and 0.1874 shares of Kraft Foods Common Stock per Cadbury ordinary share validly tendered ... This valued Cadbury at $18.5 billion... (based on the average price of </t>
        </r>
        <r>
          <rPr>
            <b/>
            <sz val="8"/>
            <color indexed="81"/>
            <rFont val="Tahoma"/>
            <family val="2"/>
          </rPr>
          <t xml:space="preserve">$28.36 </t>
        </r>
        <r>
          <rPr>
            <sz val="8"/>
            <color indexed="81"/>
            <rFont val="Tahoma"/>
            <family val="2"/>
          </rPr>
          <t>for a share of Kraft Foods Common Stock on February 2, 2010.
Source: 1Q10 10-Q, pg. 6</t>
        </r>
      </text>
    </comment>
    <comment ref="D172" authorId="9">
      <text>
        <r>
          <rPr>
            <sz val="8"/>
            <color indexed="81"/>
            <rFont val="Tahoma"/>
            <family val="2"/>
          </rPr>
          <t>Source: 2004 10-K, p.64</t>
        </r>
      </text>
    </comment>
    <comment ref="E172" authorId="9">
      <text>
        <r>
          <rPr>
            <sz val="8"/>
            <color indexed="81"/>
            <rFont val="Tahoma"/>
            <family val="2"/>
          </rPr>
          <t>Exercise of stock options and issuance of other stock awards
Source: 2005 10-K, p.68</t>
        </r>
      </text>
    </comment>
    <comment ref="F172" authorId="9">
      <text>
        <r>
          <rPr>
            <sz val="8"/>
            <color indexed="81"/>
            <rFont val="Tahoma"/>
            <family val="2"/>
          </rPr>
          <t>Exercise of stock options and issuance of other stock awards
Source: 2005 10-K, p.68</t>
        </r>
      </text>
    </comment>
    <comment ref="G172" authorId="9">
      <text>
        <r>
          <rPr>
            <sz val="8"/>
            <color indexed="81"/>
            <rFont val="Tahoma"/>
            <family val="2"/>
          </rPr>
          <t>Exercise of stock options and issuance of other stock awards
Source: 2005 10-K, p.68</t>
        </r>
      </text>
    </comment>
    <comment ref="H172" authorId="9">
      <text>
        <r>
          <rPr>
            <sz val="8"/>
            <color indexed="81"/>
            <rFont val="Tahoma"/>
            <family val="2"/>
          </rPr>
          <t>Exercise of stock options and issuance of other stock awards
Source: 2008 10-K, p. 68</t>
        </r>
      </text>
    </comment>
    <comment ref="I172" authorId="9">
      <text>
        <r>
          <rPr>
            <sz val="8"/>
            <color indexed="81"/>
            <rFont val="Tahoma"/>
            <family val="2"/>
          </rPr>
          <t>Exercise of stock options and issuance of other stock awards
Source: 2008 10-K, p. 68</t>
        </r>
      </text>
    </comment>
    <comment ref="J172" authorId="9">
      <text>
        <r>
          <rPr>
            <sz val="8"/>
            <color indexed="81"/>
            <rFont val="Tahoma"/>
            <family val="2"/>
          </rPr>
          <t>"In this split-off transaction, approximately 46.1 million shares of Kraft Common Stock were tendered for $1,644 million."
Source: 2008 10-K, p.58
Exercise of stock options and issuance of other stock awards: 6,915,974
Source: 2008 10-K, p.68</t>
        </r>
      </text>
    </comment>
    <comment ref="K172" authorId="9">
      <text>
        <r>
          <rPr>
            <sz val="8"/>
            <color indexed="81"/>
            <rFont val="Tahoma"/>
            <family val="2"/>
          </rPr>
          <t>Exercise of stock options and issuance of other stock awards
Source: 2010 10-K, p. 76</t>
        </r>
      </text>
    </comment>
    <comment ref="L172" authorId="0">
      <text>
        <r>
          <rPr>
            <b/>
            <sz val="8"/>
            <color indexed="81"/>
            <rFont val="Tahoma"/>
            <family val="2"/>
          </rPr>
          <t>Jackie Inglesby:</t>
        </r>
        <r>
          <rPr>
            <sz val="8"/>
            <color indexed="81"/>
            <rFont val="Tahoma"/>
            <family val="2"/>
          </rPr>
          <t xml:space="preserve">
As per final offer
Exercise of stock options and issuance of other stock awards: 8,643,868
Source: 2010 10-K, p.76</t>
        </r>
      </text>
    </comment>
    <comment ref="L176" authorId="0">
      <text>
        <r>
          <rPr>
            <b/>
            <sz val="8"/>
            <color indexed="81"/>
            <rFont val="Tahoma"/>
            <family val="2"/>
          </rPr>
          <t>Jackie Inglesby:</t>
        </r>
        <r>
          <rPr>
            <sz val="8"/>
            <color indexed="81"/>
            <rFont val="Tahoma"/>
            <family val="2"/>
          </rPr>
          <t xml:space="preserve">
Proforma number as pers 8-K/A on 4/16</t>
        </r>
      </text>
    </comment>
    <comment ref="BV185" authorId="4">
      <text>
        <r>
          <rPr>
            <b/>
            <sz val="9"/>
            <color indexed="81"/>
            <rFont val="Tahoma"/>
            <family val="2"/>
          </rPr>
          <t>Kaufman, Pamela (Research):</t>
        </r>
        <r>
          <rPr>
            <sz val="9"/>
            <color indexed="81"/>
            <rFont val="Tahoma"/>
            <family val="2"/>
          </rPr>
          <t xml:space="preserve">
over 9% of revenue</t>
        </r>
      </text>
    </comment>
    <comment ref="O213" authorId="2">
      <text>
        <r>
          <rPr>
            <b/>
            <sz val="9"/>
            <color indexed="81"/>
            <rFont val="Tahoma"/>
            <family val="2"/>
          </rPr>
          <t>Colantuoni, John (Research):</t>
        </r>
        <r>
          <rPr>
            <sz val="9"/>
            <color indexed="81"/>
            <rFont val="Tahoma"/>
            <family val="2"/>
          </rPr>
          <t xml:space="preserve">
Well over 4%</t>
        </r>
      </text>
    </comment>
    <comment ref="P213" authorId="2">
      <text>
        <r>
          <rPr>
            <b/>
            <sz val="9"/>
            <color indexed="81"/>
            <rFont val="Tahoma"/>
            <family val="2"/>
          </rPr>
          <t>Colantuoni, John (Research):</t>
        </r>
        <r>
          <rPr>
            <sz val="9"/>
            <color indexed="81"/>
            <rFont val="Tahoma"/>
            <family val="2"/>
          </rPr>
          <t xml:space="preserve">
Over 4% gross productivity</t>
        </r>
      </text>
    </comment>
    <comment ref="Q214" authorId="7">
      <text>
        <r>
          <rPr>
            <b/>
            <sz val="9"/>
            <color indexed="81"/>
            <rFont val="Tahoma"/>
            <family val="2"/>
          </rPr>
          <t>Grainger, Matthew (Research):</t>
        </r>
        <r>
          <rPr>
            <sz val="9"/>
            <color indexed="81"/>
            <rFont val="Tahoma"/>
            <family val="2"/>
          </rPr>
          <t xml:space="preserve">
</t>
        </r>
      </text>
    </comment>
    <comment ref="M409" authorId="3">
      <text>
        <r>
          <rPr>
            <b/>
            <sz val="8"/>
            <color indexed="81"/>
            <rFont val="Tahoma"/>
            <family val="2"/>
          </rPr>
          <t>matgrai:</t>
        </r>
        <r>
          <rPr>
            <sz val="8"/>
            <color indexed="81"/>
            <rFont val="Tahoma"/>
            <family val="2"/>
          </rPr>
          <t xml:space="preserve">
exceeded $2 bn in revenue</t>
        </r>
      </text>
    </comment>
    <comment ref="M412" authorId="3">
      <text>
        <r>
          <rPr>
            <b/>
            <sz val="8"/>
            <color indexed="81"/>
            <rFont val="Tahoma"/>
            <family val="2"/>
          </rPr>
          <t>matgrai:</t>
        </r>
        <r>
          <rPr>
            <sz val="8"/>
            <color indexed="81"/>
            <rFont val="Tahoma"/>
            <family val="2"/>
          </rPr>
          <t xml:space="preserve">
Up 30%+ to more than $800 MM)</t>
        </r>
      </text>
    </comment>
  </commentList>
</comments>
</file>

<file path=xl/comments3.xml><?xml version="1.0" encoding="utf-8"?>
<comments xmlns="http://schemas.openxmlformats.org/spreadsheetml/2006/main">
  <authors>
    <author>Jackie Inglesby</author>
    <author>castatod</author>
    <author>pamelk</author>
  </authors>
  <commentList>
    <comment ref="N8" authorId="0">
      <text>
        <r>
          <rPr>
            <b/>
            <sz val="8"/>
            <color indexed="81"/>
            <rFont val="Tahoma"/>
            <family val="2"/>
          </rPr>
          <t>Jackie Inglesby:</t>
        </r>
        <r>
          <rPr>
            <sz val="8"/>
            <color indexed="81"/>
            <rFont val="Tahoma"/>
            <family val="2"/>
          </rPr>
          <t xml:space="preserve">
Includes Cadbury</t>
        </r>
      </text>
    </comment>
    <comment ref="N55" authorId="1">
      <text>
        <r>
          <rPr>
            <b/>
            <sz val="8"/>
            <color indexed="81"/>
            <rFont val="Tahoma"/>
            <family val="2"/>
          </rPr>
          <t xml:space="preserve">Plugged to balance
</t>
        </r>
      </text>
    </comment>
    <comment ref="O55" authorId="1">
      <text>
        <r>
          <rPr>
            <b/>
            <sz val="8"/>
            <color indexed="81"/>
            <rFont val="Tahoma"/>
            <family val="2"/>
          </rPr>
          <t>Plugged to balance</t>
        </r>
      </text>
    </comment>
    <comment ref="O197" authorId="2">
      <text>
        <r>
          <rPr>
            <b/>
            <sz val="8"/>
            <color indexed="81"/>
            <rFont val="Tahoma"/>
            <family val="2"/>
          </rPr>
          <t>pamelk:</t>
        </r>
        <r>
          <rPr>
            <sz val="8"/>
            <color indexed="81"/>
            <rFont val="Tahoma"/>
            <family val="2"/>
          </rPr>
          <t xml:space="preserve">
53rd week</t>
        </r>
      </text>
    </comment>
  </commentList>
</comments>
</file>

<file path=xl/comments4.xml><?xml version="1.0" encoding="utf-8"?>
<comments xmlns="http://schemas.openxmlformats.org/spreadsheetml/2006/main">
  <authors>
    <author>ayalavin</author>
    <author>castatod</author>
    <author>Kaufman, Pamela (Research)</author>
    <author>colantuo</author>
    <author>Jackie Inglesby</author>
  </authors>
  <commentList>
    <comment ref="N13" authorId="0">
      <text>
        <r>
          <rPr>
            <b/>
            <sz val="8"/>
            <color indexed="81"/>
            <rFont val="Tahoma"/>
            <family val="2"/>
          </rPr>
          <t>ayalavin:</t>
        </r>
        <r>
          <rPr>
            <sz val="8"/>
            <color indexed="81"/>
            <rFont val="Tahoma"/>
            <family val="2"/>
          </rPr>
          <t xml:space="preserve">
We currently estimate annual amortization expense for each of the next five years to be approximately $214 million.</t>
        </r>
      </text>
    </comment>
    <comment ref="K15" authorId="1">
      <text>
        <r>
          <rPr>
            <b/>
            <sz val="8"/>
            <color indexed="81"/>
            <rFont val="Tahoma"/>
            <family val="2"/>
          </rPr>
          <t>DRAG FORWARD</t>
        </r>
      </text>
    </comment>
    <comment ref="S15" authorId="2">
      <text>
        <r>
          <rPr>
            <b/>
            <sz val="9"/>
            <color indexed="81"/>
            <rFont val="Tahoma"/>
            <family val="2"/>
          </rPr>
          <t>Kaufman, Pamela (Research):</t>
        </r>
        <r>
          <rPr>
            <sz val="9"/>
            <color indexed="81"/>
            <rFont val="Tahoma"/>
            <family val="2"/>
          </rPr>
          <t xml:space="preserve">
US tax reform $1.3 bn deferred tax liability payment</t>
        </r>
      </text>
    </comment>
    <comment ref="P20" authorId="2">
      <text>
        <r>
          <rPr>
            <b/>
            <sz val="9"/>
            <color indexed="81"/>
            <rFont val="Tahoma"/>
            <family val="2"/>
          </rPr>
          <t>Kaufman, Pamela (Research):</t>
        </r>
        <r>
          <rPr>
            <sz val="9"/>
            <color indexed="81"/>
            <rFont val="Tahoma"/>
            <family val="2"/>
          </rPr>
          <t xml:space="preserve">
Restructuring costs (2Q15: over $1bn in 2015)</t>
        </r>
      </text>
    </comment>
    <comment ref="N22" authorId="0">
      <text>
        <r>
          <rPr>
            <b/>
            <sz val="8"/>
            <color indexed="81"/>
            <rFont val="Tahoma"/>
            <family val="2"/>
          </rPr>
          <t>ayalavin:</t>
        </r>
        <r>
          <rPr>
            <sz val="8"/>
            <color indexed="81"/>
            <rFont val="Tahoma"/>
            <family val="2"/>
          </rPr>
          <t xml:space="preserve">
Based on current tax law, we plan to make further contributions of approximately $7 million to our U.S. plans and approximately $192 million to our non-U.S. plans during the remainder of 2013.</t>
        </r>
      </text>
    </comment>
    <comment ref="P27" authorId="3">
      <text>
        <r>
          <rPr>
            <b/>
            <sz val="8"/>
            <color indexed="81"/>
            <rFont val="Tahoma"/>
            <family val="2"/>
          </rPr>
          <t>colantuo:</t>
        </r>
        <r>
          <rPr>
            <sz val="8"/>
            <color indexed="81"/>
            <rFont val="Tahoma"/>
            <family val="2"/>
          </rPr>
          <t xml:space="preserve">
European coffee divestiture ($4.25bn) + $1.235bn for gain on FX hedges</t>
        </r>
      </text>
    </comment>
    <comment ref="K28" authorId="4">
      <text>
        <r>
          <rPr>
            <b/>
            <sz val="8"/>
            <color indexed="81"/>
            <rFont val="Tahoma"/>
            <family val="2"/>
          </rPr>
          <t>Jackie Inglesby:</t>
        </r>
        <r>
          <rPr>
            <sz val="8"/>
            <color indexed="81"/>
            <rFont val="Tahoma"/>
            <family val="2"/>
          </rPr>
          <t xml:space="preserve">
CBRY</t>
        </r>
      </text>
    </comment>
    <comment ref="N28" authorId="0">
      <text>
        <r>
          <rPr>
            <b/>
            <sz val="8"/>
            <color indexed="81"/>
            <rFont val="Tahoma"/>
            <family val="2"/>
          </rPr>
          <t>ayalavin:</t>
        </r>
        <r>
          <rPr>
            <sz val="8"/>
            <color indexed="81"/>
            <rFont val="Tahoma"/>
            <family val="2"/>
          </rPr>
          <t xml:space="preserve">
On February 22, 2013, we acquired the remaining interest in a biscuit operation in Morocco, which is now a wholly-owned
subsidiary within our EEMEA segment. We paid net cash consideration of $119 million,</t>
        </r>
      </text>
    </comment>
    <comment ref="P28" authorId="2">
      <text>
        <r>
          <rPr>
            <b/>
            <sz val="9"/>
            <color indexed="81"/>
            <rFont val="Tahoma"/>
            <family val="2"/>
          </rPr>
          <t>Kaufman, Pamela (Research):</t>
        </r>
        <r>
          <rPr>
            <sz val="9"/>
            <color indexed="81"/>
            <rFont val="Tahoma"/>
            <family val="2"/>
          </rPr>
          <t xml:space="preserve">
On July 15, 2015, we made a 9,122 billion Vietnamese dong ($418 million U.S. dollars as of July 15, 2015) payment for the biscuit operation, a $44 million additional escrow deposit and a 759 billion Vietnamese dong ($35 million U.S. dollars as of July 15, 2015) partial payment for the non-compete and continued consulting agreements.</t>
        </r>
      </text>
    </comment>
    <comment ref="N34" authorId="0">
      <text>
        <r>
          <rPr>
            <b/>
            <sz val="8"/>
            <color indexed="81"/>
            <rFont val="Tahoma"/>
            <family val="2"/>
          </rPr>
          <t>ayalavin:</t>
        </r>
        <r>
          <rPr>
            <sz val="8"/>
            <color indexed="81"/>
            <rFont val="Tahoma"/>
            <family val="2"/>
          </rPr>
          <t xml:space="preserve">
$7.7B through 2016;
Prior guidance of $6B through 2016
$1.2B to offset option dilution</t>
        </r>
      </text>
    </comment>
    <comment ref="K44" authorId="1">
      <text>
        <r>
          <rPr>
            <b/>
            <sz val="8"/>
            <color indexed="81"/>
            <rFont val="Tahoma"/>
            <family val="2"/>
          </rPr>
          <t xml:space="preserve">Plugged to balance
</t>
        </r>
      </text>
    </comment>
    <comment ref="L44" authorId="1">
      <text>
        <r>
          <rPr>
            <b/>
            <sz val="8"/>
            <color indexed="81"/>
            <rFont val="Tahoma"/>
            <family val="2"/>
          </rPr>
          <t>Plugged to balance</t>
        </r>
      </text>
    </comment>
    <comment ref="N74" authorId="0">
      <text>
        <r>
          <rPr>
            <b/>
            <sz val="8"/>
            <color indexed="81"/>
            <rFont val="Tahoma"/>
            <family val="2"/>
          </rPr>
          <t>ayalavin:</t>
        </r>
        <r>
          <rPr>
            <sz val="8"/>
            <color indexed="81"/>
            <rFont val="Tahoma"/>
            <family val="2"/>
          </rPr>
          <t xml:space="preserve">
Free cash flow priorities:
(1) Reinvest in business
(2) Tack on M&amp;A
(3) Share repo
(4) Pay down debt</t>
        </r>
      </text>
    </comment>
  </commentList>
</comments>
</file>

<file path=xl/sharedStrings.xml><?xml version="1.0" encoding="utf-8"?>
<sst xmlns="http://schemas.openxmlformats.org/spreadsheetml/2006/main" count="2208" uniqueCount="965">
  <si>
    <t>Mondelez International Inc (MDLZ)</t>
  </si>
  <si>
    <t>Morgan Stanley Research</t>
  </si>
  <si>
    <t>Sales Build</t>
  </si>
  <si>
    <t>Matthew Grainger 212.761.8023</t>
  </si>
  <si>
    <t>John Colantuoni 212.761.6210</t>
  </si>
  <si>
    <t>Pamela Kaufman 212.761.7151</t>
  </si>
  <si>
    <t>($millions, except per share data)</t>
  </si>
  <si>
    <t>1Q04</t>
  </si>
  <si>
    <t>2Q04</t>
  </si>
  <si>
    <t>3Q04</t>
  </si>
  <si>
    <t>4Q04</t>
  </si>
  <si>
    <t>1Q05</t>
  </si>
  <si>
    <t>2Q05</t>
  </si>
  <si>
    <t>3Q05</t>
  </si>
  <si>
    <t>4Q05</t>
  </si>
  <si>
    <t>1Q06</t>
  </si>
  <si>
    <t>2Q06</t>
  </si>
  <si>
    <t>3Q06</t>
  </si>
  <si>
    <t>4Q06</t>
  </si>
  <si>
    <t>1Q07</t>
  </si>
  <si>
    <t>2Q07</t>
  </si>
  <si>
    <t>3Q07</t>
  </si>
  <si>
    <t>4Q07</t>
  </si>
  <si>
    <t>1Q08</t>
  </si>
  <si>
    <t>2Q08</t>
  </si>
  <si>
    <t>3Q08</t>
  </si>
  <si>
    <t>4Q08</t>
  </si>
  <si>
    <t>1Q09</t>
  </si>
  <si>
    <t>2Q09</t>
  </si>
  <si>
    <t>3Q09</t>
  </si>
  <si>
    <t>4Q09</t>
  </si>
  <si>
    <t>1Q10</t>
  </si>
  <si>
    <t>2Q10</t>
  </si>
  <si>
    <t>3Q10</t>
  </si>
  <si>
    <t>4Q10</t>
  </si>
  <si>
    <t>1Q11</t>
  </si>
  <si>
    <t>2Q11</t>
  </si>
  <si>
    <t>3Q11</t>
  </si>
  <si>
    <t>4Q11</t>
  </si>
  <si>
    <t>By Division (% Growth)</t>
  </si>
  <si>
    <t>Overall</t>
  </si>
  <si>
    <t>Volume / Mix</t>
  </si>
  <si>
    <t>Price</t>
  </si>
  <si>
    <t>FX</t>
  </si>
  <si>
    <t>Acquisitions</t>
  </si>
  <si>
    <t>Divestitures</t>
  </si>
  <si>
    <t>Calendar Shifts</t>
  </si>
  <si>
    <t>Integration / Other</t>
  </si>
  <si>
    <t>-</t>
  </si>
  <si>
    <t>Organic Sales Growth</t>
  </si>
  <si>
    <t>Total Reported Sales Growth</t>
  </si>
  <si>
    <t>2 Year Organic Sales</t>
  </si>
  <si>
    <t>Emerging Market Org Sales</t>
  </si>
  <si>
    <t>Developed Markets Org Sales</t>
  </si>
  <si>
    <t>Latin America</t>
  </si>
  <si>
    <t>Asia Pacific</t>
  </si>
  <si>
    <t>Eastern Europe, Middle East &amp; Africa</t>
  </si>
  <si>
    <t>Europe</t>
  </si>
  <si>
    <t>North America</t>
  </si>
  <si>
    <t>By Division ($ Growth)</t>
  </si>
  <si>
    <t>Reported Sales</t>
  </si>
  <si>
    <t>Check</t>
  </si>
  <si>
    <t>Product Mix Disclosure</t>
  </si>
  <si>
    <t>Biscuits</t>
  </si>
  <si>
    <t>Chocolate</t>
  </si>
  <si>
    <t>Gum &amp; Candy</t>
  </si>
  <si>
    <t>Beverages</t>
  </si>
  <si>
    <t>Cheese &amp; Grocery</t>
  </si>
  <si>
    <t>YoY</t>
  </si>
  <si>
    <t>% Total</t>
  </si>
  <si>
    <t>EEMEA</t>
  </si>
  <si>
    <t>Total Company</t>
  </si>
  <si>
    <t>Org sales ex-Latam</t>
  </si>
  <si>
    <t>Vol/mix</t>
  </si>
  <si>
    <t>Country Growth Rates</t>
  </si>
  <si>
    <t>Brazil</t>
  </si>
  <si>
    <t>+DD</t>
  </si>
  <si>
    <t>4-6%</t>
  </si>
  <si>
    <t>1-3%</t>
  </si>
  <si>
    <t>Russia</t>
  </si>
  <si>
    <t>17-19%</t>
  </si>
  <si>
    <t>+13-16%</t>
  </si>
  <si>
    <t>+20%</t>
  </si>
  <si>
    <t>China</t>
  </si>
  <si>
    <t>(4)-(6)%</t>
  </si>
  <si>
    <t>7-9%</t>
  </si>
  <si>
    <t>India</t>
  </si>
  <si>
    <t>grew modestly</t>
  </si>
  <si>
    <t>soft</t>
  </si>
  <si>
    <t>Mondelez (MDLZ)</t>
  </si>
  <si>
    <t>Income Statement</t>
  </si>
  <si>
    <t>Restated</t>
  </si>
  <si>
    <t>12/31/2012e</t>
  </si>
  <si>
    <t>12/31/2013e</t>
  </si>
  <si>
    <t>12/31/2014e</t>
  </si>
  <si>
    <t>12/31/2015e</t>
  </si>
  <si>
    <t>12/31/2016e</t>
  </si>
  <si>
    <t>12/31/2017e</t>
  </si>
  <si>
    <t>12/31/2018e</t>
  </si>
  <si>
    <t>12/31/2019e</t>
  </si>
  <si>
    <t>12/31/2020e</t>
  </si>
  <si>
    <t>6/30/2008e</t>
  </si>
  <si>
    <t>9/30/2008e</t>
  </si>
  <si>
    <t>12/31/2008e</t>
  </si>
  <si>
    <t>2009</t>
  </si>
  <si>
    <t>2018E</t>
  </si>
  <si>
    <t>2019E</t>
  </si>
  <si>
    <t>2020E</t>
  </si>
  <si>
    <t>2021E</t>
  </si>
  <si>
    <t>2022E</t>
  </si>
  <si>
    <t>2023E</t>
  </si>
  <si>
    <t>2024E</t>
  </si>
  <si>
    <t>2025E</t>
  </si>
  <si>
    <t>1Q12</t>
  </si>
  <si>
    <t>2Q12</t>
  </si>
  <si>
    <t>3Q12</t>
  </si>
  <si>
    <t>4Q12</t>
  </si>
  <si>
    <t>1Q13</t>
  </si>
  <si>
    <t>2Q13</t>
  </si>
  <si>
    <t>3Q13</t>
  </si>
  <si>
    <t>4Q13</t>
  </si>
  <si>
    <t>1Q14</t>
  </si>
  <si>
    <t>2Q14</t>
  </si>
  <si>
    <t>3Q14</t>
  </si>
  <si>
    <t>4Q14</t>
  </si>
  <si>
    <t>1Q15</t>
  </si>
  <si>
    <t>2Q15</t>
  </si>
  <si>
    <t>3Q15</t>
  </si>
  <si>
    <t>4Q15</t>
  </si>
  <si>
    <t>Net sales</t>
  </si>
  <si>
    <t>Cost of sales</t>
  </si>
  <si>
    <t>Gross profit</t>
  </si>
  <si>
    <t>Gross Profit Margin</t>
  </si>
  <si>
    <t>SG&amp;A expenses</t>
  </si>
  <si>
    <t>SG&amp;A % of Sales</t>
  </si>
  <si>
    <t>Operating companies income</t>
  </si>
  <si>
    <t>OCI Margin</t>
  </si>
  <si>
    <t>Corporate expenses</t>
  </si>
  <si>
    <t xml:space="preserve">   Unrealized hedging (gains)/losses</t>
  </si>
  <si>
    <t xml:space="preserve">   HQ pension</t>
  </si>
  <si>
    <t xml:space="preserve">   General corporate expense</t>
  </si>
  <si>
    <t xml:space="preserve">Amortization </t>
  </si>
  <si>
    <t>Operating income</t>
  </si>
  <si>
    <t>Operating Margin</t>
  </si>
  <si>
    <t>Stranded Overhead Costs</t>
  </si>
  <si>
    <t>Incremental Cost Savings</t>
  </si>
  <si>
    <t>Overhead Cost Reallocation</t>
  </si>
  <si>
    <t>Adjusted Operating Income</t>
  </si>
  <si>
    <t>Interest and other debt expense, net</t>
  </si>
  <si>
    <t>Earnings Before Taxes</t>
  </si>
  <si>
    <t>Provision for income taxes</t>
  </si>
  <si>
    <t xml:space="preserve">   EffectiveTax Rate</t>
  </si>
  <si>
    <t xml:space="preserve">   Statutory Tax Rate</t>
  </si>
  <si>
    <t>Earnings from continuing operations</t>
  </si>
  <si>
    <t>Earnings from disc/extraordinary operations, net</t>
  </si>
  <si>
    <t>Net Income</t>
  </si>
  <si>
    <t>Equity income</t>
  </si>
  <si>
    <t>Noncontrolling interest</t>
  </si>
  <si>
    <t>Net Income to Common</t>
  </si>
  <si>
    <t>EPS - Diluted</t>
  </si>
  <si>
    <t>End of period basic shares</t>
  </si>
  <si>
    <t>NA</t>
  </si>
  <si>
    <t>Weighted avg shares - Basic</t>
  </si>
  <si>
    <t>Weighted avg shares - Diluted</t>
  </si>
  <si>
    <t>F/X Impact on Operating Results</t>
  </si>
  <si>
    <t>EPS - Basic:</t>
  </si>
  <si>
    <t>Earnings from continuing operations before minority interest</t>
  </si>
  <si>
    <t>NM</t>
  </si>
  <si>
    <t>Reported net income</t>
  </si>
  <si>
    <t>EPS - Diluted:</t>
  </si>
  <si>
    <t>Dividends Paid, Per Share</t>
  </si>
  <si>
    <t xml:space="preserve">   % Growth</t>
  </si>
  <si>
    <t>Common Dividends Paid</t>
  </si>
  <si>
    <t>Dividend Payout Ratio</t>
  </si>
  <si>
    <t>EBITDA</t>
  </si>
  <si>
    <t>% Growth</t>
  </si>
  <si>
    <t>Net Sales</t>
  </si>
  <si>
    <t>COGS</t>
  </si>
  <si>
    <t>Gross Profit</t>
  </si>
  <si>
    <t>SG&amp;A</t>
  </si>
  <si>
    <t>Operating Companies Income</t>
  </si>
  <si>
    <t>EBIT</t>
  </si>
  <si>
    <t>Diluted EPS</t>
  </si>
  <si>
    <t>Constant-Currency EPS</t>
  </si>
  <si>
    <t>Margin YoY Chg (bps)</t>
  </si>
  <si>
    <t>GM (chg)</t>
  </si>
  <si>
    <t>OCI Margin (chg)</t>
  </si>
  <si>
    <t>Operating Margin (chg)</t>
  </si>
  <si>
    <t>Segment Margin (bps Chg)</t>
  </si>
  <si>
    <t>Total</t>
  </si>
  <si>
    <t>Margin Analysis</t>
  </si>
  <si>
    <t>Gross margin</t>
  </si>
  <si>
    <t>SG&amp;A as % of Sales</t>
  </si>
  <si>
    <t>OCI margin</t>
  </si>
  <si>
    <t>General Corporate Expense</t>
  </si>
  <si>
    <t>Operating margin</t>
  </si>
  <si>
    <t>EBITDA margin</t>
  </si>
  <si>
    <t>Net Margin</t>
  </si>
  <si>
    <t>Segment Margin</t>
  </si>
  <si>
    <t>Segment margin</t>
  </si>
  <si>
    <t>Total operating margin</t>
  </si>
  <si>
    <t>Segment Data</t>
  </si>
  <si>
    <t>Typed over old numbers with restatement</t>
  </si>
  <si>
    <t>Share Repurchases</t>
  </si>
  <si>
    <t>Value of shares repurchased</t>
  </si>
  <si>
    <t>Average Price</t>
  </si>
  <si>
    <t>Beginning Basic Shares</t>
  </si>
  <si>
    <t>Shares Purchased</t>
  </si>
  <si>
    <t>Shares Issued/ Dilution</t>
  </si>
  <si>
    <t>Ending Basic Shares</t>
  </si>
  <si>
    <t>Avg Basic Shares</t>
  </si>
  <si>
    <t xml:space="preserve">   + Impact of Dilution</t>
  </si>
  <si>
    <t>Avg Diluted Shares</t>
  </si>
  <si>
    <t>Other</t>
  </si>
  <si>
    <t>Advertising Spend</t>
  </si>
  <si>
    <t>as a % of Sales</t>
  </si>
  <si>
    <t>% Growth YoY</t>
  </si>
  <si>
    <t xml:space="preserve">A&amp;C </t>
  </si>
  <si>
    <t xml:space="preserve">      KFNA</t>
  </si>
  <si>
    <t xml:space="preserve">      Europe</t>
  </si>
  <si>
    <t>8.5%+</t>
  </si>
  <si>
    <t xml:space="preserve">      KFDM</t>
  </si>
  <si>
    <t>R&amp;D Expense</t>
  </si>
  <si>
    <t>Overhead</t>
  </si>
  <si>
    <t xml:space="preserve">   as % of Sales</t>
  </si>
  <si>
    <t>Productivity (as % of COGS)</t>
  </si>
  <si>
    <t>Gross</t>
  </si>
  <si>
    <t>Net</t>
  </si>
  <si>
    <t>&gt;3%</t>
  </si>
  <si>
    <t>Unhedged Inflation</t>
  </si>
  <si>
    <t xml:space="preserve">   Variance</t>
  </si>
  <si>
    <t xml:space="preserve">Estimated Input Cost Inflation </t>
  </si>
  <si>
    <t>% of COGS (Estimated)</t>
  </si>
  <si>
    <t xml:space="preserve">   Higher / (lower) input costs</t>
  </si>
  <si>
    <t>New Products as % of Sales</t>
  </si>
  <si>
    <t>Cadbury Cost Synergies</t>
  </si>
  <si>
    <t xml:space="preserve">   % Realized</t>
  </si>
  <si>
    <t xml:space="preserve">   % Impact on EBIT growth (no reinvestment)</t>
  </si>
  <si>
    <t xml:space="preserve">   % Impact on EBIT growth (50% reinvestment)</t>
  </si>
  <si>
    <t xml:space="preserve">   Contribution to organic OCI growth</t>
  </si>
  <si>
    <t>Cadbury Revenue Synergies</t>
  </si>
  <si>
    <t xml:space="preserve">   Growth contribution</t>
  </si>
  <si>
    <t>Dissynergies</t>
  </si>
  <si>
    <t xml:space="preserve">   Net of cost savings</t>
  </si>
  <si>
    <t xml:space="preserve">Restructuring </t>
  </si>
  <si>
    <t>Expense</t>
  </si>
  <si>
    <t>Accumulated Cost</t>
  </si>
  <si>
    <t>Estimated Remaining Cost</t>
  </si>
  <si>
    <t>GM Progression</t>
  </si>
  <si>
    <t>Prior Year GM</t>
  </si>
  <si>
    <t>Price/Mix</t>
  </si>
  <si>
    <t>Volume leverage / (deleverage)</t>
  </si>
  <si>
    <t>Cost savings</t>
  </si>
  <si>
    <t>Input cost inflation</t>
  </si>
  <si>
    <t>Current Year GM</t>
  </si>
  <si>
    <t>Cost Savings</t>
  </si>
  <si>
    <t>Volume</t>
  </si>
  <si>
    <t>EPS Progression</t>
  </si>
  <si>
    <t>Prior Year EPS</t>
  </si>
  <si>
    <t>Input Cost Inflation</t>
  </si>
  <si>
    <t>Productivity</t>
  </si>
  <si>
    <t>Other GM</t>
  </si>
  <si>
    <t>Advertising</t>
  </si>
  <si>
    <t>R&amp;D</t>
  </si>
  <si>
    <t>Other SG&amp;A</t>
  </si>
  <si>
    <t>Corporate Expense</t>
  </si>
  <si>
    <t>Amortization</t>
  </si>
  <si>
    <t>Interest Expense</t>
  </si>
  <si>
    <t>Tax Rate</t>
  </si>
  <si>
    <t>Other Expense</t>
  </si>
  <si>
    <t>Shares Outstanding</t>
  </si>
  <si>
    <t>Current Year EPS</t>
  </si>
  <si>
    <t>DO NOT ERASE</t>
  </si>
  <si>
    <t>DO NOT REMOVE: CONTAINS MWARE TAGS</t>
  </si>
  <si>
    <t>Net sales:</t>
  </si>
  <si>
    <t>U.S. Beverages</t>
  </si>
  <si>
    <t>U.S. Cheese</t>
  </si>
  <si>
    <t>U.S. Convenient Meals</t>
  </si>
  <si>
    <t>U.S. Grocery</t>
  </si>
  <si>
    <t>U.S. Snacks</t>
  </si>
  <si>
    <t>Canada &amp; N.A. Foodservice</t>
  </si>
  <si>
    <t>Kraft North America Commercial</t>
  </si>
  <si>
    <t>Europe (KFT + CBRY)</t>
  </si>
  <si>
    <t>Developing Markets (KFT + CBRY)</t>
  </si>
  <si>
    <t>Kraft International Commercial (KFT + CBRY)</t>
  </si>
  <si>
    <t>Total Kraft (including CBRY)</t>
  </si>
  <si>
    <t>Category Mix</t>
  </si>
  <si>
    <t>KFNA:</t>
  </si>
  <si>
    <t>Confectionary</t>
  </si>
  <si>
    <t>Cheese</t>
  </si>
  <si>
    <t>Grocery</t>
  </si>
  <si>
    <t>Convenient Meals</t>
  </si>
  <si>
    <t>Cadbury (est.)</t>
  </si>
  <si>
    <t xml:space="preserve">   % of Total</t>
  </si>
  <si>
    <t xml:space="preserve">   % of Mondelez NA</t>
  </si>
  <si>
    <t>KFE:</t>
  </si>
  <si>
    <t>KFDM:</t>
  </si>
  <si>
    <t>Mondelez:</t>
  </si>
  <si>
    <t>US Snacks</t>
  </si>
  <si>
    <t>US Foodservice</t>
  </si>
  <si>
    <t xml:space="preserve">   % of Total MDLZ</t>
  </si>
  <si>
    <t>Total Category Mix</t>
  </si>
  <si>
    <t xml:space="preserve">   Confectionary</t>
  </si>
  <si>
    <t xml:space="preserve">   Biscuits</t>
  </si>
  <si>
    <t xml:space="preserve">   Beverages</t>
  </si>
  <si>
    <t xml:space="preserve">   Cheese</t>
  </si>
  <si>
    <t xml:space="preserve">   Convenient Meals</t>
  </si>
  <si>
    <t xml:space="preserve">   Grocery</t>
  </si>
  <si>
    <t>KF Europe</t>
  </si>
  <si>
    <t xml:space="preserve">   Coffee</t>
  </si>
  <si>
    <t>Channel Mix</t>
  </si>
  <si>
    <t xml:space="preserve">   Discounter / Club / Mass / Other</t>
  </si>
  <si>
    <t xml:space="preserve">   ICC</t>
  </si>
  <si>
    <t>Mexico</t>
  </si>
  <si>
    <t>Argentina</t>
  </si>
  <si>
    <t>Turkey</t>
  </si>
  <si>
    <t>South Africa</t>
  </si>
  <si>
    <t>MODELWARE TAGS</t>
  </si>
  <si>
    <t>Pooling of Goodwill</t>
  </si>
  <si>
    <t>EU Rev</t>
  </si>
  <si>
    <t>ND</t>
  </si>
  <si>
    <t>NA Rev</t>
  </si>
  <si>
    <t>Organic sales</t>
  </si>
  <si>
    <t>MW net income</t>
  </si>
  <si>
    <t>Balance Sheet</t>
  </si>
  <si>
    <t>IPO Adjusted</t>
  </si>
  <si>
    <t>FYE</t>
  </si>
  <si>
    <t>Assets</t>
  </si>
  <si>
    <t>Current assets:</t>
  </si>
  <si>
    <t>Cash</t>
  </si>
  <si>
    <t>Accounts receivable</t>
  </si>
  <si>
    <t>Inventories</t>
  </si>
  <si>
    <t>Other current assets</t>
  </si>
  <si>
    <t>Deferred income tax</t>
  </si>
  <si>
    <t>Total current assets</t>
  </si>
  <si>
    <t>Investment in unconsolidated subs.</t>
  </si>
  <si>
    <t>New investments</t>
  </si>
  <si>
    <t xml:space="preserve">   Gross PP&amp; E</t>
  </si>
  <si>
    <t xml:space="preserve">   Accumulated  depreciation</t>
  </si>
  <si>
    <t>PP&amp;E, net</t>
  </si>
  <si>
    <t xml:space="preserve">   Goodwill</t>
  </si>
  <si>
    <t xml:space="preserve">   Non-amortizable intangible assets</t>
  </si>
  <si>
    <t xml:space="preserve">   Amortizable intangible assets</t>
  </si>
  <si>
    <t>Goodwill and other intangibles, net</t>
  </si>
  <si>
    <t>Prepaid pension assets</t>
  </si>
  <si>
    <t>Equity Method Investments</t>
  </si>
  <si>
    <t>Total  long-term assets</t>
  </si>
  <si>
    <t>Total assets</t>
  </si>
  <si>
    <t>Liabilities and Shareholders' Equity</t>
  </si>
  <si>
    <t>Current liabilities:</t>
  </si>
  <si>
    <t>Short-term borrowings</t>
  </si>
  <si>
    <t>Current portion LTD</t>
  </si>
  <si>
    <t>Due to parent and affiliates</t>
  </si>
  <si>
    <t xml:space="preserve">   Accounts payable</t>
  </si>
  <si>
    <t xml:space="preserve">   Accrued marketing</t>
  </si>
  <si>
    <t xml:space="preserve">   Employment cost and other accrueds</t>
  </si>
  <si>
    <t>Payables and accrued liabilities</t>
  </si>
  <si>
    <t>Dividends payable</t>
  </si>
  <si>
    <t>Accrued taxes</t>
  </si>
  <si>
    <t>Other Current Liabilities</t>
  </si>
  <si>
    <t>Total current liabilities</t>
  </si>
  <si>
    <t>Long term debt</t>
  </si>
  <si>
    <t>Deferred taxes</t>
  </si>
  <si>
    <t>Notes payable to parent and affiliate</t>
  </si>
  <si>
    <t xml:space="preserve">   Accrued postretirement health care costs</t>
  </si>
  <si>
    <t xml:space="preserve">   Other noncurrent liabilities</t>
  </si>
  <si>
    <t>Other liabilities</t>
  </si>
  <si>
    <t>Total liabilities</t>
  </si>
  <si>
    <t>Shareholders' equity</t>
  </si>
  <si>
    <t>Common stock</t>
  </si>
  <si>
    <t>Paid in capital</t>
  </si>
  <si>
    <t>Retained earnings (deficit)</t>
  </si>
  <si>
    <t xml:space="preserve">Accumulated other comp. losses  </t>
  </si>
  <si>
    <t>Treasury stock</t>
  </si>
  <si>
    <t>Total shareholders' equity</t>
  </si>
  <si>
    <t>Total liabilities &amp; equity</t>
  </si>
  <si>
    <t>check</t>
  </si>
  <si>
    <t>Interest Income and Expense</t>
  </si>
  <si>
    <t>Interest Income</t>
  </si>
  <si>
    <t xml:space="preserve">   Beginning Cash</t>
  </si>
  <si>
    <t xml:space="preserve">   Ending Cash</t>
  </si>
  <si>
    <t xml:space="preserve">   Average Cash</t>
  </si>
  <si>
    <t xml:space="preserve">   Interest Income</t>
  </si>
  <si>
    <t xml:space="preserve">   Interest Rate</t>
  </si>
  <si>
    <t xml:space="preserve">   Beginning Debt</t>
  </si>
  <si>
    <t xml:space="preserve">   Ending Debt</t>
  </si>
  <si>
    <t xml:space="preserve">   Average Debt</t>
  </si>
  <si>
    <t xml:space="preserve">   Interest Expense</t>
  </si>
  <si>
    <t xml:space="preserve">   Net Interest Expense</t>
  </si>
  <si>
    <t>PP&amp;E</t>
  </si>
  <si>
    <t>Beginning PP&amp;E</t>
  </si>
  <si>
    <t>(+) Capital Expenditures</t>
  </si>
  <si>
    <t>(+/-) Other Acquisitions / Disposals</t>
  </si>
  <si>
    <t>Ending Gross PP&amp;E</t>
  </si>
  <si>
    <t>Accumulated Depreciation</t>
  </si>
  <si>
    <t>Depreciation</t>
  </si>
  <si>
    <t>Average Depreciable Life</t>
  </si>
  <si>
    <t>Capital Expenditures as % of Sales</t>
  </si>
  <si>
    <t>Leverage</t>
  </si>
  <si>
    <t>Total Debt</t>
  </si>
  <si>
    <t>Debt/EBITDA</t>
  </si>
  <si>
    <t>Total Debt / Equity</t>
  </si>
  <si>
    <t>Total Capitalization</t>
  </si>
  <si>
    <t>Total Debt / Cap</t>
  </si>
  <si>
    <t>CFO / Total Debt</t>
  </si>
  <si>
    <t xml:space="preserve">Net Debt </t>
  </si>
  <si>
    <t>Net Debt/EBITDA</t>
  </si>
  <si>
    <t>Net Debt / Equity</t>
  </si>
  <si>
    <t>Net Total Capitalization</t>
  </si>
  <si>
    <t>Net Debt / Net Total Cap</t>
  </si>
  <si>
    <t>EBIT/Interest Expense</t>
  </si>
  <si>
    <t>Profitability</t>
  </si>
  <si>
    <t>ROE (DuPont)</t>
  </si>
  <si>
    <t xml:space="preserve">   NI / Sales</t>
  </si>
  <si>
    <t xml:space="preserve">   Asset Turnover (Net Sales / Assets)</t>
  </si>
  <si>
    <t xml:space="preserve">   Leverage (Assets / Shareholder Equity)</t>
  </si>
  <si>
    <t xml:space="preserve">   ROE</t>
  </si>
  <si>
    <t>ROIC</t>
  </si>
  <si>
    <t xml:space="preserve">   Net Revenue</t>
  </si>
  <si>
    <t xml:space="preserve">      Operating Expenses</t>
  </si>
  <si>
    <t xml:space="preserve">      Pension Adjustment</t>
  </si>
  <si>
    <t xml:space="preserve">   PTOP</t>
  </si>
  <si>
    <t xml:space="preserve">      Statutory Tax Rate</t>
  </si>
  <si>
    <t xml:space="preserve">   NOPAT</t>
  </si>
  <si>
    <t xml:space="preserve">      NOPAT Margin</t>
  </si>
  <si>
    <t xml:space="preserve">      S/T Debt</t>
  </si>
  <si>
    <t xml:space="preserve">      L/T Debt</t>
  </si>
  <si>
    <t xml:space="preserve">      S/H Equity</t>
  </si>
  <si>
    <t xml:space="preserve">      Dividends Payable</t>
  </si>
  <si>
    <t xml:space="preserve">      Less: Cash</t>
  </si>
  <si>
    <t xml:space="preserve">      Less: Other Liabilities</t>
  </si>
  <si>
    <t xml:space="preserve">   Invested Capital</t>
  </si>
  <si>
    <t xml:space="preserve">   ROIC (BOP Capital)</t>
  </si>
  <si>
    <t xml:space="preserve">   ROIC (Avg Capital)</t>
  </si>
  <si>
    <t>RNOA</t>
  </si>
  <si>
    <t xml:space="preserve">   Operating Assets</t>
  </si>
  <si>
    <t xml:space="preserve">   Operating Liabilities</t>
  </si>
  <si>
    <t xml:space="preserve">   Net Operating Assets</t>
  </si>
  <si>
    <t xml:space="preserve">   RNOA</t>
  </si>
  <si>
    <t xml:space="preserve">   Check (ROIC = RNOA)</t>
  </si>
  <si>
    <t xml:space="preserve">   NOA - IC</t>
  </si>
  <si>
    <t>When Not Adjusting for Pension:</t>
  </si>
  <si>
    <t>Incremental Margin</t>
  </si>
  <si>
    <t xml:space="preserve">   Δ NOPAT</t>
  </si>
  <si>
    <t xml:space="preserve">   Δ Invested Capital</t>
  </si>
  <si>
    <t>Balance Sheet Ratios</t>
  </si>
  <si>
    <t>Quick Ratio</t>
  </si>
  <si>
    <t>Current Ratio</t>
  </si>
  <si>
    <t>Cash Conversion Cycle</t>
  </si>
  <si>
    <t>Days Receivable Outstanding</t>
  </si>
  <si>
    <t>Inventory Days on Hand</t>
  </si>
  <si>
    <t>Days Payable Outstanding</t>
  </si>
  <si>
    <t>Core Working Capital</t>
  </si>
  <si>
    <t>As % of Sales</t>
  </si>
  <si>
    <t>Other Ratios</t>
  </si>
  <si>
    <t>Accounts Receivable / Net Sales</t>
  </si>
  <si>
    <t>Receivables Turnover</t>
  </si>
  <si>
    <t>Inventory / COGS</t>
  </si>
  <si>
    <t>Inventory Turnover</t>
  </si>
  <si>
    <t>Accounts Payable / COGS</t>
  </si>
  <si>
    <t>Accounts Payable Turnover</t>
  </si>
  <si>
    <t>Other Current Assets / Net Sales</t>
  </si>
  <si>
    <t>Number of days</t>
  </si>
  <si>
    <t>Accrued Marketing Days</t>
  </si>
  <si>
    <t>Goodwill, net</t>
  </si>
  <si>
    <t>Unrecorded goodwill due to poolings</t>
  </si>
  <si>
    <t>Non-impairment write-offs</t>
  </si>
  <si>
    <t>Cumulative goodwill amortization</t>
  </si>
  <si>
    <t>Adj for write-offs, amort, etc.</t>
  </si>
  <si>
    <t>Gross Goodwill</t>
  </si>
  <si>
    <t>Cash Flow Statement</t>
  </si>
  <si>
    <t>Operating Activities:</t>
  </si>
  <si>
    <t xml:space="preserve">   Net Income</t>
  </si>
  <si>
    <t xml:space="preserve">      Depreciation</t>
  </si>
  <si>
    <t xml:space="preserve">      Amortization</t>
  </si>
  <si>
    <t xml:space="preserve">   Depreciation and amortization</t>
  </si>
  <si>
    <t xml:space="preserve">   Deferred taxes</t>
  </si>
  <si>
    <t xml:space="preserve">      Decrease in accounts receivable</t>
  </si>
  <si>
    <t xml:space="preserve">      Decrease in inventories</t>
  </si>
  <si>
    <t xml:space="preserve">      Increase in payables/accruals</t>
  </si>
  <si>
    <t xml:space="preserve">      Income taxes</t>
  </si>
  <si>
    <t xml:space="preserve">      Other</t>
  </si>
  <si>
    <t xml:space="preserve">   Net change in working capital</t>
  </si>
  <si>
    <t xml:space="preserve">   Other + Tax adjustment for restruct.</t>
  </si>
  <si>
    <t>Net cash from operating activities</t>
  </si>
  <si>
    <t>Investing Activities:</t>
  </si>
  <si>
    <t xml:space="preserve">   Capital expenditures</t>
  </si>
  <si>
    <t xml:space="preserve">   Proceeds from divestitures</t>
  </si>
  <si>
    <t xml:space="preserve">   Acquisitions</t>
  </si>
  <si>
    <t xml:space="preserve">   Investing - Other</t>
  </si>
  <si>
    <t>Net cash from investing activities</t>
  </si>
  <si>
    <t>Financing Activities:</t>
  </si>
  <si>
    <t xml:space="preserve">   Proceeds from IPO/issuances</t>
  </si>
  <si>
    <t xml:space="preserve">   Share repurchases</t>
  </si>
  <si>
    <t xml:space="preserve">   Net receipts from GroceryCo</t>
  </si>
  <si>
    <t xml:space="preserve">   Net issuance of ST borrowings</t>
  </si>
  <si>
    <t xml:space="preserve">   LT debt proceeds</t>
  </si>
  <si>
    <t xml:space="preserve">   LT debt repaid</t>
  </si>
  <si>
    <t xml:space="preserve">   Net proceeds from sale of common stock</t>
  </si>
  <si>
    <t xml:space="preserve">   Proceeds from issuance of payables to Altria</t>
  </si>
  <si>
    <t xml:space="preserve">   Repayment of notes payable to Altria</t>
  </si>
  <si>
    <t xml:space="preserve">   Increase in amounts due to Altria</t>
  </si>
  <si>
    <t xml:space="preserve">   Dividends</t>
  </si>
  <si>
    <t xml:space="preserve">   Financing - Other</t>
  </si>
  <si>
    <t>Net cash from financing activities</t>
  </si>
  <si>
    <t>Effect of exchange rate</t>
  </si>
  <si>
    <t>Cash and cash equivalents:</t>
  </si>
  <si>
    <t xml:space="preserve">   Balance at beginning of year</t>
  </si>
  <si>
    <t xml:space="preserve">   Increase (decrease) </t>
  </si>
  <si>
    <t xml:space="preserve">   Cash balance at end of year</t>
  </si>
  <si>
    <t>Free Cash Flow</t>
  </si>
  <si>
    <t>Levered Free Cash Flow</t>
  </si>
  <si>
    <t>Operating Cash Flow</t>
  </si>
  <si>
    <t>Unlevered Free Cash Flow</t>
  </si>
  <si>
    <t>Discretionary Free Cash Flow</t>
  </si>
  <si>
    <t>CFO / Net Income</t>
  </si>
  <si>
    <t>Capex / Sales</t>
  </si>
  <si>
    <t>Cash Flow From Operations</t>
  </si>
  <si>
    <t>(-) Capital Expenditures</t>
  </si>
  <si>
    <t>(-) Share Repurchases to Offset Option Dilution</t>
  </si>
  <si>
    <t>(-) Dividends</t>
  </si>
  <si>
    <t>(-) Mandatory Debt Payments</t>
  </si>
  <si>
    <t>(-) Cash Restructuring Costs</t>
  </si>
  <si>
    <t>(+) Beginning Cash Balance</t>
  </si>
  <si>
    <t>(-) Mandatory Cash Balances</t>
  </si>
  <si>
    <t>(-) Acquisitions</t>
  </si>
  <si>
    <t>Theoretical Excess FCF</t>
  </si>
  <si>
    <t>Excess FCF Used for Share Repurchases</t>
  </si>
  <si>
    <t>Accrual issuances/repurchases of common stk</t>
  </si>
  <si>
    <t>Bridge to GAAP NI</t>
  </si>
  <si>
    <t>FCF Allocation</t>
  </si>
  <si>
    <t>Company definition of FCF (OpCash - CapEx)</t>
  </si>
  <si>
    <t>Adjustments:</t>
  </si>
  <si>
    <t xml:space="preserve">   Taxes paid on pizza divesiture</t>
  </si>
  <si>
    <t xml:space="preserve">   Voluntary pension contributions</t>
  </si>
  <si>
    <t xml:space="preserve">   Restructuring / financing costs</t>
  </si>
  <si>
    <t>FCF Available for Allocation</t>
  </si>
  <si>
    <t>Share of Dividend</t>
  </si>
  <si>
    <t>Debt Paydown</t>
  </si>
  <si>
    <t>Excess FCF</t>
  </si>
  <si>
    <t>USD</t>
  </si>
  <si>
    <t>1Q16</t>
  </si>
  <si>
    <t>2Q16</t>
  </si>
  <si>
    <t>3Q16</t>
  </si>
  <si>
    <t>4Q16</t>
  </si>
  <si>
    <t>.</t>
  </si>
  <si>
    <t>MDLZ.O</t>
  </si>
  <si>
    <t>Mondelez International Inc</t>
  </si>
  <si>
    <t>Currency</t>
  </si>
  <si>
    <t>Current Stock Price</t>
  </si>
  <si>
    <t>Count</t>
  </si>
  <si>
    <t>MDLZ.O,mscalc:sedolCodeCalc</t>
  </si>
  <si>
    <t>MDLZ.O,mscalc:targetPrice,,,,USD</t>
  </si>
  <si>
    <t>MDLZ.O,mscalc:closePriceCurrencyCalc</t>
  </si>
  <si>
    <t>$F$2</t>
  </si>
  <si>
    <t>B8CKK03</t>
  </si>
  <si>
    <t>Net Repurchases</t>
  </si>
  <si>
    <t>-3% to -5%</t>
  </si>
  <si>
    <t>Australia</t>
  </si>
  <si>
    <t>+HSD</t>
  </si>
  <si>
    <t>+MSD</t>
  </si>
  <si>
    <t>+LSD</t>
  </si>
  <si>
    <t>9%+</t>
  </si>
  <si>
    <t>EBITDA (Including Equity Income)</t>
  </si>
  <si>
    <t>Asia, Middle East &amp; Africa</t>
  </si>
  <si>
    <t>Net Sales - Old Segment Reporting</t>
  </si>
  <si>
    <t>Operating Companies Income - Old Segment Reporting</t>
  </si>
  <si>
    <t xml:space="preserve">Operating Companies Income </t>
  </si>
  <si>
    <t>Segment Margin - Old segment reporting</t>
  </si>
  <si>
    <t>Segment Margin (bps Chg) - Old segment reporting</t>
  </si>
  <si>
    <t>Asia, Middle East, and Africa</t>
  </si>
  <si>
    <t>Europe  - Old</t>
  </si>
  <si>
    <t>Estimated</t>
  </si>
  <si>
    <t>&lt;-----</t>
  </si>
  <si>
    <t>Europe - Old</t>
  </si>
  <si>
    <t>Eastern Europe, Middle East &amp; Africa - Old</t>
  </si>
  <si>
    <t>Asia Pacific - Old</t>
  </si>
  <si>
    <t>AMEA</t>
  </si>
  <si>
    <t>*restated 2014-2016</t>
  </si>
  <si>
    <t>1Q18E</t>
  </si>
  <si>
    <t>2Q18E</t>
  </si>
  <si>
    <t>3Q18E</t>
  </si>
  <si>
    <t>4Q18E</t>
  </si>
  <si>
    <t>1Q17</t>
  </si>
  <si>
    <t>2Q17</t>
  </si>
  <si>
    <t>3Q17</t>
  </si>
  <si>
    <t>4Q17</t>
  </si>
  <si>
    <t>50</t>
  </si>
  <si>
    <t>Pension</t>
  </si>
  <si>
    <t xml:space="preserve">Pension </t>
  </si>
  <si>
    <t>Research</t>
  </si>
  <si>
    <t>MSA12719</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</si>
  <si>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</si>
  <si>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</si>
  <si>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</si>
  <si>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</si>
  <si>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</si>
  <si>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</si>
  <si>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</si>
  <si>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Matthew Grainger</t>
  </si>
  <si>
    <t>Date: 18 Apr 2018</t>
  </si>
  <si>
    <t>Ticker: MDLZ.O</t>
  </si>
  <si>
    <t>Stock Rating: Overweight</t>
  </si>
  <si>
    <t>Industry: Food</t>
  </si>
  <si>
    <t>Industry View: In-Line</t>
  </si>
  <si>
    <t>Price as of 18 Apr 2018: 41.98</t>
  </si>
  <si>
    <t>Target Price: 50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</si>
  <si>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</si>
  <si>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</si>
  <si>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</si>
  <si>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</si>
  <si>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Mondelez International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</si>
  <si>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</si>
  <si>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</si>
  <si>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</si>
  <si>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</si>
  <si>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</si>
  <si>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</si>
  <si>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</si>
  <si>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</si>
  <si>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</si>
  <si>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</si>
  <si>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</si>
  <si>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</si>
  <si>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</si>
  <si>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</si>
  <si>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</si>
  <si>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</si>
  <si>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</si>
  <si>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</si>
  <si>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</si>
  <si>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</si>
  <si>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</si>
  <si>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</si>
  <si>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</si>
  <si>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</si>
  <si>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</si>
  <si>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</si>
  <si>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</si>
  <si>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</si>
  <si>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</si>
  <si>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</si>
  <si>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</si>
  <si>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</si>
  <si>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</si>
  <si>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</si>
  <si>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</si>
  <si>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</si>
  <si>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</si>
  <si>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</si>
  <si>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</si>
  <si>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</si>
  <si>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</si>
  <si>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</si>
  <si>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</si>
  <si>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</si>
  <si>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</si>
  <si>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</si>
  <si>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</si>
  <si>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</si>
  <si>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</si>
  <si>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</si>
  <si>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</si>
  <si>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</si>
  <si>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</si>
  <si>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</si>
  <si>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</si>
  <si>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</si>
  <si>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</si>
  <si>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</si>
  <si>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</si>
  <si>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</si>
  <si>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</si>
  <si>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</si>
  <si>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</si>
  <si>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</si>
  <si>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</si>
  <si>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</si>
  <si>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</si>
  <si>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</si>
  <si>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</si>
  <si>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</si>
  <si>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</si>
  <si>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</si>
  <si>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</si>
  <si>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</si>
  <si>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</si>
  <si>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</si>
  <si>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</si>
  <si>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</si>
  <si>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</si>
  <si>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</si>
  <si>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</si>
  <si>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</si>
  <si>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</si>
  <si>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</si>
  <si>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</si>
  <si>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</si>
  <si>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</si>
  <si>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</si>
  <si>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</si>
  <si>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</si>
  <si>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</si>
  <si>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</si>
  <si>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</si>
  <si>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</si>
  <si>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</si>
  <si>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</si>
  <si>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</si>
  <si>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</si>
  <si>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</si>
  <si>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</si>
  <si>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</si>
  <si>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</si>
  <si>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</si>
  <si>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</si>
  <si>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</si>
  <si>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</si>
  <si>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</si>
  <si>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</si>
  <si>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</si>
  <si>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</si>
  <si>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</si>
  <si>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</si>
  <si>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</si>
  <si>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</si>
  <si>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</si>
  <si>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</si>
  <si>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</si>
  <si>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</si>
  <si>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</si>
  <si>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</si>
  <si>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</si>
  <si>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</si>
  <si>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</si>
  <si>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</si>
  <si>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</si>
  <si>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</si>
  <si>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</si>
  <si>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</si>
  <si>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</si>
  <si>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</si>
  <si>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</si>
  <si>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</si>
  <si>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</si>
  <si>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</si>
  <si>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</si>
  <si>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</si>
  <si>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</si>
  <si>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</si>
  <si>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</si>
  <si>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</si>
  <si>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</si>
  <si>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</si>
  <si>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</si>
  <si>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</si>
  <si>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</si>
  <si>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</si>
  <si>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</si>
  <si>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</si>
  <si>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</si>
  <si>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</si>
  <si>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</si>
  <si>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</si>
  <si>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</si>
  <si>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</si>
  <si>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</si>
  <si>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</si>
  <si>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</si>
  <si>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</si>
  <si>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</si>
  <si>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</si>
  <si>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</si>
  <si>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</si>
  <si>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</si>
  <si>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</si>
  <si>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</si>
  <si>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</si>
  <si>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</si>
  <si>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</si>
  <si>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</si>
  <si>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</si>
  <si>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</si>
  <si>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</si>
  <si>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</si>
  <si>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</si>
  <si>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</si>
  <si>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Mondelez International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</si>
  <si>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</si>
  <si>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</si>
  <si>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</si>
  <si>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</si>
  <si>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</si>
  <si>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</si>
  <si>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</si>
  <si>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</si>
  <si>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</si>
  <si>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</si>
  <si>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</si>
  <si>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</si>
  <si>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</si>
  <si>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</si>
  <si>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</si>
  <si>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</si>
  <si>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</si>
  <si>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</si>
  <si>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</si>
  <si>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</si>
  <si>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</si>
  <si>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</si>
  <si>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</si>
  <si>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</si>
  <si>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</si>
  <si>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</si>
  <si>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</si>
  <si>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</si>
  <si>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</si>
  <si>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</si>
  <si>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</si>
  <si>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</si>
  <si>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</si>
  <si>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</si>
  <si>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</si>
  <si>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</si>
  <si>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</si>
  <si>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</si>
  <si>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</si>
  <si>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</si>
  <si>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</si>
  <si>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</si>
  <si>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</si>
  <si>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</si>
  <si>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</si>
  <si>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</si>
  <si>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</si>
  <si>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</si>
  <si>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</si>
  <si>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</si>
  <si>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</si>
  <si>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</si>
  <si>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</si>
  <si>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</si>
  <si>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</si>
  <si>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</si>
  <si>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</si>
  <si>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</si>
  <si>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</si>
  <si>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</si>
  <si>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</si>
  <si>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</si>
  <si>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</si>
  <si>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</si>
  <si>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</si>
  <si>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</si>
  <si>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</si>
  <si>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</si>
  <si>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Mondelez International Inc.</t>
  </si>
  <si>
    <t>Within the last 12 months, Morgan Stanley has provided or is providing investment banking services to,</t>
  </si>
  <si>
    <t>or has an investment banking client relationship with, the following company: Mondelez International Inc.</t>
  </si>
  <si>
    <t>Within the last 12 months, Morgan Stanley has received compensation for products and services other than</t>
  </si>
  <si>
    <t>investment banking services from Mondelez International Inc.</t>
  </si>
  <si>
    <t>In the next 3 months, Morgan Stanley expects to receive or intends to seek compensation for investment</t>
  </si>
  <si>
    <t>banking services from Mondelez International Inc.</t>
  </si>
  <si>
    <t>Within the last 12 months, Morgan Stanley has received compensation for investment banking services from</t>
  </si>
  <si>
    <t>Mondelez International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</si>
  <si>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</si>
  <si>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</si>
  <si>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</si>
  <si>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</si>
  <si>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</si>
  <si>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Grainger.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</si>
  <si>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</si>
  <si>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</si>
  <si>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</si>
  <si>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</si>
  <si>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</si>
  <si>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</si>
  <si>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</si>
  <si>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</si>
  <si>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</si>
  <si>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</si>
  <si>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</si>
  <si>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</si>
  <si>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</si>
  <si>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</si>
  <si>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</si>
  <si>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</si>
  <si>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</si>
  <si>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</si>
  <si>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</si>
  <si>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</si>
  <si>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</si>
  <si>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</si>
  <si>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</si>
  <si>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</si>
  <si>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</si>
  <si>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</si>
  <si>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</si>
  <si>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</si>
  <si>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</si>
  <si>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</si>
  <si>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</si>
  <si>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</si>
  <si>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</si>
  <si>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</si>
  <si>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</si>
  <si>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</si>
  <si>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</si>
  <si>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</si>
  <si>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</si>
  <si>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</si>
  <si>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</si>
  <si>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</si>
  <si>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</si>
  <si>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</si>
  <si>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</si>
  <si>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</si>
  <si>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</si>
  <si>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</si>
  <si>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</si>
  <si>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</si>
  <si>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</si>
  <si>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</si>
  <si>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</si>
  <si>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</si>
  <si>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</si>
  <si>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</si>
  <si>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</si>
  <si>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</si>
  <si>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</si>
  <si>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</si>
  <si>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</si>
  <si>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</si>
  <si>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</si>
  <si>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</si>
  <si>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</si>
  <si>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</si>
  <si>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</si>
  <si>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</si>
  <si>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</si>
  <si>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</si>
  <si>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</si>
  <si>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</si>
  <si>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pamelk</t>
  </si>
  <si>
    <t>L:\CONSUMER\FOOD\EXCEL\Published Models\MDLZ_Published_041818.xlsm</t>
  </si>
  <si>
    <t>[BRO MSA]</t>
  </si>
  <si>
    <t>[PRODUCT MODEL]</t>
  </si>
  <si>
    <t>[EMAIL_ALERT YES]</t>
  </si>
  <si>
    <t>[DISCIPLINE Company]</t>
  </si>
  <si>
    <t>[SUPPRESSED NO]</t>
  </si>
  <si>
    <t>[DOCDAT 2018-04-18]</t>
  </si>
  <si>
    <t>[DOCTIME 16:14]</t>
  </si>
  <si>
    <t>[PSYM MDLZ.O(S&amp;P) (None)]</t>
  </si>
  <si>
    <t>[COU 1]</t>
  </si>
  <si>
    <t>[ANA ]</t>
  </si>
  <si>
    <t>[HL MDLZ.O Model]</t>
  </si>
  <si>
    <t>[IND ]</t>
  </si>
  <si>
    <t>[PANA MSA12719]</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</si>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</sst>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0.0%\)"/>
    <numFmt numFmtId="165" formatCode="0.000%"/>
    <numFmt numFmtId="166" formatCode="0.0%"/>
    <numFmt numFmtId="167" formatCode="&quot;$&quot;#,##0.0000_);\(&quot;$&quot;#,##0.0000\)"/>
    <numFmt numFmtId="168" formatCode="_(* #,##0.0_);_(* \(#,##0.0\);_(* &quot;-&quot;?_);_(@_)"/>
    <numFmt numFmtId="169" formatCode="0_);\(0\)"/>
    <numFmt numFmtId="170" formatCode="#,##0;\(#,##0\)"/>
    <numFmt numFmtId="171" formatCode="_(* #,##0.000_);_(* \(#,##0.000\);_(* &quot;-&quot;??_);_(@_)"/>
    <numFmt numFmtId="172" formatCode="&quot;$&quot;#,##0.00"/>
    <numFmt numFmtId="173" formatCode="#,##0.00;\(#,##0.00\)"/>
    <numFmt numFmtId="174" formatCode="0.0%;\(0.0\)%"/>
    <numFmt numFmtId="175" formatCode="_(* #,##0_);_(* \(#,##0\);_(* &quot;-&quot;?_);_(@_)"/>
    <numFmt numFmtId="176" formatCode="&quot;$&quot;#,##0"/>
    <numFmt numFmtId="177" formatCode="0.0_);\(0.0\)"/>
    <numFmt numFmtId="178" formatCode="#,##0.0_);\(#,##0.0\)"/>
    <numFmt numFmtId="179" formatCode="_(* #,##0.00_);_(* \(#,##0.00\);_(* &quot;-&quot;?_);_(@_)"/>
    <numFmt numFmtId="180" formatCode="#,##0.0%;\(#,##0.0%\)"/>
    <numFmt numFmtId="181" formatCode="0.0"/>
    <numFmt numFmtId="182" formatCode="_(* #,##0_);_(* \(#,##0\);_(* &quot;-&quot;??_);_(@_)"/>
    <numFmt numFmtId="183" formatCode="_(* #,##0.0000_);_(* \(#,##0.0000\);_(* &quot;-&quot;?_);_(@_)"/>
    <numFmt numFmtId="184" formatCode="0.000%;\(0.000\)%"/>
    <numFmt numFmtId="185" formatCode="0.0\x"/>
    <numFmt numFmtId="186" formatCode="0.00&quot;x&quot;"/>
    <numFmt numFmtId="187" formatCode="0.0\x;\(0.0\x\)"/>
    <numFmt numFmtId="188" formatCode="#,##0.0"/>
    <numFmt numFmtId="190" formatCode="#,##0.000"/>
    <numFmt numFmtId="191" formatCode="0.00%;\(0.00%\)"/>
    <numFmt numFmtId="192" formatCode="#,##0.000_);\(#,##0.000\)"/>
    <numFmt numFmtId="193" formatCode="mm/dd/yy\ hh:mm"/>
  </numFmts>
  <fonts count="52">
    <font>
      <sz val="10"/>
      <name val="Times New Roman"/>
    </font>
    <font>
      <sz val="10"/>
      <name val="Times New Roman"/>
      <family val="1"/>
    </font>
    <font>
      <b/>
      <sz val="9"/>
      <name val="Arial"/>
      <family val="2"/>
    </font>
    <font>
      <sz val="8"/>
      <name val="Arial"/>
      <family val="2"/>
    </font>
    <font>
      <sz val="10"/>
      <name val="Arial"/>
      <family val="2"/>
    </font>
    <font>
      <b/>
      <sz val="8"/>
      <name val="Arial"/>
      <family val="2"/>
    </font>
    <font>
      <sz val="8"/>
      <color indexed="9"/>
      <name val="Arial"/>
      <family val="2"/>
    </font>
    <font>
      <b/>
      <sz val="8"/>
      <color indexed="9"/>
      <name val="Arial"/>
      <family val="2"/>
    </font>
    <font>
      <i/>
      <sz val="8"/>
      <name val="Arial"/>
      <family val="2"/>
    </font>
    <font>
      <b/>
      <sz val="10"/>
      <name val="Times New Roman"/>
      <family val="1"/>
    </font>
    <font>
      <sz val="8"/>
      <color indexed="12"/>
      <name val="Arial"/>
      <family val="2"/>
    </font>
    <font>
      <b/>
      <u/>
      <sz val="8"/>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sz val="10"/>
      <name val="Times New Roman"/>
      <family val="1"/>
    </font>
    <font>
      <u/>
      <sz val="10"/>
      <color indexed="12"/>
      <name val="Times New Roman"/>
      <family val="1"/>
    </font>
    <font>
      <u/>
      <sz val="8"/>
      <color indexed="12"/>
      <name val="Arial"/>
      <family val="2"/>
    </font>
    <font>
      <b/>
      <sz val="8"/>
      <color indexed="12"/>
      <name val="Arial"/>
      <family val="2"/>
    </font>
    <font>
      <sz val="8"/>
      <color indexed="16"/>
      <name val="Arial"/>
      <family val="2"/>
    </font>
    <font>
      <u/>
      <sz val="8"/>
      <name val="Arial"/>
      <family val="2"/>
    </font>
    <font>
      <sz val="8"/>
      <color indexed="60"/>
      <name val="Arial"/>
      <family val="2"/>
    </font>
    <font>
      <b/>
      <i/>
      <sz val="8"/>
      <name val="Arial"/>
      <family val="2"/>
    </font>
    <font>
      <u val="singleAccounting"/>
      <sz val="8"/>
      <name val="Arial"/>
      <family val="2"/>
    </font>
    <font>
      <b/>
      <sz val="10"/>
      <color indexed="81"/>
      <name val="Tahoma"/>
      <family val="2"/>
    </font>
    <font>
      <sz val="10"/>
      <color indexed="81"/>
      <name val="Tahoma"/>
      <family val="2"/>
    </font>
    <font>
      <sz val="8"/>
      <color indexed="10"/>
      <name val="Arial"/>
      <family val="2"/>
    </font>
    <font>
      <i/>
      <sz val="8"/>
      <name val="Times New Roman"/>
      <family val="1"/>
    </font>
    <font>
      <sz val="10"/>
      <name val="Courier"/>
      <family val="3"/>
    </font>
    <font>
      <sz val="8"/>
      <color indexed="22"/>
      <name val="Arial"/>
      <family val="2"/>
    </font>
    <font>
      <i/>
      <sz val="10"/>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sz val="12"/>
      <name val="ⓒoUAAA¨u"/>
      <family val="1"/>
      <charset val="255"/>
    </font>
    <font>
      <sz val="11"/>
      <name val="￥i￠￢￠?o"/>
      <family val="3"/>
      <charset val="255"/>
    </font>
    <font>
      <sz val="10"/>
      <name val="돋움체"/>
      <family val="3"/>
      <charset val="255"/>
    </font>
    <font>
      <sz val="12"/>
      <name val="바탕체"/>
      <family val="1"/>
      <charset val="255"/>
    </font>
    <font>
      <sz val="12"/>
      <name val="바탕체"/>
      <family val="3"/>
    </font>
    <font>
      <sz val="10"/>
      <name val="Arial"/>
      <family val="2"/>
    </font>
    <font>
      <sz val="11"/>
      <color theme="1"/>
      <name val="Calibri"/>
      <family val="2"/>
      <scheme val="minor"/>
    </font>
    <font>
      <sz val="8"/>
      <color rgb="FF0000FF"/>
      <name val="Arial"/>
      <family val="2"/>
    </font>
    <font>
      <b/>
      <sz val="8"/>
      <color rgb="FF0000FF"/>
      <name val="Arial"/>
      <family val="2"/>
    </font>
    <font>
      <sz val="8"/>
      <color theme="6" tint="-0.249977111117893"/>
      <name val="Arial"/>
      <family val="2"/>
    </font>
    <font>
      <sz val="11"/>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18">
    <fill>
      <patternFill patternType="none"/>
    </fill>
    <fill>
      <patternFill patternType="gray125"/>
    </fill>
    <fill>
      <patternFill patternType="solid">
        <fgColor indexed="43"/>
        <bgColor indexed="64"/>
      </patternFill>
    </fill>
    <fill>
      <patternFill patternType="solid">
        <fgColor indexed="56"/>
        <bgColor indexed="64"/>
      </patternFill>
    </fill>
    <fill>
      <patternFill patternType="solid">
        <fgColor indexed="22"/>
        <bgColor indexed="64"/>
      </patternFill>
    </fill>
    <fill>
      <patternFill patternType="solid">
        <fgColor indexed="9"/>
        <bgColor indexed="64"/>
      </patternFill>
    </fill>
    <fill>
      <patternFill patternType="solid">
        <fgColor indexed="47"/>
        <bgColor indexed="64"/>
      </patternFill>
    </fill>
    <fill>
      <patternFill patternType="solid">
        <fgColor indexed="45"/>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10"/>
        <bgColor indexed="64"/>
      </patternFill>
    </fill>
    <fill>
      <patternFill patternType="solid">
        <fgColor indexed="65"/>
        <bgColor indexed="64"/>
      </patternFill>
    </fill>
    <fill>
      <patternFill patternType="solid">
        <fgColor indexed="46"/>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s>
  <borders count="19">
    <border>
      <left/>
      <right/>
      <top/>
      <bottom/>
      <diagonal/>
    </border>
    <border>
      <left/>
      <right/>
      <top/>
      <bottom style="thin">
        <color indexed="8"/>
      </bottom>
      <diagonal/>
    </border>
    <border>
      <left/>
      <right/>
      <top/>
      <bottom style="medium">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1">
    <xf numFmtId="0" fontId="0" fillId="0" borderId="0"/>
    <xf numFmtId="0" fontId="4" fillId="0" borderId="0"/>
    <xf numFmtId="0" fontId="4" fillId="0" borderId="0"/>
    <xf numFmtId="0" fontId="4" fillId="0" borderId="0"/>
    <xf numFmtId="0" fontId="4" fillId="0" borderId="0"/>
    <xf numFmtId="0" fontId="32" fillId="0" borderId="0"/>
    <xf numFmtId="0" fontId="32" fillId="0" borderId="0"/>
    <xf numFmtId="0" fontId="36" fillId="0" borderId="0" applyFont="0" applyFill="0" applyBorder="0" applyAlignment="0" applyProtection="0"/>
    <xf numFmtId="0" fontId="37" fillId="0" borderId="0" applyFont="0" applyFill="0" applyBorder="0" applyAlignment="0" applyProtection="0"/>
    <xf numFmtId="0" fontId="33" fillId="0" borderId="0"/>
    <xf numFmtId="43"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1" fillId="0" borderId="0" applyFont="0" applyFill="0" applyBorder="0" applyAlignment="0" applyProtection="0"/>
    <xf numFmtId="0" fontId="17" fillId="0" borderId="0" applyNumberFormat="0" applyFill="0" applyBorder="0" applyAlignment="0" applyProtection="0">
      <alignment vertical="top"/>
      <protection locked="0"/>
    </xf>
    <xf numFmtId="0" fontId="4" fillId="0" borderId="0"/>
    <xf numFmtId="0" fontId="4" fillId="0" borderId="0"/>
    <xf numFmtId="0" fontId="4" fillId="0" borderId="0"/>
    <xf numFmtId="0" fontId="41" fillId="0" borderId="0"/>
    <xf numFmtId="0" fontId="42" fillId="0" borderId="0"/>
    <xf numFmtId="0" fontId="30" fillId="0" borderId="0"/>
    <xf numFmtId="0" fontId="4" fillId="0" borderId="0"/>
    <xf numFmtId="0" fontId="4" fillId="0" borderId="0"/>
    <xf numFmtId="0" fontId="1" fillId="0" borderId="0"/>
    <xf numFmtId="0" fontId="4" fillId="0" borderId="0"/>
    <xf numFmtId="0" fontId="4" fillId="0" borderId="0"/>
    <xf numFmtId="0" fontId="4" fillId="0" borderId="0" applyProtection="0"/>
    <xf numFmtId="0" fontId="4" fillId="0" borderId="0"/>
    <xf numFmtId="0" fontId="4" fillId="0" borderId="0"/>
    <xf numFmtId="0" fontId="34" fillId="0" borderId="0">
      <alignment vertical="center"/>
    </xf>
    <xf numFmtId="9" fontId="1" fillId="0" borderId="0" applyFont="0" applyFill="0" applyBorder="0" applyAlignment="0" applyProtection="0"/>
    <xf numFmtId="9" fontId="42" fillId="0" borderId="0" applyFont="0" applyFill="0" applyBorder="0" applyAlignment="0" applyProtection="0"/>
    <xf numFmtId="0" fontId="4" fillId="2" borderId="0" applyNumberFormat="0" applyFont="0" applyBorder="0" applyAlignment="0" applyProtection="0"/>
    <xf numFmtId="0" fontId="35" fillId="0" borderId="0"/>
    <xf numFmtId="0" fontId="35" fillId="0" borderId="1">
      <alignment horizontal="centerContinuous"/>
    </xf>
    <xf numFmtId="0" fontId="28" fillId="0" borderId="1"/>
    <xf numFmtId="0" fontId="4" fillId="0" borderId="0" applyFill="0" applyAlignment="0">
      <protection locked="0"/>
    </xf>
    <xf numFmtId="0" fontId="38" fillId="0" borderId="0" applyFont="0" applyFill="0" applyBorder="0" applyAlignment="0" applyProtection="0"/>
    <xf numFmtId="0" fontId="39" fillId="0" borderId="0" applyFont="0" applyFill="0" applyBorder="0" applyAlignment="0" applyProtection="0"/>
    <xf numFmtId="0" fontId="40" fillId="0" borderId="0"/>
    <xf numFmtId="0" fontId="29" fillId="0" borderId="0"/>
  </cellStyleXfs>
  <cellXfs count="785">
    <xf numFmtId="0" fontId="0" fillId="0" borderId="0" xfId="0"/>
    <xf numFmtId="0" fontId="2" fillId="0" borderId="0" xfId="0" applyFont="1"/>
    <xf numFmtId="0" fontId="3" fillId="0" borderId="0" xfId="0" applyFont="1"/>
    <xf numFmtId="0" fontId="2" fillId="0" borderId="0" xfId="0" applyFont="1" applyFill="1"/>
    <xf numFmtId="0" fontId="5" fillId="0" borderId="0" xfId="25" applyFont="1" applyFill="1" applyAlignment="1">
      <alignment horizontal="right"/>
    </xf>
    <xf numFmtId="0" fontId="3" fillId="0" borderId="0" xfId="0" applyFont="1" applyFill="1"/>
    <xf numFmtId="0" fontId="3" fillId="0" borderId="0" xfId="25" applyFont="1" applyFill="1" applyAlignment="1">
      <alignment horizontal="right"/>
    </xf>
    <xf numFmtId="0" fontId="3" fillId="0" borderId="0" xfId="24" applyFont="1" applyFill="1" applyBorder="1" applyAlignment="1">
      <alignment horizontal="right"/>
    </xf>
    <xf numFmtId="166" fontId="5" fillId="0" borderId="0" xfId="0" applyNumberFormat="1" applyFont="1" applyFill="1" applyAlignment="1">
      <alignment horizontal="right"/>
    </xf>
    <xf numFmtId="166" fontId="3" fillId="0" borderId="0" xfId="24" applyNumberFormat="1" applyFont="1" applyFill="1" applyBorder="1" applyAlignment="1">
      <alignment horizontal="right"/>
    </xf>
    <xf numFmtId="167" fontId="3" fillId="0" borderId="0" xfId="0" applyNumberFormat="1" applyFont="1" applyFill="1" applyAlignment="1">
      <alignment horizontal="right"/>
    </xf>
    <xf numFmtId="166" fontId="3" fillId="0" borderId="0" xfId="0" applyNumberFormat="1" applyFont="1" applyFill="1" applyAlignment="1">
      <alignment horizontal="right"/>
    </xf>
    <xf numFmtId="0" fontId="6" fillId="3" borderId="0" xfId="27" applyFont="1" applyFill="1" applyAlignment="1">
      <alignment horizontal="left"/>
    </xf>
    <xf numFmtId="0" fontId="7" fillId="3" borderId="0" xfId="28" applyNumberFormat="1" applyFont="1" applyFill="1" applyAlignment="1">
      <alignment horizontal="center"/>
    </xf>
    <xf numFmtId="0" fontId="7" fillId="0" borderId="0" xfId="28" applyNumberFormat="1" applyFont="1" applyFill="1" applyAlignment="1">
      <alignment horizontal="center"/>
    </xf>
    <xf numFmtId="168" fontId="7" fillId="3" borderId="0" xfId="28" applyNumberFormat="1" applyFont="1" applyFill="1" applyBorder="1" applyAlignment="1">
      <alignment horizontal="center"/>
    </xf>
    <xf numFmtId="0" fontId="5" fillId="0" borderId="0" xfId="0" applyFont="1"/>
    <xf numFmtId="0" fontId="5" fillId="0" borderId="0" xfId="0" applyFont="1" applyFill="1"/>
    <xf numFmtId="166" fontId="3" fillId="0" borderId="0" xfId="0" applyNumberFormat="1" applyFont="1" applyFill="1"/>
    <xf numFmtId="0" fontId="5" fillId="4" borderId="0" xfId="0" applyFont="1" applyFill="1"/>
    <xf numFmtId="166" fontId="3" fillId="0" borderId="0" xfId="30" applyNumberFormat="1" applyFont="1" applyFill="1"/>
    <xf numFmtId="166" fontId="3" fillId="0" borderId="0" xfId="30" applyNumberFormat="1" applyFont="1"/>
    <xf numFmtId="0" fontId="8" fillId="0" borderId="0" xfId="0" applyFont="1"/>
    <xf numFmtId="0" fontId="8" fillId="0" borderId="0" xfId="0" applyFont="1" applyFill="1"/>
    <xf numFmtId="0" fontId="9" fillId="0" borderId="0" xfId="0" applyFont="1"/>
    <xf numFmtId="0" fontId="7" fillId="3" borderId="0" xfId="0" applyFont="1" applyFill="1"/>
    <xf numFmtId="164" fontId="3" fillId="0" borderId="0" xfId="30" applyNumberFormat="1" applyFont="1" applyFill="1"/>
    <xf numFmtId="0" fontId="3" fillId="0" borderId="2" xfId="0" applyFont="1" applyFill="1" applyBorder="1"/>
    <xf numFmtId="170" fontId="3" fillId="0" borderId="0" xfId="0" applyNumberFormat="1" applyFont="1"/>
    <xf numFmtId="0" fontId="11" fillId="0" borderId="0" xfId="0" applyFont="1"/>
    <xf numFmtId="0" fontId="3" fillId="0" borderId="0" xfId="0" applyFont="1" applyAlignment="1">
      <alignment horizontal="center"/>
    </xf>
    <xf numFmtId="0" fontId="3" fillId="0" borderId="0" xfId="0" applyFont="1" applyAlignment="1">
      <alignment horizontal="right"/>
    </xf>
    <xf numFmtId="0" fontId="3" fillId="0" borderId="0" xfId="0" quotePrefix="1" applyFont="1" applyAlignment="1">
      <alignment horizontal="right"/>
    </xf>
    <xf numFmtId="9" fontId="3" fillId="0" borderId="0" xfId="0" applyNumberFormat="1" applyFont="1" applyAlignment="1">
      <alignment horizontal="right"/>
    </xf>
    <xf numFmtId="9" fontId="3" fillId="0" borderId="0" xfId="0" quotePrefix="1" applyNumberFormat="1" applyFont="1" applyAlignment="1">
      <alignment horizontal="right"/>
    </xf>
    <xf numFmtId="0" fontId="3" fillId="0" borderId="0" xfId="27" applyFont="1"/>
    <xf numFmtId="171" fontId="3" fillId="0" borderId="0" xfId="27" applyNumberFormat="1" applyFont="1" applyFill="1" applyBorder="1"/>
    <xf numFmtId="0" fontId="3" fillId="0" borderId="0" xfId="27" applyFont="1" applyFill="1" applyBorder="1"/>
    <xf numFmtId="166" fontId="3" fillId="0" borderId="0" xfId="30" applyNumberFormat="1" applyFont="1" applyFill="1" applyBorder="1"/>
    <xf numFmtId="37" fontId="3" fillId="0" borderId="0" xfId="27" applyNumberFormat="1" applyFont="1" applyFill="1" applyBorder="1"/>
    <xf numFmtId="166" fontId="3" fillId="0" borderId="0" xfId="27" applyNumberFormat="1" applyFont="1"/>
    <xf numFmtId="0" fontId="3" fillId="6" borderId="0" xfId="27" applyFont="1" applyFill="1" applyBorder="1"/>
    <xf numFmtId="0" fontId="3" fillId="0" borderId="0" xfId="27" applyFont="1" applyFill="1"/>
    <xf numFmtId="41" fontId="3" fillId="0" borderId="0" xfId="27" applyNumberFormat="1" applyFont="1" applyFill="1" applyBorder="1"/>
    <xf numFmtId="7" fontId="3" fillId="0" borderId="0" xfId="27" applyNumberFormat="1" applyFont="1" applyFill="1" applyBorder="1"/>
    <xf numFmtId="4" fontId="3" fillId="0" borderId="0" xfId="30" applyNumberFormat="1" applyFont="1" applyFill="1" applyBorder="1"/>
    <xf numFmtId="0" fontId="3" fillId="0" borderId="0" xfId="27" applyFont="1" applyAlignment="1">
      <alignment horizontal="left"/>
    </xf>
    <xf numFmtId="4" fontId="0" fillId="0" borderId="0" xfId="0" applyNumberFormat="1"/>
    <xf numFmtId="7" fontId="0" fillId="0" borderId="0" xfId="0" applyNumberFormat="1"/>
    <xf numFmtId="0" fontId="3" fillId="0" borderId="0" xfId="27" applyFont="1" applyFill="1" applyAlignment="1">
      <alignment horizontal="left"/>
    </xf>
    <xf numFmtId="166" fontId="3" fillId="0" borderId="0" xfId="27" applyNumberFormat="1" applyFont="1" applyFill="1" applyBorder="1"/>
    <xf numFmtId="2" fontId="3" fillId="0" borderId="0" xfId="27" applyNumberFormat="1" applyFont="1" applyFill="1" applyBorder="1"/>
    <xf numFmtId="0" fontId="18" fillId="0" borderId="0" xfId="14" applyFont="1" applyAlignment="1" applyProtection="1"/>
    <xf numFmtId="166" fontId="3" fillId="0" borderId="0" xfId="30" applyNumberFormat="1" applyFont="1" applyBorder="1"/>
    <xf numFmtId="166" fontId="0" fillId="0" borderId="0" xfId="0" applyNumberFormat="1"/>
    <xf numFmtId="0" fontId="18" fillId="0" borderId="0" xfId="14" applyFont="1" applyFill="1" applyAlignment="1" applyProtection="1"/>
    <xf numFmtId="44" fontId="3" fillId="0" borderId="0" xfId="27" applyNumberFormat="1" applyFont="1" applyFill="1" applyBorder="1"/>
    <xf numFmtId="9" fontId="0" fillId="0" borderId="0" xfId="0" applyNumberFormat="1"/>
    <xf numFmtId="4" fontId="3" fillId="0" borderId="0" xfId="27" applyNumberFormat="1" applyFont="1" applyFill="1" applyBorder="1"/>
    <xf numFmtId="8" fontId="3" fillId="0" borderId="0" xfId="27" applyNumberFormat="1" applyFont="1" applyFill="1" applyBorder="1"/>
    <xf numFmtId="8" fontId="5" fillId="0" borderId="0" xfId="27" applyNumberFormat="1" applyFont="1" applyFill="1"/>
    <xf numFmtId="0" fontId="10" fillId="0" borderId="0" xfId="25" applyFont="1"/>
    <xf numFmtId="41" fontId="3" fillId="0" borderId="0" xfId="27" applyNumberFormat="1" applyFont="1"/>
    <xf numFmtId="0" fontId="10" fillId="0" borderId="0" xfId="25" applyFont="1" applyFill="1"/>
    <xf numFmtId="43" fontId="3" fillId="0" borderId="0" xfId="27" applyNumberFormat="1" applyFont="1" applyFill="1" applyBorder="1"/>
    <xf numFmtId="10" fontId="3" fillId="0" borderId="0" xfId="27" applyNumberFormat="1" applyFont="1" applyFill="1" applyBorder="1"/>
    <xf numFmtId="165" fontId="3" fillId="0" borderId="0" xfId="27" applyNumberFormat="1" applyFont="1" applyFill="1" applyBorder="1"/>
    <xf numFmtId="0" fontId="7" fillId="0" borderId="0" xfId="27" applyFont="1" applyFill="1" applyBorder="1" applyAlignment="1">
      <alignment horizontal="centerContinuous"/>
    </xf>
    <xf numFmtId="0" fontId="5" fillId="0" borderId="0" xfId="27" applyFont="1" applyFill="1" applyAlignment="1">
      <alignment horizontal="center"/>
    </xf>
    <xf numFmtId="0" fontId="0" fillId="0" borderId="0" xfId="0" applyFill="1"/>
    <xf numFmtId="7" fontId="0" fillId="0" borderId="0" xfId="0" applyNumberFormat="1" applyFill="1"/>
    <xf numFmtId="0" fontId="5" fillId="0" borderId="0" xfId="27" applyFont="1" applyFill="1" applyBorder="1" applyAlignment="1">
      <alignment horizontal="center"/>
    </xf>
    <xf numFmtId="14" fontId="3" fillId="0" borderId="0" xfId="27" applyNumberFormat="1" applyFont="1"/>
    <xf numFmtId="14" fontId="11" fillId="0" borderId="0" xfId="27" applyNumberFormat="1" applyFont="1" applyAlignment="1">
      <alignment horizontal="center"/>
    </xf>
    <xf numFmtId="14" fontId="3" fillId="0" borderId="0" xfId="27" applyNumberFormat="1" applyFont="1" applyFill="1"/>
    <xf numFmtId="14" fontId="11" fillId="7" borderId="0" xfId="27" applyNumberFormat="1" applyFont="1" applyFill="1" applyAlignment="1">
      <alignment horizontal="center"/>
    </xf>
    <xf numFmtId="14" fontId="3" fillId="7" borderId="0" xfId="27" applyNumberFormat="1" applyFont="1" applyFill="1" applyBorder="1"/>
    <xf numFmtId="14" fontId="3" fillId="0" borderId="0" xfId="27" applyNumberFormat="1" applyFont="1" applyFill="1" applyBorder="1"/>
    <xf numFmtId="14" fontId="11" fillId="0" borderId="0" xfId="27" applyNumberFormat="1" applyFont="1" applyFill="1" applyBorder="1" applyAlignment="1">
      <alignment horizontal="center"/>
    </xf>
    <xf numFmtId="0" fontId="6" fillId="3" borderId="0" xfId="27" applyNumberFormat="1" applyFont="1" applyFill="1" applyAlignment="1">
      <alignment horizontal="left"/>
    </xf>
    <xf numFmtId="0" fontId="6" fillId="0" borderId="0" xfId="27" applyNumberFormat="1" applyFont="1" applyFill="1" applyAlignment="1">
      <alignment horizontal="left"/>
    </xf>
    <xf numFmtId="0" fontId="7" fillId="3" borderId="0" xfId="28" applyNumberFormat="1" applyFont="1" applyFill="1" applyBorder="1" applyAlignment="1">
      <alignment horizontal="center"/>
    </xf>
    <xf numFmtId="0" fontId="0" fillId="0" borderId="0" xfId="0" applyNumberFormat="1"/>
    <xf numFmtId="0" fontId="11" fillId="0" borderId="0" xfId="28" applyNumberFormat="1" applyFont="1" applyFill="1" applyBorder="1" applyAlignment="1">
      <alignment horizontal="center"/>
    </xf>
    <xf numFmtId="0" fontId="3" fillId="0" borderId="0" xfId="27" applyNumberFormat="1" applyFont="1" applyFill="1" applyBorder="1"/>
    <xf numFmtId="0" fontId="3" fillId="0" borderId="0" xfId="27" applyNumberFormat="1" applyFont="1" applyFill="1" applyBorder="1" applyAlignment="1">
      <alignment horizontal="center"/>
    </xf>
    <xf numFmtId="0" fontId="3" fillId="0" borderId="0" xfId="27" applyNumberFormat="1" applyFont="1" applyFill="1" applyBorder="1" applyAlignment="1">
      <alignment horizontal="right"/>
    </xf>
    <xf numFmtId="37" fontId="3" fillId="0" borderId="0" xfId="27" applyNumberFormat="1" applyFont="1" applyFill="1"/>
    <xf numFmtId="37" fontId="10" fillId="0" borderId="0" xfId="27" applyNumberFormat="1" applyFont="1" applyFill="1" applyBorder="1"/>
    <xf numFmtId="37" fontId="3" fillId="0" borderId="0" xfId="30" applyNumberFormat="1" applyFont="1" applyFill="1"/>
    <xf numFmtId="37" fontId="0" fillId="0" borderId="0" xfId="0" applyNumberFormat="1"/>
    <xf numFmtId="37" fontId="3" fillId="0" borderId="0" xfId="27" applyNumberFormat="1" applyFont="1" applyFill="1" applyBorder="1" applyAlignment="1">
      <alignment horizontal="right"/>
    </xf>
    <xf numFmtId="37" fontId="3" fillId="6" borderId="0" xfId="27" applyNumberFormat="1" applyFont="1" applyFill="1" applyBorder="1"/>
    <xf numFmtId="37" fontId="5" fillId="0" borderId="0" xfId="27" applyNumberFormat="1" applyFont="1" applyFill="1"/>
    <xf numFmtId="37" fontId="5" fillId="0" borderId="0" xfId="27" applyNumberFormat="1" applyFont="1" applyFill="1" applyBorder="1"/>
    <xf numFmtId="37" fontId="19" fillId="0" borderId="0" xfId="27" applyNumberFormat="1" applyFont="1" applyFill="1" applyBorder="1"/>
    <xf numFmtId="37" fontId="19" fillId="0" borderId="0" xfId="27" applyNumberFormat="1" applyFont="1" applyFill="1" applyBorder="1" applyAlignment="1">
      <alignment horizontal="right"/>
    </xf>
    <xf numFmtId="37" fontId="10" fillId="0" borderId="3" xfId="27" applyNumberFormat="1" applyFont="1" applyFill="1" applyBorder="1"/>
    <xf numFmtId="37" fontId="3" fillId="0" borderId="3" xfId="27" applyNumberFormat="1" applyFont="1" applyFill="1" applyBorder="1"/>
    <xf numFmtId="37" fontId="10" fillId="14" borderId="3" xfId="27" applyNumberFormat="1" applyFont="1" applyFill="1" applyBorder="1"/>
    <xf numFmtId="37" fontId="43" fillId="14" borderId="3" xfId="27" applyNumberFormat="1" applyFont="1" applyFill="1" applyBorder="1"/>
    <xf numFmtId="37" fontId="3" fillId="0" borderId="3" xfId="27" applyNumberFormat="1" applyFont="1" applyBorder="1"/>
    <xf numFmtId="37" fontId="10" fillId="0" borderId="0" xfId="30" applyNumberFormat="1" applyFont="1" applyFill="1" applyBorder="1"/>
    <xf numFmtId="37" fontId="10" fillId="0" borderId="0" xfId="27" applyNumberFormat="1" applyFont="1" applyFill="1" applyBorder="1" applyAlignment="1">
      <alignment horizontal="right"/>
    </xf>
    <xf numFmtId="37" fontId="3" fillId="0" borderId="0" xfId="27" applyNumberFormat="1" applyFont="1" applyFill="1" applyBorder="1" applyAlignment="1"/>
    <xf numFmtId="37" fontId="16" fillId="0" borderId="0" xfId="0" applyNumberFormat="1" applyFont="1"/>
    <xf numFmtId="37" fontId="3" fillId="14" borderId="0" xfId="27" applyNumberFormat="1" applyFont="1" applyFill="1" applyBorder="1"/>
    <xf numFmtId="37" fontId="5" fillId="14" borderId="0" xfId="27" applyNumberFormat="1" applyFont="1" applyFill="1"/>
    <xf numFmtId="37" fontId="5" fillId="0" borderId="0" xfId="27" applyNumberFormat="1" applyFont="1" applyFill="1" applyBorder="1" applyAlignment="1">
      <alignment horizontal="right"/>
    </xf>
    <xf numFmtId="166" fontId="3" fillId="14" borderId="0" xfId="30" applyNumberFormat="1" applyFont="1" applyFill="1"/>
    <xf numFmtId="0" fontId="16" fillId="0" borderId="0" xfId="0" applyFont="1"/>
    <xf numFmtId="166" fontId="3" fillId="0" borderId="0" xfId="30" quotePrefix="1" applyNumberFormat="1" applyFont="1" applyFill="1" applyBorder="1" applyAlignment="1">
      <alignment horizontal="center"/>
    </xf>
    <xf numFmtId="166" fontId="3" fillId="0" borderId="0" xfId="30" applyNumberFormat="1" applyFont="1" applyFill="1" applyBorder="1" applyAlignment="1">
      <alignment horizontal="right"/>
    </xf>
    <xf numFmtId="166" fontId="3" fillId="0" borderId="3" xfId="30" applyNumberFormat="1" applyFont="1" applyFill="1" applyBorder="1"/>
    <xf numFmtId="166" fontId="3" fillId="14" borderId="3" xfId="30" applyNumberFormat="1" applyFont="1" applyFill="1" applyBorder="1"/>
    <xf numFmtId="41" fontId="10" fillId="0" borderId="0" xfId="27" applyNumberFormat="1" applyFont="1" applyFill="1" applyBorder="1"/>
    <xf numFmtId="41" fontId="3" fillId="0" borderId="0" xfId="27" applyNumberFormat="1" applyFont="1" applyFill="1"/>
    <xf numFmtId="41" fontId="3" fillId="14" borderId="0" xfId="27" applyNumberFormat="1" applyFont="1" applyFill="1" applyBorder="1"/>
    <xf numFmtId="41" fontId="3" fillId="0" borderId="0" xfId="27" applyNumberFormat="1" applyFont="1" applyFill="1" applyBorder="1" applyAlignment="1">
      <alignment horizontal="right"/>
    </xf>
    <xf numFmtId="166" fontId="5" fillId="0" borderId="0" xfId="30" applyNumberFormat="1" applyFont="1" applyFill="1" applyBorder="1"/>
    <xf numFmtId="37" fontId="3" fillId="14" borderId="0" xfId="27" applyNumberFormat="1" applyFont="1" applyFill="1"/>
    <xf numFmtId="37" fontId="3" fillId="0" borderId="0" xfId="27" quotePrefix="1" applyNumberFormat="1" applyFont="1" applyFill="1"/>
    <xf numFmtId="37" fontId="10" fillId="14" borderId="0" xfId="27" applyNumberFormat="1" applyFont="1" applyFill="1" applyBorder="1"/>
    <xf numFmtId="37" fontId="43" fillId="14" borderId="0" xfId="27" applyNumberFormat="1" applyFont="1" applyFill="1" applyBorder="1"/>
    <xf numFmtId="37" fontId="3" fillId="14" borderId="3" xfId="27" applyNumberFormat="1" applyFont="1" applyFill="1" applyBorder="1"/>
    <xf numFmtId="166" fontId="3" fillId="0" borderId="0" xfId="30" applyNumberFormat="1" applyFont="1" applyFill="1" applyBorder="1" applyAlignment="1">
      <alignment horizontal="center"/>
    </xf>
    <xf numFmtId="0" fontId="8" fillId="0" borderId="0" xfId="27" applyFont="1" applyFill="1"/>
    <xf numFmtId="166" fontId="8" fillId="0" borderId="0" xfId="30" applyNumberFormat="1" applyFont="1" applyFill="1"/>
    <xf numFmtId="166" fontId="8" fillId="14" borderId="0" xfId="30" applyNumberFormat="1" applyFont="1" applyFill="1"/>
    <xf numFmtId="166" fontId="8" fillId="0" borderId="0" xfId="30" applyNumberFormat="1" applyFont="1" applyFill="1" applyBorder="1"/>
    <xf numFmtId="166" fontId="8" fillId="0" borderId="0" xfId="30" applyNumberFormat="1" applyFont="1" applyFill="1" applyBorder="1" applyAlignment="1">
      <alignment horizontal="right"/>
    </xf>
    <xf numFmtId="41" fontId="10" fillId="0" borderId="0" xfId="27" applyNumberFormat="1" applyFont="1" applyFill="1"/>
    <xf numFmtId="41" fontId="3" fillId="0" borderId="0" xfId="27" applyNumberFormat="1" applyFont="1" applyFill="1" applyAlignment="1">
      <alignment horizontal="right"/>
    </xf>
    <xf numFmtId="41" fontId="3" fillId="14" borderId="0" xfId="27" applyNumberFormat="1" applyFont="1" applyFill="1" applyAlignment="1">
      <alignment horizontal="right"/>
    </xf>
    <xf numFmtId="37" fontId="3" fillId="0" borderId="0" xfId="30" applyNumberFormat="1" applyFont="1" applyFill="1" applyBorder="1"/>
    <xf numFmtId="37" fontId="3" fillId="0" borderId="0" xfId="30" applyNumberFormat="1" applyFont="1" applyFill="1" applyBorder="1" applyAlignment="1">
      <alignment horizontal="right"/>
    </xf>
    <xf numFmtId="37" fontId="10" fillId="0" borderId="0" xfId="30" applyNumberFormat="1" applyFont="1" applyFill="1"/>
    <xf numFmtId="37" fontId="20" fillId="0" borderId="0" xfId="30" applyNumberFormat="1" applyFont="1" applyFill="1"/>
    <xf numFmtId="37" fontId="3" fillId="14" borderId="0" xfId="30" applyNumberFormat="1" applyFont="1" applyFill="1"/>
    <xf numFmtId="172" fontId="8" fillId="0" borderId="0" xfId="27" applyNumberFormat="1" applyFont="1" applyFill="1" applyBorder="1"/>
    <xf numFmtId="9" fontId="3" fillId="0" borderId="0" xfId="30" applyFont="1" applyFill="1"/>
    <xf numFmtId="9" fontId="3" fillId="0" borderId="0" xfId="30" applyFont="1" applyFill="1" applyBorder="1"/>
    <xf numFmtId="9" fontId="3" fillId="0" borderId="0" xfId="30" applyFont="1" applyFill="1" applyBorder="1" applyAlignment="1">
      <alignment horizontal="right"/>
    </xf>
    <xf numFmtId="172" fontId="5" fillId="0" borderId="0" xfId="27" applyNumberFormat="1" applyFont="1" applyFill="1" applyBorder="1"/>
    <xf numFmtId="41" fontId="5" fillId="0" borderId="0" xfId="27" applyNumberFormat="1" applyFont="1" applyFill="1"/>
    <xf numFmtId="41" fontId="5" fillId="14" borderId="0" xfId="27" applyNumberFormat="1" applyFont="1" applyFill="1"/>
    <xf numFmtId="41" fontId="5" fillId="0" borderId="0" xfId="27" applyNumberFormat="1" applyFont="1" applyFill="1" applyBorder="1"/>
    <xf numFmtId="41" fontId="5" fillId="0" borderId="0" xfId="27" applyNumberFormat="1" applyFont="1" applyFill="1" applyBorder="1" applyAlignment="1">
      <alignment horizontal="right"/>
    </xf>
    <xf numFmtId="166" fontId="8" fillId="0" borderId="0" xfId="27" applyNumberFormat="1" applyFont="1" applyFill="1"/>
    <xf numFmtId="166" fontId="8" fillId="14" borderId="0" xfId="27" applyNumberFormat="1" applyFont="1" applyFill="1"/>
    <xf numFmtId="166" fontId="8" fillId="0" borderId="0" xfId="27" applyNumberFormat="1" applyFont="1" applyFill="1" applyBorder="1"/>
    <xf numFmtId="166" fontId="8" fillId="0" borderId="0" xfId="27" applyNumberFormat="1" applyFont="1" applyFill="1" applyBorder="1" applyAlignment="1">
      <alignment horizontal="right"/>
    </xf>
    <xf numFmtId="166" fontId="3" fillId="0" borderId="0" xfId="27" applyNumberFormat="1" applyFont="1" applyFill="1"/>
    <xf numFmtId="10" fontId="0" fillId="0" borderId="0" xfId="0" applyNumberFormat="1"/>
    <xf numFmtId="37" fontId="5" fillId="0" borderId="0" xfId="0" applyNumberFormat="1" applyFont="1" applyFill="1" applyBorder="1"/>
    <xf numFmtId="37" fontId="5" fillId="0" borderId="0" xfId="27" applyNumberFormat="1" applyFont="1" applyFill="1" applyAlignment="1">
      <alignment horizontal="right"/>
    </xf>
    <xf numFmtId="37" fontId="5" fillId="14" borderId="0" xfId="27" applyNumberFormat="1" applyFont="1" applyFill="1" applyAlignment="1">
      <alignment horizontal="right"/>
    </xf>
    <xf numFmtId="37" fontId="5" fillId="0" borderId="0" xfId="27" applyNumberFormat="1" applyFont="1"/>
    <xf numFmtId="37" fontId="3" fillId="0" borderId="0" xfId="27" applyNumberFormat="1" applyFont="1" applyFill="1" applyAlignment="1">
      <alignment horizontal="right"/>
    </xf>
    <xf numFmtId="37" fontId="10" fillId="0" borderId="0" xfId="27" applyNumberFormat="1" applyFont="1" applyFill="1"/>
    <xf numFmtId="37" fontId="10" fillId="14" borderId="0" xfId="27" applyNumberFormat="1" applyFont="1" applyFill="1"/>
    <xf numFmtId="37" fontId="43" fillId="14" borderId="0" xfId="27" applyNumberFormat="1" applyFont="1" applyFill="1"/>
    <xf numFmtId="37" fontId="3" fillId="0" borderId="0" xfId="27" applyNumberFormat="1" applyFont="1" applyBorder="1"/>
    <xf numFmtId="0" fontId="8" fillId="0" borderId="0" xfId="0" quotePrefix="1" applyFont="1" applyFill="1" applyAlignment="1">
      <alignment horizontal="left"/>
    </xf>
    <xf numFmtId="166" fontId="10" fillId="0" borderId="0" xfId="30" applyNumberFormat="1" applyFont="1" applyFill="1"/>
    <xf numFmtId="164" fontId="3" fillId="0" borderId="0" xfId="30" applyNumberFormat="1" applyFont="1" applyFill="1" applyBorder="1" applyAlignment="1">
      <alignment horizontal="right"/>
    </xf>
    <xf numFmtId="164" fontId="3" fillId="14" borderId="0" xfId="30" applyNumberFormat="1" applyFont="1" applyFill="1" applyBorder="1" applyAlignment="1">
      <alignment horizontal="right"/>
    </xf>
    <xf numFmtId="173" fontId="3" fillId="0" borderId="0" xfId="30" applyNumberFormat="1" applyFont="1" applyFill="1" applyBorder="1" applyAlignment="1">
      <alignment horizontal="right"/>
    </xf>
    <xf numFmtId="0" fontId="3" fillId="0" borderId="0" xfId="30" quotePrefix="1" applyNumberFormat="1" applyFont="1" applyFill="1"/>
    <xf numFmtId="175" fontId="3" fillId="0" borderId="0" xfId="11" applyNumberFormat="1" applyFont="1" applyFill="1"/>
    <xf numFmtId="166" fontId="3" fillId="14" borderId="0" xfId="30" applyNumberFormat="1" applyFont="1" applyFill="1" applyBorder="1" applyAlignment="1">
      <alignment horizontal="right"/>
    </xf>
    <xf numFmtId="37" fontId="9" fillId="0" borderId="0" xfId="0" applyNumberFormat="1" applyFont="1"/>
    <xf numFmtId="39" fontId="5" fillId="0" borderId="0" xfId="27" applyNumberFormat="1" applyFont="1" applyFill="1" applyBorder="1"/>
    <xf numFmtId="37" fontId="0" fillId="14" borderId="0" xfId="0" applyNumberFormat="1" applyFill="1"/>
    <xf numFmtId="3" fontId="3" fillId="0" borderId="0" xfId="27" applyNumberFormat="1" applyFont="1" applyFill="1"/>
    <xf numFmtId="37" fontId="43" fillId="0" borderId="0" xfId="27" applyNumberFormat="1" applyFont="1" applyFill="1"/>
    <xf numFmtId="37" fontId="5" fillId="14" borderId="0" xfId="27" applyNumberFormat="1" applyFont="1" applyFill="1" applyBorder="1"/>
    <xf numFmtId="7" fontId="5" fillId="4" borderId="0" xfId="27" applyNumberFormat="1" applyFont="1" applyFill="1"/>
    <xf numFmtId="7" fontId="5" fillId="0" borderId="0" xfId="27" applyNumberFormat="1" applyFont="1" applyFill="1"/>
    <xf numFmtId="7" fontId="5" fillId="0" borderId="0" xfId="27" applyNumberFormat="1" applyFont="1" applyFill="1" applyBorder="1"/>
    <xf numFmtId="7" fontId="5" fillId="0" borderId="0" xfId="30" applyNumberFormat="1" applyFont="1" applyFill="1" applyBorder="1"/>
    <xf numFmtId="7" fontId="3" fillId="0" borderId="0" xfId="30" applyNumberFormat="1" applyFont="1" applyFill="1" applyBorder="1"/>
    <xf numFmtId="7" fontId="3" fillId="0" borderId="0" xfId="30" applyNumberFormat="1" applyFont="1" applyFill="1" applyBorder="1" applyAlignment="1">
      <alignment horizontal="right"/>
    </xf>
    <xf numFmtId="37" fontId="0" fillId="0" borderId="0" xfId="0" applyNumberFormat="1" applyFill="1"/>
    <xf numFmtId="37" fontId="10" fillId="0" borderId="0" xfId="11" applyNumberFormat="1" applyFont="1" applyFill="1"/>
    <xf numFmtId="37" fontId="3" fillId="0" borderId="0" xfId="11" applyNumberFormat="1" applyFont="1" applyFill="1"/>
    <xf numFmtId="37" fontId="3" fillId="0" borderId="0" xfId="11" applyNumberFormat="1" applyFont="1" applyFill="1" applyBorder="1"/>
    <xf numFmtId="37" fontId="43" fillId="14" borderId="0" xfId="11" applyNumberFormat="1" applyFont="1" applyFill="1"/>
    <xf numFmtId="39" fontId="3" fillId="0" borderId="0" xfId="27" applyNumberFormat="1" applyFont="1" applyFill="1"/>
    <xf numFmtId="39" fontId="3" fillId="0" borderId="0" xfId="11" applyNumberFormat="1" applyFont="1" applyFill="1"/>
    <xf numFmtId="39" fontId="0" fillId="0" borderId="0" xfId="0" applyNumberFormat="1" applyFill="1"/>
    <xf numFmtId="39" fontId="3" fillId="0" borderId="0" xfId="11" applyNumberFormat="1" applyFont="1" applyFill="1" applyBorder="1"/>
    <xf numFmtId="39" fontId="3" fillId="0" borderId="0" xfId="27" applyNumberFormat="1" applyFont="1" applyFill="1" applyBorder="1"/>
    <xf numFmtId="9" fontId="3" fillId="0" borderId="0" xfId="27" applyNumberFormat="1" applyFont="1" applyFill="1"/>
    <xf numFmtId="4" fontId="3" fillId="0" borderId="0" xfId="27" applyNumberFormat="1" applyFont="1" applyFill="1"/>
    <xf numFmtId="8" fontId="3" fillId="0" borderId="0" xfId="27" applyNumberFormat="1" applyFont="1" applyFill="1"/>
    <xf numFmtId="9" fontId="3" fillId="0" borderId="0" xfId="27" applyNumberFormat="1" applyFont="1" applyFill="1" applyBorder="1"/>
    <xf numFmtId="37" fontId="11" fillId="0" borderId="0" xfId="27" applyNumberFormat="1" applyFont="1" applyFill="1"/>
    <xf numFmtId="37" fontId="21" fillId="0" borderId="0" xfId="27" applyNumberFormat="1" applyFont="1" applyFill="1"/>
    <xf numFmtId="37" fontId="21" fillId="0" borderId="0" xfId="27" applyNumberFormat="1" applyFont="1" applyFill="1" applyBorder="1"/>
    <xf numFmtId="7" fontId="20" fillId="0" borderId="0" xfId="11" applyNumberFormat="1" applyFont="1" applyFill="1"/>
    <xf numFmtId="7" fontId="3" fillId="0" borderId="0" xfId="11" applyNumberFormat="1" applyFont="1" applyFill="1"/>
    <xf numFmtId="7" fontId="10" fillId="0" borderId="0" xfId="11" applyNumberFormat="1" applyFont="1" applyFill="1"/>
    <xf numFmtId="44" fontId="3" fillId="0" borderId="0" xfId="11" applyFont="1" applyFill="1" applyBorder="1"/>
    <xf numFmtId="7" fontId="3" fillId="0" borderId="0" xfId="11" applyNumberFormat="1" applyFont="1" applyFill="1" applyBorder="1"/>
    <xf numFmtId="7" fontId="10" fillId="0" borderId="0" xfId="11" applyNumberFormat="1" applyFont="1" applyFill="1" applyBorder="1"/>
    <xf numFmtId="0" fontId="3" fillId="0" borderId="0" xfId="27" quotePrefix="1" applyFont="1" applyFill="1"/>
    <xf numFmtId="4" fontId="3" fillId="0" borderId="0" xfId="30" applyNumberFormat="1" applyFont="1" applyFill="1"/>
    <xf numFmtId="175" fontId="3" fillId="0" borderId="0" xfId="11" applyNumberFormat="1" applyFont="1" applyFill="1" applyBorder="1"/>
    <xf numFmtId="168" fontId="3" fillId="0" borderId="0" xfId="11" applyNumberFormat="1" applyFont="1" applyFill="1" applyBorder="1"/>
    <xf numFmtId="168" fontId="3" fillId="0" borderId="0" xfId="27" applyNumberFormat="1" applyFont="1" applyFill="1"/>
    <xf numFmtId="168" fontId="3" fillId="0" borderId="0" xfId="27" applyNumberFormat="1" applyFont="1" applyFill="1" applyBorder="1"/>
    <xf numFmtId="164" fontId="3" fillId="0" borderId="0" xfId="27" applyNumberFormat="1" applyFont="1" applyFill="1"/>
    <xf numFmtId="174" fontId="3" fillId="0" borderId="0" xfId="27" applyNumberFormat="1" applyFont="1" applyFill="1"/>
    <xf numFmtId="174" fontId="3" fillId="0" borderId="0" xfId="27" applyNumberFormat="1" applyFont="1" applyFill="1" applyBorder="1"/>
    <xf numFmtId="0" fontId="7" fillId="3" borderId="0" xfId="0" applyNumberFormat="1" applyFont="1" applyFill="1" applyBorder="1" applyAlignment="1">
      <alignment horizontal="left"/>
    </xf>
    <xf numFmtId="0" fontId="7" fillId="0" borderId="0" xfId="0" applyNumberFormat="1" applyFont="1" applyFill="1" applyBorder="1" applyAlignment="1">
      <alignment horizontal="left"/>
    </xf>
    <xf numFmtId="174" fontId="7" fillId="3" borderId="0" xfId="27" applyNumberFormat="1" applyFont="1" applyFill="1" applyBorder="1"/>
    <xf numFmtId="0" fontId="0" fillId="0" borderId="0" xfId="0" applyBorder="1"/>
    <xf numFmtId="0" fontId="3" fillId="0" borderId="0" xfId="0" applyNumberFormat="1" applyFont="1" applyFill="1" applyBorder="1" applyAlignment="1">
      <alignment horizontal="left"/>
    </xf>
    <xf numFmtId="164" fontId="3" fillId="0" borderId="0" xfId="27" applyNumberFormat="1" applyFont="1" applyFill="1" applyBorder="1"/>
    <xf numFmtId="37" fontId="5" fillId="0" borderId="0" xfId="30" applyNumberFormat="1" applyFont="1" applyFill="1" applyBorder="1"/>
    <xf numFmtId="37" fontId="7" fillId="3" borderId="0" xfId="0" applyNumberFormat="1" applyFont="1" applyFill="1" applyBorder="1" applyAlignment="1">
      <alignment horizontal="left"/>
    </xf>
    <xf numFmtId="37" fontId="7" fillId="0" borderId="0" xfId="0" applyNumberFormat="1" applyFont="1" applyFill="1" applyBorder="1" applyAlignment="1">
      <alignment horizontal="left"/>
    </xf>
    <xf numFmtId="37" fontId="0" fillId="0" borderId="0" xfId="0" applyNumberFormat="1" applyBorder="1"/>
    <xf numFmtId="164" fontId="22" fillId="0" borderId="0" xfId="27" applyNumberFormat="1" applyFont="1" applyFill="1"/>
    <xf numFmtId="164" fontId="22" fillId="0" borderId="0" xfId="27" applyNumberFormat="1" applyFont="1" applyFill="1" applyBorder="1"/>
    <xf numFmtId="164" fontId="10" fillId="0" borderId="0" xfId="27" applyNumberFormat="1" applyFont="1" applyFill="1"/>
    <xf numFmtId="0" fontId="5" fillId="0" borderId="0" xfId="27" applyFont="1" applyFill="1"/>
    <xf numFmtId="166" fontId="5" fillId="0" borderId="0" xfId="27" applyNumberFormat="1" applyFont="1" applyFill="1" applyBorder="1"/>
    <xf numFmtId="0" fontId="5" fillId="0" borderId="0" xfId="27" quotePrefix="1" applyFont="1" applyFill="1" applyBorder="1" applyAlignment="1">
      <alignment horizontal="center"/>
    </xf>
    <xf numFmtId="0" fontId="5" fillId="0" borderId="0" xfId="27" applyFont="1" applyFill="1" applyBorder="1"/>
    <xf numFmtId="166" fontId="22" fillId="0" borderId="0" xfId="30" applyNumberFormat="1" applyFont="1" applyFill="1" applyBorder="1"/>
    <xf numFmtId="166" fontId="8" fillId="0" borderId="0" xfId="30" quotePrefix="1" applyNumberFormat="1" applyFont="1" applyFill="1" applyBorder="1" applyAlignment="1">
      <alignment horizontal="center"/>
    </xf>
    <xf numFmtId="166" fontId="5" fillId="0" borderId="0" xfId="27" applyNumberFormat="1" applyFont="1" applyFill="1" applyBorder="1" applyAlignment="1">
      <alignment horizontal="center"/>
    </xf>
    <xf numFmtId="0" fontId="9" fillId="0" borderId="0" xfId="0" applyFont="1" applyAlignment="1">
      <alignment horizontal="center"/>
    </xf>
    <xf numFmtId="166" fontId="23" fillId="0" borderId="0" xfId="30" quotePrefix="1" applyNumberFormat="1" applyFont="1" applyFill="1" applyBorder="1" applyAlignment="1">
      <alignment horizontal="center"/>
    </xf>
    <xf numFmtId="164" fontId="3" fillId="0" borderId="0" xfId="27" applyNumberFormat="1" applyFont="1" applyFill="1" applyBorder="1" applyAlignment="1">
      <alignment horizontal="center"/>
    </xf>
    <xf numFmtId="0" fontId="0" fillId="0" borderId="0" xfId="0" applyFill="1" applyBorder="1"/>
    <xf numFmtId="0" fontId="0" fillId="6" borderId="0" xfId="0" applyFill="1"/>
    <xf numFmtId="0" fontId="7" fillId="3" borderId="3" xfId="0" applyNumberFormat="1" applyFont="1" applyFill="1" applyBorder="1" applyAlignment="1">
      <alignment horizontal="left"/>
    </xf>
    <xf numFmtId="37" fontId="3" fillId="0" borderId="0" xfId="27" applyNumberFormat="1" applyFont="1"/>
    <xf numFmtId="37" fontId="3" fillId="14" borderId="0" xfId="27" applyNumberFormat="1" applyFont="1" applyFill="1" applyAlignment="1">
      <alignment horizontal="left"/>
    </xf>
    <xf numFmtId="37" fontId="43" fillId="0" borderId="3" xfId="27" applyNumberFormat="1" applyFont="1" applyFill="1" applyBorder="1"/>
    <xf numFmtId="175" fontId="10" fillId="0" borderId="0" xfId="27" applyNumberFormat="1" applyFont="1" applyFill="1" applyBorder="1"/>
    <xf numFmtId="175" fontId="3" fillId="0" borderId="0" xfId="27" applyNumberFormat="1" applyFont="1" applyFill="1" applyBorder="1"/>
    <xf numFmtId="5" fontId="10" fillId="0" borderId="0" xfId="27" applyNumberFormat="1" applyFont="1" applyFill="1" applyBorder="1"/>
    <xf numFmtId="44" fontId="10" fillId="0" borderId="0" xfId="27" applyNumberFormat="1" applyFont="1" applyFill="1" applyBorder="1"/>
    <xf numFmtId="7" fontId="10" fillId="14" borderId="0" xfId="27" applyNumberFormat="1" applyFont="1" applyFill="1" applyBorder="1" applyAlignment="1">
      <alignment horizontal="right"/>
    </xf>
    <xf numFmtId="168" fontId="10" fillId="0" borderId="0" xfId="27" applyNumberFormat="1" applyFont="1" applyFill="1" applyBorder="1"/>
    <xf numFmtId="177" fontId="3" fillId="0" borderId="0" xfId="27" applyNumberFormat="1" applyFont="1" applyFill="1" applyBorder="1"/>
    <xf numFmtId="3" fontId="10" fillId="0" borderId="0" xfId="30" applyNumberFormat="1" applyFont="1" applyFill="1"/>
    <xf numFmtId="175" fontId="10" fillId="14" borderId="0" xfId="27" applyNumberFormat="1" applyFont="1" applyFill="1" applyBorder="1"/>
    <xf numFmtId="179" fontId="3" fillId="0" borderId="0" xfId="27" applyNumberFormat="1" applyFont="1" applyFill="1" applyBorder="1"/>
    <xf numFmtId="0" fontId="3" fillId="0" borderId="0" xfId="0" quotePrefix="1" applyFont="1" applyFill="1"/>
    <xf numFmtId="0" fontId="5" fillId="0" borderId="0" xfId="0" applyNumberFormat="1" applyFont="1" applyFill="1" applyBorder="1"/>
    <xf numFmtId="0" fontId="5" fillId="0" borderId="0" xfId="27" applyFont="1"/>
    <xf numFmtId="176" fontId="3" fillId="0" borderId="0" xfId="27" applyNumberFormat="1" applyFont="1" applyFill="1"/>
    <xf numFmtId="0" fontId="3" fillId="0" borderId="0" xfId="27" applyFont="1" applyAlignment="1">
      <alignment horizontal="left" indent="2"/>
    </xf>
    <xf numFmtId="0" fontId="3" fillId="0" borderId="0" xfId="27" quotePrefix="1" applyFont="1" applyAlignment="1">
      <alignment horizontal="left" indent="2"/>
    </xf>
    <xf numFmtId="166" fontId="3" fillId="0" borderId="0" xfId="27" applyNumberFormat="1" applyFont="1" applyFill="1" applyBorder="1" applyAlignment="1">
      <alignment horizontal="right"/>
    </xf>
    <xf numFmtId="0" fontId="3" fillId="0" borderId="0" xfId="27" quotePrefix="1" applyFont="1"/>
    <xf numFmtId="166" fontId="10" fillId="0" borderId="0" xfId="27" applyNumberFormat="1" applyFont="1" applyFill="1"/>
    <xf numFmtId="9" fontId="10" fillId="0" borderId="0" xfId="27" applyNumberFormat="1" applyFont="1" applyFill="1"/>
    <xf numFmtId="0" fontId="5" fillId="0" borderId="0" xfId="27" quotePrefix="1" applyFont="1"/>
    <xf numFmtId="0" fontId="5" fillId="0" borderId="0" xfId="27" quotePrefix="1" applyFont="1" applyFill="1"/>
    <xf numFmtId="175" fontId="10" fillId="0" borderId="4" xfId="27" applyNumberFormat="1" applyFont="1" applyFill="1" applyBorder="1"/>
    <xf numFmtId="174" fontId="5" fillId="4" borderId="0" xfId="21" applyNumberFormat="1" applyFont="1" applyFill="1"/>
    <xf numFmtId="174" fontId="5" fillId="0" borderId="0" xfId="21" applyNumberFormat="1" applyFont="1" applyFill="1"/>
    <xf numFmtId="41" fontId="10" fillId="5" borderId="0" xfId="27" applyNumberFormat="1" applyFont="1" applyFill="1" applyBorder="1"/>
    <xf numFmtId="174" fontId="5" fillId="0" borderId="0" xfId="21" applyNumberFormat="1" applyFont="1"/>
    <xf numFmtId="164" fontId="5" fillId="0" borderId="0" xfId="27" applyNumberFormat="1" applyFont="1" applyFill="1" applyBorder="1"/>
    <xf numFmtId="174" fontId="3" fillId="0" borderId="0" xfId="21" applyNumberFormat="1" applyFont="1"/>
    <xf numFmtId="164" fontId="3" fillId="0" borderId="0" xfId="22" applyNumberFormat="1" applyFont="1" applyFill="1" applyBorder="1"/>
    <xf numFmtId="174" fontId="3" fillId="0" borderId="0" xfId="21" applyNumberFormat="1" applyFont="1" applyFill="1"/>
    <xf numFmtId="0" fontId="5" fillId="0" borderId="0" xfId="26" applyFont="1"/>
    <xf numFmtId="0" fontId="5" fillId="0" borderId="0" xfId="26" applyFont="1" applyFill="1"/>
    <xf numFmtId="0" fontId="7" fillId="8" borderId="0" xfId="27" applyFont="1" applyFill="1"/>
    <xf numFmtId="0" fontId="7" fillId="0" borderId="0" xfId="27" applyFont="1" applyFill="1"/>
    <xf numFmtId="0" fontId="5" fillId="9" borderId="5" xfId="27" applyFont="1" applyFill="1" applyBorder="1"/>
    <xf numFmtId="168" fontId="5" fillId="10" borderId="4" xfId="27" applyNumberFormat="1" applyFont="1" applyFill="1" applyBorder="1" applyAlignment="1">
      <alignment horizontal="center"/>
    </xf>
    <xf numFmtId="168" fontId="5" fillId="0" borderId="0" xfId="27" applyNumberFormat="1" applyFont="1" applyFill="1" applyBorder="1" applyAlignment="1">
      <alignment horizontal="center"/>
    </xf>
    <xf numFmtId="14" fontId="5" fillId="10" borderId="6" xfId="27" applyNumberFormat="1" applyFont="1" applyFill="1" applyBorder="1"/>
    <xf numFmtId="14" fontId="11" fillId="10" borderId="0" xfId="27" applyNumberFormat="1" applyFont="1" applyFill="1" applyBorder="1" applyAlignment="1">
      <alignment horizontal="center"/>
    </xf>
    <xf numFmtId="14" fontId="5" fillId="0" borderId="0" xfId="27" applyNumberFormat="1" applyFont="1" applyFill="1" applyBorder="1"/>
    <xf numFmtId="0" fontId="21" fillId="10" borderId="6" xfId="27" applyFont="1" applyFill="1" applyBorder="1"/>
    <xf numFmtId="168" fontId="3" fillId="10" borderId="0" xfId="27" applyNumberFormat="1" applyFont="1" applyFill="1" applyBorder="1"/>
    <xf numFmtId="0" fontId="21" fillId="0" borderId="0" xfId="27" applyFont="1" applyFill="1" applyBorder="1"/>
    <xf numFmtId="0" fontId="3" fillId="10" borderId="6" xfId="27" applyFont="1" applyFill="1" applyBorder="1"/>
    <xf numFmtId="41" fontId="3" fillId="10" borderId="0" xfId="27" applyNumberFormat="1" applyFont="1" applyFill="1" applyBorder="1"/>
    <xf numFmtId="0" fontId="24" fillId="0" borderId="0" xfId="27" applyFont="1" applyFill="1" applyBorder="1"/>
    <xf numFmtId="0" fontId="24" fillId="10" borderId="6" xfId="27" applyFont="1" applyFill="1" applyBorder="1"/>
    <xf numFmtId="41" fontId="24" fillId="10" borderId="0" xfId="27" applyNumberFormat="1" applyFont="1" applyFill="1" applyBorder="1"/>
    <xf numFmtId="41" fontId="24" fillId="0" borderId="0" xfId="27" applyNumberFormat="1" applyFont="1" applyFill="1" applyBorder="1"/>
    <xf numFmtId="0" fontId="7" fillId="3" borderId="7" xfId="0" applyNumberFormat="1" applyFont="1" applyFill="1" applyBorder="1" applyAlignment="1">
      <alignment horizontal="left"/>
    </xf>
    <xf numFmtId="0" fontId="7" fillId="0" borderId="7" xfId="0" applyNumberFormat="1" applyFont="1" applyFill="1" applyBorder="1" applyAlignment="1">
      <alignment horizontal="left"/>
    </xf>
    <xf numFmtId="0" fontId="11" fillId="0" borderId="0" xfId="27" applyFont="1"/>
    <xf numFmtId="0" fontId="11" fillId="0" borderId="0" xfId="27" applyFont="1" applyFill="1"/>
    <xf numFmtId="37" fontId="3" fillId="0" borderId="0" xfId="27" applyNumberFormat="1" applyFont="1" applyBorder="1" applyAlignment="1">
      <alignment horizontal="center"/>
    </xf>
    <xf numFmtId="37" fontId="5" fillId="0" borderId="0" xfId="27" applyNumberFormat="1" applyFont="1" applyBorder="1" applyAlignment="1">
      <alignment horizontal="center"/>
    </xf>
    <xf numFmtId="0" fontId="8" fillId="0" borderId="0" xfId="27" quotePrefix="1" applyFont="1"/>
    <xf numFmtId="166" fontId="8" fillId="0" borderId="0" xfId="30" applyNumberFormat="1" applyFont="1" applyBorder="1" applyAlignment="1">
      <alignment horizontal="center"/>
    </xf>
    <xf numFmtId="0" fontId="8" fillId="0" borderId="0" xfId="27" applyFont="1"/>
    <xf numFmtId="0" fontId="8" fillId="0" borderId="0" xfId="27" quotePrefix="1" applyFont="1" applyFill="1"/>
    <xf numFmtId="0" fontId="8" fillId="0" borderId="0" xfId="27" applyFont="1" applyFill="1" applyBorder="1"/>
    <xf numFmtId="166" fontId="3" fillId="0" borderId="0" xfId="30" applyNumberFormat="1" applyFont="1" applyBorder="1" applyAlignment="1">
      <alignment horizontal="center"/>
    </xf>
    <xf numFmtId="9" fontId="3" fillId="0" borderId="0" xfId="30" applyNumberFormat="1" applyFont="1"/>
    <xf numFmtId="9" fontId="3" fillId="0" borderId="0" xfId="27" applyNumberFormat="1" applyFont="1" applyBorder="1" applyAlignment="1">
      <alignment horizontal="center"/>
    </xf>
    <xf numFmtId="9" fontId="5" fillId="0" borderId="0" xfId="27" applyNumberFormat="1" applyFont="1" applyBorder="1" applyAlignment="1">
      <alignment horizontal="center"/>
    </xf>
    <xf numFmtId="9" fontId="3" fillId="0" borderId="0" xfId="27" applyNumberFormat="1" applyFont="1" applyBorder="1"/>
    <xf numFmtId="9" fontId="3" fillId="0" borderId="0" xfId="27" applyNumberFormat="1" applyFont="1" applyAlignment="1">
      <alignment horizontal="center"/>
    </xf>
    <xf numFmtId="166" fontId="3" fillId="0" borderId="0" xfId="27" applyNumberFormat="1" applyFont="1" applyAlignment="1">
      <alignment horizontal="center"/>
    </xf>
    <xf numFmtId="181" fontId="3" fillId="0" borderId="0" xfId="27" applyNumberFormat="1" applyFont="1"/>
    <xf numFmtId="168" fontId="3" fillId="6" borderId="0" xfId="27" applyNumberFormat="1" applyFont="1" applyFill="1"/>
    <xf numFmtId="0" fontId="3" fillId="6" borderId="0" xfId="27" applyFont="1" applyFill="1"/>
    <xf numFmtId="182" fontId="16" fillId="0" borderId="0" xfId="10" applyNumberFormat="1" applyFont="1"/>
    <xf numFmtId="182" fontId="0" fillId="0" borderId="0" xfId="10" applyNumberFormat="1" applyFont="1"/>
    <xf numFmtId="182" fontId="0" fillId="0" borderId="0" xfId="10" applyNumberFormat="1" applyFont="1" applyFill="1"/>
    <xf numFmtId="182" fontId="3" fillId="0" borderId="0" xfId="10" applyNumberFormat="1" applyFont="1" applyFill="1" applyBorder="1"/>
    <xf numFmtId="182" fontId="0" fillId="0" borderId="0" xfId="10" applyNumberFormat="1" applyFont="1" applyFill="1" applyBorder="1"/>
    <xf numFmtId="0" fontId="3" fillId="11" borderId="0" xfId="27" applyFont="1" applyFill="1"/>
    <xf numFmtId="0" fontId="3" fillId="11" borderId="0" xfId="27" applyFont="1" applyFill="1" applyBorder="1"/>
    <xf numFmtId="0" fontId="7" fillId="11" borderId="0" xfId="27" applyFont="1" applyFill="1"/>
    <xf numFmtId="0" fontId="3" fillId="11" borderId="0" xfId="27" applyFont="1" applyFill="1" applyAlignment="1">
      <alignment horizontal="center"/>
    </xf>
    <xf numFmtId="0" fontId="3" fillId="0" borderId="0" xfId="0" applyFont="1" applyFill="1" applyAlignment="1">
      <alignment horizontal="right"/>
    </xf>
    <xf numFmtId="168" fontId="5" fillId="11" borderId="0" xfId="27" applyNumberFormat="1" applyFont="1" applyFill="1" applyAlignment="1">
      <alignment horizontal="center"/>
    </xf>
    <xf numFmtId="168" fontId="5" fillId="11" borderId="0" xfId="27" applyNumberFormat="1" applyFont="1" applyFill="1" applyBorder="1" applyAlignment="1">
      <alignment horizontal="center"/>
    </xf>
    <xf numFmtId="168" fontId="5" fillId="0" borderId="0" xfId="27" applyNumberFormat="1" applyFont="1" applyAlignment="1">
      <alignment horizontal="center"/>
    </xf>
    <xf numFmtId="14" fontId="11" fillId="11" borderId="0" xfId="27" applyNumberFormat="1" applyFont="1" applyFill="1" applyAlignment="1">
      <alignment horizontal="center"/>
    </xf>
    <xf numFmtId="14" fontId="11" fillId="11" borderId="0" xfId="27" applyNumberFormat="1" applyFont="1" applyFill="1" applyBorder="1" applyAlignment="1">
      <alignment horizontal="center"/>
    </xf>
    <xf numFmtId="0" fontId="7" fillId="3" borderId="0" xfId="27" applyNumberFormat="1" applyFont="1" applyFill="1" applyAlignment="1">
      <alignment horizontal="left"/>
    </xf>
    <xf numFmtId="0" fontId="7" fillId="11" borderId="0" xfId="28" applyNumberFormat="1" applyFont="1" applyFill="1" applyAlignment="1">
      <alignment horizontal="center"/>
    </xf>
    <xf numFmtId="0" fontId="7" fillId="11" borderId="0" xfId="28" applyNumberFormat="1" applyFont="1" applyFill="1" applyBorder="1" applyAlignment="1">
      <alignment horizontal="center"/>
    </xf>
    <xf numFmtId="0" fontId="7" fillId="11" borderId="0" xfId="28" quotePrefix="1" applyNumberFormat="1" applyFont="1" applyFill="1" applyAlignment="1">
      <alignment horizontal="center"/>
    </xf>
    <xf numFmtId="0" fontId="5" fillId="0" borderId="0" xfId="27" applyFont="1" applyFill="1" applyAlignment="1"/>
    <xf numFmtId="175" fontId="3" fillId="0" borderId="0" xfId="27" applyNumberFormat="1" applyFont="1" applyFill="1"/>
    <xf numFmtId="0" fontId="3" fillId="0" borderId="0" xfId="27" applyNumberFormat="1" applyFont="1" applyFill="1"/>
    <xf numFmtId="175" fontId="10" fillId="0" borderId="0" xfId="27" applyNumberFormat="1" applyFont="1" applyFill="1"/>
    <xf numFmtId="175" fontId="3" fillId="0" borderId="0" xfId="27" applyNumberFormat="1" applyFont="1"/>
    <xf numFmtId="175" fontId="0" fillId="0" borderId="0" xfId="0" applyNumberFormat="1"/>
    <xf numFmtId="175" fontId="3" fillId="0" borderId="0" xfId="27" applyNumberFormat="1" applyFont="1" applyBorder="1"/>
    <xf numFmtId="175" fontId="3" fillId="0" borderId="4" xfId="27" applyNumberFormat="1" applyFont="1" applyFill="1" applyBorder="1"/>
    <xf numFmtId="175" fontId="3" fillId="0" borderId="4" xfId="27" applyNumberFormat="1" applyFont="1" applyBorder="1"/>
    <xf numFmtId="0" fontId="3" fillId="0" borderId="3" xfId="27" applyNumberFormat="1" applyFont="1" applyFill="1" applyBorder="1"/>
    <xf numFmtId="175" fontId="3" fillId="0" borderId="3" xfId="27" applyNumberFormat="1" applyFont="1" applyFill="1" applyBorder="1"/>
    <xf numFmtId="175" fontId="10" fillId="0" borderId="3" xfId="27" applyNumberFormat="1" applyFont="1" applyFill="1" applyBorder="1"/>
    <xf numFmtId="175" fontId="3" fillId="0" borderId="3" xfId="27" applyNumberFormat="1" applyFont="1" applyBorder="1"/>
    <xf numFmtId="0" fontId="3" fillId="0" borderId="0" xfId="27" quotePrefix="1" applyNumberFormat="1" applyFont="1" applyFill="1" applyBorder="1" applyAlignment="1"/>
    <xf numFmtId="175" fontId="5" fillId="0" borderId="0" xfId="27" applyNumberFormat="1" applyFont="1" applyFill="1" applyBorder="1"/>
    <xf numFmtId="175" fontId="5" fillId="0" borderId="0" xfId="27" applyNumberFormat="1" applyFont="1" applyBorder="1"/>
    <xf numFmtId="0" fontId="21" fillId="0" borderId="0" xfId="27" applyFont="1" applyFill="1" applyAlignment="1"/>
    <xf numFmtId="0" fontId="3" fillId="0" borderId="0" xfId="27" quotePrefix="1" applyFont="1" applyFill="1" applyBorder="1"/>
    <xf numFmtId="175" fontId="5" fillId="0" borderId="0" xfId="27" applyNumberFormat="1" applyFont="1" applyFill="1"/>
    <xf numFmtId="175" fontId="5" fillId="0" borderId="0" xfId="27" applyNumberFormat="1" applyFont="1"/>
    <xf numFmtId="175" fontId="5" fillId="11" borderId="0" xfId="27" applyNumberFormat="1" applyFont="1" applyFill="1"/>
    <xf numFmtId="175" fontId="5" fillId="11" borderId="0" xfId="27" applyNumberFormat="1" applyFont="1" applyFill="1" applyBorder="1"/>
    <xf numFmtId="175" fontId="3" fillId="11" borderId="0" xfId="27" applyNumberFormat="1" applyFont="1" applyFill="1"/>
    <xf numFmtId="175" fontId="10" fillId="11" borderId="0" xfId="27" applyNumberFormat="1" applyFont="1" applyFill="1"/>
    <xf numFmtId="175" fontId="10" fillId="11" borderId="0" xfId="27" applyNumberFormat="1" applyFont="1" applyFill="1" applyBorder="1"/>
    <xf numFmtId="169" fontId="10" fillId="0" borderId="0" xfId="27" applyNumberFormat="1" applyFont="1"/>
    <xf numFmtId="175" fontId="10" fillId="0" borderId="0" xfId="27" applyNumberFormat="1" applyFont="1" applyBorder="1"/>
    <xf numFmtId="175" fontId="24" fillId="11" borderId="0" xfId="27" applyNumberFormat="1" applyFont="1" applyFill="1"/>
    <xf numFmtId="175" fontId="24" fillId="11" borderId="0" xfId="27" applyNumberFormat="1" applyFont="1" applyFill="1" applyBorder="1"/>
    <xf numFmtId="175" fontId="24" fillId="0" borderId="0" xfId="27" applyNumberFormat="1" applyFont="1"/>
    <xf numFmtId="0" fontId="3" fillId="0" borderId="0" xfId="27" applyFont="1" applyBorder="1"/>
    <xf numFmtId="175" fontId="3" fillId="11" borderId="0" xfId="27" applyNumberFormat="1" applyFont="1" applyFill="1" applyBorder="1"/>
    <xf numFmtId="175" fontId="43" fillId="0" borderId="0" xfId="27" applyNumberFormat="1" applyFont="1" applyBorder="1"/>
    <xf numFmtId="175" fontId="3" fillId="11" borderId="3" xfId="27" applyNumberFormat="1" applyFont="1" applyFill="1" applyBorder="1"/>
    <xf numFmtId="175" fontId="10" fillId="11" borderId="3" xfId="27" applyNumberFormat="1" applyFont="1" applyFill="1" applyBorder="1"/>
    <xf numFmtId="175" fontId="43" fillId="0" borderId="3" xfId="27" applyNumberFormat="1" applyFont="1" applyBorder="1"/>
    <xf numFmtId="175" fontId="10" fillId="0" borderId="3" xfId="27" applyNumberFormat="1" applyFont="1" applyBorder="1"/>
    <xf numFmtId="0" fontId="5" fillId="0" borderId="0" xfId="27" applyFont="1" applyBorder="1"/>
    <xf numFmtId="4" fontId="3" fillId="0" borderId="0" xfId="27" applyNumberFormat="1" applyFont="1"/>
    <xf numFmtId="175" fontId="3" fillId="11" borderId="0" xfId="27" applyNumberFormat="1" applyFont="1" applyFill="1" applyAlignment="1">
      <alignment horizontal="right"/>
    </xf>
    <xf numFmtId="175" fontId="3" fillId="11" borderId="0" xfId="27" applyNumberFormat="1" applyFont="1" applyFill="1" applyBorder="1" applyAlignment="1">
      <alignment horizontal="right"/>
    </xf>
    <xf numFmtId="175" fontId="3" fillId="0" borderId="0" xfId="27" applyNumberFormat="1" applyFont="1" applyFill="1" applyBorder="1" applyAlignment="1">
      <alignment horizontal="right"/>
    </xf>
    <xf numFmtId="183" fontId="3" fillId="0" borderId="0" xfId="27" applyNumberFormat="1" applyFont="1" applyAlignment="1">
      <alignment horizontal="right"/>
    </xf>
    <xf numFmtId="179" fontId="3" fillId="0" borderId="0" xfId="27" applyNumberFormat="1" applyFont="1" applyAlignment="1">
      <alignment horizontal="right"/>
    </xf>
    <xf numFmtId="0" fontId="0" fillId="0" borderId="0" xfId="0" applyAlignment="1">
      <alignment horizontal="right"/>
    </xf>
    <xf numFmtId="0" fontId="7" fillId="3" borderId="7" xfId="27" applyFont="1" applyFill="1" applyBorder="1"/>
    <xf numFmtId="14" fontId="7" fillId="3" borderId="7" xfId="27" applyNumberFormat="1" applyFont="1" applyFill="1" applyBorder="1"/>
    <xf numFmtId="14" fontId="3" fillId="11" borderId="0" xfId="27" applyNumberFormat="1" applyFont="1" applyFill="1" applyBorder="1"/>
    <xf numFmtId="184" fontId="3" fillId="0" borderId="0" xfId="27" quotePrefix="1" applyNumberFormat="1" applyFont="1" applyFill="1" applyBorder="1"/>
    <xf numFmtId="37" fontId="3" fillId="0" borderId="0" xfId="27" quotePrefix="1" applyNumberFormat="1" applyFont="1" applyFill="1" applyBorder="1"/>
    <xf numFmtId="37" fontId="3" fillId="11" borderId="0" xfId="27" applyNumberFormat="1" applyFont="1" applyFill="1" applyBorder="1"/>
    <xf numFmtId="37" fontId="10" fillId="11" borderId="0" xfId="27" applyNumberFormat="1" applyFont="1" applyFill="1" applyBorder="1"/>
    <xf numFmtId="37" fontId="43" fillId="0" borderId="0" xfId="27" applyNumberFormat="1" applyFont="1" applyFill="1" applyBorder="1"/>
    <xf numFmtId="166" fontId="3" fillId="0" borderId="0" xfId="30" quotePrefix="1" applyNumberFormat="1" applyFont="1" applyFill="1" applyBorder="1"/>
    <xf numFmtId="166" fontId="3" fillId="11" borderId="0" xfId="30" applyNumberFormat="1" applyFont="1" applyFill="1" applyBorder="1"/>
    <xf numFmtId="164" fontId="3" fillId="0" borderId="0" xfId="30" applyNumberFormat="1" applyFont="1" applyFill="1" applyBorder="1"/>
    <xf numFmtId="166" fontId="43" fillId="0" borderId="0" xfId="30" applyNumberFormat="1" applyFont="1" applyFill="1" applyBorder="1"/>
    <xf numFmtId="184" fontId="3" fillId="0" borderId="0" xfId="27" applyNumberFormat="1" applyFont="1" applyFill="1" applyBorder="1"/>
    <xf numFmtId="184" fontId="3" fillId="11" borderId="0" xfId="27" applyNumberFormat="1" applyFont="1" applyFill="1" applyBorder="1"/>
    <xf numFmtId="175" fontId="3" fillId="0" borderId="0" xfId="27" quotePrefix="1" applyNumberFormat="1" applyFont="1" applyFill="1" applyBorder="1" applyAlignment="1">
      <alignment horizontal="right"/>
    </xf>
    <xf numFmtId="166" fontId="10" fillId="0" borderId="0" xfId="30" applyNumberFormat="1" applyFont="1" applyFill="1" applyBorder="1"/>
    <xf numFmtId="175" fontId="43" fillId="0" borderId="0" xfId="27" applyNumberFormat="1" applyFont="1" applyFill="1" applyBorder="1"/>
    <xf numFmtId="0" fontId="7" fillId="3" borderId="7" xfId="0" applyFont="1" applyFill="1" applyBorder="1"/>
    <xf numFmtId="43" fontId="7" fillId="3" borderId="7" xfId="10" applyFont="1" applyFill="1" applyBorder="1"/>
    <xf numFmtId="0" fontId="5" fillId="0" borderId="0" xfId="0" applyFont="1" applyFill="1" applyBorder="1"/>
    <xf numFmtId="43" fontId="3" fillId="11" borderId="0" xfId="10" applyFont="1" applyFill="1" applyBorder="1"/>
    <xf numFmtId="43" fontId="3" fillId="0" borderId="0" xfId="10" applyFont="1" applyFill="1" applyBorder="1"/>
    <xf numFmtId="0" fontId="3" fillId="0" borderId="0" xfId="0" applyFont="1" applyFill="1" applyBorder="1"/>
    <xf numFmtId="0" fontId="5" fillId="0" borderId="0" xfId="0" applyFont="1" applyBorder="1" applyAlignment="1">
      <alignment horizontal="left"/>
    </xf>
    <xf numFmtId="185" fontId="3" fillId="11" borderId="0" xfId="27" applyNumberFormat="1" applyFont="1" applyFill="1"/>
    <xf numFmtId="185" fontId="3" fillId="0" borderId="0" xfId="27" applyNumberFormat="1" applyFont="1"/>
    <xf numFmtId="164" fontId="3" fillId="0" borderId="0" xfId="0" applyNumberFormat="1" applyFont="1" applyBorder="1" applyAlignment="1">
      <alignment horizontal="left"/>
    </xf>
    <xf numFmtId="166" fontId="3" fillId="11" borderId="0" xfId="30" applyNumberFormat="1" applyFont="1" applyFill="1"/>
    <xf numFmtId="0" fontId="3" fillId="0" borderId="0" xfId="0" applyFont="1" applyBorder="1" applyAlignment="1">
      <alignment horizontal="left"/>
    </xf>
    <xf numFmtId="43" fontId="3" fillId="11" borderId="0" xfId="10" applyFont="1" applyFill="1"/>
    <xf numFmtId="43" fontId="3" fillId="0" borderId="0" xfId="10" applyFont="1"/>
    <xf numFmtId="0" fontId="3" fillId="0" borderId="0" xfId="0" applyFont="1" applyBorder="1"/>
    <xf numFmtId="182" fontId="3" fillId="11" borderId="0" xfId="10" applyNumberFormat="1" applyFont="1" applyFill="1"/>
    <xf numFmtId="182" fontId="3" fillId="0" borderId="0" xfId="10" applyNumberFormat="1" applyFont="1"/>
    <xf numFmtId="0" fontId="7" fillId="3" borderId="7" xfId="0" applyFont="1" applyFill="1" applyBorder="1" applyAlignment="1">
      <alignment horizontal="right"/>
    </xf>
    <xf numFmtId="38" fontId="7" fillId="3" borderId="7" xfId="0" applyNumberFormat="1" applyFont="1" applyFill="1" applyBorder="1" applyAlignment="1">
      <alignment horizontal="right"/>
    </xf>
    <xf numFmtId="0" fontId="3" fillId="11" borderId="0" xfId="0" applyFont="1" applyFill="1" applyBorder="1" applyAlignment="1">
      <alignment horizontal="right"/>
    </xf>
    <xf numFmtId="38" fontId="3" fillId="11" borderId="0" xfId="0" applyNumberFormat="1" applyFont="1" applyFill="1" applyBorder="1" applyAlignment="1">
      <alignment horizontal="right"/>
    </xf>
    <xf numFmtId="38" fontId="3" fillId="0" borderId="0" xfId="0" applyNumberFormat="1" applyFont="1" applyFill="1" applyBorder="1" applyAlignment="1">
      <alignment horizontal="right"/>
    </xf>
    <xf numFmtId="0" fontId="5" fillId="4" borderId="0" xfId="23" applyFont="1" applyFill="1" applyBorder="1"/>
    <xf numFmtId="0" fontId="3" fillId="0" borderId="0" xfId="23" quotePrefix="1" applyFont="1" applyBorder="1"/>
    <xf numFmtId="166" fontId="3" fillId="11" borderId="0" xfId="0" applyNumberFormat="1" applyFont="1" applyFill="1" applyBorder="1" applyAlignment="1">
      <alignment horizontal="right"/>
    </xf>
    <xf numFmtId="166" fontId="3" fillId="0" borderId="0" xfId="0" applyNumberFormat="1" applyFont="1" applyFill="1" applyBorder="1" applyAlignment="1">
      <alignment horizontal="right"/>
    </xf>
    <xf numFmtId="186" fontId="3" fillId="11" borderId="0" xfId="0" applyNumberFormat="1" applyFont="1" applyFill="1" applyBorder="1" applyAlignment="1">
      <alignment horizontal="right"/>
    </xf>
    <xf numFmtId="186" fontId="3" fillId="0" borderId="0" xfId="0" applyNumberFormat="1" applyFont="1" applyFill="1" applyBorder="1" applyAlignment="1">
      <alignment horizontal="right"/>
    </xf>
    <xf numFmtId="0" fontId="5" fillId="0" borderId="0" xfId="23" quotePrefix="1" applyFont="1" applyBorder="1"/>
    <xf numFmtId="0" fontId="5" fillId="11" borderId="0" xfId="27" applyFont="1" applyFill="1"/>
    <xf numFmtId="166" fontId="5" fillId="11" borderId="0" xfId="27" applyNumberFormat="1" applyFont="1" applyFill="1"/>
    <xf numFmtId="166" fontId="5" fillId="0" borderId="0" xfId="27" applyNumberFormat="1" applyFont="1"/>
    <xf numFmtId="0" fontId="5" fillId="4" borderId="0" xfId="27" applyFont="1" applyFill="1"/>
    <xf numFmtId="41" fontId="3" fillId="11" borderId="0" xfId="0" applyNumberFormat="1" applyFont="1" applyFill="1"/>
    <xf numFmtId="41" fontId="3" fillId="0" borderId="0" xfId="0" applyNumberFormat="1" applyFont="1" applyFill="1"/>
    <xf numFmtId="37" fontId="3" fillId="11" borderId="0" xfId="0" applyNumberFormat="1" applyFont="1" applyFill="1"/>
    <xf numFmtId="37" fontId="3" fillId="0" borderId="0" xfId="0" applyNumberFormat="1" applyFont="1" applyFill="1"/>
    <xf numFmtId="37" fontId="5" fillId="11" borderId="0" xfId="0" applyNumberFormat="1" applyFont="1" applyFill="1"/>
    <xf numFmtId="37" fontId="5" fillId="0" borderId="0" xfId="0" applyNumberFormat="1" applyFont="1" applyFill="1"/>
    <xf numFmtId="166" fontId="3" fillId="11" borderId="0" xfId="0" applyNumberFormat="1" applyFont="1" applyFill="1"/>
    <xf numFmtId="0" fontId="3" fillId="11" borderId="0" xfId="0" applyFont="1" applyFill="1"/>
    <xf numFmtId="175" fontId="3" fillId="11" borderId="0" xfId="0" applyNumberFormat="1" applyFont="1" applyFill="1"/>
    <xf numFmtId="175" fontId="3" fillId="0" borderId="0" xfId="0" applyNumberFormat="1" applyFont="1" applyFill="1"/>
    <xf numFmtId="166" fontId="5" fillId="11" borderId="0" xfId="0" applyNumberFormat="1" applyFont="1" applyFill="1"/>
    <xf numFmtId="166" fontId="5" fillId="0" borderId="0" xfId="0" applyNumberFormat="1" applyFont="1" applyFill="1"/>
    <xf numFmtId="164" fontId="3" fillId="0" borderId="0" xfId="27" quotePrefix="1" applyNumberFormat="1" applyFont="1" applyFill="1"/>
    <xf numFmtId="164" fontId="3" fillId="11" borderId="0" xfId="27" applyNumberFormat="1" applyFont="1" applyFill="1"/>
    <xf numFmtId="164" fontId="5" fillId="11" borderId="0" xfId="0" applyNumberFormat="1" applyFont="1" applyFill="1"/>
    <xf numFmtId="164" fontId="5" fillId="0" borderId="0" xfId="0" applyNumberFormat="1" applyFont="1" applyFill="1"/>
    <xf numFmtId="164" fontId="27" fillId="0" borderId="0" xfId="27" quotePrefix="1" applyNumberFormat="1" applyFont="1" applyFill="1"/>
    <xf numFmtId="164" fontId="27" fillId="11" borderId="0" xfId="0" applyNumberFormat="1" applyFont="1" applyFill="1"/>
    <xf numFmtId="164" fontId="27" fillId="0" borderId="0" xfId="0" applyNumberFormat="1" applyFont="1" applyFill="1"/>
    <xf numFmtId="0" fontId="27" fillId="0" borderId="0" xfId="27" quotePrefix="1" applyFont="1" applyFill="1"/>
    <xf numFmtId="176" fontId="27" fillId="11" borderId="0" xfId="0" applyNumberFormat="1" applyFont="1" applyFill="1"/>
    <xf numFmtId="176" fontId="27" fillId="0" borderId="0" xfId="0" applyNumberFormat="1" applyFont="1" applyFill="1"/>
    <xf numFmtId="164" fontId="3" fillId="0" borderId="0" xfId="27" applyNumberFormat="1" applyFont="1"/>
    <xf numFmtId="164" fontId="3" fillId="11" borderId="0" xfId="0" applyNumberFormat="1" applyFont="1" applyFill="1"/>
    <xf numFmtId="164" fontId="3" fillId="0" borderId="0" xfId="0" applyNumberFormat="1" applyFont="1" applyFill="1"/>
    <xf numFmtId="179" fontId="3" fillId="11" borderId="0" xfId="27" applyNumberFormat="1" applyFont="1" applyFill="1" applyBorder="1"/>
    <xf numFmtId="1" fontId="3" fillId="11" borderId="0" xfId="10" applyNumberFormat="1" applyFont="1" applyFill="1" applyBorder="1" applyAlignment="1">
      <alignment horizontal="right"/>
    </xf>
    <xf numFmtId="182" fontId="3" fillId="11" borderId="0" xfId="10" applyNumberFormat="1" applyFont="1" applyFill="1" applyBorder="1" applyAlignment="1">
      <alignment horizontal="right"/>
    </xf>
    <xf numFmtId="182" fontId="3" fillId="0" borderId="0" xfId="10" applyNumberFormat="1" applyFont="1" applyFill="1" applyBorder="1" applyAlignment="1">
      <alignment horizontal="right"/>
    </xf>
    <xf numFmtId="182" fontId="10" fillId="0" borderId="0" xfId="10" applyNumberFormat="1" applyFont="1" applyFill="1" applyBorder="1" applyAlignment="1">
      <alignment horizontal="right"/>
    </xf>
    <xf numFmtId="166" fontId="3" fillId="11" borderId="0" xfId="30" applyNumberFormat="1" applyFont="1" applyFill="1" applyBorder="1" applyAlignment="1">
      <alignment horizontal="right"/>
    </xf>
    <xf numFmtId="43" fontId="3" fillId="0" borderId="0" xfId="10" applyFont="1" applyFill="1"/>
    <xf numFmtId="175" fontId="3" fillId="0" borderId="6" xfId="27" applyNumberFormat="1" applyFont="1" applyFill="1" applyBorder="1"/>
    <xf numFmtId="0" fontId="3" fillId="12" borderId="0" xfId="27" applyFont="1" applyFill="1"/>
    <xf numFmtId="14" fontId="3" fillId="12" borderId="0" xfId="27" applyNumberFormat="1" applyFont="1" applyFill="1"/>
    <xf numFmtId="0" fontId="3" fillId="0" borderId="0" xfId="27" quotePrefix="1" applyFont="1" applyFill="1" applyBorder="1" applyAlignment="1">
      <alignment horizontal="left"/>
    </xf>
    <xf numFmtId="0" fontId="5" fillId="0" borderId="0" xfId="27" quotePrefix="1" applyFont="1" applyFill="1" applyBorder="1"/>
    <xf numFmtId="174" fontId="3" fillId="0" borderId="6" xfId="27" applyNumberFormat="1" applyFont="1" applyFill="1" applyBorder="1"/>
    <xf numFmtId="187" fontId="3" fillId="0" borderId="6" xfId="27" applyNumberFormat="1" applyFont="1" applyFill="1" applyBorder="1"/>
    <xf numFmtId="187" fontId="3" fillId="0" borderId="0" xfId="27" applyNumberFormat="1" applyFont="1" applyFill="1" applyBorder="1"/>
    <xf numFmtId="0" fontId="3" fillId="0" borderId="0" xfId="24" applyFont="1" applyFill="1" applyBorder="1"/>
    <xf numFmtId="0" fontId="21" fillId="0" borderId="0" xfId="27" applyFont="1"/>
    <xf numFmtId="166" fontId="3" fillId="0" borderId="0" xfId="30" applyNumberFormat="1" applyFont="1" applyAlignment="1">
      <alignment horizontal="right"/>
    </xf>
    <xf numFmtId="3" fontId="0" fillId="0" borderId="0" xfId="0" applyNumberFormat="1"/>
    <xf numFmtId="0" fontId="5" fillId="0" borderId="0" xfId="0" applyFont="1" applyFill="1" applyAlignment="1">
      <alignment horizontal="right"/>
    </xf>
    <xf numFmtId="0" fontId="1" fillId="0" borderId="0" xfId="0" applyFont="1"/>
    <xf numFmtId="39" fontId="43" fillId="0" borderId="0" xfId="11" applyNumberFormat="1" applyFont="1" applyFill="1"/>
    <xf numFmtId="9" fontId="0" fillId="0" borderId="0" xfId="30" applyFont="1"/>
    <xf numFmtId="44" fontId="43" fillId="0" borderId="0" xfId="27" applyNumberFormat="1" applyFont="1" applyFill="1" applyBorder="1"/>
    <xf numFmtId="5" fontId="3" fillId="0" borderId="0" xfId="27" applyNumberFormat="1" applyFont="1" applyFill="1" applyBorder="1"/>
    <xf numFmtId="5" fontId="3" fillId="14" borderId="0" xfId="27" applyNumberFormat="1" applyFont="1" applyFill="1" applyBorder="1"/>
    <xf numFmtId="5" fontId="0" fillId="0" borderId="0" xfId="0" applyNumberFormat="1" applyBorder="1"/>
    <xf numFmtId="39" fontId="21" fillId="0" borderId="0" xfId="27" applyNumberFormat="1" applyFont="1" applyFill="1" applyBorder="1"/>
    <xf numFmtId="39" fontId="3" fillId="0" borderId="3" xfId="27" applyNumberFormat="1" applyFont="1" applyFill="1" applyBorder="1"/>
    <xf numFmtId="39" fontId="11" fillId="0" borderId="0" xfId="27" applyNumberFormat="1" applyFont="1" applyFill="1"/>
    <xf numFmtId="39" fontId="21" fillId="0" borderId="0" xfId="27" applyNumberFormat="1" applyFont="1" applyFill="1"/>
    <xf numFmtId="39" fontId="3" fillId="0" borderId="9" xfId="27" applyNumberFormat="1" applyFont="1" applyFill="1" applyBorder="1"/>
    <xf numFmtId="39" fontId="3" fillId="0" borderId="7" xfId="27" applyNumberFormat="1" applyFont="1" applyFill="1" applyBorder="1"/>
    <xf numFmtId="166" fontId="3" fillId="0" borderId="0" xfId="0" applyNumberFormat="1" applyFont="1" applyFill="1" applyAlignment="1">
      <alignment horizontal="right" indent="1"/>
    </xf>
    <xf numFmtId="166" fontId="10" fillId="0" borderId="0" xfId="27" applyNumberFormat="1" applyFont="1" applyFill="1" applyBorder="1" applyAlignment="1">
      <alignment horizontal="right"/>
    </xf>
    <xf numFmtId="49" fontId="0" fillId="0" borderId="0" xfId="0" applyNumberFormat="1"/>
    <xf numFmtId="0" fontId="3" fillId="0" borderId="0" xfId="27" applyFont="1" applyFill="1" applyBorder="1" applyAlignment="1">
      <alignment horizontal="left"/>
    </xf>
    <xf numFmtId="5" fontId="3" fillId="0" borderId="0" xfId="27" applyNumberFormat="1" applyFont="1" applyFill="1" applyBorder="1" applyAlignment="1">
      <alignment horizontal="right"/>
    </xf>
    <xf numFmtId="180" fontId="11" fillId="0" borderId="0" xfId="0" applyNumberFormat="1" applyFont="1"/>
    <xf numFmtId="180" fontId="3" fillId="0" borderId="0" xfId="0" applyNumberFormat="1" applyFont="1"/>
    <xf numFmtId="180" fontId="5" fillId="0" borderId="0" xfId="0" applyNumberFormat="1" applyFont="1"/>
    <xf numFmtId="180" fontId="0" fillId="0" borderId="0" xfId="30" applyNumberFormat="1" applyFont="1"/>
    <xf numFmtId="0" fontId="2" fillId="0" borderId="0" xfId="0" applyFont="1" applyFill="1" applyAlignment="1">
      <alignment horizontal="right"/>
    </xf>
    <xf numFmtId="164" fontId="3" fillId="0" borderId="0" xfId="0" applyNumberFormat="1" applyFont="1" applyAlignment="1">
      <alignment horizontal="right"/>
    </xf>
    <xf numFmtId="165" fontId="3" fillId="0" borderId="0" xfId="0" applyNumberFormat="1" applyFont="1" applyAlignment="1">
      <alignment horizontal="right"/>
    </xf>
    <xf numFmtId="3" fontId="3" fillId="0" borderId="0" xfId="0" applyNumberFormat="1" applyFont="1" applyAlignment="1">
      <alignment horizontal="right"/>
    </xf>
    <xf numFmtId="166" fontId="3" fillId="0" borderId="0" xfId="0" applyNumberFormat="1" applyFont="1" applyAlignment="1">
      <alignment horizontal="right"/>
    </xf>
    <xf numFmtId="0" fontId="43" fillId="0" borderId="0" xfId="0" applyFont="1" applyFill="1" applyAlignment="1">
      <alignment horizontal="right"/>
    </xf>
    <xf numFmtId="37" fontId="3" fillId="0" borderId="0" xfId="30" applyNumberFormat="1" applyFont="1" applyFill="1" applyAlignment="1">
      <alignment horizontal="right"/>
    </xf>
    <xf numFmtId="0" fontId="5" fillId="4" borderId="0" xfId="0" applyFont="1" applyFill="1" applyAlignment="1">
      <alignment horizontal="right"/>
    </xf>
    <xf numFmtId="168" fontId="5" fillId="4" borderId="0" xfId="0" applyNumberFormat="1" applyFont="1" applyFill="1" applyAlignment="1">
      <alignment horizontal="right"/>
    </xf>
    <xf numFmtId="164" fontId="43" fillId="0" borderId="0" xfId="0" applyNumberFormat="1" applyFont="1" applyAlignment="1">
      <alignment horizontal="right"/>
    </xf>
    <xf numFmtId="164" fontId="3" fillId="0" borderId="0" xfId="0" applyNumberFormat="1" applyFont="1" applyFill="1" applyAlignment="1">
      <alignment horizontal="right"/>
    </xf>
    <xf numFmtId="166" fontId="5" fillId="0" borderId="0" xfId="0" applyNumberFormat="1" applyFont="1" applyAlignment="1">
      <alignment horizontal="right"/>
    </xf>
    <xf numFmtId="164" fontId="3" fillId="0" borderId="0" xfId="0" quotePrefix="1" applyNumberFormat="1" applyFont="1" applyAlignment="1">
      <alignment horizontal="right"/>
    </xf>
    <xf numFmtId="164" fontId="5" fillId="0" borderId="0" xfId="0" quotePrefix="1" applyNumberFormat="1" applyFont="1" applyAlignment="1">
      <alignment horizontal="right"/>
    </xf>
    <xf numFmtId="164" fontId="5" fillId="0" borderId="0" xfId="0" applyNumberFormat="1" applyFont="1" applyAlignment="1">
      <alignment horizontal="right"/>
    </xf>
    <xf numFmtId="164" fontId="5" fillId="0" borderId="0" xfId="0" applyNumberFormat="1" applyFont="1" applyFill="1" applyAlignment="1">
      <alignment horizontal="right"/>
    </xf>
    <xf numFmtId="164" fontId="8" fillId="0" borderId="0" xfId="0" applyNumberFormat="1" applyFont="1" applyAlignment="1">
      <alignment horizontal="right"/>
    </xf>
    <xf numFmtId="0" fontId="8" fillId="0" borderId="0" xfId="0" applyFont="1" applyFill="1" applyAlignment="1">
      <alignment horizontal="right"/>
    </xf>
    <xf numFmtId="164" fontId="8" fillId="0" borderId="0" xfId="0" applyNumberFormat="1" applyFont="1" applyFill="1" applyAlignment="1">
      <alignment horizontal="right"/>
    </xf>
    <xf numFmtId="0" fontId="5" fillId="0" borderId="0" xfId="0" quotePrefix="1" applyFont="1" applyAlignment="1">
      <alignment horizontal="right"/>
    </xf>
    <xf numFmtId="164" fontId="44" fillId="14" borderId="0" xfId="0" applyNumberFormat="1" applyFont="1" applyFill="1" applyAlignment="1">
      <alignment horizontal="right"/>
    </xf>
    <xf numFmtId="0" fontId="3" fillId="14" borderId="0" xfId="0" applyFont="1" applyFill="1" applyAlignment="1">
      <alignment horizontal="right"/>
    </xf>
    <xf numFmtId="0" fontId="7" fillId="3" borderId="0" xfId="0" applyFont="1" applyFill="1" applyAlignment="1">
      <alignment horizontal="right"/>
    </xf>
    <xf numFmtId="0" fontId="7" fillId="0" borderId="0" xfId="0" applyFont="1" applyFill="1" applyAlignment="1">
      <alignment horizontal="right"/>
    </xf>
    <xf numFmtId="168" fontId="7" fillId="3" borderId="0" xfId="0" applyNumberFormat="1" applyFont="1" applyFill="1" applyAlignment="1">
      <alignment horizontal="right"/>
    </xf>
    <xf numFmtId="0" fontId="7" fillId="3" borderId="3" xfId="0" applyFont="1" applyFill="1" applyBorder="1" applyAlignment="1">
      <alignment horizontal="right"/>
    </xf>
    <xf numFmtId="4" fontId="7" fillId="3" borderId="3" xfId="0" applyNumberFormat="1" applyFont="1" applyFill="1" applyBorder="1" applyAlignment="1">
      <alignment horizontal="right"/>
    </xf>
    <xf numFmtId="0" fontId="3" fillId="0" borderId="0" xfId="0" quotePrefix="1" applyFont="1" applyFill="1" applyAlignment="1">
      <alignment horizontal="right"/>
    </xf>
    <xf numFmtId="164" fontId="10" fillId="0" borderId="0" xfId="0" applyNumberFormat="1" applyFont="1" applyFill="1" applyAlignment="1">
      <alignment horizontal="right"/>
    </xf>
    <xf numFmtId="164" fontId="43" fillId="0" borderId="0" xfId="0" applyNumberFormat="1" applyFont="1" applyFill="1" applyAlignment="1">
      <alignment horizontal="right"/>
    </xf>
    <xf numFmtId="164" fontId="43" fillId="14" borderId="0" xfId="0" applyNumberFormat="1" applyFont="1" applyFill="1" applyAlignment="1">
      <alignment horizontal="right"/>
    </xf>
    <xf numFmtId="164" fontId="10" fillId="14" borderId="0" xfId="0" applyNumberFormat="1" applyFont="1" applyFill="1" applyAlignment="1">
      <alignment horizontal="right"/>
    </xf>
    <xf numFmtId="0" fontId="8" fillId="0" borderId="0" xfId="0" quotePrefix="1" applyFont="1" applyFill="1" applyAlignment="1">
      <alignment horizontal="right"/>
    </xf>
    <xf numFmtId="9" fontId="3" fillId="0" borderId="0" xfId="0" applyNumberFormat="1" applyFont="1" applyFill="1" applyAlignment="1">
      <alignment horizontal="right"/>
    </xf>
    <xf numFmtId="10" fontId="3" fillId="0" borderId="0" xfId="0" applyNumberFormat="1" applyFont="1" applyFill="1" applyAlignment="1">
      <alignment horizontal="right"/>
    </xf>
    <xf numFmtId="0" fontId="5" fillId="3" borderId="0" xfId="0" applyFont="1" applyFill="1" applyAlignment="1">
      <alignment horizontal="right"/>
    </xf>
    <xf numFmtId="164" fontId="44" fillId="0" borderId="0" xfId="0" applyNumberFormat="1" applyFont="1" applyFill="1" applyAlignment="1">
      <alignment horizontal="right"/>
    </xf>
    <xf numFmtId="164" fontId="3" fillId="14" borderId="0" xfId="0" applyNumberFormat="1" applyFont="1" applyFill="1" applyAlignment="1">
      <alignment horizontal="right"/>
    </xf>
    <xf numFmtId="10" fontId="7" fillId="3" borderId="3" xfId="0" applyNumberFormat="1" applyFont="1" applyFill="1" applyBorder="1" applyAlignment="1">
      <alignment horizontal="right"/>
    </xf>
    <xf numFmtId="0" fontId="3" fillId="0" borderId="2" xfId="0" applyFont="1" applyFill="1" applyBorder="1" applyAlignment="1">
      <alignment horizontal="right"/>
    </xf>
    <xf numFmtId="3" fontId="3" fillId="0" borderId="0" xfId="0" applyNumberFormat="1" applyFont="1" applyFill="1" applyAlignment="1">
      <alignment horizontal="right"/>
    </xf>
    <xf numFmtId="11" fontId="3" fillId="0" borderId="0" xfId="0" applyNumberFormat="1" applyFont="1" applyFill="1" applyAlignment="1">
      <alignment horizontal="right"/>
    </xf>
    <xf numFmtId="37" fontId="3" fillId="0" borderId="0" xfId="0" applyNumberFormat="1" applyFont="1" applyAlignment="1">
      <alignment horizontal="right"/>
    </xf>
    <xf numFmtId="3" fontId="5" fillId="0" borderId="0" xfId="0" applyNumberFormat="1" applyFont="1" applyAlignment="1">
      <alignment horizontal="right"/>
    </xf>
    <xf numFmtId="37" fontId="8" fillId="0" borderId="0" xfId="0" applyNumberFormat="1" applyFont="1" applyAlignment="1">
      <alignment horizontal="right"/>
    </xf>
    <xf numFmtId="3" fontId="8" fillId="0" borderId="0" xfId="0" applyNumberFormat="1" applyFont="1" applyAlignment="1">
      <alignment horizontal="right"/>
    </xf>
    <xf numFmtId="10" fontId="3" fillId="0" borderId="0" xfId="0" applyNumberFormat="1" applyFont="1" applyAlignment="1">
      <alignment horizontal="right"/>
    </xf>
    <xf numFmtId="37" fontId="3" fillId="14" borderId="0" xfId="0" applyNumberFormat="1" applyFont="1" applyFill="1" applyAlignment="1">
      <alignment horizontal="right"/>
    </xf>
    <xf numFmtId="169" fontId="10" fillId="0" borderId="0" xfId="0" applyNumberFormat="1" applyFont="1" applyAlignment="1">
      <alignment horizontal="right"/>
    </xf>
    <xf numFmtId="37" fontId="10" fillId="0" borderId="0" xfId="0" applyNumberFormat="1" applyFont="1" applyFill="1" applyAlignment="1">
      <alignment horizontal="right"/>
    </xf>
    <xf numFmtId="37" fontId="10" fillId="5" borderId="0" xfId="0" applyNumberFormat="1" applyFont="1" applyFill="1" applyAlignment="1">
      <alignment horizontal="right"/>
    </xf>
    <xf numFmtId="37" fontId="43" fillId="14" borderId="0" xfId="0" applyNumberFormat="1" applyFont="1" applyFill="1" applyAlignment="1">
      <alignment horizontal="right"/>
    </xf>
    <xf numFmtId="37" fontId="43" fillId="0" borderId="0" xfId="0" applyNumberFormat="1" applyFont="1" applyFill="1" applyAlignment="1">
      <alignment horizontal="right"/>
    </xf>
    <xf numFmtId="37" fontId="3" fillId="0" borderId="0" xfId="0" applyNumberFormat="1" applyFont="1" applyFill="1" applyAlignment="1">
      <alignment horizontal="right"/>
    </xf>
    <xf numFmtId="3" fontId="5" fillId="16" borderId="0" xfId="0" applyNumberFormat="1" applyFont="1" applyFill="1" applyAlignment="1">
      <alignment horizontal="right"/>
    </xf>
    <xf numFmtId="3" fontId="5" fillId="14" borderId="0" xfId="0" applyNumberFormat="1" applyFont="1" applyFill="1" applyAlignment="1">
      <alignment horizontal="right"/>
    </xf>
    <xf numFmtId="37" fontId="10" fillId="0" borderId="0" xfId="0" applyNumberFormat="1" applyFont="1" applyAlignment="1">
      <alignment horizontal="right"/>
    </xf>
    <xf numFmtId="169" fontId="3" fillId="0" borderId="0" xfId="0" applyNumberFormat="1" applyFont="1" applyAlignment="1">
      <alignment horizontal="right"/>
    </xf>
    <xf numFmtId="37" fontId="8" fillId="14" borderId="0" xfId="0" applyNumberFormat="1" applyFont="1" applyFill="1" applyAlignment="1">
      <alignment horizontal="right"/>
    </xf>
    <xf numFmtId="4" fontId="3" fillId="0" borderId="0" xfId="0" applyNumberFormat="1" applyFont="1" applyAlignment="1">
      <alignment horizontal="right"/>
    </xf>
    <xf numFmtId="170" fontId="3" fillId="0" borderId="0" xfId="0" applyNumberFormat="1" applyFont="1" applyAlignment="1">
      <alignment horizontal="right"/>
    </xf>
    <xf numFmtId="170" fontId="10" fillId="0" borderId="0" xfId="0" applyNumberFormat="1" applyFont="1" applyAlignment="1">
      <alignment horizontal="right"/>
    </xf>
    <xf numFmtId="170" fontId="3" fillId="0" borderId="0" xfId="0" applyNumberFormat="1" applyFont="1" applyFill="1" applyAlignment="1">
      <alignment horizontal="right"/>
    </xf>
    <xf numFmtId="180" fontId="11" fillId="0" borderId="0" xfId="0" applyNumberFormat="1" applyFont="1" applyAlignment="1">
      <alignment horizontal="right"/>
    </xf>
    <xf numFmtId="180" fontId="11" fillId="0" borderId="0" xfId="0" applyNumberFormat="1" applyFont="1" applyFill="1" applyAlignment="1">
      <alignment horizontal="right"/>
    </xf>
    <xf numFmtId="180" fontId="3" fillId="0" borderId="0" xfId="0" applyNumberFormat="1" applyFont="1" applyAlignment="1">
      <alignment horizontal="right"/>
    </xf>
    <xf numFmtId="180" fontId="3" fillId="0" borderId="0" xfId="0" applyNumberFormat="1" applyFont="1" applyFill="1" applyAlignment="1">
      <alignment horizontal="right"/>
    </xf>
    <xf numFmtId="180" fontId="3" fillId="0" borderId="0" xfId="30" applyNumberFormat="1" applyFont="1" applyAlignment="1">
      <alignment horizontal="right"/>
    </xf>
    <xf numFmtId="170" fontId="43" fillId="0" borderId="0" xfId="0" applyNumberFormat="1" applyFont="1" applyAlignment="1">
      <alignment horizontal="right"/>
    </xf>
    <xf numFmtId="180" fontId="43" fillId="0" borderId="0" xfId="0" applyNumberFormat="1" applyFont="1" applyAlignment="1">
      <alignment horizontal="right"/>
    </xf>
    <xf numFmtId="180" fontId="10" fillId="0" borderId="0" xfId="0" applyNumberFormat="1" applyFont="1" applyAlignment="1">
      <alignment horizontal="right"/>
    </xf>
    <xf numFmtId="180" fontId="5" fillId="0" borderId="0" xfId="0" applyNumberFormat="1" applyFont="1" applyAlignment="1">
      <alignment horizontal="right"/>
    </xf>
    <xf numFmtId="180" fontId="5" fillId="0" borderId="0" xfId="0" applyNumberFormat="1" applyFont="1" applyFill="1" applyAlignment="1">
      <alignment horizontal="right"/>
    </xf>
    <xf numFmtId="5" fontId="43" fillId="0" borderId="0" xfId="27" applyNumberFormat="1" applyFont="1" applyFill="1" applyBorder="1"/>
    <xf numFmtId="175" fontId="0" fillId="0" borderId="0" xfId="0" applyNumberFormat="1" applyFill="1"/>
    <xf numFmtId="166" fontId="3" fillId="0" borderId="0" xfId="30" applyNumberFormat="1" applyFont="1" applyFill="1" applyAlignment="1">
      <alignment horizontal="left"/>
    </xf>
    <xf numFmtId="3" fontId="3" fillId="0" borderId="0" xfId="27" applyNumberFormat="1" applyFont="1" applyFill="1" applyBorder="1"/>
    <xf numFmtId="176" fontId="10" fillId="0" borderId="0" xfId="27" applyNumberFormat="1" applyFont="1" applyFill="1" applyAlignment="1">
      <alignment horizontal="right"/>
    </xf>
    <xf numFmtId="176" fontId="43" fillId="0" borderId="0" xfId="27" applyNumberFormat="1" applyFont="1" applyFill="1" applyAlignment="1">
      <alignment horizontal="right"/>
    </xf>
    <xf numFmtId="176" fontId="3" fillId="0" borderId="0" xfId="27" applyNumberFormat="1" applyFont="1" applyFill="1" applyAlignment="1">
      <alignment horizontal="right"/>
    </xf>
    <xf numFmtId="0" fontId="5" fillId="0" borderId="0" xfId="27" applyFont="1" applyFill="1" applyAlignment="1">
      <alignment horizontal="right"/>
    </xf>
    <xf numFmtId="166" fontId="3" fillId="0" borderId="0" xfId="27" applyNumberFormat="1" applyFont="1" applyFill="1" applyAlignment="1">
      <alignment horizontal="right"/>
    </xf>
    <xf numFmtId="4" fontId="3" fillId="0" borderId="0" xfId="27" applyNumberFormat="1" applyFont="1" applyFill="1" applyAlignment="1">
      <alignment horizontal="right"/>
    </xf>
    <xf numFmtId="3" fontId="3" fillId="0" borderId="0" xfId="27" applyNumberFormat="1" applyFont="1" applyFill="1" applyAlignment="1">
      <alignment horizontal="right"/>
    </xf>
    <xf numFmtId="0" fontId="3" fillId="0" borderId="0" xfId="27" applyFont="1" applyFill="1" applyBorder="1" applyAlignment="1">
      <alignment horizontal="right"/>
    </xf>
    <xf numFmtId="0" fontId="3" fillId="0" borderId="0" xfId="27" applyFont="1" applyFill="1" applyAlignment="1">
      <alignment horizontal="right" indent="2"/>
    </xf>
    <xf numFmtId="9" fontId="3" fillId="0" borderId="0" xfId="27" applyNumberFormat="1" applyFont="1" applyFill="1" applyBorder="1" applyAlignment="1">
      <alignment horizontal="right"/>
    </xf>
    <xf numFmtId="0" fontId="3" fillId="0" borderId="0" xfId="27" quotePrefix="1" applyFont="1" applyFill="1" applyAlignment="1">
      <alignment horizontal="right" indent="2"/>
    </xf>
    <xf numFmtId="0" fontId="3" fillId="0" borderId="0" xfId="27" applyFont="1" applyFill="1" applyAlignment="1">
      <alignment horizontal="right"/>
    </xf>
    <xf numFmtId="37" fontId="10" fillId="0" borderId="0" xfId="27" applyNumberFormat="1" applyFont="1" applyFill="1" applyAlignment="1">
      <alignment horizontal="right"/>
    </xf>
    <xf numFmtId="0" fontId="3" fillId="0" borderId="0" xfId="27" quotePrefix="1" applyFont="1" applyFill="1" applyAlignment="1">
      <alignment horizontal="right"/>
    </xf>
    <xf numFmtId="164" fontId="3" fillId="0" borderId="0" xfId="27" applyNumberFormat="1" applyFont="1" applyFill="1" applyAlignment="1">
      <alignment horizontal="right"/>
    </xf>
    <xf numFmtId="180" fontId="10" fillId="0" borderId="0" xfId="27" applyNumberFormat="1" applyFont="1" applyFill="1" applyAlignment="1">
      <alignment horizontal="right"/>
    </xf>
    <xf numFmtId="166" fontId="10" fillId="0" borderId="0" xfId="27" applyNumberFormat="1" applyFont="1" applyFill="1" applyAlignment="1">
      <alignment horizontal="right"/>
    </xf>
    <xf numFmtId="0" fontId="0" fillId="0" borderId="0" xfId="0" applyFill="1" applyAlignment="1">
      <alignment horizontal="right"/>
    </xf>
    <xf numFmtId="0" fontId="0" fillId="0" borderId="0" xfId="0" applyFill="1" applyBorder="1" applyAlignment="1">
      <alignment horizontal="right"/>
    </xf>
    <xf numFmtId="164" fontId="10" fillId="0" borderId="0" xfId="27" applyNumberFormat="1" applyFont="1" applyFill="1" applyBorder="1" applyAlignment="1">
      <alignment horizontal="right"/>
    </xf>
    <xf numFmtId="164" fontId="3" fillId="0" borderId="0" xfId="27" applyNumberFormat="1" applyFont="1" applyFill="1" applyBorder="1" applyAlignment="1">
      <alignment horizontal="right"/>
    </xf>
    <xf numFmtId="0" fontId="5" fillId="0" borderId="0" xfId="0" applyNumberFormat="1" applyFont="1" applyFill="1" applyBorder="1" applyAlignment="1">
      <alignment horizontal="left"/>
    </xf>
    <xf numFmtId="0" fontId="5" fillId="0" borderId="0" xfId="27" applyFont="1" applyAlignment="1">
      <alignment horizontal="left"/>
    </xf>
    <xf numFmtId="0" fontId="3" fillId="0" borderId="0" xfId="27" quotePrefix="1" applyFont="1" applyAlignment="1">
      <alignment horizontal="left"/>
    </xf>
    <xf numFmtId="0" fontId="0" fillId="0" borderId="0" xfId="0" applyAlignment="1">
      <alignment horizontal="left"/>
    </xf>
    <xf numFmtId="0" fontId="7" fillId="3" borderId="0" xfId="28" applyNumberFormat="1" applyFont="1" applyFill="1" applyBorder="1" applyAlignment="1">
      <alignment horizontal="right"/>
    </xf>
    <xf numFmtId="0" fontId="7" fillId="3" borderId="0" xfId="28" applyNumberFormat="1" applyFont="1" applyFill="1" applyAlignment="1">
      <alignment horizontal="right"/>
    </xf>
    <xf numFmtId="175" fontId="43" fillId="14" borderId="0" xfId="27" applyNumberFormat="1" applyFont="1" applyFill="1" applyBorder="1"/>
    <xf numFmtId="7" fontId="43" fillId="14" borderId="0" xfId="27" applyNumberFormat="1" applyFont="1" applyFill="1" applyBorder="1" applyAlignment="1">
      <alignment horizontal="right"/>
    </xf>
    <xf numFmtId="7" fontId="3" fillId="14" borderId="0" xfId="27" applyNumberFormat="1" applyFont="1" applyFill="1" applyBorder="1" applyAlignment="1">
      <alignment horizontal="right"/>
    </xf>
    <xf numFmtId="177" fontId="43" fillId="14" borderId="0" xfId="27" applyNumberFormat="1" applyFont="1" applyFill="1" applyBorder="1"/>
    <xf numFmtId="37" fontId="43" fillId="15" borderId="0" xfId="0" applyNumberFormat="1" applyFont="1" applyFill="1" applyAlignment="1">
      <alignment horizontal="right"/>
    </xf>
    <xf numFmtId="5" fontId="43" fillId="14" borderId="0" xfId="27" applyNumberFormat="1" applyFont="1" applyFill="1" applyBorder="1" applyAlignment="1">
      <alignment horizontal="right"/>
    </xf>
    <xf numFmtId="8" fontId="0" fillId="0" borderId="0" xfId="0" applyNumberFormat="1"/>
    <xf numFmtId="166" fontId="0" fillId="0" borderId="0" xfId="30" applyNumberFormat="1" applyFont="1"/>
    <xf numFmtId="0" fontId="3" fillId="11" borderId="0" xfId="27" applyFont="1" applyFill="1" applyAlignment="1">
      <alignment horizontal="right"/>
    </xf>
    <xf numFmtId="0" fontId="3" fillId="11" borderId="0" xfId="27" applyFont="1" applyFill="1" applyBorder="1" applyAlignment="1">
      <alignment horizontal="right"/>
    </xf>
    <xf numFmtId="0" fontId="3" fillId="0" borderId="0" xfId="27" applyFont="1" applyAlignment="1">
      <alignment horizontal="right"/>
    </xf>
    <xf numFmtId="43" fontId="3" fillId="0" borderId="0" xfId="10" applyFont="1" applyAlignment="1">
      <alignment horizontal="right"/>
    </xf>
    <xf numFmtId="43" fontId="3" fillId="11" borderId="0" xfId="10" applyFont="1" applyFill="1" applyBorder="1" applyAlignment="1">
      <alignment horizontal="right"/>
    </xf>
    <xf numFmtId="43" fontId="3" fillId="11" borderId="0" xfId="10" applyFont="1" applyFill="1" applyAlignment="1">
      <alignment horizontal="right"/>
    </xf>
    <xf numFmtId="168" fontId="5" fillId="11" borderId="0" xfId="27" applyNumberFormat="1" applyFont="1" applyFill="1" applyAlignment="1">
      <alignment horizontal="right"/>
    </xf>
    <xf numFmtId="168" fontId="5" fillId="11" borderId="0" xfId="27" applyNumberFormat="1" applyFont="1" applyFill="1" applyBorder="1" applyAlignment="1">
      <alignment horizontal="right"/>
    </xf>
    <xf numFmtId="168" fontId="5" fillId="0" borderId="0" xfId="27" applyNumberFormat="1" applyFont="1" applyAlignment="1">
      <alignment horizontal="right"/>
    </xf>
    <xf numFmtId="166" fontId="5" fillId="0" borderId="0" xfId="27" applyNumberFormat="1" applyFont="1" applyAlignment="1">
      <alignment horizontal="right"/>
    </xf>
    <xf numFmtId="14" fontId="11" fillId="11" borderId="0" xfId="27" applyNumberFormat="1" applyFont="1" applyFill="1" applyAlignment="1">
      <alignment horizontal="right"/>
    </xf>
    <xf numFmtId="14" fontId="11" fillId="11" borderId="0" xfId="27" applyNumberFormat="1" applyFont="1" applyFill="1" applyBorder="1" applyAlignment="1">
      <alignment horizontal="right"/>
    </xf>
    <xf numFmtId="14" fontId="11" fillId="0" borderId="0" xfId="27" applyNumberFormat="1" applyFont="1" applyAlignment="1">
      <alignment horizontal="right"/>
    </xf>
    <xf numFmtId="0" fontId="7" fillId="11" borderId="0" xfId="28" applyNumberFormat="1" applyFont="1" applyFill="1" applyAlignment="1">
      <alignment horizontal="right"/>
    </xf>
    <xf numFmtId="0" fontId="7" fillId="11" borderId="0" xfId="28" applyNumberFormat="1" applyFont="1" applyFill="1" applyBorder="1" applyAlignment="1">
      <alignment horizontal="right"/>
    </xf>
    <xf numFmtId="0" fontId="7" fillId="11" borderId="0" xfId="28" quotePrefix="1" applyNumberFormat="1" applyFont="1" applyFill="1" applyAlignment="1">
      <alignment horizontal="right"/>
    </xf>
    <xf numFmtId="0" fontId="10" fillId="0" borderId="0" xfId="27" applyFont="1" applyFill="1" applyBorder="1" applyAlignment="1">
      <alignment horizontal="right"/>
    </xf>
    <xf numFmtId="175" fontId="5" fillId="0" borderId="0" xfId="27" applyNumberFormat="1" applyFont="1" applyFill="1" applyAlignment="1">
      <alignment horizontal="right"/>
    </xf>
    <xf numFmtId="0" fontId="5" fillId="0" borderId="0" xfId="27" applyFont="1" applyAlignment="1">
      <alignment horizontal="right"/>
    </xf>
    <xf numFmtId="175" fontId="3" fillId="0" borderId="0" xfId="27" applyNumberFormat="1" applyFont="1" applyFill="1" applyAlignment="1">
      <alignment horizontal="right"/>
    </xf>
    <xf numFmtId="175" fontId="10" fillId="0" borderId="0" xfId="27" applyNumberFormat="1" applyFont="1" applyFill="1" applyBorder="1" applyAlignment="1">
      <alignment horizontal="right"/>
    </xf>
    <xf numFmtId="175" fontId="43" fillId="0" borderId="0" xfId="27" applyNumberFormat="1" applyFont="1" applyFill="1" applyBorder="1" applyAlignment="1">
      <alignment horizontal="right"/>
    </xf>
    <xf numFmtId="175" fontId="10" fillId="0" borderId="0" xfId="27" applyNumberFormat="1" applyFont="1" applyFill="1" applyAlignment="1">
      <alignment horizontal="right"/>
    </xf>
    <xf numFmtId="175" fontId="3" fillId="12" borderId="0" xfId="27" applyNumberFormat="1" applyFont="1" applyFill="1" applyBorder="1" applyAlignment="1">
      <alignment horizontal="right"/>
    </xf>
    <xf numFmtId="175" fontId="43" fillId="0" borderId="0" xfId="27" applyNumberFormat="1" applyFont="1" applyFill="1" applyAlignment="1">
      <alignment horizontal="right"/>
    </xf>
    <xf numFmtId="175" fontId="3" fillId="12" borderId="0" xfId="27" applyNumberFormat="1" applyFont="1" applyFill="1" applyAlignment="1">
      <alignment horizontal="right"/>
    </xf>
    <xf numFmtId="175" fontId="3" fillId="0" borderId="3" xfId="27" applyNumberFormat="1" applyFont="1" applyFill="1" applyBorder="1" applyAlignment="1">
      <alignment horizontal="right"/>
    </xf>
    <xf numFmtId="175" fontId="10" fillId="0" borderId="3" xfId="27" applyNumberFormat="1" applyFont="1" applyFill="1" applyBorder="1" applyAlignment="1">
      <alignment horizontal="right"/>
    </xf>
    <xf numFmtId="175" fontId="43" fillId="0" borderId="3" xfId="27" applyNumberFormat="1" applyFont="1" applyFill="1" applyBorder="1" applyAlignment="1">
      <alignment horizontal="right"/>
    </xf>
    <xf numFmtId="175" fontId="5" fillId="0" borderId="0" xfId="27" applyNumberFormat="1" applyFont="1" applyFill="1" applyBorder="1" applyAlignment="1">
      <alignment horizontal="right"/>
    </xf>
    <xf numFmtId="43" fontId="3" fillId="12" borderId="0" xfId="27" applyNumberFormat="1" applyFont="1" applyFill="1" applyAlignment="1">
      <alignment horizontal="right"/>
    </xf>
    <xf numFmtId="175" fontId="5" fillId="12" borderId="0" xfId="27" applyNumberFormat="1" applyFont="1" applyFill="1" applyAlignment="1">
      <alignment horizontal="right"/>
    </xf>
    <xf numFmtId="175" fontId="19" fillId="0" borderId="0" xfId="27" applyNumberFormat="1" applyFont="1" applyFill="1" applyAlignment="1">
      <alignment horizontal="right"/>
    </xf>
    <xf numFmtId="175" fontId="19" fillId="12" borderId="0" xfId="27" applyNumberFormat="1" applyFont="1" applyFill="1" applyAlignment="1">
      <alignment horizontal="right"/>
    </xf>
    <xf numFmtId="175" fontId="19" fillId="0" borderId="3" xfId="27" applyNumberFormat="1" applyFont="1" applyFill="1" applyBorder="1" applyAlignment="1">
      <alignment horizontal="right"/>
    </xf>
    <xf numFmtId="175" fontId="19" fillId="0" borderId="0" xfId="27" applyNumberFormat="1" applyFont="1" applyFill="1" applyBorder="1" applyAlignment="1">
      <alignment horizontal="right"/>
    </xf>
    <xf numFmtId="175" fontId="10" fillId="12" borderId="0" xfId="27" applyNumberFormat="1" applyFont="1" applyFill="1" applyAlignment="1">
      <alignment horizontal="right"/>
    </xf>
    <xf numFmtId="168" fontId="3" fillId="0" borderId="0" xfId="27" applyNumberFormat="1" applyFont="1" applyFill="1" applyAlignment="1">
      <alignment horizontal="right"/>
    </xf>
    <xf numFmtId="168" fontId="7" fillId="3" borderId="7" xfId="27" applyNumberFormat="1" applyFont="1" applyFill="1" applyBorder="1" applyAlignment="1">
      <alignment horizontal="right"/>
    </xf>
    <xf numFmtId="0" fontId="7" fillId="3" borderId="7" xfId="27" applyFont="1" applyFill="1" applyBorder="1" applyAlignment="1">
      <alignment horizontal="right"/>
    </xf>
    <xf numFmtId="168" fontId="3" fillId="0" borderId="0" xfId="27" applyNumberFormat="1" applyFont="1" applyFill="1" applyBorder="1" applyAlignment="1">
      <alignment horizontal="right"/>
    </xf>
    <xf numFmtId="187" fontId="3" fillId="0" borderId="0" xfId="27" applyNumberFormat="1" applyFont="1" applyFill="1" applyBorder="1" applyAlignment="1">
      <alignment horizontal="right"/>
    </xf>
    <xf numFmtId="174" fontId="3" fillId="0" borderId="0" xfId="30" applyNumberFormat="1" applyFont="1" applyFill="1" applyAlignment="1">
      <alignment horizontal="right"/>
    </xf>
    <xf numFmtId="174" fontId="3" fillId="0" borderId="0" xfId="30" applyNumberFormat="1" applyFont="1" applyAlignment="1">
      <alignment horizontal="right"/>
    </xf>
    <xf numFmtId="175" fontId="3" fillId="0" borderId="0" xfId="27" applyNumberFormat="1" applyFont="1" applyAlignment="1">
      <alignment horizontal="right"/>
    </xf>
    <xf numFmtId="41" fontId="3" fillId="13" borderId="0" xfId="27" applyNumberFormat="1" applyFont="1" applyFill="1" applyAlignment="1">
      <alignment horizontal="right"/>
    </xf>
    <xf numFmtId="175" fontId="3" fillId="0" borderId="5" xfId="27" applyNumberFormat="1" applyFont="1" applyBorder="1" applyAlignment="1">
      <alignment horizontal="right"/>
    </xf>
    <xf numFmtId="175" fontId="3" fillId="0" borderId="4" xfId="27" applyNumberFormat="1" applyFont="1" applyBorder="1" applyAlignment="1">
      <alignment horizontal="right"/>
    </xf>
    <xf numFmtId="175" fontId="3" fillId="0" borderId="4" xfId="27" applyNumberFormat="1" applyFont="1" applyFill="1" applyBorder="1" applyAlignment="1">
      <alignment horizontal="right"/>
    </xf>
    <xf numFmtId="175" fontId="3" fillId="0" borderId="10" xfId="27" applyNumberFormat="1" applyFont="1" applyFill="1" applyBorder="1" applyAlignment="1">
      <alignment horizontal="right"/>
    </xf>
    <xf numFmtId="175" fontId="3" fillId="0" borderId="6" xfId="27" applyNumberFormat="1" applyFont="1" applyBorder="1" applyAlignment="1">
      <alignment horizontal="right"/>
    </xf>
    <xf numFmtId="175" fontId="3" fillId="0" borderId="0" xfId="27" applyNumberFormat="1" applyFont="1" applyBorder="1" applyAlignment="1">
      <alignment horizontal="right"/>
    </xf>
    <xf numFmtId="175" fontId="3" fillId="0" borderId="8" xfId="27" applyNumberFormat="1" applyFont="1" applyFill="1" applyBorder="1" applyAlignment="1">
      <alignment horizontal="right"/>
    </xf>
    <xf numFmtId="175" fontId="10" fillId="0" borderId="0" xfId="27" applyNumberFormat="1" applyFont="1" applyAlignment="1">
      <alignment horizontal="right"/>
    </xf>
    <xf numFmtId="175" fontId="10" fillId="0" borderId="0" xfId="27" applyNumberFormat="1" applyFont="1" applyBorder="1" applyAlignment="1">
      <alignment horizontal="right"/>
    </xf>
    <xf numFmtId="175" fontId="27" fillId="0" borderId="0" xfId="27" applyNumberFormat="1" applyFont="1" applyBorder="1" applyAlignment="1">
      <alignment horizontal="right"/>
    </xf>
    <xf numFmtId="175" fontId="3" fillId="0" borderId="6" xfId="27" applyNumberFormat="1" applyFont="1" applyFill="1" applyBorder="1" applyAlignment="1">
      <alignment horizontal="right"/>
    </xf>
    <xf numFmtId="175" fontId="27" fillId="0" borderId="0" xfId="27" applyNumberFormat="1" applyFont="1" applyFill="1" applyBorder="1" applyAlignment="1">
      <alignment horizontal="right"/>
    </xf>
    <xf numFmtId="175" fontId="3" fillId="0" borderId="11" xfId="27" applyNumberFormat="1" applyFont="1" applyFill="1" applyBorder="1" applyAlignment="1">
      <alignment horizontal="right"/>
    </xf>
    <xf numFmtId="175" fontId="27" fillId="0" borderId="3" xfId="27" applyNumberFormat="1" applyFont="1" applyFill="1" applyBorder="1" applyAlignment="1">
      <alignment horizontal="right"/>
    </xf>
    <xf numFmtId="37" fontId="10" fillId="0" borderId="3" xfId="27" applyNumberFormat="1" applyFont="1" applyFill="1" applyBorder="1" applyAlignment="1">
      <alignment horizontal="right"/>
    </xf>
    <xf numFmtId="175" fontId="3" fillId="0" borderId="12" xfId="27" applyNumberFormat="1" applyFont="1" applyFill="1" applyBorder="1" applyAlignment="1">
      <alignment horizontal="right"/>
    </xf>
    <xf numFmtId="9" fontId="3" fillId="0" borderId="0" xfId="27" applyNumberFormat="1" applyFont="1"/>
    <xf numFmtId="37" fontId="5" fillId="0" borderId="3" xfId="27" applyNumberFormat="1" applyFont="1" applyFill="1" applyBorder="1"/>
    <xf numFmtId="37" fontId="3" fillId="0" borderId="3" xfId="27" applyNumberFormat="1" applyFont="1" applyFill="1" applyBorder="1" applyAlignment="1">
      <alignment horizontal="right"/>
    </xf>
    <xf numFmtId="37" fontId="43" fillId="0" borderId="0" xfId="27" applyNumberFormat="1" applyFont="1" applyFill="1" applyAlignment="1">
      <alignment horizontal="right"/>
    </xf>
    <xf numFmtId="37" fontId="43" fillId="0" borderId="3" xfId="27" applyNumberFormat="1" applyFont="1" applyFill="1" applyBorder="1" applyAlignment="1">
      <alignment horizontal="right"/>
    </xf>
    <xf numFmtId="37" fontId="43" fillId="0" borderId="0" xfId="27" applyNumberFormat="1" applyFont="1"/>
    <xf numFmtId="37" fontId="43" fillId="0" borderId="3" xfId="27" applyNumberFormat="1" applyFont="1" applyBorder="1"/>
    <xf numFmtId="164" fontId="5" fillId="0" borderId="0" xfId="27" applyNumberFormat="1" applyFont="1" applyFill="1"/>
    <xf numFmtId="164" fontId="3" fillId="0" borderId="3" xfId="27" applyNumberFormat="1" applyFont="1" applyFill="1" applyBorder="1"/>
    <xf numFmtId="166" fontId="3" fillId="0" borderId="3" xfId="27" applyNumberFormat="1" applyFont="1" applyFill="1" applyBorder="1"/>
    <xf numFmtId="37" fontId="3" fillId="0" borderId="3" xfId="30" applyNumberFormat="1" applyFont="1" applyFill="1" applyBorder="1"/>
    <xf numFmtId="37" fontId="10" fillId="0" borderId="3" xfId="30" applyNumberFormat="1" applyFont="1" applyFill="1" applyBorder="1"/>
    <xf numFmtId="0" fontId="5" fillId="16" borderId="0" xfId="0" applyFont="1" applyFill="1"/>
    <xf numFmtId="0" fontId="3" fillId="16" borderId="0" xfId="0" applyFont="1" applyFill="1" applyAlignment="1">
      <alignment horizontal="right"/>
    </xf>
    <xf numFmtId="0" fontId="5" fillId="16" borderId="0" xfId="0" applyFont="1" applyFill="1" applyAlignment="1">
      <alignment horizontal="right"/>
    </xf>
    <xf numFmtId="37" fontId="5" fillId="16" borderId="0" xfId="0" applyNumberFormat="1" applyFont="1" applyFill="1" applyAlignment="1">
      <alignment horizontal="right"/>
    </xf>
    <xf numFmtId="0" fontId="5" fillId="0" borderId="0" xfId="0" applyFont="1" applyAlignment="1">
      <alignment horizontal="right"/>
    </xf>
    <xf numFmtId="0" fontId="43" fillId="0" borderId="0" xfId="0" applyFont="1" applyAlignment="1">
      <alignment horizontal="right"/>
    </xf>
    <xf numFmtId="37" fontId="7" fillId="3" borderId="0" xfId="0" applyNumberFormat="1" applyFont="1" applyFill="1"/>
    <xf numFmtId="9" fontId="7" fillId="3" borderId="0" xfId="0" applyNumberFormat="1" applyFont="1" applyFill="1"/>
    <xf numFmtId="4" fontId="7" fillId="3" borderId="0" xfId="0" applyNumberFormat="1" applyFont="1" applyFill="1"/>
    <xf numFmtId="9" fontId="3" fillId="0" borderId="0" xfId="27" applyNumberFormat="1" applyFont="1" applyFill="1" applyAlignment="1">
      <alignment horizontal="right"/>
    </xf>
    <xf numFmtId="9" fontId="3" fillId="0" borderId="0" xfId="27" applyNumberFormat="1" applyFont="1" applyFill="1" applyAlignment="1">
      <alignment horizontal="left"/>
    </xf>
    <xf numFmtId="37" fontId="45" fillId="0" borderId="0" xfId="0" applyNumberFormat="1" applyFont="1" applyAlignment="1">
      <alignment horizontal="right"/>
    </xf>
    <xf numFmtId="166" fontId="43" fillId="0" borderId="0" xfId="0" applyNumberFormat="1" applyFont="1" applyFill="1" applyAlignment="1">
      <alignment horizontal="right"/>
    </xf>
    <xf numFmtId="190" fontId="7" fillId="3" borderId="0" xfId="0" applyNumberFormat="1" applyFont="1" applyFill="1" applyAlignment="1">
      <alignment horizontal="right"/>
    </xf>
    <xf numFmtId="3" fontId="3" fillId="0" borderId="0" xfId="27" applyNumberFormat="1" applyFont="1"/>
    <xf numFmtId="191" fontId="3" fillId="0" borderId="0" xfId="0" applyNumberFormat="1" applyFont="1" applyAlignment="1">
      <alignment horizontal="right"/>
    </xf>
    <xf numFmtId="191" fontId="3" fillId="0" borderId="0" xfId="27" applyNumberFormat="1" applyFont="1" applyFill="1" applyAlignment="1">
      <alignment horizontal="right"/>
    </xf>
    <xf numFmtId="37" fontId="7" fillId="3" borderId="0" xfId="0" applyNumberFormat="1" applyFont="1" applyFill="1" applyAlignment="1">
      <alignment horizontal="right"/>
    </xf>
    <xf numFmtId="37" fontId="3" fillId="14" borderId="0" xfId="27" applyNumberFormat="1" applyFont="1" applyFill="1" applyAlignment="1">
      <alignment horizontal="right"/>
    </xf>
    <xf numFmtId="37" fontId="3" fillId="14" borderId="0" xfId="27" applyNumberFormat="1" applyFont="1" applyFill="1" applyBorder="1" applyAlignment="1">
      <alignment horizontal="right"/>
    </xf>
    <xf numFmtId="165" fontId="3" fillId="0" borderId="0" xfId="27" applyNumberFormat="1" applyFont="1" applyFill="1"/>
    <xf numFmtId="188" fontId="3" fillId="0" borderId="0" xfId="27" applyNumberFormat="1" applyFont="1" applyFill="1" applyBorder="1"/>
    <xf numFmtId="37" fontId="45" fillId="14" borderId="0" xfId="27" applyNumberFormat="1" applyFont="1" applyFill="1"/>
    <xf numFmtId="168" fontId="7" fillId="3" borderId="0" xfId="28" applyNumberFormat="1" applyFont="1" applyFill="1" applyBorder="1" applyAlignment="1">
      <alignment horizontal="right"/>
    </xf>
    <xf numFmtId="8" fontId="3" fillId="0" borderId="0" xfId="27" applyNumberFormat="1" applyFont="1" applyFill="1" applyBorder="1" applyAlignment="1">
      <alignment horizontal="right"/>
    </xf>
    <xf numFmtId="166" fontId="3" fillId="14" borderId="0" xfId="27" applyNumberFormat="1" applyFont="1" applyFill="1"/>
    <xf numFmtId="37" fontId="43" fillId="0" borderId="0" xfId="0" applyNumberFormat="1" applyFont="1" applyAlignment="1">
      <alignment horizontal="right"/>
    </xf>
    <xf numFmtId="39" fontId="43" fillId="14" borderId="0" xfId="11" applyNumberFormat="1" applyFont="1" applyFill="1"/>
    <xf numFmtId="10" fontId="1" fillId="0" borderId="0" xfId="0" applyNumberFormat="1" applyFont="1"/>
    <xf numFmtId="0" fontId="6" fillId="3" borderId="0" xfId="0" applyFont="1" applyFill="1" applyAlignment="1">
      <alignment horizontal="right"/>
    </xf>
    <xf numFmtId="0" fontId="6" fillId="3" borderId="0" xfId="0" applyFont="1" applyFill="1" applyAlignment="1">
      <alignment horizontal="left"/>
    </xf>
    <xf numFmtId="170" fontId="10" fillId="17" borderId="0" xfId="0" applyNumberFormat="1" applyFont="1" applyFill="1" applyAlignment="1">
      <alignment horizontal="right"/>
    </xf>
    <xf numFmtId="44" fontId="43" fillId="14" borderId="0" xfId="27" applyNumberFormat="1" applyFont="1" applyFill="1" applyBorder="1"/>
    <xf numFmtId="37" fontId="1" fillId="0" borderId="0" xfId="0" applyNumberFormat="1" applyFont="1"/>
    <xf numFmtId="3" fontId="43" fillId="0" borderId="0" xfId="0" applyNumberFormat="1" applyFont="1" applyAlignment="1">
      <alignment horizontal="right"/>
    </xf>
    <xf numFmtId="5" fontId="43" fillId="14" borderId="0" xfId="27" applyNumberFormat="1" applyFont="1" applyFill="1" applyBorder="1"/>
    <xf numFmtId="174" fontId="5" fillId="0" borderId="0" xfId="27" applyNumberFormat="1" applyFont="1" applyFill="1"/>
    <xf numFmtId="174" fontId="5" fillId="0" borderId="0" xfId="27" applyNumberFormat="1" applyFont="1" applyFill="1" applyBorder="1"/>
    <xf numFmtId="37" fontId="44" fillId="14" borderId="0" xfId="27" applyNumberFormat="1" applyFont="1" applyFill="1"/>
    <xf numFmtId="37" fontId="44" fillId="0" borderId="0" xfId="27" applyNumberFormat="1" applyFont="1" applyFill="1"/>
    <xf numFmtId="37" fontId="3" fillId="0" borderId="0" xfId="27" applyNumberFormat="1" applyFont="1" applyAlignment="1">
      <alignment horizontal="right"/>
    </xf>
    <xf numFmtId="7" fontId="1" fillId="0" borderId="0" xfId="0" applyNumberFormat="1" applyFont="1" applyFill="1" applyAlignment="1">
      <alignment horizontal="right"/>
    </xf>
    <xf numFmtId="3" fontId="3" fillId="0" borderId="0" xfId="27" applyNumberFormat="1" applyFont="1" applyFill="1" applyBorder="1" applyAlignment="1">
      <alignment horizontal="right"/>
    </xf>
    <xf numFmtId="37" fontId="1" fillId="0" borderId="0" xfId="0" applyNumberFormat="1" applyFont="1" applyFill="1"/>
    <xf numFmtId="9" fontId="3" fillId="0" borderId="0" xfId="0" applyNumberFormat="1" applyFont="1"/>
    <xf numFmtId="164" fontId="3" fillId="0" borderId="2" xfId="0" applyNumberFormat="1" applyFont="1" applyFill="1" applyBorder="1" applyAlignment="1">
      <alignment horizontal="right"/>
    </xf>
    <xf numFmtId="4" fontId="0" fillId="0" borderId="0" xfId="0" applyNumberFormat="1" applyBorder="1"/>
    <xf numFmtId="170" fontId="10" fillId="14" borderId="0" xfId="0" applyNumberFormat="1" applyFont="1" applyFill="1" applyAlignment="1">
      <alignment horizontal="right"/>
    </xf>
    <xf numFmtId="192" fontId="3" fillId="0" borderId="0" xfId="0" applyNumberFormat="1" applyFont="1"/>
    <xf numFmtId="192" fontId="5" fillId="0" borderId="0" xfId="0" applyNumberFormat="1" applyFont="1"/>
    <xf numFmtId="9" fontId="3" fillId="0" borderId="0" xfId="30" applyNumberFormat="1" applyFont="1" applyFill="1"/>
    <xf numFmtId="37" fontId="10" fillId="14" borderId="0" xfId="11" applyNumberFormat="1" applyFont="1" applyFill="1"/>
    <xf numFmtId="37" fontId="3" fillId="14" borderId="0" xfId="11" applyNumberFormat="1" applyFont="1" applyFill="1"/>
    <xf numFmtId="164" fontId="5" fillId="14" borderId="0" xfId="0" applyNumberFormat="1" applyFont="1" applyFill="1" applyAlignment="1">
      <alignment horizontal="right"/>
    </xf>
    <xf numFmtId="176" fontId="43" fillId="14" borderId="0" xfId="27" applyNumberFormat="1" applyFont="1" applyFill="1" applyAlignment="1">
      <alignment horizontal="right"/>
    </xf>
    <xf numFmtId="4" fontId="8" fillId="0" borderId="0" xfId="30" applyNumberFormat="1" applyFont="1" applyFill="1"/>
    <xf numFmtId="10" fontId="3" fillId="0" borderId="0" xfId="30" applyNumberFormat="1" applyFont="1" applyFill="1"/>
    <xf numFmtId="39" fontId="3" fillId="14" borderId="0" xfId="11" applyNumberFormat="1" applyFont="1" applyFill="1"/>
    <xf numFmtId="44" fontId="3" fillId="14" borderId="0" xfId="27" applyNumberFormat="1" applyFont="1" applyFill="1" applyBorder="1"/>
    <xf numFmtId="44" fontId="22" fillId="14" borderId="0" xfId="27" applyNumberFormat="1" applyFont="1" applyFill="1" applyBorder="1"/>
    <xf numFmtId="0" fontId="3" fillId="14" borderId="0" xfId="27" applyFont="1" applyFill="1" applyBorder="1"/>
    <xf numFmtId="0" fontId="0" fillId="14" borderId="0" xfId="0" applyFill="1"/>
    <xf numFmtId="168" fontId="3" fillId="14" borderId="0" xfId="27" applyNumberFormat="1" applyFont="1" applyFill="1" applyBorder="1"/>
    <xf numFmtId="0" fontId="3" fillId="14" borderId="0" xfId="27" applyFont="1" applyFill="1" applyBorder="1" applyAlignment="1">
      <alignment horizontal="left" indent="1"/>
    </xf>
    <xf numFmtId="177" fontId="10" fillId="14" borderId="0" xfId="27" applyNumberFormat="1" applyFont="1" applyFill="1" applyBorder="1"/>
    <xf numFmtId="177" fontId="3" fillId="14" borderId="0" xfId="27" applyNumberFormat="1" applyFont="1" applyFill="1" applyBorder="1"/>
    <xf numFmtId="169" fontId="3" fillId="14" borderId="0" xfId="27" applyNumberFormat="1" applyFont="1" applyFill="1" applyBorder="1"/>
    <xf numFmtId="169" fontId="10" fillId="14" borderId="0" xfId="27" applyNumberFormat="1" applyFont="1" applyFill="1" applyBorder="1"/>
    <xf numFmtId="168" fontId="10" fillId="14" borderId="0" xfId="27" applyNumberFormat="1" applyFont="1" applyFill="1" applyBorder="1"/>
    <xf numFmtId="178" fontId="10" fillId="14" borderId="0" xfId="27" applyNumberFormat="1" applyFont="1" applyFill="1" applyBorder="1"/>
    <xf numFmtId="0" fontId="1" fillId="0" borderId="0" xfId="0" applyFont="1" applyFill="1"/>
    <xf numFmtId="175" fontId="1" fillId="0" borderId="0" xfId="0" applyNumberFormat="1" applyFont="1"/>
    <xf numFmtId="0" fontId="4" fillId="0" borderId="0" xfId="15"/>
    <xf numFmtId="0" fontId="4" fillId="12" borderId="0" xfId="40" applyFont="1" applyFill="1" applyAlignment="1">
      <alignment vertical="top"/>
    </xf>
    <xf numFmtId="0" fontId="4" fillId="12" borderId="0" xfId="15" applyFill="1" applyAlignment="1">
      <alignment vertical="top"/>
    </xf>
    <xf numFmtId="0" fontId="4" fillId="12" borderId="0" xfId="15" applyFill="1"/>
    <xf numFmtId="0" fontId="46" fillId="12" borderId="0" xfId="40" applyFont="1" applyFill="1" applyAlignment="1">
      <alignment horizontal="left" vertical="top"/>
    </xf>
    <xf numFmtId="0" fontId="4" fillId="12" borderId="0" xfId="15" applyFont="1" applyFill="1" applyAlignment="1">
      <alignment vertical="top"/>
    </xf>
    <xf numFmtId="0" fontId="31" fillId="12" borderId="0" xfId="40" applyFont="1" applyFill="1" applyAlignment="1">
      <alignment vertical="top"/>
    </xf>
    <xf numFmtId="0" fontId="0" fillId="12" borderId="0" xfId="0" applyFill="1" applyAlignment="1">
      <alignment vertical="top"/>
    </xf>
    <xf numFmtId="0" fontId="47" fillId="12" borderId="0" xfId="0" applyFont="1" applyFill="1" applyAlignment="1">
      <alignment vertical="top"/>
    </xf>
    <xf numFmtId="0" fontId="48" fillId="12" borderId="0" xfId="0" applyFont="1" applyFill="1" applyAlignment="1">
      <alignment vertical="top"/>
    </xf>
    <xf numFmtId="0" fontId="47" fillId="12" borderId="13" xfId="0" applyFont="1" applyFill="1" applyBorder="1" applyAlignment="1">
      <alignment vertical="top"/>
    </xf>
    <xf numFmtId="9" fontId="47" fillId="12" borderId="13" xfId="0" applyNumberFormat="1" applyFont="1" applyFill="1" applyBorder="1" applyAlignment="1">
      <alignment vertical="top"/>
    </xf>
    <xf numFmtId="3" fontId="47" fillId="12" borderId="13" xfId="0" applyNumberFormat="1" applyFont="1" applyFill="1" applyBorder="1" applyAlignment="1">
      <alignment vertical="top"/>
    </xf>
    <xf numFmtId="2" fontId="4" fillId="0" borderId="0" xfId="15" applyNumberFormat="1" applyAlignment="1">
      <alignment horizontal="left"/>
    </xf>
    <xf numFmtId="0" fontId="4" fillId="0" borderId="0" xfId="15" applyNumberFormat="1" applyAlignment="1">
      <alignment horizontal="left"/>
    </xf>
    <xf numFmtId="1" fontId="4" fillId="0" borderId="0" xfId="15" applyNumberFormat="1" applyAlignment="1">
      <alignment horizontal="left"/>
    </xf>
    <xf numFmtId="0" fontId="4" fillId="0" borderId="0" xfId="15" applyFont="1"/>
    <xf numFmtId="193" fontId="4" fillId="0" borderId="0" xfId="15" applyNumberFormat="1" applyAlignment="1">
      <alignment horizontal="left"/>
    </xf>
    <xf numFmtId="49" fontId="4" fillId="0" borderId="0" xfId="15" applyNumberFormat="1"/>
    <xf numFmtId="0" fontId="49" fillId="0" borderId="0" xfId="15" applyFont="1" applyAlignment="1">
      <alignment wrapText="1"/>
    </xf>
    <xf numFmtId="0" fontId="49" fillId="0" borderId="0" xfId="15" applyFont="1" applyAlignment="1">
      <alignment horizontal="left" wrapText="1" indent="3"/>
    </xf>
    <xf numFmtId="0" fontId="49" fillId="0" borderId="0" xfId="15" applyFont="1" applyAlignment="1">
      <alignment horizontal="left" wrapText="1" indent="1"/>
    </xf>
    <xf numFmtId="0" fontId="51" fillId="0" borderId="0" xfId="15" applyFont="1" applyAlignment="1">
      <alignment wrapText="1"/>
    </xf>
    <xf numFmtId="0" fontId="0" fillId="12" borderId="18" xfId="0" applyFill="1" applyBorder="1" applyAlignment="1">
      <alignment vertical="top"/>
    </xf>
    <xf numFmtId="0" fontId="47" fillId="12" borderId="0" xfId="0" applyFont="1" applyFill="1" applyAlignment="1">
      <alignment vertical="top"/>
    </xf>
    <xf numFmtId="0" fontId="47" fillId="12" borderId="14" xfId="0" applyFont="1" applyFill="1" applyBorder="1" applyAlignment="1">
      <alignment vertical="top"/>
    </xf>
    <xf numFmtId="0" fontId="47" fillId="12" borderId="15" xfId="0" applyFont="1" applyFill="1" applyBorder="1" applyAlignment="1">
      <alignment vertical="top"/>
    </xf>
    <xf numFmtId="0" fontId="47" fillId="12" borderId="16" xfId="0" applyFont="1" applyFill="1" applyBorder="1" applyAlignment="1">
      <alignment vertical="top"/>
    </xf>
    <xf numFmtId="0" fontId="48" fillId="12" borderId="0" xfId="0" applyFont="1" applyFill="1" applyAlignment="1">
      <alignment vertical="top"/>
    </xf>
    <xf numFmtId="0" fontId="0" fillId="12" borderId="0" xfId="0" applyFill="1" applyAlignment="1">
      <alignment vertical="top"/>
    </xf>
    <xf numFmtId="0" fontId="0" fillId="12" borderId="17" xfId="0" applyFill="1" applyBorder="1" applyAlignment="1">
      <alignment vertical="top"/>
    </xf>
  </cellXfs>
  <cellStyles count="41">
    <cellStyle name=" 1" xfId="1"/>
    <cellStyle name=" 1 2" xfId="2"/>
    <cellStyle name=" 1 3" xfId="3"/>
    <cellStyle name="_SUMMARY " xfId="4"/>
    <cellStyle name="0_Capex &amp; Depreciation " xfId="5"/>
    <cellStyle name="0_Valuing BP " xfId="6"/>
    <cellStyle name="A¨­￠￢￠O [0]_C¡IAo_AoAUAy¡ÆeC¡I " xfId="7"/>
    <cellStyle name="A¨­￠￢￠O_AoAUAy¡ÆeC¡I " xfId="8"/>
    <cellStyle name="c_HardInc " xfId="9"/>
    <cellStyle name="Comma" xfId="10" builtinId="3"/>
    <cellStyle name="Currency" xfId="11" builtinId="4"/>
    <cellStyle name="Currency 2" xfId="12"/>
    <cellStyle name="Currency 3" xfId="13"/>
    <cellStyle name="Hyperlink" xfId="14" builtinId="8"/>
    <cellStyle name="Normal" xfId="0" builtinId="0"/>
    <cellStyle name="Normal 2" xfId="15"/>
    <cellStyle name="Normal 3" xfId="16"/>
    <cellStyle name="Normal 4" xfId="17"/>
    <cellStyle name="Normal 5" xfId="18"/>
    <cellStyle name="Normal 6" xfId="19"/>
    <cellStyle name="Normal 8" xfId="20"/>
    <cellStyle name="Normal_DisclaimerSheet Samples" xfId="40"/>
    <cellStyle name="Normal_DLM_EM07-011107" xfId="21"/>
    <cellStyle name="Normal_GIS_EM07-012507" xfId="22"/>
    <cellStyle name="Normal_HON" xfId="23"/>
    <cellStyle name="Normal_HSY_EM07-010507" xfId="24"/>
    <cellStyle name="Normal_IS" xfId="25"/>
    <cellStyle name="Normal_K_EM07-012507" xfId="26"/>
    <cellStyle name="Normal_Kraft_MS1-040407" xfId="27"/>
    <cellStyle name="Normal_SLE_EM07-042707" xfId="28"/>
    <cellStyle name="p " xfId="29"/>
    <cellStyle name="Percent" xfId="30" builtinId="5"/>
    <cellStyle name="Percent 2" xfId="31"/>
    <cellStyle name="RRSInstruction" xfId="32"/>
    <cellStyle name="s_HardInc " xfId="33"/>
    <cellStyle name="s_Valuation " xfId="34"/>
    <cellStyle name="ssp " xfId="35"/>
    <cellStyle name="Style 1" xfId="36"/>
    <cellStyle name="콤마 [0]_ 2팀층별 " xfId="37"/>
    <cellStyle name="콤마_ 2팀층별 " xfId="38"/>
    <cellStyle name="표준_0N-HANDLING " xfId="39"/>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00" Target="externalLinks/externalLink91.xml" Type="http://schemas.openxmlformats.org/officeDocument/2006/relationships/externalLink"/>
<Relationship Id="rId101" Target="externalLinks/externalLink92.xml" Type="http://schemas.openxmlformats.org/officeDocument/2006/relationships/externalLink"/>
<Relationship Id="rId102" Target="externalLinks/externalLink93.xml" Type="http://schemas.openxmlformats.org/officeDocument/2006/relationships/externalLink"/>
<Relationship Id="rId103" Target="externalLinks/externalLink94.xml" Type="http://schemas.openxmlformats.org/officeDocument/2006/relationships/externalLink"/>
<Relationship Id="rId104" Target="externalLinks/externalLink95.xml" Type="http://schemas.openxmlformats.org/officeDocument/2006/relationships/externalLink"/>
<Relationship Id="rId105" Target="externalLinks/externalLink96.xml" Type="http://schemas.openxmlformats.org/officeDocument/2006/relationships/externalLink"/>
<Relationship Id="rId106" Target="externalLinks/externalLink97.xml" Type="http://schemas.openxmlformats.org/officeDocument/2006/relationships/externalLink"/>
<Relationship Id="rId107" Target="externalLinks/externalLink98.xml" Type="http://schemas.openxmlformats.org/officeDocument/2006/relationships/externalLink"/>
<Relationship Id="rId108" Target="externalLinks/externalLink99.xml" Type="http://schemas.openxmlformats.org/officeDocument/2006/relationships/externalLink"/>
<Relationship Id="rId109" Target="externalLinks/externalLink100.xml" Type="http://schemas.openxmlformats.org/officeDocument/2006/relationships/externalLink"/>
<Relationship Id="rId11" Target="externalLinks/externalLink2.xml" Type="http://schemas.openxmlformats.org/officeDocument/2006/relationships/externalLink"/>
<Relationship Id="rId110" Target="externalLinks/externalLink101.xml" Type="http://schemas.openxmlformats.org/officeDocument/2006/relationships/externalLink"/>
<Relationship Id="rId111" Target="externalLinks/externalLink102.xml" Type="http://schemas.openxmlformats.org/officeDocument/2006/relationships/externalLink"/>
<Relationship Id="rId112" Target="externalLinks/externalLink103.xml" Type="http://schemas.openxmlformats.org/officeDocument/2006/relationships/externalLink"/>
<Relationship Id="rId113" Target="externalLinks/externalLink104.xml" Type="http://schemas.openxmlformats.org/officeDocument/2006/relationships/externalLink"/>
<Relationship Id="rId114" Target="externalLinks/externalLink105.xml" Type="http://schemas.openxmlformats.org/officeDocument/2006/relationships/externalLink"/>
<Relationship Id="rId115" Target="externalLinks/externalLink106.xml" Type="http://schemas.openxmlformats.org/officeDocument/2006/relationships/externalLink"/>
<Relationship Id="rId116" Target="externalLinks/externalLink107.xml" Type="http://schemas.openxmlformats.org/officeDocument/2006/relationships/externalLink"/>
<Relationship Id="rId117" Target="externalLinks/externalLink108.xml" Type="http://schemas.openxmlformats.org/officeDocument/2006/relationships/externalLink"/>
<Relationship Id="rId118" Target="externalLinks/externalLink109.xml" Type="http://schemas.openxmlformats.org/officeDocument/2006/relationships/externalLink"/>
<Relationship Id="rId119" Target="theme/theme1.xml" Type="http://schemas.openxmlformats.org/officeDocument/2006/relationships/theme"/>
<Relationship Id="rId12" Target="externalLinks/externalLink3.xml" Type="http://schemas.openxmlformats.org/officeDocument/2006/relationships/externalLink"/>
<Relationship Id="rId120" Target="styles.xml" Type="http://schemas.openxmlformats.org/officeDocument/2006/relationships/styles"/>
<Relationship Id="rId121" Target="sharedStrings.xml" Type="http://schemas.openxmlformats.org/officeDocument/2006/relationships/sharedStrings"/>
<Relationship Id="rId122" Target="calcChain.xml" Type="http://schemas.openxmlformats.org/officeDocument/2006/relationships/calcChain"/>
<Relationship Id="rId123" Target="vbaProject.bin" Type="http://schemas.microsoft.com/office/2006/relationships/vbaProject"/>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externalLinks/externalLink8.xml" Type="http://schemas.openxmlformats.org/officeDocument/2006/relationships/externalLink"/>
<Relationship Id="rId18" Target="externalLinks/externalLink9.xml" Type="http://schemas.openxmlformats.org/officeDocument/2006/relationships/externalLink"/>
<Relationship Id="rId19" Target="externalLinks/externalLink10.xml" Type="http://schemas.openxmlformats.org/officeDocument/2006/relationships/externalLink"/>
<Relationship Id="rId2" Target="worksheets/sheet2.xml" Type="http://schemas.openxmlformats.org/officeDocument/2006/relationships/worksheet"/>
<Relationship Id="rId20" Target="externalLinks/externalLink11.xml" Type="http://schemas.openxmlformats.org/officeDocument/2006/relationships/externalLink"/>
<Relationship Id="rId21" Target="externalLinks/externalLink12.xml" Type="http://schemas.openxmlformats.org/officeDocument/2006/relationships/externalLink"/>
<Relationship Id="rId22" Target="externalLinks/externalLink13.xml" Type="http://schemas.openxmlformats.org/officeDocument/2006/relationships/externalLink"/>
<Relationship Id="rId23" Target="externalLinks/externalLink14.xml" Type="http://schemas.openxmlformats.org/officeDocument/2006/relationships/externalLink"/>
<Relationship Id="rId24" Target="externalLinks/externalLink15.xml" Type="http://schemas.openxmlformats.org/officeDocument/2006/relationships/externalLink"/>
<Relationship Id="rId25" Target="externalLinks/externalLink16.xml" Type="http://schemas.openxmlformats.org/officeDocument/2006/relationships/externalLink"/>
<Relationship Id="rId26" Target="externalLinks/externalLink17.xml" Type="http://schemas.openxmlformats.org/officeDocument/2006/relationships/externalLink"/>
<Relationship Id="rId27" Target="externalLinks/externalLink18.xml" Type="http://schemas.openxmlformats.org/officeDocument/2006/relationships/externalLink"/>
<Relationship Id="rId28" Target="externalLinks/externalLink19.xml" Type="http://schemas.openxmlformats.org/officeDocument/2006/relationships/externalLink"/>
<Relationship Id="rId29" Target="externalLinks/externalLink20.xml" Type="http://schemas.openxmlformats.org/officeDocument/2006/relationships/externalLink"/>
<Relationship Id="rId3" Target="worksheets/sheet3.xml" Type="http://schemas.openxmlformats.org/officeDocument/2006/relationships/worksheet"/>
<Relationship Id="rId30" Target="externalLinks/externalLink21.xml" Type="http://schemas.openxmlformats.org/officeDocument/2006/relationships/externalLink"/>
<Relationship Id="rId31" Target="externalLinks/externalLink22.xml" Type="http://schemas.openxmlformats.org/officeDocument/2006/relationships/externalLink"/>
<Relationship Id="rId32" Target="externalLinks/externalLink23.xml" Type="http://schemas.openxmlformats.org/officeDocument/2006/relationships/externalLink"/>
<Relationship Id="rId33" Target="externalLinks/externalLink24.xml" Type="http://schemas.openxmlformats.org/officeDocument/2006/relationships/externalLink"/>
<Relationship Id="rId34" Target="externalLinks/externalLink25.xml" Type="http://schemas.openxmlformats.org/officeDocument/2006/relationships/externalLink"/>
<Relationship Id="rId35" Target="externalLinks/externalLink26.xml" Type="http://schemas.openxmlformats.org/officeDocument/2006/relationships/externalLink"/>
<Relationship Id="rId36" Target="externalLinks/externalLink27.xml" Type="http://schemas.openxmlformats.org/officeDocument/2006/relationships/externalLink"/>
<Relationship Id="rId37" Target="externalLinks/externalLink28.xml" Type="http://schemas.openxmlformats.org/officeDocument/2006/relationships/externalLink"/>
<Relationship Id="rId38" Target="externalLinks/externalLink29.xml" Type="http://schemas.openxmlformats.org/officeDocument/2006/relationships/externalLink"/>
<Relationship Id="rId39" Target="externalLinks/externalLink30.xml" Type="http://schemas.openxmlformats.org/officeDocument/2006/relationships/externalLink"/>
<Relationship Id="rId4" Target="worksheets/sheet4.xml" Type="http://schemas.openxmlformats.org/officeDocument/2006/relationships/worksheet"/>
<Relationship Id="rId40" Target="externalLinks/externalLink31.xml" Type="http://schemas.openxmlformats.org/officeDocument/2006/relationships/externalLink"/>
<Relationship Id="rId41" Target="externalLinks/externalLink32.xml" Type="http://schemas.openxmlformats.org/officeDocument/2006/relationships/externalLink"/>
<Relationship Id="rId42" Target="externalLinks/externalLink33.xml" Type="http://schemas.openxmlformats.org/officeDocument/2006/relationships/externalLink"/>
<Relationship Id="rId43" Target="externalLinks/externalLink34.xml" Type="http://schemas.openxmlformats.org/officeDocument/2006/relationships/externalLink"/>
<Relationship Id="rId44" Target="externalLinks/externalLink35.xml" Type="http://schemas.openxmlformats.org/officeDocument/2006/relationships/externalLink"/>
<Relationship Id="rId45" Target="externalLinks/externalLink36.xml" Type="http://schemas.openxmlformats.org/officeDocument/2006/relationships/externalLink"/>
<Relationship Id="rId46" Target="externalLinks/externalLink37.xml" Type="http://schemas.openxmlformats.org/officeDocument/2006/relationships/externalLink"/>
<Relationship Id="rId47" Target="externalLinks/externalLink38.xml" Type="http://schemas.openxmlformats.org/officeDocument/2006/relationships/externalLink"/>
<Relationship Id="rId48" Target="externalLinks/externalLink39.xml" Type="http://schemas.openxmlformats.org/officeDocument/2006/relationships/externalLink"/>
<Relationship Id="rId49" Target="externalLinks/externalLink40.xml" Type="http://schemas.openxmlformats.org/officeDocument/2006/relationships/externalLink"/>
<Relationship Id="rId5" Target="worksheets/sheet5.xml" Type="http://schemas.openxmlformats.org/officeDocument/2006/relationships/worksheet"/>
<Relationship Id="rId50" Target="externalLinks/externalLink41.xml" Type="http://schemas.openxmlformats.org/officeDocument/2006/relationships/externalLink"/>
<Relationship Id="rId51" Target="externalLinks/externalLink42.xml" Type="http://schemas.openxmlformats.org/officeDocument/2006/relationships/externalLink"/>
<Relationship Id="rId52" Target="externalLinks/externalLink43.xml" Type="http://schemas.openxmlformats.org/officeDocument/2006/relationships/externalLink"/>
<Relationship Id="rId53" Target="externalLinks/externalLink44.xml" Type="http://schemas.openxmlformats.org/officeDocument/2006/relationships/externalLink"/>
<Relationship Id="rId54" Target="externalLinks/externalLink45.xml" Type="http://schemas.openxmlformats.org/officeDocument/2006/relationships/externalLink"/>
<Relationship Id="rId55" Target="externalLinks/externalLink46.xml" Type="http://schemas.openxmlformats.org/officeDocument/2006/relationships/externalLink"/>
<Relationship Id="rId56" Target="externalLinks/externalLink47.xml" Type="http://schemas.openxmlformats.org/officeDocument/2006/relationships/externalLink"/>
<Relationship Id="rId57" Target="externalLinks/externalLink48.xml" Type="http://schemas.openxmlformats.org/officeDocument/2006/relationships/externalLink"/>
<Relationship Id="rId58" Target="externalLinks/externalLink49.xml" Type="http://schemas.openxmlformats.org/officeDocument/2006/relationships/externalLink"/>
<Relationship Id="rId59" Target="externalLinks/externalLink50.xml" Type="http://schemas.openxmlformats.org/officeDocument/2006/relationships/externalLink"/>
<Relationship Id="rId6" Target="worksheets/sheet6.xml" Type="http://schemas.openxmlformats.org/officeDocument/2006/relationships/worksheet"/>
<Relationship Id="rId60" Target="externalLinks/externalLink51.xml" Type="http://schemas.openxmlformats.org/officeDocument/2006/relationships/externalLink"/>
<Relationship Id="rId61" Target="externalLinks/externalLink52.xml" Type="http://schemas.openxmlformats.org/officeDocument/2006/relationships/externalLink"/>
<Relationship Id="rId62" Target="externalLinks/externalLink53.xml" Type="http://schemas.openxmlformats.org/officeDocument/2006/relationships/externalLink"/>
<Relationship Id="rId63" Target="externalLinks/externalLink54.xml" Type="http://schemas.openxmlformats.org/officeDocument/2006/relationships/externalLink"/>
<Relationship Id="rId64" Target="externalLinks/externalLink55.xml" Type="http://schemas.openxmlformats.org/officeDocument/2006/relationships/externalLink"/>
<Relationship Id="rId65" Target="externalLinks/externalLink56.xml" Type="http://schemas.openxmlformats.org/officeDocument/2006/relationships/externalLink"/>
<Relationship Id="rId66" Target="externalLinks/externalLink57.xml" Type="http://schemas.openxmlformats.org/officeDocument/2006/relationships/externalLink"/>
<Relationship Id="rId67" Target="externalLinks/externalLink58.xml" Type="http://schemas.openxmlformats.org/officeDocument/2006/relationships/externalLink"/>
<Relationship Id="rId68" Target="externalLinks/externalLink59.xml" Type="http://schemas.openxmlformats.org/officeDocument/2006/relationships/externalLink"/>
<Relationship Id="rId69" Target="externalLinks/externalLink60.xml" Type="http://schemas.openxmlformats.org/officeDocument/2006/relationships/externalLink"/>
<Relationship Id="rId7" Target="worksheets/sheet7.xml" Type="http://schemas.openxmlformats.org/officeDocument/2006/relationships/worksheet"/>
<Relationship Id="rId70" Target="externalLinks/externalLink61.xml" Type="http://schemas.openxmlformats.org/officeDocument/2006/relationships/externalLink"/>
<Relationship Id="rId71" Target="externalLinks/externalLink62.xml" Type="http://schemas.openxmlformats.org/officeDocument/2006/relationships/externalLink"/>
<Relationship Id="rId72" Target="externalLinks/externalLink63.xml" Type="http://schemas.openxmlformats.org/officeDocument/2006/relationships/externalLink"/>
<Relationship Id="rId73" Target="externalLinks/externalLink64.xml" Type="http://schemas.openxmlformats.org/officeDocument/2006/relationships/externalLink"/>
<Relationship Id="rId74" Target="externalLinks/externalLink65.xml" Type="http://schemas.openxmlformats.org/officeDocument/2006/relationships/externalLink"/>
<Relationship Id="rId75" Target="externalLinks/externalLink66.xml" Type="http://schemas.openxmlformats.org/officeDocument/2006/relationships/externalLink"/>
<Relationship Id="rId76" Target="externalLinks/externalLink67.xml" Type="http://schemas.openxmlformats.org/officeDocument/2006/relationships/externalLink"/>
<Relationship Id="rId77" Target="externalLinks/externalLink68.xml" Type="http://schemas.openxmlformats.org/officeDocument/2006/relationships/externalLink"/>
<Relationship Id="rId78" Target="externalLinks/externalLink69.xml" Type="http://schemas.openxmlformats.org/officeDocument/2006/relationships/externalLink"/>
<Relationship Id="rId79" Target="externalLinks/externalLink70.xml" Type="http://schemas.openxmlformats.org/officeDocument/2006/relationships/externalLink"/>
<Relationship Id="rId8" Target="worksheets/sheet8.xml" Type="http://schemas.openxmlformats.org/officeDocument/2006/relationships/worksheet"/>
<Relationship Id="rId80" Target="externalLinks/externalLink71.xml" Type="http://schemas.openxmlformats.org/officeDocument/2006/relationships/externalLink"/>
<Relationship Id="rId81" Target="externalLinks/externalLink72.xml" Type="http://schemas.openxmlformats.org/officeDocument/2006/relationships/externalLink"/>
<Relationship Id="rId82" Target="externalLinks/externalLink73.xml" Type="http://schemas.openxmlformats.org/officeDocument/2006/relationships/externalLink"/>
<Relationship Id="rId83" Target="externalLinks/externalLink74.xml" Type="http://schemas.openxmlformats.org/officeDocument/2006/relationships/externalLink"/>
<Relationship Id="rId84" Target="externalLinks/externalLink75.xml" Type="http://schemas.openxmlformats.org/officeDocument/2006/relationships/externalLink"/>
<Relationship Id="rId85" Target="externalLinks/externalLink76.xml" Type="http://schemas.openxmlformats.org/officeDocument/2006/relationships/externalLink"/>
<Relationship Id="rId86" Target="externalLinks/externalLink77.xml" Type="http://schemas.openxmlformats.org/officeDocument/2006/relationships/externalLink"/>
<Relationship Id="rId87" Target="externalLinks/externalLink78.xml" Type="http://schemas.openxmlformats.org/officeDocument/2006/relationships/externalLink"/>
<Relationship Id="rId88" Target="externalLinks/externalLink79.xml" Type="http://schemas.openxmlformats.org/officeDocument/2006/relationships/externalLink"/>
<Relationship Id="rId89" Target="externalLinks/externalLink80.xml" Type="http://schemas.openxmlformats.org/officeDocument/2006/relationships/externalLink"/>
<Relationship Id="rId9" Target="worksheets/sheet9.xml" Type="http://schemas.openxmlformats.org/officeDocument/2006/relationships/worksheet"/>
<Relationship Id="rId90" Target="externalLinks/externalLink81.xml" Type="http://schemas.openxmlformats.org/officeDocument/2006/relationships/externalLink"/>
<Relationship Id="rId91" Target="externalLinks/externalLink82.xml" Type="http://schemas.openxmlformats.org/officeDocument/2006/relationships/externalLink"/>
<Relationship Id="rId92" Target="externalLinks/externalLink83.xml" Type="http://schemas.openxmlformats.org/officeDocument/2006/relationships/externalLink"/>
<Relationship Id="rId93" Target="externalLinks/externalLink84.xml" Type="http://schemas.openxmlformats.org/officeDocument/2006/relationships/externalLink"/>
<Relationship Id="rId94" Target="externalLinks/externalLink85.xml" Type="http://schemas.openxmlformats.org/officeDocument/2006/relationships/externalLink"/>
<Relationship Id="rId95" Target="externalLinks/externalLink86.xml" Type="http://schemas.openxmlformats.org/officeDocument/2006/relationships/externalLink"/>
<Relationship Id="rId96" Target="externalLinks/externalLink87.xml" Type="http://schemas.openxmlformats.org/officeDocument/2006/relationships/externalLink"/>
<Relationship Id="rId97" Target="externalLinks/externalLink88.xml" Type="http://schemas.openxmlformats.org/officeDocument/2006/relationships/externalLink"/>
<Relationship Id="rId98" Target="externalLinks/externalLink89.xml" Type="http://schemas.openxmlformats.org/officeDocument/2006/relationships/externalLink"/>
<Relationship Id="rId99" Target="externalLinks/externalLink90.xml" Type="http://schemas.openxmlformats.org/officeDocument/2006/relationships/externalLink"/>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3.xml.rels><?xml version="1.0" encoding="UTF-8" standalone="yes"?>
<Relationships xmlns="http://schemas.openxmlformats.org/package/2006/relationships">
<Relationship Id="rId1" Target="../media/image5.png" Type="http://schemas.openxmlformats.org/officeDocument/2006/relationships/image"/>
<Relationship Id="rId2" Target="../media/image4.jpeg" Type="http://schemas.openxmlformats.org/officeDocument/2006/relationships/image"/>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 Id="rId2" Target="../media/image6.jpeg" Type="http://schemas.openxmlformats.org/officeDocument/2006/relationships/image"/>
</Relationships>

</file>

<file path=xl/drawings/_rels/drawing5.xml.rels><?xml version="1.0" encoding="UTF-8" standalone="yes"?>
<Relationships xmlns="http://schemas.openxmlformats.org/package/2006/relationships">
<Relationship Id="rId1" Target="../media/image5.png" Type="http://schemas.openxmlformats.org/officeDocument/2006/relationships/image"/>
<Relationship Id="rId2" Target="../media/image6.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9</xdr:col>
      <xdr:colOff>114300</xdr:colOff>
      <xdr:row>200</xdr:row>
      <xdr:rowOff>104775</xdr:rowOff>
    </xdr:to>
    <xdr:pic>
      <xdr:nvPicPr>
        <xdr:cNvPr id="3435521" name="Picture 1" descr="C:\Users\pamelk\AppData\Local\Temp\MercuryPriceRatingHistoryChart\MDLZ.O_2018_04_17_18_46_2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6129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19050</xdr:rowOff>
    </xdr:from>
    <xdr:to>
      <xdr:col>0</xdr:col>
      <xdr:colOff>1266825</xdr:colOff>
      <xdr:row>4</xdr:row>
      <xdr:rowOff>123825</xdr:rowOff>
    </xdr:to>
    <xdr:pic>
      <xdr:nvPicPr>
        <xdr:cNvPr id="1696711" name="Picture 34" descr="4fbd1a2a5796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2900"/>
          <a:ext cx="12668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19050</xdr:rowOff>
    </xdr:from>
    <xdr:to>
      <xdr:col>0</xdr:col>
      <xdr:colOff>0</xdr:colOff>
      <xdr:row>0</xdr:row>
      <xdr:rowOff>361950</xdr:rowOff>
    </xdr:to>
    <xdr:pic>
      <xdr:nvPicPr>
        <xdr:cNvPr id="3297799" name="Picture 1"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57</xdr:col>
      <xdr:colOff>0</xdr:colOff>
      <xdr:row>0</xdr:row>
      <xdr:rowOff>19050</xdr:rowOff>
    </xdr:from>
    <xdr:to>
      <xdr:col>57</xdr:col>
      <xdr:colOff>0</xdr:colOff>
      <xdr:row>0</xdr:row>
      <xdr:rowOff>361950</xdr:rowOff>
    </xdr:to>
    <xdr:pic>
      <xdr:nvPicPr>
        <xdr:cNvPr id="3297800" name="Picture 2"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57</xdr:col>
      <xdr:colOff>0</xdr:colOff>
      <xdr:row>0</xdr:row>
      <xdr:rowOff>19050</xdr:rowOff>
    </xdr:from>
    <xdr:to>
      <xdr:col>57</xdr:col>
      <xdr:colOff>0</xdr:colOff>
      <xdr:row>0</xdr:row>
      <xdr:rowOff>361950</xdr:rowOff>
    </xdr:to>
    <xdr:pic>
      <xdr:nvPicPr>
        <xdr:cNvPr id="3297801" name="Picture 3"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57</xdr:col>
      <xdr:colOff>0</xdr:colOff>
      <xdr:row>0</xdr:row>
      <xdr:rowOff>19050</xdr:rowOff>
    </xdr:from>
    <xdr:to>
      <xdr:col>57</xdr:col>
      <xdr:colOff>0</xdr:colOff>
      <xdr:row>0</xdr:row>
      <xdr:rowOff>361950</xdr:rowOff>
    </xdr:to>
    <xdr:pic>
      <xdr:nvPicPr>
        <xdr:cNvPr id="3297802" name="Picture 4"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57</xdr:col>
      <xdr:colOff>0</xdr:colOff>
      <xdr:row>0</xdr:row>
      <xdr:rowOff>19050</xdr:rowOff>
    </xdr:from>
    <xdr:to>
      <xdr:col>57</xdr:col>
      <xdr:colOff>0</xdr:colOff>
      <xdr:row>0</xdr:row>
      <xdr:rowOff>361950</xdr:rowOff>
    </xdr:to>
    <xdr:pic>
      <xdr:nvPicPr>
        <xdr:cNvPr id="3297803" name="Picture 5"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57</xdr:col>
      <xdr:colOff>0</xdr:colOff>
      <xdr:row>0</xdr:row>
      <xdr:rowOff>19050</xdr:rowOff>
    </xdr:from>
    <xdr:to>
      <xdr:col>57</xdr:col>
      <xdr:colOff>0</xdr:colOff>
      <xdr:row>0</xdr:row>
      <xdr:rowOff>361950</xdr:rowOff>
    </xdr:to>
    <xdr:pic>
      <xdr:nvPicPr>
        <xdr:cNvPr id="3297804" name="Picture 6"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57</xdr:col>
      <xdr:colOff>0</xdr:colOff>
      <xdr:row>0</xdr:row>
      <xdr:rowOff>19050</xdr:rowOff>
    </xdr:from>
    <xdr:to>
      <xdr:col>57</xdr:col>
      <xdr:colOff>0</xdr:colOff>
      <xdr:row>0</xdr:row>
      <xdr:rowOff>361950</xdr:rowOff>
    </xdr:to>
    <xdr:pic>
      <xdr:nvPicPr>
        <xdr:cNvPr id="3297805" name="Picture 7"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xdr:row>
      <xdr:rowOff>19050</xdr:rowOff>
    </xdr:from>
    <xdr:to>
      <xdr:col>0</xdr:col>
      <xdr:colOff>1266825</xdr:colOff>
      <xdr:row>4</xdr:row>
      <xdr:rowOff>123825</xdr:rowOff>
    </xdr:to>
    <xdr:pic>
      <xdr:nvPicPr>
        <xdr:cNvPr id="3297806" name="Picture 110" descr="4fbd1a2a5796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2900"/>
          <a:ext cx="12668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0</xdr:row>
      <xdr:rowOff>19050</xdr:rowOff>
    </xdr:from>
    <xdr:to>
      <xdr:col>12</xdr:col>
      <xdr:colOff>0</xdr:colOff>
      <xdr:row>0</xdr:row>
      <xdr:rowOff>361950</xdr:rowOff>
    </xdr:to>
    <xdr:pic>
      <xdr:nvPicPr>
        <xdr:cNvPr id="3141313" name="Picture 1"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0</xdr:colOff>
      <xdr:row>0</xdr:row>
      <xdr:rowOff>19050</xdr:rowOff>
    </xdr:from>
    <xdr:to>
      <xdr:col>12</xdr:col>
      <xdr:colOff>0</xdr:colOff>
      <xdr:row>0</xdr:row>
      <xdr:rowOff>361950</xdr:rowOff>
    </xdr:to>
    <xdr:pic>
      <xdr:nvPicPr>
        <xdr:cNvPr id="3141314" name="Picture 2"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141315" name="Picture 3"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141316" name="Picture 4"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xdr:row>
      <xdr:rowOff>19050</xdr:rowOff>
    </xdr:from>
    <xdr:to>
      <xdr:col>0</xdr:col>
      <xdr:colOff>1266825</xdr:colOff>
      <xdr:row>4</xdr:row>
      <xdr:rowOff>123825</xdr:rowOff>
    </xdr:to>
    <xdr:pic>
      <xdr:nvPicPr>
        <xdr:cNvPr id="3141317" name="Picture 11" descr="4fbd1a2a5796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2900"/>
          <a:ext cx="12668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19050</xdr:rowOff>
    </xdr:from>
    <xdr:to>
      <xdr:col>1</xdr:col>
      <xdr:colOff>0</xdr:colOff>
      <xdr:row>0</xdr:row>
      <xdr:rowOff>361950</xdr:rowOff>
    </xdr:to>
    <xdr:pic>
      <xdr:nvPicPr>
        <xdr:cNvPr id="3304818" name="Picture 1"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304819" name="Picture 2"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304820" name="Picture 3"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304821" name="Picture 4"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1</xdr:col>
      <xdr:colOff>0</xdr:colOff>
      <xdr:row>0</xdr:row>
      <xdr:rowOff>361950</xdr:rowOff>
    </xdr:to>
    <xdr:pic>
      <xdr:nvPicPr>
        <xdr:cNvPr id="3304822" name="Picture 5" descr="Lar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9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xdr:row>
      <xdr:rowOff>19050</xdr:rowOff>
    </xdr:from>
    <xdr:to>
      <xdr:col>0</xdr:col>
      <xdr:colOff>1266825</xdr:colOff>
      <xdr:row>4</xdr:row>
      <xdr:rowOff>123825</xdr:rowOff>
    </xdr:to>
    <xdr:pic>
      <xdr:nvPicPr>
        <xdr:cNvPr id="3304823" name="Picture 99" descr="4fbd1a2a5796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2900"/>
          <a:ext cx="12668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CONSUMER/Cosmetics-Household%20goods/Published%20Models/MSDW_PG_1.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ood/XLDATA/Global/Modelware/Consumer%20Valuation%20Compsheets/ConsumerValuationCompsheet_07_with%20changes%20made%20to%20Perf_MW.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file://///MSAD/root/Documents%20and%20Settings/leongj/Desktop/diff%20yr%20ends.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CONSUMER/Cosmetics-Household%20goods/Models/European%20HPC%20Companies/Wella.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Eva's%20Things/Excel/HPC/Models/BDORF.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CONSUMER/FOOD/EXCEL/Dlm/DLM.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file://///Pidfsn5/root/CLIENTS/Stryker/December%202007%20-%20Project%20Apollo/M&amp;A%20Model/SYK%20-%20ARTC%20Full%20Combo%20BH.xls" TargetMode="External" Type="http://schemas.openxmlformats.org/officeDocument/2006/relationships/externalLinkPath"/>
</Relationships>

</file>

<file path=xl/externalLinks/_rels/externalLink8.xml.rels><?xml version="1.0" encoding="UTF-8" standalone="yes"?>
<Relationships xmlns="http://schemas.openxmlformats.org/package/2006/relationships">
<Relationship Id="rId1" Target="CONSUMER/FOOD/Jackie/Private%20Label/Branded_Share.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acctg/reval/ANALYSIS/EMSR1196.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CONSUMER/TOBACCO/Matt/Historical%20Tobacco%20Valuation%20THOMSON.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file://///msad/root/NA/NY/LIB/ER/CONSUMER/TOBACCO/EXCEL/TOBACCO/CURRENT%20Company%20Models/LO/LO_011911.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CONSUMER/TOBACCO/EXCEL/TOBACCO/CURRENT%20Company%20Models/PMI/PM%20Quarterly%20Charts.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CONSUMER/FOOD/EXCEL/CPB/CPB_CURRENT.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CONSUMER/TOBACCO/EXCEL/TOBACCO/CURRENT%20Company%20Models/RAI/RAI,%20pre1Q09.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CONSUMER/TOBACCO/Matt/Charts%20for%20121908%20Industry%20Upgrade/Final%20charts.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file://///msad/root/NA/NY/LIB/ER/CONSUMER/TOBACCO/EXCEL/TOBACCO/CURRENT%20Company%20Models/LO/LO_CURRENT.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CONSUMER/TOBACCO/EXCEL/TOBACCO/CURRENT%20Company%20Models/RAI/RAI,%20CURRENT.xls" TargetMode="External" Type="http://schemas.microsoft.com/office/2006/relationships/xlExternalLinkPath/xlAlternateStartup"/>
</Relationships>

</file>

<file path=xl/externalLinks/_rels/externalLink20.xml.rels><?xml version="1.0" encoding="UTF-8" standalone="yes"?>
<Relationships xmlns="http://schemas.openxmlformats.org/package/2006/relationships">
<Relationship Id="rId1" Target="PHARM/XLDATA/Gyrus/Gyrus%20post2H06.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CONSUMER/FOOD/EXCEL/CPB/CPB_Quarterly_Charts.xls" TargetMode="External" Type="http://schemas.microsoft.com/office/2006/relationships/xlExternalLinkPath/xlAlternateStartup"/>
</Relationships>

</file>

<file path=xl/externalLinks/_rels/externalLink22.xml.rels><?xml version="1.0" encoding="UTF-8" standalone="yes"?>
<Relationships xmlns="http://schemas.openxmlformats.org/package/2006/relationships">
<Relationship Id="rId1" Target="CONSUMER/FOOD/EXCEL/Food%20Industry/Euromonitor/Food_Growth_Rates_FINAL.xls" TargetMode="External" Type="http://schemas.microsoft.com/office/2006/relationships/xlExternalLinkPath/xlAlternateStartup"/>
</Relationships>

</file>

<file path=xl/externalLinks/_rels/externalLink23.xml.rels><?xml version="1.0" encoding="UTF-8" standalone="yes"?>
<Relationships xmlns="http://schemas.openxmlformats.org/package/2006/relationships">
<Relationship Id="rId1" Target="XLDATA/Qiagen/Qiagen.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XLDATA/Gambro/Gambro.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food/Food%20Companies/Reckitt%20Benckiser/Model/Reckitt%20Benckiser%20Model_WIP.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CONSUMER/FOOD/EXCEL/DF/DF-WWAV%20Charts%202.xls" TargetMode="External" Type="http://schemas.microsoft.com/office/2006/relationships/xlExternalLinkPath/xlAlternateStartup"/>
</Relationships>

</file>

<file path=xl/externalLinks/_rels/externalLink27.xml.rels><?xml version="1.0" encoding="UTF-8" standalone="yes"?>
<Relationships xmlns="http://schemas.openxmlformats.org/package/2006/relationships">
<Relationship Id="rId1" Target="CONSUMER/FOOD/EXCEL/HNZ/HNZ_Quarterly_Charts.xls" TargetMode="External" Type="http://schemas.microsoft.com/office/2006/relationships/xlExternalLinkPath/xlAlternateStartup"/>
</Relationships>

</file>

<file path=xl/externalLinks/_rels/externalLink28.xml.rels><?xml version="1.0" encoding="UTF-8" standalone="yes"?>
<Relationships xmlns="http://schemas.openxmlformats.org/package/2006/relationships">
<Relationship Id="rId1" Target="CONSUMER/FOOD/EXCEL/DF/WWAV%20Nielsen%20with%20PPB.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CONSUMER/FOOD/EXCEL/K/K_1.xls" TargetMode="External" Type="http://schemas.microsoft.com/office/2006/relationships/xlExternalLinkPath/xlStartup"/>
</Relationships>

</file>

<file path=xl/externalLinks/_rels/externalLink30.xml.rels><?xml version="1.0" encoding="UTF-8" standalone="yes"?>
<Relationships xmlns="http://schemas.openxmlformats.org/package/2006/relationships">
<Relationship Id="rId1" Target="CONSUMER/FOOD/EXCEL/Nielsen/Nielsen_Food_Summary.xls" TargetMode="External" Type="http://schemas.microsoft.com/office/2006/relationships/xlExternalLinkPath/xlAlternateStartup"/>
</Relationships>

</file>

<file path=xl/externalLinks/_rels/externalLink31.xml.rels><?xml version="1.0" encoding="UTF-8" standalone="yes"?>
<Relationships xmlns="http://schemas.openxmlformats.org/package/2006/relationships">
<Relationship Id="rId1" Target="CONSUMER/FOOD/EXCEL/Nielsen/Nielsen_Food_Summary.xls" TargetMode="External" Type="http://schemas.microsoft.com/office/2006/relationships/xlExternalLinkPath/xlStartup"/>
</Relationships>

</file>

<file path=xl/externalLinks/_rels/externalLink32.xml.rels><?xml version="1.0" encoding="UTF-8" standalone="yes"?>
<Relationships xmlns="http://schemas.openxmlformats.org/package/2006/relationships">
<Relationship Id="rId1" Target="http://rlink.ms.com/eqr/rlink/webapp/Research?action=streamFile&amp;docId=630369&amp;headline=Latest+Model&amp;docFileType=8&amp;linksrc=rl-res-site&amp;lastParam=/gxig.de.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CONSUMER/FOOD/EXCEL/K/Misc%20models/background_Data_Old.xls" TargetMode="External" Type="http://schemas.microsoft.com/office/2006/relationships/xlExternalLinkPath/xlStartup"/>
</Relationships>

</file>

<file path=xl/externalLinks/_rels/externalLink34.xml.rels><?xml version="1.0" encoding="UTF-8" standalone="yes"?>
<Relationships xmlns="http://schemas.openxmlformats.org/package/2006/relationships">
<Relationship Id="rId1" Target="file://///msad/root/NA/NY/LIB/ER/CONSUMER/FOOD/EXCEL/HNZ/HNZ_Quarterly_Charts.xls" TargetMode="External" Type="http://schemas.openxmlformats.org/officeDocument/2006/relationships/externalLinkPath"/>
</Relationships>

</file>

<file path=xl/externalLinks/_rels/externalLink35.xml.rels><?xml version="1.0" encoding="UTF-8" standalone="yes"?>
<Relationships xmlns="http://schemas.openxmlformats.org/package/2006/relationships">
<Relationship Id="rId1" Target="PHARM/XLDATA/FRESENIU/fresenius.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food/Food%20Companies/Unilever/Model/Analysis/Growth%20analysis.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food/Food%20Companies/Commodities/Supporting%20Charts%20and%20Tables.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file://///msad/root/NA/NY/LIB/ER/CONSUMER/TOBACCO/EXCEL/TOBACCO/CURRENT%20Company%20Models/RAI/RAI%20Quarterly%20Charts.xls" TargetMode="External" Type="http://schemas.openxmlformats.org/officeDocument/2006/relationships/externalLinkPath"/>
</Relationships>

</file>

<file path=xl/externalLinks/_rels/externalLink39.xml.rels><?xml version="1.0" encoding="UTF-8" standalone="yes"?>
<Relationships xmlns="http://schemas.openxmlformats.org/package/2006/relationships">
<Relationship Id="rId1" Target="TECH/Software/SAP/SAP.xls" TargetMode="External" Type="http://schemas.microsoft.com/office/2006/relationships/xlExternalLinkPath/xlStartup"/>
</Relationships>

</file>

<file path=xl/externalLinks/_rels/externalLink40.xml.rels><?xml version="1.0" encoding="UTF-8" standalone="yes"?>
<Relationships xmlns="http://schemas.openxmlformats.org/package/2006/relationships">
<Relationship Id="rId1" Target="food/XLDATA/SM/UNILEVER/UNILEVER.xls" TargetMode="External" Type="http://schemas.microsoft.com/office/2006/relationships/xlExternalLinkPath/xlStartup"/>
</Relationships>

</file>

<file path=xl/externalLinks/_rels/externalLink41.xml.rels><?xml version="1.0" encoding="UTF-8" standalone="yes"?>
<Relationships xmlns="http://schemas.openxmlformats.org/package/2006/relationships">
<Relationship Id="rId1" Target="package/Davis%20-%20Electrical%20Equipment/Excel/Companies/GE/GE.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23Everything/Misc.%20Files/ABFSOLD2q01.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file://///Pidfsn5/root/CLIENTS/Stryker/December%202007%20-%20Project%20Apollo/M&amp;A%20Model/Project%20Apollo%20Combined%20Model%20(1.08.08)v1.xls" TargetMode="External" Type="http://schemas.openxmlformats.org/officeDocument/2006/relationships/externalLinkPath"/>
</Relationships>

</file>

<file path=xl/externalLinks/_rels/externalLink44.xml.rels><?xml version="1.0" encoding="UTF-8" standalone="yes"?>
<Relationships xmlns="http://schemas.openxmlformats.org/package/2006/relationships">
<Relationship Id="rId1" Target="file://///msad/root/Corporate_Finance/Budgets/Forecast%20-%202015%20Q1/Consolidated%20Reporting/P&amp;L%20BU.xlsx"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file:///G:/Documents%20and%20Settings/kungfa.USA/My%20Documents/~%20Client%20Data/Actel/2001%20TR/PBC%20info/SSBexempt2001%20%20%20%20%20%20%20%20%20%20%20%20%20%20%20%20%20%20%20%20%20%20%20%20%20%20%20%20note%20asked%20need%20mgmt%20reoprt%20&amp;%201099%20may%20be.xls" TargetMode="External" Type="http://schemas.openxmlformats.org/officeDocument/2006/relationships/externalLinkPath"/>
</Relationships>

</file>

<file path=xl/externalLinks/_rels/externalLink46.xml.rels><?xml version="1.0" encoding="UTF-8" standalone="yes"?>
<Relationships xmlns="http://schemas.openxmlformats.org/package/2006/relationships">
<Relationship Id="rId1" Target="CONSUMER/FOOD/EXCEL/Dlm/DLM_LBO_SCENERIOS2.xls" TargetMode="External" Type="http://schemas.microsoft.com/office/2006/relationships/xlExternalLinkPath/xlStartup"/>
</Relationships>

</file>

<file path=xl/externalLinks/_rels/externalLink47.xml.rels><?xml version="1.0" encoding="UTF-8" standalone="yes"?>
<Relationships xmlns="http://schemas.openxmlformats.org/package/2006/relationships">
<Relationship Id="rId1" Target="News/Charts.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file://///Pidfsn5/root/PS_CFD/Ibd/Clients/Clarins/2003%20September%20-%20Meeting%20Capital%20Structure/Comps%20Cosmetics%20&amp;%20Food%20May%2003.xls" TargetMode="External" Type="http://schemas.openxmlformats.org/officeDocument/2006/relationships/externalLinkPath"/>
</Relationships>

</file>

<file path=xl/externalLinks/_rels/externalLink49.xml.rels><?xml version="1.0" encoding="UTF-8" standalone="yes"?>
<Relationships xmlns="http://schemas.openxmlformats.org/package/2006/relationships">
<Relationship Id="rId1" Target="file://///Pidfsn5/root/DOCUME~1/agness/LOCALS~1/Temp/C.DATA.Notes/Weekly%20Market%20Update-07-04-2003-final.xls" TargetMode="External" Type="http://schemas.openxmlformats.org/officeDocument/2006/relationships/externalLinkPath"/>
</Relationships>

</file>

<file path=xl/externalLinks/_rels/externalLink50.xml.rels><?xml version="1.0" encoding="UTF-8" standalone="yes"?>
<Relationships xmlns="http://schemas.openxmlformats.org/package/2006/relationships">
<Relationship Id="rId1" Target="file://///ms/dist/fidev/PROJ/mkt1xladdin/0.1/assemblies/samples/BondsGovtCorp.xls" TargetMode="External" Type="http://schemas.openxmlformats.org/officeDocument/2006/relationships/externalLinkPath"/>
</Relationships>

</file>

<file path=xl/externalLinks/_rels/externalLink51.xml.rels><?xml version="1.0" encoding="UTF-8" standalone="yes"?>
<Relationships xmlns="http://schemas.openxmlformats.org/package/2006/relationships">
<Relationship Id="rId1" Target="Documents%20and%20Settings/savaget/Local%20Settings/Temporary%20Internet%20Files/OLKF8B/MDT-KYPH%20Combo%20Model%20v%2015.xls" TargetMode="External" Type="http://schemas.microsoft.com/office/2006/relationships/xlExternalLinkPath/xlStartup"/>
</Relationships>

</file>

<file path=xl/externalLinks/_rels/externalLink52.xml.rels><?xml version="1.0" encoding="UTF-8" standalone="yes"?>
<Relationships xmlns="http://schemas.openxmlformats.org/package/2006/relationships">
<Relationship Id="rId1" Target="file:///G:/Users/CPellerin/AppData/Roaming/Microsoft/Excel/BOD%20Meeting%20120810.xls" TargetMode="External" Type="http://schemas.openxmlformats.org/officeDocument/2006/relationships/externalLinkPath"/>
</Relationships>

</file>

<file path=xl/externalLinks/_rels/externalLink53.xml.rels><?xml version="1.0" encoding="UTF-8" standalone="yes"?>
<Relationships xmlns="http://schemas.openxmlformats.org/package/2006/relationships">
<Relationship Id="rId1" Target="POWER5.XLA" TargetMode="External" Type="http://schemas.microsoft.com/office/2006/relationships/xlExternalLinkPath/xlLibrary"/>
</Relationships>

</file>

<file path=xl/externalLinks/_rels/externalLink54.xml.rels><?xml version="1.0" encoding="UTF-8" standalone="yes"?>
<Relationships xmlns="http://schemas.openxmlformats.org/package/2006/relationships">
<Relationship Id="rId1" Target="FOOD/XLDATA/SM/NESTLE/NESTLE_pre%20loreal_4_7.XLS" TargetMode="External" Type="http://schemas.microsoft.com/office/2006/relationships/xlExternalLinkPath/xlStartup"/>
</Relationships>

</file>

<file path=xl/externalLinks/_rels/externalLink55.xml.rels><?xml version="1.0" encoding="UTF-8" standalone="yes"?>
<Relationships xmlns="http://schemas.openxmlformats.org/package/2006/relationships">
<Relationship Id="rId1" Target="file://///msad/root/Documents%20and%20Settings/JMcDermo/Local%20Settings/Temporary%20Internet%20Files/Content.Outlook/FTET57JG/Packaged%20Foods%20PL.xlsx" TargetMode="External" Type="http://schemas.openxmlformats.org/officeDocument/2006/relationships/externalLinkPath"/>
</Relationships>

</file>

<file path=xl/externalLinks/_rels/externalLink56.xml.rels><?xml version="1.0" encoding="UTF-8" standalone="yes"?>
<Relationships xmlns="http://schemas.openxmlformats.org/package/2006/relationships">
<Relationship Id="rId1" Target="EXCEL/KRFT/KRFT_Intl%20Opportunity.xls" TargetMode="External" Type="http://schemas.microsoft.com/office/2006/relationships/xlExternalLinkPath/xlStartup"/>
</Relationships>

</file>

<file path=xl/externalLinks/_rels/externalLink57.xml.rels><?xml version="1.0" encoding="UTF-8" standalone="yes"?>
<Relationships xmlns="http://schemas.openxmlformats.org/package/2006/relationships">
<Relationship Id="rId1" Target="file://///PIWDFS02/root/Healthcare_NY/DEPT_ONLY_COMPANY_A-O/Apax/2010/August%202010%20KCI/Excel/August%202010%20SOTP%20Analysis.xls" TargetMode="External" Type="http://schemas.openxmlformats.org/officeDocument/2006/relationships/externalLinkPath"/>
</Relationships>

</file>

<file path=xl/externalLinks/_rels/externalLink58.xml.rels><?xml version="1.0" encoding="UTF-8" standalone="yes"?>
<Relationships xmlns="http://schemas.openxmlformats.org/package/2006/relationships">
<Relationship Id="rId1" Target="CONSUMER/FOOD/EXCEL/HSY/HSY_POST3Q06.XLS" TargetMode="External" Type="http://schemas.microsoft.com/office/2006/relationships/xlExternalLinkPath/xlStartup"/>
</Relationships>

</file>

<file path=xl/externalLinks/_rels/externalLink59.xml.rels><?xml version="1.0" encoding="UTF-8" standalone="yes"?>
<Relationships xmlns="http://schemas.openxmlformats.org/package/2006/relationships">
<Relationship Id="rId1" Target="file://///msad/root/NA/NY/LIB/ER/CONSUMER/FOOD/EXCEL/FX/FX_Food_112711%20THOMSON.xls" TargetMode="External" Type="http://schemas.openxmlformats.org/officeDocument/2006/relationships/externalLinkPath"/>
</Relationships>

</file>

<file path=xl/externalLinks/_rels/externalLink60.xml.rels><?xml version="1.0" encoding="UTF-8" standalone="yes"?>
<Relationships xmlns="http://schemas.openxmlformats.org/package/2006/relationships">
<Relationship Id="rId1" Target="food/XLDATA/SM/DANONE/Danone.xls" TargetMode="External" Type="http://schemas.microsoft.com/office/2006/relationships/xlExternalLinkPath/xlStartup"/>
</Relationships>

</file>

<file path=xl/externalLinks/_rels/externalLink61.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62.xml.rels><?xml version="1.0" encoding="UTF-8" standalone="yes"?>
<Relationships xmlns="http://schemas.openxmlformats.org/package/2006/relationships">
<Relationship Id="rId1" Target="file:///D:/LIBRARY/JONAS/EXIDE/MAY_98/REPO4.xls" TargetMode="External" Type="http://schemas.openxmlformats.org/officeDocument/2006/relationships/externalLinkPath"/>
</Relationships>

</file>

<file path=xl/externalLinks/_rels/externalLink63.xml.rels><?xml version="1.0" encoding="UTF-8" standalone="yes"?>
<Relationships xmlns="http://schemas.openxmlformats.org/package/2006/relationships">
<Relationship Id="rId1" Target="consumer/FOOD/EXCEL/Kraft/KRAFT.XLS" TargetMode="External" Type="http://schemas.microsoft.com/office/2006/relationships/xlExternalLinkPath/xlStartup"/>
</Relationships>

</file>

<file path=xl/externalLinks/_rels/externalLink64.xml.rels><?xml version="1.0" encoding="UTF-8" standalone="yes"?>
<Relationships xmlns="http://schemas.openxmlformats.org/package/2006/relationships">
<Relationship Id="rId1" Target="http://rlink.ms.com/eqr/rlink/webapp/Research?action=streamFile&amp;docId=337939&amp;docFileType=8&amp;linksrc=rl-res-site&amp;lastParam=/TGT.N.XLS" TargetMode="External" Type="http://schemas.openxmlformats.org/officeDocument/2006/relationships/externalLinkPath"/>
</Relationships>

</file>

<file path=xl/externalLinks/_rels/externalLink65.xml.rels><?xml version="1.0" encoding="UTF-8" standalone="yes"?>
<Relationships xmlns="http://schemas.openxmlformats.org/package/2006/relationships">
<Relationship Id="rId1" Target="file://///msad/root/NA/NY/LIB/ER/CONSUMER/STAPLES/TUP/SmartCharts/TUP_Charts_Workbook.xls" TargetMode="External" Type="http://schemas.openxmlformats.org/officeDocument/2006/relationships/externalLinkPath"/>
</Relationships>

</file>

<file path=xl/externalLinks/_rels/externalLink66.xml.rels><?xml version="1.0" encoding="UTF-8" standalone="yes"?>
<Relationships xmlns="http://schemas.openxmlformats.org/package/2006/relationships">
<Relationship Id="rId1" Target="Eva's%20Things/Excel/HPC/Models/L'OREAL.xls" TargetMode="External" Type="http://schemas.microsoft.com/office/2006/relationships/xlExternalLinkPath/xlStartup"/>
</Relationships>

</file>

<file path=xl/externalLinks/_rels/externalLink67.xml.rels><?xml version="1.0" encoding="UTF-8" standalone="yes"?>
<Relationships xmlns="http://schemas.openxmlformats.org/package/2006/relationships">
<Relationship Id="rId1" Target="file:///F:/Users/CPellerin/AppData/Roaming/Microsoft/Excel/BOD%20Meeting%20120810.xls" TargetMode="External" Type="http://schemas.openxmlformats.org/officeDocument/2006/relationships/externalLinkPath"/>
</Relationships>

</file>

<file path=xl/externalLinks/_rels/externalLink68.xml.rels><?xml version="1.0" encoding="UTF-8" standalone="yes"?>
<Relationships xmlns="http://schemas.openxmlformats.org/package/2006/relationships">
<Relationship Id="rId1" Target="PHARM/David/david%20Instrumentarium.xls" TargetMode="External" Type="http://schemas.microsoft.com/office/2006/relationships/xlExternalLinkPath/xlStartup"/>
</Relationships>

</file>

<file path=xl/externalLinks/_rels/externalLink69.xml.rels><?xml version="1.0" encoding="UTF-8" standalone="yes"?>
<Relationships xmlns="http://schemas.openxmlformats.org/package/2006/relationships">
<Relationship Id="rId1" Target="file:///U:/Accural/Previous%20Years%20Accruals/Accruals%20for%202012/December%20Accrual%202012.xlsx" TargetMode="External" Type="http://schemas.openxmlformats.org/officeDocument/2006/relationships/externalLinkPath"/>
</Relationships>

</file>

<file path=xl/externalLinks/_rels/externalLink70.xml.rels><?xml version="1.0" encoding="UTF-8" standalone="yes"?>
<Relationships xmlns="http://schemas.openxmlformats.org/package/2006/relationships">
<Relationship Id="rId1" Target="CONSUMER/FOOD/EXCEL/DF/WWAV%20Current.xls" TargetMode="External" Type="http://schemas.microsoft.com/office/2006/relationships/xlExternalLinkPath/xlStartup"/>
</Relationships>

</file>

<file path=xl/externalLinks/_rels/externalLink71.xml.rels><?xml version="1.0" encoding="UTF-8" standalone="yes"?>
<Relationships xmlns="http://schemas.openxmlformats.org/package/2006/relationships">
<Relationship Id="rId1" Target="CONSUMER/FOOD/EXCEL/HSY/HSY_reformat_FINAL.xls" TargetMode="External" Type="http://schemas.microsoft.com/office/2006/relationships/xlExternalLinkPath/xlStartup"/>
</Relationships>

</file>

<file path=xl/externalLinks/_rels/externalLink72.xml.rels><?xml version="1.0" encoding="UTF-8" standalone="yes"?>
<Relationships xmlns="http://schemas.openxmlformats.org/package/2006/relationships">
<Relationship Id="rId1" Target="CONSUMER/FOOD/EXCEL/HSY/HSY_CURRENT.xls" TargetMode="External" Type="http://schemas.microsoft.com/office/2006/relationships/xlExternalLinkPath/xlStartup"/>
</Relationships>

</file>

<file path=xl/externalLinks/_rels/externalLink73.xml.rels><?xml version="1.0" encoding="UTF-8" standalone="yes"?>
<Relationships xmlns="http://schemas.openxmlformats.org/package/2006/relationships">
<Relationship Id="rId1" Target="CONSUMER/FOOD/EXCEL/DF/WWAV%20Current.xls" TargetMode="External" Type="http://schemas.microsoft.com/office/2006/relationships/xlExternalLinkPath/xlAlternateStartup"/>
</Relationships>

</file>

<file path=xl/externalLinks/_rels/externalLink74.xml.rels><?xml version="1.0" encoding="UTF-8" standalone="yes"?>
<Relationships xmlns="http://schemas.openxmlformats.org/package/2006/relationships">
<Relationship Id="rId1" Target="CONSUMER/TOBACCO/EXCEL/TOBACCO/MOBreakUp3q.xls" TargetMode="External" Type="http://schemas.microsoft.com/office/2006/relationships/xlExternalLinkPath/xlStartup"/>
</Relationships>

</file>

<file path=xl/externalLinks/_rels/externalLink75.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76.xml.rels><?xml version="1.0" encoding="UTF-8" standalone="yes"?>
<Relationships xmlns="http://schemas.openxmlformats.org/package/2006/relationships">
<Relationship Id="rId1" Target="CAP-GOOD/Craig/food/models/bfo.xls" TargetMode="External" Type="http://schemas.microsoft.com/office/2006/relationships/xlExternalLinkPath/xlStartup"/>
</Relationships>

</file>

<file path=xl/externalLinks/_rels/externalLink77.xml.rels><?xml version="1.0" encoding="UTF-8" standalone="yes"?>
<Relationships xmlns="http://schemas.openxmlformats.org/package/2006/relationships">
<Relationship Id="rId1" Target="food/Food%20Companies/Danone/Model/Old%20Stuff/Danone.xls" TargetMode="External" Type="http://schemas.microsoft.com/office/2006/relationships/xlExternalLinkPath/xlStartup"/>
</Relationships>

</file>

<file path=xl/externalLinks/_rels/externalLink78.xml.rels><?xml version="1.0" encoding="UTF-8" standalone="yes"?>
<Relationships xmlns="http://schemas.openxmlformats.org/package/2006/relationships">
<Relationship Id="rId1" Target="FOOD/XLDATA/SM/NESTLE/Nes_old.xls" TargetMode="External" Type="http://schemas.microsoft.com/office/2006/relationships/xlExternalLinkPath/xlStartup"/>
</Relationships>

</file>

<file path=xl/externalLinks/_rels/externalLink79.xml.rels><?xml version="1.0" encoding="UTF-8" standalone="yes"?>
<Relationships xmlns="http://schemas.openxmlformats.org/package/2006/relationships">
<Relationship Id="rId1" Target="food/Food%20Companies/Cadbury/Model/Cadbury%20Model.xls" TargetMode="External" Type="http://schemas.microsoft.com/office/2006/relationships/xlExternalLinkPath/xlStartup"/>
</Relationships>

</file>

<file path=xl/externalLinks/_rels/externalLink80.xml.rels><?xml version="1.0" encoding="UTF-8" standalone="yes"?>
<Relationships xmlns="http://schemas.openxmlformats.org/package/2006/relationships">
<Relationship Id="rId1" Target="food/Food%20Companies/Danone/Model/Danone%20Model%20Work%20in%20Progress.xls" TargetMode="External" Type="http://schemas.microsoft.com/office/2006/relationships/xlExternalLinkPath/xlStartup"/>
</Relationships>

</file>

<file path=xl/externalLinks/_rels/externalLink81.xml.rels><?xml version="1.0" encoding="UTF-8" standalone="yes"?>
<Relationships xmlns="http://schemas.openxmlformats.org/package/2006/relationships">
<Relationship Id="rId1" Target="file:///P:/GLBEARN/ADDINS/GE_VBALN.XLA" TargetMode="External" Type="http://schemas.openxmlformats.org/officeDocument/2006/relationships/externalLinkPath"/>
</Relationships>

</file>

<file path=xl/externalLinks/_rels/externalLink82.xml.rels><?xml version="1.0" encoding="UTF-8" standalone="yes"?>
<Relationships xmlns="http://schemas.openxmlformats.org/package/2006/relationships">
<Relationship Id="rId1" Target="PHARM/XLDATA/NOVARTIS/NOVARTIS.XLS" TargetMode="External" Type="http://schemas.microsoft.com/office/2006/relationships/xlExternalLinkPath/xlStartup"/>
</Relationships>

</file>

<file path=xl/externalLinks/_rels/externalLink83.xml.rels><?xml version="1.0" encoding="UTF-8" standalone="yes"?>
<Relationships xmlns="http://schemas.openxmlformats.org/package/2006/relationships">
<Relationship Id="rId1" Target="consumer/Leisure/Valuation/EV_EBITDA.xls" TargetMode="External" Type="http://schemas.microsoft.com/office/2006/relationships/xlExternalLinkPath/xlStartup"/>
</Relationships>

</file>

<file path=xl/externalLinks/_rels/externalLink84.xml.rels><?xml version="1.0" encoding="UTF-8" standalone="yes"?>
<Relationships xmlns="http://schemas.openxmlformats.org/package/2006/relationships">
<Relationship Id="rId1" Target="file:///E:/Peter%20D,%20Work/Models/Nokia%20(New).xls" TargetMode="External" Type="http://schemas.openxmlformats.org/officeDocument/2006/relationships/externalLinkPath"/>
</Relationships>

</file>

<file path=xl/externalLinks/_rels/externalLink85.xml.rels><?xml version="1.0" encoding="UTF-8" standalone="yes"?>
<Relationships xmlns="http://schemas.openxmlformats.org/package/2006/relationships">
<Relationship Id="rId1" Target="file://///msad/root/Planning_&amp;_Budgeting/C2014%20Analysis/Convenience/Budget%202015/Final%20Budget%20Files/CS%20Div%20Budget%20to%20Customer%20v3.xlsx" TargetMode="External" Type="http://schemas.openxmlformats.org/officeDocument/2006/relationships/externalLinkPath"/>
</Relationships>

</file>

<file path=xl/externalLinks/_rels/externalLink86.xml.rels><?xml version="1.0" encoding="UTF-8" standalone="yes"?>
<Relationships xmlns="http://schemas.openxmlformats.org/package/2006/relationships">
<Relationship Id="rId1" Target="file:///A:/KIM/PELICAN/NON_CORE/DCF7.XLS" TargetMode="External" Type="http://schemas.openxmlformats.org/officeDocument/2006/relationships/externalLinkPath"/>
</Relationships>

</file>

<file path=xl/externalLinks/_rels/externalLink87.xml.rels><?xml version="1.0" encoding="UTF-8" standalone="yes"?>
<Relationships xmlns="http://schemas.openxmlformats.org/package/2006/relationships">
<Relationship Id="rId1" Target="file:///G:/M&amp;AHEALT/PROJECTS/CAREMATR/HIST20.XLS" TargetMode="External" Type="http://schemas.openxmlformats.org/officeDocument/2006/relationships/externalLinkPath"/>
</Relationships>

</file>

<file path=xl/externalLinks/_rels/externalLink88.xml.rels><?xml version="1.0" encoding="UTF-8" standalone="yes"?>
<Relationships xmlns="http://schemas.openxmlformats.org/package/2006/relationships">
<Relationship Id="rId1" Target="file://///nydfs1/root/KIM/NOAH/LBO_2.XLS" TargetMode="External" Type="http://schemas.openxmlformats.org/officeDocument/2006/relationships/externalLinkPath"/>
</Relationships>

</file>

<file path=xl/externalLinks/_rels/externalLink89.xml.rels><?xml version="1.0" encoding="UTF-8" standalone="yes"?>
<Relationships xmlns="http://schemas.openxmlformats.org/package/2006/relationships">
<Relationship Id="rId1" Target="file:///U:/Standard_LBO.xls" TargetMode="External" Type="http://schemas.openxmlformats.org/officeDocument/2006/relationships/externalLinkPath"/>
</Relationships>

</file>

<file path=xl/externalLinks/_rels/externalLink90.xml.rels><?xml version="1.0" encoding="UTF-8" standalone="yes"?>
<Relationships xmlns="http://schemas.openxmlformats.org/package/2006/relationships">
<Relationship Id="rId1" Target="CONSUMER/TOBACCO/EXCEL/TOBACCO/Prior%20drafts%20or%20out%20of%20date/MO,%20quarterly.xls" TargetMode="External" Type="http://schemas.microsoft.com/office/2006/relationships/xlExternalLinkPath/xlStartup"/>
</Relationships>

</file>

<file path=xl/externalLinks/_rels/externalLink91.xml.rels><?xml version="1.0" encoding="UTF-8" standalone="yes"?>
<Relationships xmlns="http://schemas.openxmlformats.org/package/2006/relationships">
<Relationship Id="rId1" Target="health/RubinJ/Company/BMY/BMYwork.xls" TargetMode="External" Type="http://schemas.microsoft.com/office/2006/relationships/xlExternalLinkPath/xlStartup"/>
</Relationships>

</file>

<file path=xl/externalLinks/_rels/externalLink92.xml.rels><?xml version="1.0" encoding="UTF-8" standalone="yes"?>
<Relationships xmlns="http://schemas.openxmlformats.org/package/2006/relationships">
<Relationship Id="rId1" Target="file://///msad/root/Users/rsakemiller/AppData/Local/Microsoft/Windows/Temporary%20Internet%20Files/Content.Outlook/SJ6CGZBP/TW%20Period%201%20'2013%20Estimate.xlsx" TargetMode="External" Type="http://schemas.openxmlformats.org/officeDocument/2006/relationships/externalLinkPath"/>
</Relationships>

</file>

<file path=xl/externalLinks/_rels/externalLink93.xml.rels><?xml version="1.0" encoding="UTF-8" standalone="yes"?>
<Relationships xmlns="http://schemas.openxmlformats.org/package/2006/relationships">
<Relationship Id="rId1" Target="food/XLDATA/SM/NESTLE/Nestle.xls" TargetMode="External" Type="http://schemas.microsoft.com/office/2006/relationships/xlExternalLinkPath/xlStartup"/>
</Relationships>

</file>

<file path=xl/externalLinks/_rels/externalLink94.xml.rels><?xml version="1.0" encoding="UTF-8" standalone="yes"?>
<Relationships xmlns="http://schemas.openxmlformats.org/package/2006/relationships">
<Relationship Id="rId1" Target="freight/FDX/FDX-morrow.xls" TargetMode="External" Type="http://schemas.microsoft.com/office/2006/relationships/xlExternalLinkPath/xlStartup"/>
</Relationships>

</file>

<file path=xl/externalLinks/_rels/externalLink95.xml.rels><?xml version="1.0" encoding="UTF-8" standalone="yes"?>
<Relationships xmlns="http://schemas.openxmlformats.org/package/2006/relationships">
<Relationship Id="rId1" Target="file:///G:/Cooper/Radio/GAP/Model/GAP%20-%20Bank%20Model/GAP%20-%20Revised%20Bank%20Model%20(5.20.10)%20v1.xls" TargetMode="External" Type="http://schemas.openxmlformats.org/officeDocument/2006/relationships/externalLinkPath"/>
</Relationships>

</file>

<file path=xl/externalLinks/_rels/externalLink96.xml.rels><?xml version="1.0" encoding="UTF-8" standalone="yes"?>
<Relationships xmlns="http://schemas.openxmlformats.org/package/2006/relationships">
<Relationship Id="rId1" Target="internet/Food%20Companies/Danone/Model/Danone.xls" TargetMode="External" Type="http://schemas.microsoft.com/office/2006/relationships/xlExternalLinkPath/xlStartup"/>
</Relationships>

</file>

<file path=xl/externalLinks/_rels/externalLink97.xml.rels><?xml version="1.0" encoding="UTF-8" standalone="yes"?>
<Relationships xmlns="http://schemas.openxmlformats.org/package/2006/relationships">
<Relationship Id="rId1" Target="file:///G:/Documents%20and%20Settings/JMcDermo/Local%20Settings/Temporary%20Internet%20Files/Content.Outlook/NS2Z011R/FY12%20Prelim%20budget%20data%20%20for%20Packaged%2010%2027%2010.xls" TargetMode="External" Type="http://schemas.openxmlformats.org/officeDocument/2006/relationships/externalLinkPath"/>
</Relationships>

</file>

<file path=xl/externalLinks/_rels/externalLink98.xml.rels><?xml version="1.0" encoding="UTF-8" standalone="yes"?>
<Relationships xmlns="http://schemas.openxmlformats.org/package/2006/relationships">
<Relationship Id="rId1" Target="file:///G:/COSTACCT/SUSANY/EARNINGS.XLS" TargetMode="External" Type="http://schemas.openxmlformats.org/officeDocument/2006/relationships/externalLinkPath"/>
</Relationships>

</file>

<file path=xl/externalLinks/_rels/externalLink99.xml.rels><?xml version="1.0" encoding="UTF-8" standalone="yes"?>
<Relationships xmlns="http://schemas.openxmlformats.org/package/2006/relationships">
<Relationship Id="rId1" Target="internet/Food%20Companies/Cadbury/Model/Cadbury%20before%20Adams.xls" TargetMode="External" Type="http://schemas.microsoft.com/office/2006/relationships/xlExternalLinkPath/xlStartup"/>
</Relationships>

</file>

<file path=xl/externalLinks/_rels/externalLink100.xml.rels><?xml version="1.0" encoding="UTF-8" standalone="yes"?>
<Relationships xmlns="http://schemas.openxmlformats.org/package/2006/relationships">
<Relationship Id="rId1" Target="GE_VBALN.XLA" TargetMode="External" Type="http://schemas.microsoft.com/office/2006/relationships/xlExternalLinkPath/xlLibrary"/>
</Relationships>

</file>

<file path=xl/externalLinks/_rels/externalLink101.xml.rels><?xml version="1.0" encoding="UTF-8" standalone="yes"?>
<Relationships xmlns="http://schemas.openxmlformats.org/package/2006/relationships">
<Relationship Id="rId1" Target="file://///Msad/root/NA/NY/LIB/ER/CONSUMER/TOBACCO/EXCEL/TOBACCO/CURRENT%20Company%20Models/RAI/RAI,%20CURRENT.xls" TargetMode="External" Type="http://schemas.openxmlformats.org/officeDocument/2006/relationships/externalLinkPath"/>
</Relationships>

</file>

<file path=xl/externalLinks/_rels/externalLink102.xml.rels><?xml version="1.0" encoding="UTF-8" standalone="yes"?>
<Relationships xmlns="http://schemas.openxmlformats.org/package/2006/relationships">
<Relationship Id="rId1" Target="internet/Food%20Companies/Danone/Danone%20Highlights.xls" TargetMode="External" Type="http://schemas.microsoft.com/office/2006/relationships/xlExternalLinkPath/xlStartup"/>
</Relationships>

</file>

<file path=xl/externalLinks/_rels/externalLink103.xml.rels><?xml version="1.0" encoding="UTF-8" standalone="yes"?>
<Relationships xmlns="http://schemas.openxmlformats.org/package/2006/relationships">
<Relationship Id="rId1" Target="consumer/FOOD/EXCEL/HSY/hsy_x.xls" TargetMode="External" Type="http://schemas.microsoft.com/office/2006/relationships/xlExternalLinkPath/xlStartup"/>
</Relationships>

</file>

<file path=xl/externalLinks/_rels/externalLink104.xml.rels><?xml version="1.0" encoding="UTF-8" standalone="yes"?>
<Relationships xmlns="http://schemas.openxmlformats.org/package/2006/relationships">
<Relationship Id="rId1" Target="COSTGRP/1999/VOL&amp;REV/Sep/Revvar.xls" TargetMode="External" Type="http://schemas.microsoft.com/office/2006/relationships/xlExternalLinkPath/xlStartup"/>
</Relationships>

</file>

<file path=xl/externalLinks/_rels/externalLink105.xml.rels><?xml version="1.0" encoding="UTF-8" standalone="yes"?>
<Relationships xmlns="http://schemas.openxmlformats.org/package/2006/relationships">
<Relationship Id="rId1" Target="/Documents%20and%20Settings/cohmitc/Local%20Settings/Temporary%20Internet%20Files/OLK22E/Apax%20Model%207.0x%206.2.11.xls" TargetMode="External" Type="http://schemas.openxmlformats.org/officeDocument/2006/relationships/externalLinkPath"/>
</Relationships>

</file>

<file path=xl/externalLinks/_rels/externalLink106.xml.rels><?xml version="1.0" encoding="UTF-8" standalone="yes"?>
<Relationships xmlns="http://schemas.openxmlformats.org/package/2006/relationships">
<Relationship Id="rId1" Target="Documents%20and%20Settings/wakerlyd/Desktop/Book2.xls" TargetMode="External" Type="http://schemas.microsoft.com/office/2006/relationships/xlExternalLinkPath/xlStartup"/>
</Relationships>

</file>

<file path=xl/externalLinks/_rels/externalLink107.xml.rels><?xml version="1.0" encoding="UTF-8" standalone="yes"?>
<Relationships xmlns="http://schemas.openxmlformats.org/package/2006/relationships">
<Relationship Id="rId1" Target="Chads%20Files/JBHT/QJbhtqq.xls" TargetMode="External" Type="http://schemas.microsoft.com/office/2006/relationships/xlExternalLinkPath/xlStartup"/>
</Relationships>

</file>

<file path=xl/externalLinks/_rels/externalLink108.xml.rels><?xml version="1.0" encoding="UTF-8" standalone="yes"?>
<Relationships xmlns="http://schemas.openxmlformats.org/package/2006/relationships">
<Relationship Id="rId1" Target="file://///msad/root/Documents%20and%20Settings/TPierson/Local%20Settings/Temporary%20Internet%20Files/Content.Outlook/UVRFPBSE/Period%2010.xlsx" TargetMode="External" Type="http://schemas.openxmlformats.org/officeDocument/2006/relationships/externalLinkPath"/>
</Relationships>

</file>

<file path=xl/externalLinks/_rels/externalLink109.xml.rels><?xml version="1.0" encoding="UTF-8" standalone="yes"?>
<Relationships xmlns="http://schemas.openxmlformats.org/package/2006/relationships">
<Relationship Id="rId1" Target="file://///joker/lhuang/My%20Documents/Revenue/Defer%20Revenue/Defer%20Revenue%20Dec-01V2.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mwareValPrintout"/>
      <sheetName val="SCORECARD"/>
      <sheetName val="DURACELL"/>
      <sheetName val="MERGER SAVINGS"/>
      <sheetName val="Returns"/>
      <sheetName val="GM"/>
      <sheetName val="PREVIEW"/>
      <sheetName val="__FDSCACHE__"/>
      <sheetName val="PG Earn"/>
      <sheetName val="LOB_Qs"/>
      <sheetName val="GEO"/>
      <sheetName val="VALUATION '07"/>
      <sheetName val="EVA CALCULATIONS"/>
      <sheetName val="val_07_sens"/>
      <sheetName val="VALUATION"/>
      <sheetName val="LT Sales Growth"/>
      <sheetName val="CALCULATION"/>
      <sheetName val="ORAL CARE SYNERGIES"/>
      <sheetName val="FULL SENSITIVITY"/>
      <sheetName val="VAL_Sens"/>
      <sheetName val="EPS RECONCILIATION"/>
      <sheetName val="FAS142"/>
      <sheetName val="G purchase adj"/>
      <sheetName val="OLD G Earn"/>
      <sheetName val="OLD G LOB_Qs"/>
      <sheetName val="OLD PG LOB_Qs"/>
      <sheetName val="OLD PG Earn"/>
      <sheetName val="Margin Link"/>
      <sheetName val="SUNNY D"/>
      <sheetName val="WELLA_IMPACT"/>
      <sheetName val="TOPLINE"/>
      <sheetName val="Pipeline"/>
      <sheetName val="PROFORMA"/>
      <sheetName val="Options"/>
      <sheetName val="Org 2005"/>
      <sheetName val="WELLA_EXHIBIT"/>
      <sheetName val="WELLA TRANSACTION"/>
      <sheetName val="CORE GROWTH"/>
      <sheetName val="WELLA_Q"/>
      <sheetName val="ORGANIC"/>
      <sheetName val="HQ_RESTRUCTURING"/>
      <sheetName val="ANALYST MEETING 02"/>
      <sheetName val="Restructuring summary"/>
      <sheetName val="Calendarization"/>
      <sheetName val="SNACKS &amp; BEVERAGES"/>
      <sheetName val="CLAIROL"/>
      <sheetName val="WELLA_YEAR"/>
      <sheetName val="NY UPLOAD"/>
      <sheetName val="REPO"/>
      <sheetName val="GUIDANCE-NEVER SEND OUT"/>
      <sheetName val="Guidance"/>
      <sheetName val="mwareDates"/>
      <sheetName val="mwareSettings"/>
      <sheetName val="NY UPLOAD shadow"/>
      <sheetName val="Gillette purchase adjustments"/>
      <sheetName val="LT Sales Decomposition"/>
      <sheetName val="Model_Template"/>
      <sheetName val="PROFORMA_ROIC"/>
      <sheetName val="Organization 2005"/>
      <sheetName val="GUIDANCE-DONT EVER SEND OUT"/>
      <sheetName val="MARCHQ PREVIEW"/>
      <sheetName val="LINKS"/>
      <sheetName val="GUIDANCE 1Q 2006"/>
      <sheetName val="mwarePreview"/>
      <sheetName val="VAL_SENSITIVITY"/>
      <sheetName val="Top brands"/>
      <sheetName val="pricing"/>
      <sheetName val="Switches"/>
      <sheetName val="NY UPLŏAD"/>
    </sheetNames>
    <sheetDataSet>
      <sheetData sheetId="0"/>
      <sheetData sheetId="1"/>
      <sheetData sheetId="2"/>
      <sheetData sheetId="3"/>
      <sheetData sheetId="4"/>
      <sheetData sheetId="5"/>
      <sheetData sheetId="6"/>
      <sheetData sheetId="7"/>
      <sheetData sheetId="8"/>
      <sheetData sheetId="9" refreshError="1">
        <row r="1">
          <cell r="A1" t="str">
            <v>PROCTER &amp; GAMBLE</v>
          </cell>
        </row>
        <row r="2">
          <cell r="A2" t="str">
            <v>$ millions except per share</v>
          </cell>
          <cell r="B2">
            <v>1992</v>
          </cell>
          <cell r="C2">
            <v>1993</v>
          </cell>
          <cell r="D2">
            <v>1994</v>
          </cell>
          <cell r="E2">
            <v>1995</v>
          </cell>
          <cell r="F2">
            <v>1996</v>
          </cell>
          <cell r="G2">
            <v>1997</v>
          </cell>
          <cell r="H2">
            <v>1998</v>
          </cell>
          <cell r="I2">
            <v>1999</v>
          </cell>
          <cell r="J2">
            <v>2000</v>
          </cell>
          <cell r="K2">
            <v>2001</v>
          </cell>
          <cell r="L2">
            <v>2002</v>
          </cell>
          <cell r="M2">
            <v>2003</v>
          </cell>
          <cell r="N2">
            <v>2004</v>
          </cell>
          <cell r="O2" t="str">
            <v>2005P</v>
          </cell>
          <cell r="P2">
            <v>2006</v>
          </cell>
          <cell r="Q2">
            <v>2007</v>
          </cell>
          <cell r="R2">
            <v>2008</v>
          </cell>
          <cell r="S2">
            <v>2009</v>
          </cell>
          <cell r="T2">
            <v>2010</v>
          </cell>
          <cell r="U2">
            <v>2011</v>
          </cell>
          <cell r="V2">
            <v>2012</v>
          </cell>
          <cell r="W2">
            <v>2013</v>
          </cell>
          <cell r="X2">
            <v>2014</v>
          </cell>
          <cell r="Y2">
            <v>2015</v>
          </cell>
          <cell r="Z2">
            <v>2016</v>
          </cell>
          <cell r="AB2" t="str">
            <v>05-10</v>
          </cell>
          <cell r="AC2" t="str">
            <v>2004-09</v>
          </cell>
          <cell r="AY2" t="str">
            <v>1Q96</v>
          </cell>
          <cell r="AZ2" t="str">
            <v>2Q96</v>
          </cell>
          <cell r="BA2" t="str">
            <v>3Q96</v>
          </cell>
          <cell r="BB2" t="str">
            <v>4Q96</v>
          </cell>
          <cell r="BC2">
            <v>1996</v>
          </cell>
          <cell r="BE2" t="str">
            <v>1Q97</v>
          </cell>
          <cell r="BF2" t="str">
            <v>2Q97</v>
          </cell>
          <cell r="BG2" t="str">
            <v>3Q97</v>
          </cell>
          <cell r="BH2" t="str">
            <v>4Q97</v>
          </cell>
          <cell r="BI2">
            <v>1997</v>
          </cell>
          <cell r="BK2" t="str">
            <v>1Q98</v>
          </cell>
          <cell r="BL2" t="str">
            <v>2Q98</v>
          </cell>
          <cell r="BM2" t="str">
            <v>3Q98</v>
          </cell>
          <cell r="BN2" t="str">
            <v>4Q98</v>
          </cell>
          <cell r="BO2">
            <v>1998</v>
          </cell>
          <cell r="BQ2" t="str">
            <v>1Q99</v>
          </cell>
          <cell r="BR2" t="str">
            <v>2Q99</v>
          </cell>
          <cell r="BS2" t="str">
            <v>3Q99</v>
          </cell>
          <cell r="BT2" t="str">
            <v>4Q99</v>
          </cell>
          <cell r="BU2">
            <v>1999</v>
          </cell>
          <cell r="BW2" t="str">
            <v>1Q00</v>
          </cell>
          <cell r="BX2" t="str">
            <v>2Q00</v>
          </cell>
          <cell r="BY2" t="str">
            <v>3Q00</v>
          </cell>
          <cell r="BZ2" t="str">
            <v>4Q00</v>
          </cell>
          <cell r="CA2">
            <v>2000</v>
          </cell>
          <cell r="CC2" t="str">
            <v>1Q01</v>
          </cell>
          <cell r="CD2" t="str">
            <v>2Q01</v>
          </cell>
          <cell r="CE2" t="str">
            <v>3Q01</v>
          </cell>
          <cell r="CF2" t="str">
            <v>4Q01</v>
          </cell>
          <cell r="CG2">
            <v>2001</v>
          </cell>
          <cell r="CI2" t="str">
            <v>1Q02</v>
          </cell>
          <cell r="CJ2" t="str">
            <v>2Q02</v>
          </cell>
          <cell r="CK2" t="str">
            <v>3Q02</v>
          </cell>
          <cell r="CL2" t="str">
            <v>4Q02</v>
          </cell>
          <cell r="CM2">
            <v>2002</v>
          </cell>
          <cell r="CO2" t="str">
            <v>1Q03</v>
          </cell>
          <cell r="CP2" t="str">
            <v>2Q03</v>
          </cell>
          <cell r="CQ2" t="str">
            <v>3Q03</v>
          </cell>
          <cell r="CR2" t="str">
            <v>4Q03</v>
          </cell>
          <cell r="CS2">
            <v>2003</v>
          </cell>
          <cell r="CU2" t="str">
            <v>1Q04</v>
          </cell>
          <cell r="CV2" t="str">
            <v>2Q04</v>
          </cell>
          <cell r="CW2" t="str">
            <v>3Q04</v>
          </cell>
          <cell r="CX2" t="str">
            <v>4Q04</v>
          </cell>
          <cell r="CY2">
            <v>2004</v>
          </cell>
        </row>
        <row r="3">
          <cell r="A3" t="str">
            <v>Income Statement (FY ending June)</v>
          </cell>
        </row>
        <row r="4">
          <cell r="CW4" t="str">
            <v xml:space="preserve"> </v>
          </cell>
        </row>
        <row r="6">
          <cell r="A6" t="str">
            <v>Revenue, by segment:</v>
          </cell>
        </row>
        <row r="7">
          <cell r="A7" t="str">
            <v>Fabric + Home Care</v>
          </cell>
          <cell r="B7" t="str">
            <v>NA</v>
          </cell>
          <cell r="C7">
            <v>10013</v>
          </cell>
          <cell r="D7">
            <v>9838</v>
          </cell>
          <cell r="E7">
            <v>10157</v>
          </cell>
          <cell r="F7">
            <v>10683</v>
          </cell>
          <cell r="G7">
            <v>10892</v>
          </cell>
          <cell r="H7">
            <v>11099</v>
          </cell>
          <cell r="I7">
            <v>11415</v>
          </cell>
          <cell r="J7">
            <v>12157</v>
          </cell>
          <cell r="K7">
            <v>11660</v>
          </cell>
          <cell r="L7">
            <v>11618</v>
          </cell>
          <cell r="M7">
            <v>12560</v>
          </cell>
          <cell r="N7">
            <v>13868</v>
          </cell>
          <cell r="O7">
            <v>15262</v>
          </cell>
          <cell r="P7">
            <v>16028.7701</v>
          </cell>
          <cell r="Q7">
            <v>16830.208605</v>
          </cell>
          <cell r="R7">
            <v>17503.4169492</v>
          </cell>
          <cell r="S7">
            <v>18116.036542422</v>
          </cell>
          <cell r="T7">
            <v>18659.517638694659</v>
          </cell>
          <cell r="U7">
            <v>19126.005579662022</v>
          </cell>
          <cell r="V7">
            <v>19604.155719153572</v>
          </cell>
          <cell r="W7">
            <v>20094.25961213241</v>
          </cell>
          <cell r="X7">
            <v>20596.616102435717</v>
          </cell>
          <cell r="Y7">
            <v>21111.531504996608</v>
          </cell>
          <cell r="Z7">
            <v>21639.319792621522</v>
          </cell>
          <cell r="AC7">
            <v>5.4896547629411874E-2</v>
          </cell>
          <cell r="AY7" t="str">
            <v>NA</v>
          </cell>
          <cell r="AZ7" t="str">
            <v>NA</v>
          </cell>
          <cell r="BA7" t="str">
            <v>NA</v>
          </cell>
          <cell r="BB7" t="str">
            <v>NA</v>
          </cell>
          <cell r="BC7">
            <v>10683</v>
          </cell>
          <cell r="BE7" t="str">
            <v>NA</v>
          </cell>
          <cell r="BF7" t="str">
            <v>NA</v>
          </cell>
          <cell r="BG7" t="str">
            <v>NA</v>
          </cell>
          <cell r="BH7" t="str">
            <v>NA</v>
          </cell>
          <cell r="BI7">
            <v>10892</v>
          </cell>
          <cell r="BK7" t="str">
            <v>NA</v>
          </cell>
          <cell r="BL7" t="str">
            <v>NA</v>
          </cell>
          <cell r="BM7" t="str">
            <v>NA</v>
          </cell>
          <cell r="BN7" t="str">
            <v>NA</v>
          </cell>
          <cell r="BO7">
            <v>11099</v>
          </cell>
          <cell r="BQ7">
            <v>2915</v>
          </cell>
          <cell r="BR7">
            <v>2883</v>
          </cell>
          <cell r="BS7">
            <v>2751</v>
          </cell>
          <cell r="BT7">
            <v>2866</v>
          </cell>
          <cell r="BU7">
            <v>11415</v>
          </cell>
          <cell r="BW7">
            <v>3160</v>
          </cell>
          <cell r="BX7">
            <v>3168</v>
          </cell>
          <cell r="BY7">
            <v>2939</v>
          </cell>
          <cell r="BZ7">
            <v>2890</v>
          </cell>
          <cell r="CA7">
            <v>12157</v>
          </cell>
          <cell r="CC7">
            <v>3075</v>
          </cell>
          <cell r="CD7">
            <v>2929</v>
          </cell>
          <cell r="CE7">
            <v>2773</v>
          </cell>
          <cell r="CF7">
            <v>2883</v>
          </cell>
          <cell r="CG7">
            <v>11660</v>
          </cell>
          <cell r="CI7">
            <v>2883</v>
          </cell>
          <cell r="CJ7">
            <v>2967</v>
          </cell>
          <cell r="CK7">
            <v>2837</v>
          </cell>
          <cell r="CL7">
            <v>2931</v>
          </cell>
          <cell r="CM7">
            <v>11618</v>
          </cell>
          <cell r="CO7">
            <v>3132</v>
          </cell>
          <cell r="CP7">
            <v>3102</v>
          </cell>
          <cell r="CQ7">
            <v>3061</v>
          </cell>
          <cell r="CR7">
            <v>3265</v>
          </cell>
          <cell r="CS7">
            <v>12560</v>
          </cell>
          <cell r="CU7">
            <v>3393</v>
          </cell>
          <cell r="CV7">
            <v>3407</v>
          </cell>
          <cell r="CW7">
            <v>3581</v>
          </cell>
          <cell r="CX7">
            <v>3487</v>
          </cell>
          <cell r="CY7">
            <v>13868</v>
          </cell>
        </row>
        <row r="8">
          <cell r="A8" t="str">
            <v>Baby + Family Care</v>
          </cell>
          <cell r="B8" t="str">
            <v>NA</v>
          </cell>
          <cell r="C8">
            <v>8307</v>
          </cell>
          <cell r="D8">
            <v>8282</v>
          </cell>
          <cell r="E8">
            <v>9278</v>
          </cell>
          <cell r="F8">
            <v>10161</v>
          </cell>
          <cell r="G8">
            <v>10101</v>
          </cell>
          <cell r="H8">
            <v>10862</v>
          </cell>
          <cell r="I8">
            <v>12190</v>
          </cell>
          <cell r="J8">
            <v>12044</v>
          </cell>
          <cell r="K8">
            <v>11991</v>
          </cell>
          <cell r="L8">
            <v>11877</v>
          </cell>
          <cell r="M8">
            <v>9933</v>
          </cell>
          <cell r="N8">
            <v>10718</v>
          </cell>
          <cell r="O8">
            <v>11890</v>
          </cell>
          <cell r="P8">
            <v>12208.767080000001</v>
          </cell>
          <cell r="Q8">
            <v>12697.117763200002</v>
          </cell>
          <cell r="R8">
            <v>12951.060118464002</v>
          </cell>
          <cell r="S8">
            <v>13080.570719648642</v>
          </cell>
          <cell r="T8">
            <v>13211.376426845129</v>
          </cell>
          <cell r="U8">
            <v>13343.49019111358</v>
          </cell>
          <cell r="V8">
            <v>13476.925093024716</v>
          </cell>
          <cell r="W8">
            <v>13611.694343954963</v>
          </cell>
          <cell r="X8">
            <v>13747.811287394514</v>
          </cell>
          <cell r="Y8">
            <v>13885.289400268459</v>
          </cell>
          <cell r="Z8">
            <v>14024.142294271143</v>
          </cell>
          <cell r="AC8">
            <v>4.0644966886498324E-2</v>
          </cell>
          <cell r="AY8" t="str">
            <v>NA</v>
          </cell>
          <cell r="AZ8" t="str">
            <v>NA</v>
          </cell>
          <cell r="BA8" t="str">
            <v>NA</v>
          </cell>
          <cell r="BB8" t="str">
            <v>NA</v>
          </cell>
          <cell r="BC8">
            <v>10161</v>
          </cell>
          <cell r="BE8" t="str">
            <v>NA</v>
          </cell>
          <cell r="BF8" t="str">
            <v>NA</v>
          </cell>
          <cell r="BG8" t="str">
            <v>NA</v>
          </cell>
          <cell r="BH8" t="str">
            <v>NA</v>
          </cell>
          <cell r="BI8">
            <v>10101</v>
          </cell>
          <cell r="BK8" t="str">
            <v>NA</v>
          </cell>
          <cell r="BL8" t="str">
            <v>NA</v>
          </cell>
          <cell r="BM8" t="str">
            <v>NA</v>
          </cell>
          <cell r="BN8" t="str">
            <v>NA</v>
          </cell>
          <cell r="BO8">
            <v>10862</v>
          </cell>
          <cell r="BQ8">
            <v>3077</v>
          </cell>
          <cell r="BR8">
            <v>3160</v>
          </cell>
          <cell r="BS8">
            <v>3008</v>
          </cell>
          <cell r="BT8">
            <v>2945</v>
          </cell>
          <cell r="BU8">
            <v>12190</v>
          </cell>
          <cell r="BW8">
            <v>3012</v>
          </cell>
          <cell r="BX8">
            <v>3181</v>
          </cell>
          <cell r="BY8">
            <v>2931</v>
          </cell>
          <cell r="BZ8">
            <v>2920</v>
          </cell>
          <cell r="CA8">
            <v>12044</v>
          </cell>
          <cell r="CC8">
            <v>3039</v>
          </cell>
          <cell r="CD8">
            <v>3047</v>
          </cell>
          <cell r="CE8">
            <v>2936</v>
          </cell>
          <cell r="CF8">
            <v>2969</v>
          </cell>
          <cell r="CG8">
            <v>11991</v>
          </cell>
          <cell r="CI8">
            <v>2997</v>
          </cell>
          <cell r="CJ8">
            <v>3025</v>
          </cell>
          <cell r="CK8">
            <v>2898</v>
          </cell>
          <cell r="CL8">
            <v>2957</v>
          </cell>
          <cell r="CM8">
            <v>11877</v>
          </cell>
          <cell r="CO8">
            <v>2426</v>
          </cell>
          <cell r="CP8">
            <v>2526</v>
          </cell>
          <cell r="CQ8">
            <v>2473</v>
          </cell>
          <cell r="CR8">
            <v>2508</v>
          </cell>
          <cell r="CS8">
            <v>9933</v>
          </cell>
          <cell r="CU8">
            <v>2607</v>
          </cell>
          <cell r="CV8">
            <v>2673</v>
          </cell>
          <cell r="CW8">
            <v>2707</v>
          </cell>
          <cell r="CX8">
            <v>2731</v>
          </cell>
          <cell r="CY8">
            <v>10718</v>
          </cell>
        </row>
        <row r="9">
          <cell r="A9" t="str">
            <v>Beauty Care</v>
          </cell>
          <cell r="B9" t="str">
            <v>NA</v>
          </cell>
          <cell r="C9">
            <v>5562</v>
          </cell>
          <cell r="D9">
            <v>5912</v>
          </cell>
          <cell r="E9">
            <v>6569</v>
          </cell>
          <cell r="F9">
            <v>6916</v>
          </cell>
          <cell r="G9">
            <v>7101</v>
          </cell>
          <cell r="H9">
            <v>7160</v>
          </cell>
          <cell r="I9">
            <v>7377</v>
          </cell>
          <cell r="J9">
            <v>7389</v>
          </cell>
          <cell r="K9">
            <v>7257</v>
          </cell>
          <cell r="L9">
            <v>8079</v>
          </cell>
          <cell r="M9">
            <v>12221</v>
          </cell>
          <cell r="N9">
            <v>17122</v>
          </cell>
          <cell r="O9">
            <v>20510</v>
          </cell>
          <cell r="P9">
            <v>21113.620300000002</v>
          </cell>
          <cell r="Q9">
            <v>22591.573721000004</v>
          </cell>
          <cell r="R9">
            <v>24060.026012865004</v>
          </cell>
          <cell r="S9">
            <v>25623.927703701229</v>
          </cell>
          <cell r="T9">
            <v>27033.243727404795</v>
          </cell>
          <cell r="U9">
            <v>28520.072132412057</v>
          </cell>
          <cell r="V9">
            <v>30088.67609969472</v>
          </cell>
          <cell r="W9">
            <v>31743.553285177928</v>
          </cell>
          <cell r="X9">
            <v>33489.448715862709</v>
          </cell>
          <cell r="Y9">
            <v>35331.368395235157</v>
          </cell>
          <cell r="Z9">
            <v>37274.593656973091</v>
          </cell>
          <cell r="AC9">
            <v>8.3972442786561352E-2</v>
          </cell>
          <cell r="AY9" t="str">
            <v>NA</v>
          </cell>
          <cell r="AZ9" t="str">
            <v>NA</v>
          </cell>
          <cell r="BA9" t="str">
            <v>NA</v>
          </cell>
          <cell r="BB9" t="str">
            <v>NA</v>
          </cell>
          <cell r="BC9">
            <v>6916</v>
          </cell>
          <cell r="BE9" t="str">
            <v>NA</v>
          </cell>
          <cell r="BF9" t="str">
            <v>NA</v>
          </cell>
          <cell r="BG9" t="str">
            <v>NA</v>
          </cell>
          <cell r="BH9" t="str">
            <v>NA</v>
          </cell>
          <cell r="BI9">
            <v>7101</v>
          </cell>
          <cell r="BK9" t="str">
            <v>NA</v>
          </cell>
          <cell r="BL9" t="str">
            <v>NA</v>
          </cell>
          <cell r="BM9" t="str">
            <v>NA</v>
          </cell>
          <cell r="BN9" t="str">
            <v>NA</v>
          </cell>
          <cell r="BO9">
            <v>7160</v>
          </cell>
          <cell r="BQ9">
            <v>1823</v>
          </cell>
          <cell r="BR9">
            <v>1962</v>
          </cell>
          <cell r="BS9">
            <v>1781</v>
          </cell>
          <cell r="BT9">
            <v>1811</v>
          </cell>
          <cell r="BU9">
            <v>7377</v>
          </cell>
          <cell r="BW9">
            <v>1820</v>
          </cell>
          <cell r="BX9">
            <v>1903</v>
          </cell>
          <cell r="BY9">
            <v>1899</v>
          </cell>
          <cell r="BZ9">
            <v>1767</v>
          </cell>
          <cell r="CA9">
            <v>7389</v>
          </cell>
          <cell r="CC9">
            <v>1865</v>
          </cell>
          <cell r="CD9">
            <v>1858</v>
          </cell>
          <cell r="CE9">
            <v>1780</v>
          </cell>
          <cell r="CF9">
            <v>1754</v>
          </cell>
          <cell r="CG9">
            <v>7257</v>
          </cell>
          <cell r="CI9">
            <v>1772</v>
          </cell>
          <cell r="CJ9">
            <v>2060</v>
          </cell>
          <cell r="CK9">
            <v>2109</v>
          </cell>
          <cell r="CL9">
            <v>2138</v>
          </cell>
          <cell r="CM9">
            <v>8079</v>
          </cell>
          <cell r="CO9">
            <v>3123</v>
          </cell>
          <cell r="CP9">
            <v>2997</v>
          </cell>
          <cell r="CQ9">
            <v>3026</v>
          </cell>
          <cell r="CR9">
            <v>3075</v>
          </cell>
          <cell r="CS9">
            <v>12221</v>
          </cell>
          <cell r="CU9">
            <v>3753</v>
          </cell>
          <cell r="CV9">
            <v>4492</v>
          </cell>
          <cell r="CW9">
            <v>4465</v>
          </cell>
          <cell r="CX9">
            <v>4412</v>
          </cell>
          <cell r="CY9">
            <v>17122</v>
          </cell>
        </row>
        <row r="10">
          <cell r="A10" t="str">
            <v>Health Care</v>
          </cell>
          <cell r="B10" t="str">
            <v>NA</v>
          </cell>
          <cell r="C10">
            <v>2976</v>
          </cell>
          <cell r="D10">
            <v>2983</v>
          </cell>
          <cell r="E10">
            <v>2988</v>
          </cell>
          <cell r="F10">
            <v>2939</v>
          </cell>
          <cell r="G10">
            <v>2895</v>
          </cell>
          <cell r="H10">
            <v>2849</v>
          </cell>
          <cell r="I10">
            <v>2877</v>
          </cell>
          <cell r="J10">
            <v>3909</v>
          </cell>
          <cell r="K10">
            <v>4353</v>
          </cell>
          <cell r="L10">
            <v>4979</v>
          </cell>
          <cell r="M10">
            <v>5796</v>
          </cell>
          <cell r="N10">
            <v>6991</v>
          </cell>
          <cell r="O10">
            <v>9535</v>
          </cell>
          <cell r="P10">
            <v>10327.695</v>
          </cell>
          <cell r="Q10">
            <v>11360.4645</v>
          </cell>
          <cell r="R10">
            <v>12496.510950000002</v>
          </cell>
          <cell r="S10">
            <v>13746.162045000003</v>
          </cell>
          <cell r="T10">
            <v>14983.316629050005</v>
          </cell>
          <cell r="U10">
            <v>16032.148793083506</v>
          </cell>
          <cell r="V10">
            <v>17154.399208599352</v>
          </cell>
          <cell r="W10">
            <v>18355.207153201307</v>
          </cell>
          <cell r="X10">
            <v>19640.071653925399</v>
          </cell>
          <cell r="Y10">
            <v>21014.876669700177</v>
          </cell>
          <cell r="Z10">
            <v>22485.918036579191</v>
          </cell>
          <cell r="AC10">
            <v>0.14479686492824739</v>
          </cell>
          <cell r="AY10" t="str">
            <v>NA</v>
          </cell>
          <cell r="AZ10" t="str">
            <v>NA</v>
          </cell>
          <cell r="BA10" t="str">
            <v>NA</v>
          </cell>
          <cell r="BB10" t="str">
            <v>NA</v>
          </cell>
          <cell r="BC10">
            <v>2939</v>
          </cell>
          <cell r="BE10" t="str">
            <v>NA</v>
          </cell>
          <cell r="BF10" t="str">
            <v>NA</v>
          </cell>
          <cell r="BG10" t="str">
            <v>NA</v>
          </cell>
          <cell r="BH10" t="str">
            <v>NA</v>
          </cell>
          <cell r="BI10">
            <v>2895</v>
          </cell>
          <cell r="BK10" t="str">
            <v>NA</v>
          </cell>
          <cell r="BL10" t="str">
            <v>NA</v>
          </cell>
          <cell r="BM10" t="str">
            <v>NA</v>
          </cell>
          <cell r="BN10" t="str">
            <v>NA</v>
          </cell>
          <cell r="BO10">
            <v>2849</v>
          </cell>
          <cell r="BQ10">
            <v>692</v>
          </cell>
          <cell r="BR10">
            <v>799</v>
          </cell>
          <cell r="BS10">
            <v>707</v>
          </cell>
          <cell r="BT10">
            <v>679</v>
          </cell>
          <cell r="BU10">
            <v>2877</v>
          </cell>
          <cell r="BW10">
            <v>799</v>
          </cell>
          <cell r="BX10">
            <v>1074</v>
          </cell>
          <cell r="BY10">
            <v>1076</v>
          </cell>
          <cell r="BZ10">
            <v>960</v>
          </cell>
          <cell r="CA10">
            <v>3909</v>
          </cell>
          <cell r="CC10">
            <v>990</v>
          </cell>
          <cell r="CD10">
            <v>1150</v>
          </cell>
          <cell r="CE10">
            <v>1097</v>
          </cell>
          <cell r="CF10">
            <v>1116</v>
          </cell>
          <cell r="CG10">
            <v>4353</v>
          </cell>
          <cell r="CI10">
            <v>1176</v>
          </cell>
          <cell r="CJ10">
            <v>1341</v>
          </cell>
          <cell r="CK10">
            <v>1215</v>
          </cell>
          <cell r="CL10">
            <v>1247</v>
          </cell>
          <cell r="CM10">
            <v>4979</v>
          </cell>
          <cell r="CO10">
            <v>1410</v>
          </cell>
          <cell r="CP10">
            <v>1567</v>
          </cell>
          <cell r="CQ10">
            <v>1428</v>
          </cell>
          <cell r="CR10">
            <v>1391</v>
          </cell>
          <cell r="CS10">
            <v>5796</v>
          </cell>
          <cell r="CU10">
            <v>1728</v>
          </cell>
          <cell r="CV10">
            <v>1908</v>
          </cell>
          <cell r="CW10">
            <v>1719</v>
          </cell>
          <cell r="CX10">
            <v>1636</v>
          </cell>
          <cell r="CY10">
            <v>6991</v>
          </cell>
        </row>
        <row r="11">
          <cell r="A11" t="str">
            <v>Snacks + Coffee</v>
          </cell>
          <cell r="B11" t="str">
            <v>NA</v>
          </cell>
          <cell r="C11">
            <v>3343</v>
          </cell>
          <cell r="D11">
            <v>3261</v>
          </cell>
          <cell r="E11">
            <v>3979</v>
          </cell>
          <cell r="F11">
            <v>4066</v>
          </cell>
          <cell r="G11">
            <v>4107</v>
          </cell>
          <cell r="H11">
            <v>4376</v>
          </cell>
          <cell r="I11">
            <v>4655</v>
          </cell>
          <cell r="J11">
            <v>4634</v>
          </cell>
          <cell r="K11">
            <v>4139</v>
          </cell>
          <cell r="L11">
            <v>3801</v>
          </cell>
          <cell r="M11">
            <v>2671</v>
          </cell>
          <cell r="N11">
            <v>2908</v>
          </cell>
          <cell r="O11">
            <v>3140</v>
          </cell>
          <cell r="P11">
            <v>3063.5</v>
          </cell>
          <cell r="Q11">
            <v>3186.04</v>
          </cell>
          <cell r="R11">
            <v>3233.8305999999998</v>
          </cell>
          <cell r="S11">
            <v>3233.8305999999998</v>
          </cell>
          <cell r="T11">
            <v>3233.8305999999998</v>
          </cell>
          <cell r="U11">
            <v>3233.8305999999998</v>
          </cell>
          <cell r="V11">
            <v>3233.8305999999998</v>
          </cell>
          <cell r="W11">
            <v>3233.8305999999998</v>
          </cell>
          <cell r="X11">
            <v>3233.8305999999998</v>
          </cell>
          <cell r="Y11">
            <v>3233.8305999999998</v>
          </cell>
          <cell r="Z11">
            <v>3233.8305999999998</v>
          </cell>
          <cell r="AC11">
            <v>2.1467545985845771E-2</v>
          </cell>
          <cell r="AY11" t="str">
            <v>NA</v>
          </cell>
          <cell r="AZ11" t="str">
            <v>NA</v>
          </cell>
          <cell r="BA11" t="str">
            <v>NA</v>
          </cell>
          <cell r="BB11" t="str">
            <v>NA</v>
          </cell>
          <cell r="BC11">
            <v>4066</v>
          </cell>
          <cell r="BE11" t="str">
            <v>NA</v>
          </cell>
          <cell r="BF11" t="str">
            <v>NA</v>
          </cell>
          <cell r="BG11" t="str">
            <v>NA</v>
          </cell>
          <cell r="BH11" t="str">
            <v>NA</v>
          </cell>
          <cell r="BI11">
            <v>4107</v>
          </cell>
          <cell r="BK11" t="str">
            <v>NA</v>
          </cell>
          <cell r="BL11" t="str">
            <v>NA</v>
          </cell>
          <cell r="BM11" t="str">
            <v>NA</v>
          </cell>
          <cell r="BN11" t="str">
            <v>NA</v>
          </cell>
          <cell r="BO11">
            <v>4376</v>
          </cell>
          <cell r="BQ11">
            <v>1154</v>
          </cell>
          <cell r="BR11">
            <v>1266</v>
          </cell>
          <cell r="BS11">
            <v>1095</v>
          </cell>
          <cell r="BT11">
            <v>1140</v>
          </cell>
          <cell r="BU11">
            <v>4655</v>
          </cell>
          <cell r="BW11">
            <v>1209</v>
          </cell>
          <cell r="BX11">
            <v>1321</v>
          </cell>
          <cell r="BY11">
            <v>976</v>
          </cell>
          <cell r="BZ11">
            <v>1128</v>
          </cell>
          <cell r="CA11">
            <v>4634</v>
          </cell>
          <cell r="CC11">
            <v>1053</v>
          </cell>
          <cell r="CD11">
            <v>1178</v>
          </cell>
          <cell r="CE11">
            <v>938</v>
          </cell>
          <cell r="CF11">
            <v>970</v>
          </cell>
          <cell r="CG11">
            <v>4139</v>
          </cell>
          <cell r="CI11">
            <v>955</v>
          </cell>
          <cell r="CJ11">
            <v>1053</v>
          </cell>
          <cell r="CK11">
            <v>879</v>
          </cell>
          <cell r="CL11">
            <v>914</v>
          </cell>
          <cell r="CM11">
            <v>3801</v>
          </cell>
          <cell r="CO11">
            <v>666</v>
          </cell>
          <cell r="CP11">
            <v>769</v>
          </cell>
          <cell r="CQ11">
            <v>620</v>
          </cell>
          <cell r="CR11">
            <v>616</v>
          </cell>
          <cell r="CS11">
            <v>2671</v>
          </cell>
          <cell r="CU11">
            <v>733</v>
          </cell>
          <cell r="CV11">
            <v>808</v>
          </cell>
          <cell r="CW11">
            <v>660</v>
          </cell>
          <cell r="CX11">
            <v>707</v>
          </cell>
          <cell r="CY11">
            <v>2908</v>
          </cell>
        </row>
        <row r="12">
          <cell r="A12" t="str">
            <v>Blades &amp; Razors</v>
          </cell>
          <cell r="O12">
            <v>4580</v>
          </cell>
          <cell r="P12">
            <v>4844.869999999999</v>
          </cell>
          <cell r="Q12">
            <v>5135.5621999999994</v>
          </cell>
          <cell r="R12">
            <v>5443.6959319999996</v>
          </cell>
          <cell r="S12">
            <v>5770.31768792</v>
          </cell>
          <cell r="T12">
            <v>6116.5367491952002</v>
          </cell>
          <cell r="U12">
            <v>6483.5289541469128</v>
          </cell>
          <cell r="V12">
            <v>6807.7054018542585</v>
          </cell>
          <cell r="W12">
            <v>7114.0521449376993</v>
          </cell>
          <cell r="X12">
            <v>7398.6142307352075</v>
          </cell>
          <cell r="Y12">
            <v>7657.5657288109387</v>
          </cell>
          <cell r="Z12">
            <v>7887.292700675267</v>
          </cell>
        </row>
        <row r="13">
          <cell r="A13" t="str">
            <v>Duracell &amp; Braun</v>
          </cell>
          <cell r="O13">
            <v>3823</v>
          </cell>
          <cell r="P13">
            <v>3915.5650000000001</v>
          </cell>
          <cell r="Q13">
            <v>4159.7003140000015</v>
          </cell>
          <cell r="R13">
            <v>4367.848405629049</v>
          </cell>
          <cell r="S13">
            <v>4569.1850885339463</v>
          </cell>
          <cell r="T13">
            <v>4770.8299727661652</v>
          </cell>
          <cell r="U13">
            <v>4909.5227573123184</v>
          </cell>
          <cell r="V13">
            <v>5008.5911515488779</v>
          </cell>
          <cell r="W13">
            <v>5090.2935410136279</v>
          </cell>
          <cell r="X13">
            <v>5173.6033663217595</v>
          </cell>
          <cell r="Y13">
            <v>5258.556462130422</v>
          </cell>
          <cell r="Z13">
            <v>5345.1895154508056</v>
          </cell>
        </row>
        <row r="14">
          <cell r="A14" t="str">
            <v>Corporate</v>
          </cell>
          <cell r="B14" t="str">
            <v>NA</v>
          </cell>
          <cell r="C14">
            <v>232</v>
          </cell>
          <cell r="D14">
            <v>20</v>
          </cell>
          <cell r="E14">
            <v>511</v>
          </cell>
          <cell r="F14">
            <v>519</v>
          </cell>
          <cell r="G14">
            <v>668</v>
          </cell>
          <cell r="H14">
            <v>808</v>
          </cell>
          <cell r="I14">
            <v>-389</v>
          </cell>
          <cell r="J14">
            <v>-182</v>
          </cell>
          <cell r="K14">
            <v>-25</v>
          </cell>
          <cell r="L14">
            <v>-185</v>
          </cell>
          <cell r="M14">
            <v>192</v>
          </cell>
          <cell r="N14">
            <v>-200</v>
          </cell>
          <cell r="O14">
            <v>-820</v>
          </cell>
          <cell r="P14">
            <v>-499</v>
          </cell>
          <cell r="Q14">
            <v>-513.97</v>
          </cell>
          <cell r="R14">
            <v>-529.3891000000001</v>
          </cell>
          <cell r="S14">
            <v>-545.27077300000008</v>
          </cell>
          <cell r="T14">
            <v>-561.62889619000009</v>
          </cell>
          <cell r="U14">
            <v>-578.47776307570007</v>
          </cell>
          <cell r="V14">
            <v>-595.8320959679711</v>
          </cell>
          <cell r="W14">
            <v>-613.70705884701022</v>
          </cell>
          <cell r="X14">
            <v>-632.11827061242059</v>
          </cell>
          <cell r="Y14">
            <v>-651.0818187307932</v>
          </cell>
          <cell r="Z14">
            <v>-670.61427329271703</v>
          </cell>
          <cell r="AC14">
            <v>0.2221272980150355</v>
          </cell>
          <cell r="AY14" t="str">
            <v>NA</v>
          </cell>
          <cell r="AZ14" t="str">
            <v>NA</v>
          </cell>
          <cell r="BA14" t="str">
            <v>NA</v>
          </cell>
          <cell r="BB14" t="str">
            <v>NA</v>
          </cell>
          <cell r="BC14">
            <v>519</v>
          </cell>
          <cell r="BE14" t="str">
            <v>NA</v>
          </cell>
          <cell r="BF14" t="str">
            <v>NA</v>
          </cell>
          <cell r="BG14" t="str">
            <v>NA</v>
          </cell>
          <cell r="BH14" t="str">
            <v>NA</v>
          </cell>
          <cell r="BI14">
            <v>668</v>
          </cell>
          <cell r="BK14" t="str">
            <v>NA</v>
          </cell>
          <cell r="BL14" t="str">
            <v>NA</v>
          </cell>
          <cell r="BM14" t="str">
            <v>NA</v>
          </cell>
          <cell r="BN14" t="str">
            <v>NA</v>
          </cell>
          <cell r="BO14">
            <v>808</v>
          </cell>
          <cell r="BQ14">
            <v>-151</v>
          </cell>
          <cell r="BR14">
            <v>-136</v>
          </cell>
          <cell r="BS14">
            <v>-111</v>
          </cell>
          <cell r="BT14">
            <v>9</v>
          </cell>
          <cell r="BU14">
            <v>-389</v>
          </cell>
          <cell r="BW14">
            <v>-81</v>
          </cell>
          <cell r="BX14">
            <v>-59</v>
          </cell>
          <cell r="BY14">
            <v>-38</v>
          </cell>
          <cell r="BZ14">
            <v>-4</v>
          </cell>
          <cell r="CA14">
            <v>-182</v>
          </cell>
          <cell r="CC14">
            <v>-53</v>
          </cell>
          <cell r="CD14">
            <v>20</v>
          </cell>
          <cell r="CE14">
            <v>-13</v>
          </cell>
          <cell r="CF14">
            <v>21</v>
          </cell>
          <cell r="CG14">
            <v>-25</v>
          </cell>
          <cell r="CI14">
            <v>-41</v>
          </cell>
          <cell r="CJ14">
            <v>-57</v>
          </cell>
          <cell r="CK14">
            <v>-53</v>
          </cell>
          <cell r="CL14">
            <v>-34</v>
          </cell>
          <cell r="CM14">
            <v>-185</v>
          </cell>
          <cell r="CO14">
            <v>44</v>
          </cell>
          <cell r="CP14">
            <v>35</v>
          </cell>
          <cell r="CQ14">
            <v>48</v>
          </cell>
          <cell r="CR14">
            <v>65</v>
          </cell>
          <cell r="CS14">
            <v>192</v>
          </cell>
          <cell r="CU14">
            <v>-19</v>
          </cell>
          <cell r="CV14">
            <v>-67</v>
          </cell>
          <cell r="CW14">
            <v>-103</v>
          </cell>
          <cell r="CX14">
            <v>-11</v>
          </cell>
          <cell r="CY14">
            <v>-200</v>
          </cell>
        </row>
        <row r="15">
          <cell r="A15" t="str">
            <v>Total Revenue</v>
          </cell>
          <cell r="B15">
            <v>29362</v>
          </cell>
          <cell r="C15">
            <v>30433</v>
          </cell>
          <cell r="D15">
            <v>30296</v>
          </cell>
          <cell r="E15">
            <v>33482</v>
          </cell>
          <cell r="F15">
            <v>35284</v>
          </cell>
          <cell r="G15">
            <v>35764</v>
          </cell>
          <cell r="H15">
            <v>37154</v>
          </cell>
          <cell r="I15">
            <v>38125</v>
          </cell>
          <cell r="J15">
            <v>39951</v>
          </cell>
          <cell r="K15">
            <v>39375</v>
          </cell>
          <cell r="L15">
            <v>40169</v>
          </cell>
          <cell r="M15">
            <v>43373</v>
          </cell>
          <cell r="N15">
            <v>51407</v>
          </cell>
          <cell r="O15">
            <v>67920</v>
          </cell>
          <cell r="P15">
            <v>71003.787479999999</v>
          </cell>
          <cell r="Q15">
            <v>75446.6971032</v>
          </cell>
          <cell r="R15">
            <v>79526.999868158062</v>
          </cell>
          <cell r="S15">
            <v>83594.759614225826</v>
          </cell>
          <cell r="T15">
            <v>87447.022847765969</v>
          </cell>
          <cell r="U15">
            <v>91070.1212446547</v>
          </cell>
          <cell r="V15">
            <v>94778.451177907526</v>
          </cell>
          <cell r="W15">
            <v>98629.183621570919</v>
          </cell>
          <cell r="X15">
            <v>102647.87768606289</v>
          </cell>
          <cell r="Y15">
            <v>106841.93694241098</v>
          </cell>
          <cell r="Z15">
            <v>111219.67232327831</v>
          </cell>
          <cell r="AB15">
            <v>5.1839486147405411E-2</v>
          </cell>
          <cell r="AY15">
            <v>9027</v>
          </cell>
          <cell r="AZ15">
            <v>9090</v>
          </cell>
          <cell r="BA15">
            <v>8587</v>
          </cell>
          <cell r="BB15">
            <v>8580</v>
          </cell>
          <cell r="BC15">
            <v>35284</v>
          </cell>
          <cell r="BE15">
            <v>8903</v>
          </cell>
          <cell r="BF15">
            <v>9142</v>
          </cell>
          <cell r="BG15">
            <v>8771</v>
          </cell>
          <cell r="BH15">
            <v>8948</v>
          </cell>
          <cell r="BI15">
            <v>35764</v>
          </cell>
          <cell r="BK15">
            <v>9355</v>
          </cell>
          <cell r="BL15">
            <v>9641</v>
          </cell>
          <cell r="BM15">
            <v>8881</v>
          </cell>
          <cell r="BN15">
            <v>9277</v>
          </cell>
          <cell r="BO15">
            <v>37154</v>
          </cell>
          <cell r="BQ15">
            <v>9510</v>
          </cell>
          <cell r="BR15">
            <v>9934</v>
          </cell>
          <cell r="BS15">
            <v>9231</v>
          </cell>
          <cell r="BT15">
            <v>9450</v>
          </cell>
          <cell r="BU15">
            <v>38125</v>
          </cell>
          <cell r="BW15">
            <v>9919</v>
          </cell>
          <cell r="BX15">
            <v>10588</v>
          </cell>
          <cell r="BY15">
            <v>9783</v>
          </cell>
          <cell r="BZ15">
            <v>9661</v>
          </cell>
          <cell r="CA15">
            <v>39951</v>
          </cell>
          <cell r="CC15">
            <v>9969</v>
          </cell>
          <cell r="CD15">
            <v>10182</v>
          </cell>
          <cell r="CE15">
            <v>9511</v>
          </cell>
          <cell r="CF15">
            <v>9713</v>
          </cell>
          <cell r="CG15">
            <v>39375</v>
          </cell>
          <cell r="CI15">
            <v>9742</v>
          </cell>
          <cell r="CJ15">
            <v>10389</v>
          </cell>
          <cell r="CK15">
            <v>9885</v>
          </cell>
          <cell r="CL15">
            <v>10153</v>
          </cell>
          <cell r="CM15">
            <v>40169</v>
          </cell>
          <cell r="CO15">
            <v>10801</v>
          </cell>
          <cell r="CP15">
            <v>10996</v>
          </cell>
          <cell r="CQ15">
            <v>10656</v>
          </cell>
          <cell r="CR15">
            <v>10920</v>
          </cell>
          <cell r="CS15">
            <v>43373</v>
          </cell>
          <cell r="CU15">
            <v>12195</v>
          </cell>
          <cell r="CV15">
            <v>13221</v>
          </cell>
          <cell r="CW15">
            <v>13029</v>
          </cell>
          <cell r="CX15">
            <v>12962</v>
          </cell>
          <cell r="CY15">
            <v>51407</v>
          </cell>
        </row>
        <row r="16">
          <cell r="A16" t="str">
            <v>% change vs. prior</v>
          </cell>
          <cell r="B16" t="str">
            <v>NA</v>
          </cell>
          <cell r="C16">
            <v>3.6475716913016765E-2</v>
          </cell>
          <cell r="D16">
            <v>-4.5016922419741645E-3</v>
          </cell>
          <cell r="E16">
            <v>0.10516239767626079</v>
          </cell>
          <cell r="F16">
            <v>5.3819962965175216E-2</v>
          </cell>
          <cell r="G16">
            <v>1.3603899784604856E-2</v>
          </cell>
          <cell r="H16">
            <v>3.8865898669052656E-2</v>
          </cell>
          <cell r="I16">
            <v>2.6134467352102009E-2</v>
          </cell>
          <cell r="J16">
            <v>4.7895081967213038E-2</v>
          </cell>
          <cell r="K16">
            <v>-1.4417661635503509E-2</v>
          </cell>
          <cell r="L16">
            <v>2.0165079365079386E-2</v>
          </cell>
          <cell r="M16">
            <v>7.9763001319425486E-2</v>
          </cell>
          <cell r="N16">
            <v>0.18523044290226642</v>
          </cell>
          <cell r="O16">
            <v>0.32122084541015816</v>
          </cell>
          <cell r="P16">
            <v>4.5403231448763126E-2</v>
          </cell>
          <cell r="Q16">
            <v>6.2572853940382478E-2</v>
          </cell>
          <cell r="R16">
            <v>5.4081926997769036E-2</v>
          </cell>
          <cell r="S16">
            <v>5.1149417843140199E-2</v>
          </cell>
          <cell r="T16">
            <v>4.6082592393561717E-2</v>
          </cell>
          <cell r="U16">
            <v>4.1431923911189994E-2</v>
          </cell>
          <cell r="V16">
            <v>4.0719501440989792E-2</v>
          </cell>
          <cell r="W16">
            <v>4.06287758008963E-2</v>
          </cell>
          <cell r="X16">
            <v>4.0745486446600365E-2</v>
          </cell>
          <cell r="Y16">
            <v>4.0858704055968476E-2</v>
          </cell>
          <cell r="Z16">
            <v>4.0973942500003302E-2</v>
          </cell>
          <cell r="AY16" t="str">
            <v>NA</v>
          </cell>
          <cell r="AZ16" t="str">
            <v>NA</v>
          </cell>
          <cell r="BA16" t="str">
            <v>NA</v>
          </cell>
          <cell r="BB16" t="str">
            <v>NA</v>
          </cell>
          <cell r="BC16">
            <v>5.3819962965175216E-2</v>
          </cell>
          <cell r="BE16">
            <v>-1.3736568073557054E-2</v>
          </cell>
          <cell r="BF16">
            <v>5.720572057205775E-3</v>
          </cell>
          <cell r="BG16">
            <v>2.1427739606381779E-2</v>
          </cell>
          <cell r="BH16">
            <v>4.2890442890442859E-2</v>
          </cell>
          <cell r="BI16">
            <v>1.3603899784604856E-2</v>
          </cell>
          <cell r="BK16">
            <v>5.0769403571829796E-2</v>
          </cell>
          <cell r="BL16">
            <v>5.4583242178954272E-2</v>
          </cell>
          <cell r="BM16">
            <v>1.2541329380914457E-2</v>
          </cell>
          <cell r="BN16">
            <v>3.6767992847563713E-2</v>
          </cell>
          <cell r="BO16">
            <v>3.8865898669052656E-2</v>
          </cell>
          <cell r="BQ16">
            <v>1.656867985034749E-2</v>
          </cell>
          <cell r="BR16">
            <v>3.0391038274037996E-2</v>
          </cell>
          <cell r="BS16">
            <v>3.9409976354014109E-2</v>
          </cell>
          <cell r="BT16">
            <v>1.8648269914843141E-2</v>
          </cell>
          <cell r="BU16">
            <v>2.6134467352102009E-2</v>
          </cell>
          <cell r="BW16">
            <v>4.3007360672975725E-2</v>
          </cell>
          <cell r="BX16">
            <v>6.5834507751157734E-2</v>
          </cell>
          <cell r="BY16">
            <v>5.9798505037374161E-2</v>
          </cell>
          <cell r="BZ16">
            <v>2.2328042328042308E-2</v>
          </cell>
          <cell r="CA16">
            <v>4.7895081967213038E-2</v>
          </cell>
          <cell r="CC16">
            <v>5.0408307289040444E-3</v>
          </cell>
          <cell r="CD16">
            <v>-3.8345296562145803E-2</v>
          </cell>
          <cell r="CE16">
            <v>-2.7803332311151951E-2</v>
          </cell>
          <cell r="CF16">
            <v>5.3824655832730439E-3</v>
          </cell>
          <cell r="CG16">
            <v>-1.4417661635503509E-2</v>
          </cell>
          <cell r="CI16">
            <v>-2.2770588825358651E-2</v>
          </cell>
          <cell r="CJ16">
            <v>2.0329994107248117E-2</v>
          </cell>
          <cell r="CK16">
            <v>3.9322889286089735E-2</v>
          </cell>
          <cell r="CL16">
            <v>4.5300113250283047E-2</v>
          </cell>
          <cell r="CM16">
            <v>2.0165079365079386E-2</v>
          </cell>
          <cell r="CO16">
            <v>0.10870457811537682</v>
          </cell>
          <cell r="CP16">
            <v>5.8427182596977545E-2</v>
          </cell>
          <cell r="CQ16">
            <v>7.7996965098634297E-2</v>
          </cell>
          <cell r="CR16">
            <v>7.5544174135723452E-2</v>
          </cell>
          <cell r="CS16">
            <v>7.9763001319425486E-2</v>
          </cell>
          <cell r="CU16">
            <v>0.12906212387741878</v>
          </cell>
          <cell r="CV16">
            <v>0.20234630774827211</v>
          </cell>
          <cell r="CW16">
            <v>0.22269144144144137</v>
          </cell>
          <cell r="CX16">
            <v>0.186996336996337</v>
          </cell>
          <cell r="CY16">
            <v>0.18523044290226642</v>
          </cell>
        </row>
        <row r="17">
          <cell r="A17" t="str">
            <v>COGS</v>
          </cell>
          <cell r="B17">
            <v>17324</v>
          </cell>
          <cell r="C17">
            <v>17681</v>
          </cell>
          <cell r="D17">
            <v>17355</v>
          </cell>
          <cell r="E17">
            <v>19561</v>
          </cell>
          <cell r="F17">
            <v>20712</v>
          </cell>
          <cell r="G17">
            <v>20510</v>
          </cell>
          <cell r="H17">
            <v>21064</v>
          </cell>
          <cell r="I17">
            <v>20584</v>
          </cell>
          <cell r="J17">
            <v>21018</v>
          </cell>
          <cell r="K17">
            <v>20966</v>
          </cell>
          <cell r="L17">
            <v>20481</v>
          </cell>
          <cell r="M17">
            <v>21760</v>
          </cell>
          <cell r="N17">
            <v>25076</v>
          </cell>
          <cell r="O17">
            <v>32509</v>
          </cell>
          <cell r="P17">
            <v>34572.671331503894</v>
          </cell>
          <cell r="Q17">
            <v>36735.98204505894</v>
          </cell>
          <cell r="R17">
            <v>38245.572745002224</v>
          </cell>
          <cell r="S17">
            <v>39700.242968301201</v>
          </cell>
          <cell r="T17">
            <v>41005.05094584819</v>
          </cell>
          <cell r="U17">
            <v>42157.548369143115</v>
          </cell>
          <cell r="V17">
            <v>43305.512013641586</v>
          </cell>
          <cell r="W17">
            <v>44473.186850457423</v>
          </cell>
          <cell r="X17">
            <v>45669.381216393478</v>
          </cell>
          <cell r="Y17">
            <v>46894.321326278834</v>
          </cell>
          <cell r="Z17">
            <v>48148.448517938799</v>
          </cell>
          <cell r="AY17">
            <v>5211</v>
          </cell>
          <cell r="AZ17">
            <v>5265</v>
          </cell>
          <cell r="BA17">
            <v>5026</v>
          </cell>
          <cell r="BB17">
            <v>5210</v>
          </cell>
          <cell r="BC17">
            <v>20712</v>
          </cell>
          <cell r="BE17">
            <v>5050</v>
          </cell>
          <cell r="BF17">
            <v>5095</v>
          </cell>
          <cell r="BG17">
            <v>4983</v>
          </cell>
          <cell r="BH17">
            <v>5382</v>
          </cell>
          <cell r="BI17">
            <v>20510</v>
          </cell>
          <cell r="BK17">
            <v>5208</v>
          </cell>
          <cell r="BL17">
            <v>5322</v>
          </cell>
          <cell r="BM17">
            <v>5228</v>
          </cell>
          <cell r="BN17">
            <v>5306</v>
          </cell>
          <cell r="BO17">
            <v>21064</v>
          </cell>
          <cell r="BQ17">
            <v>5142</v>
          </cell>
          <cell r="BR17">
            <v>5332</v>
          </cell>
          <cell r="BS17">
            <v>4901</v>
          </cell>
          <cell r="BT17">
            <v>5209</v>
          </cell>
          <cell r="BU17">
            <v>20584</v>
          </cell>
          <cell r="BW17">
            <v>5101</v>
          </cell>
          <cell r="BX17">
            <v>5453</v>
          </cell>
          <cell r="BY17">
            <v>5220</v>
          </cell>
          <cell r="BZ17">
            <v>5244</v>
          </cell>
          <cell r="CA17">
            <v>21018</v>
          </cell>
          <cell r="CC17">
            <v>5244</v>
          </cell>
          <cell r="CD17">
            <v>5336</v>
          </cell>
          <cell r="CE17">
            <v>5073</v>
          </cell>
          <cell r="CF17">
            <v>5313</v>
          </cell>
          <cell r="CG17">
            <v>20966</v>
          </cell>
          <cell r="CI17">
            <v>4991</v>
          </cell>
          <cell r="CJ17">
            <v>5257</v>
          </cell>
          <cell r="CK17">
            <v>4963</v>
          </cell>
          <cell r="CL17">
            <v>5270</v>
          </cell>
          <cell r="CM17">
            <v>20481</v>
          </cell>
          <cell r="CO17">
            <v>5406</v>
          </cell>
          <cell r="CP17">
            <v>5406</v>
          </cell>
          <cell r="CQ17">
            <v>5348</v>
          </cell>
          <cell r="CR17">
            <v>5600</v>
          </cell>
          <cell r="CS17">
            <v>21760</v>
          </cell>
          <cell r="CU17">
            <v>5879</v>
          </cell>
          <cell r="CV17">
            <v>6324</v>
          </cell>
          <cell r="CW17">
            <v>6394</v>
          </cell>
          <cell r="CX17">
            <v>6479</v>
          </cell>
          <cell r="CY17">
            <v>25076</v>
          </cell>
        </row>
        <row r="18">
          <cell r="A18" t="str">
            <v>Gross Profit</v>
          </cell>
          <cell r="B18">
            <v>12038</v>
          </cell>
          <cell r="C18">
            <v>12752</v>
          </cell>
          <cell r="D18">
            <v>12941</v>
          </cell>
          <cell r="E18">
            <v>13921</v>
          </cell>
          <cell r="F18">
            <v>14572</v>
          </cell>
          <cell r="G18">
            <v>15254</v>
          </cell>
          <cell r="H18">
            <v>16090</v>
          </cell>
          <cell r="I18">
            <v>17541</v>
          </cell>
          <cell r="J18">
            <v>18933</v>
          </cell>
          <cell r="K18">
            <v>18409</v>
          </cell>
          <cell r="L18">
            <v>19688</v>
          </cell>
          <cell r="M18">
            <v>21613</v>
          </cell>
          <cell r="N18">
            <v>26331</v>
          </cell>
          <cell r="O18">
            <v>35411</v>
          </cell>
          <cell r="P18">
            <v>36431.116148496105</v>
          </cell>
          <cell r="Q18">
            <v>38710.715058141061</v>
          </cell>
          <cell r="R18">
            <v>41281.427123155838</v>
          </cell>
          <cell r="S18">
            <v>43894.516645924625</v>
          </cell>
          <cell r="T18">
            <v>46441.971901917779</v>
          </cell>
          <cell r="U18">
            <v>48912.572875511585</v>
          </cell>
          <cell r="V18">
            <v>51472.939164265939</v>
          </cell>
          <cell r="W18">
            <v>54155.996771113496</v>
          </cell>
          <cell r="X18">
            <v>56978.496469669408</v>
          </cell>
          <cell r="Y18">
            <v>59947.615616132141</v>
          </cell>
          <cell r="Z18">
            <v>63071.223805339512</v>
          </cell>
          <cell r="AY18">
            <v>3816</v>
          </cell>
          <cell r="AZ18">
            <v>3825</v>
          </cell>
          <cell r="BA18">
            <v>3561</v>
          </cell>
          <cell r="BB18">
            <v>3370</v>
          </cell>
          <cell r="BC18">
            <v>14572</v>
          </cell>
          <cell r="BE18">
            <v>3853</v>
          </cell>
          <cell r="BF18">
            <v>4047</v>
          </cell>
          <cell r="BG18">
            <v>3788</v>
          </cell>
          <cell r="BH18">
            <v>3566</v>
          </cell>
          <cell r="BI18">
            <v>15254</v>
          </cell>
          <cell r="BK18">
            <v>4147</v>
          </cell>
          <cell r="BL18">
            <v>4319</v>
          </cell>
          <cell r="BM18">
            <v>3653</v>
          </cell>
          <cell r="BN18">
            <v>3971</v>
          </cell>
          <cell r="BO18">
            <v>16090</v>
          </cell>
          <cell r="BQ18">
            <v>4368</v>
          </cell>
          <cell r="BR18">
            <v>4602</v>
          </cell>
          <cell r="BS18">
            <v>4330</v>
          </cell>
          <cell r="BT18">
            <v>4241</v>
          </cell>
          <cell r="BU18">
            <v>17541</v>
          </cell>
          <cell r="BW18">
            <v>4818</v>
          </cell>
          <cell r="BX18">
            <v>5135</v>
          </cell>
          <cell r="BY18">
            <v>4563</v>
          </cell>
          <cell r="BZ18">
            <v>4417</v>
          </cell>
          <cell r="CA18">
            <v>18933</v>
          </cell>
          <cell r="CC18">
            <v>4725</v>
          </cell>
          <cell r="CD18">
            <v>4846</v>
          </cell>
          <cell r="CE18">
            <v>4438</v>
          </cell>
          <cell r="CF18">
            <v>4400</v>
          </cell>
          <cell r="CG18">
            <v>18409</v>
          </cell>
          <cell r="CI18">
            <v>4751</v>
          </cell>
          <cell r="CJ18">
            <v>5132</v>
          </cell>
          <cell r="CK18">
            <v>4922</v>
          </cell>
          <cell r="CL18">
            <v>4883</v>
          </cell>
          <cell r="CM18">
            <v>19688</v>
          </cell>
          <cell r="CO18">
            <v>5395</v>
          </cell>
          <cell r="CP18">
            <v>5590</v>
          </cell>
          <cell r="CQ18">
            <v>5308</v>
          </cell>
          <cell r="CR18">
            <v>5320</v>
          </cell>
          <cell r="CS18">
            <v>21613</v>
          </cell>
          <cell r="CU18">
            <v>6316</v>
          </cell>
          <cell r="CV18">
            <v>6897</v>
          </cell>
          <cell r="CW18">
            <v>6635</v>
          </cell>
          <cell r="CX18">
            <v>6483</v>
          </cell>
          <cell r="CY18">
            <v>26331</v>
          </cell>
        </row>
        <row r="19">
          <cell r="A19" t="str">
            <v>Gross margin</v>
          </cell>
          <cell r="B19" t="str">
            <v>NA</v>
          </cell>
          <cell r="C19">
            <v>0.4190188282456544</v>
          </cell>
          <cell r="D19">
            <v>0.42715209928703457</v>
          </cell>
          <cell r="E19">
            <v>0.41577564064273342</v>
          </cell>
          <cell r="F19">
            <v>0.4129917242942977</v>
          </cell>
          <cell r="G19">
            <v>0.42651828654512919</v>
          </cell>
          <cell r="H19">
            <v>0.433062388975615</v>
          </cell>
          <cell r="I19">
            <v>0.46009180327868854</v>
          </cell>
          <cell r="J19">
            <v>0.47390553427949239</v>
          </cell>
          <cell r="K19">
            <v>0.46753015873015874</v>
          </cell>
          <cell r="L19">
            <v>0.49012920411262417</v>
          </cell>
          <cell r="M19">
            <v>0.49830539736702556</v>
          </cell>
          <cell r="N19">
            <v>0.51220650884120844</v>
          </cell>
          <cell r="O19">
            <v>0.52136336866902233</v>
          </cell>
          <cell r="P19">
            <v>0.51308694143615707</v>
          </cell>
          <cell r="Q19">
            <v>0.51308694143615707</v>
          </cell>
          <cell r="R19">
            <v>0.51908694143615708</v>
          </cell>
          <cell r="S19">
            <v>0.52508694143615708</v>
          </cell>
          <cell r="T19">
            <v>0.53108694143615709</v>
          </cell>
          <cell r="U19">
            <v>0.53708694143615709</v>
          </cell>
          <cell r="V19">
            <v>0.5430869414361571</v>
          </cell>
          <cell r="W19">
            <v>0.54908694143615711</v>
          </cell>
          <cell r="X19">
            <v>0.55508694143615711</v>
          </cell>
          <cell r="Y19">
            <v>0.56108694143615712</v>
          </cell>
          <cell r="Z19">
            <v>0.56708694143615712</v>
          </cell>
          <cell r="AY19">
            <v>0.42273180458624127</v>
          </cell>
          <cell r="AZ19">
            <v>0.42079207920792078</v>
          </cell>
          <cell r="BA19">
            <v>0.4146966344474205</v>
          </cell>
          <cell r="BB19">
            <v>0.3927738927738928</v>
          </cell>
          <cell r="BC19">
            <v>0.4129917242942977</v>
          </cell>
          <cell r="BE19">
            <v>0.43277546894305291</v>
          </cell>
          <cell r="BF19">
            <v>0.44268212644935462</v>
          </cell>
          <cell r="BG19">
            <v>0.43187777904457875</v>
          </cell>
          <cell r="BH19">
            <v>0.39852481001341084</v>
          </cell>
          <cell r="BI19">
            <v>0.42651828654512919</v>
          </cell>
          <cell r="BK19">
            <v>0.44329235702832709</v>
          </cell>
          <cell r="BL19">
            <v>0.4479825744217405</v>
          </cell>
          <cell r="BM19">
            <v>0.41132755320346809</v>
          </cell>
          <cell r="BN19">
            <v>0.42804786029966585</v>
          </cell>
          <cell r="BO19">
            <v>0.433062388975615</v>
          </cell>
          <cell r="BQ19">
            <v>0.45930599369085173</v>
          </cell>
          <cell r="BR19">
            <v>0.46325749949667805</v>
          </cell>
          <cell r="BS19">
            <v>0.46907160654316976</v>
          </cell>
          <cell r="BT19">
            <v>0.44878306878306878</v>
          </cell>
          <cell r="BU19">
            <v>0.46009180327868854</v>
          </cell>
          <cell r="BW19">
            <v>0.48573444903720131</v>
          </cell>
          <cell r="BX19">
            <v>0.48498299962221381</v>
          </cell>
          <cell r="BY19">
            <v>0.46642134314627415</v>
          </cell>
          <cell r="BZ19">
            <v>0.45719904771762759</v>
          </cell>
          <cell r="CA19">
            <v>0.47390553427949239</v>
          </cell>
          <cell r="CC19">
            <v>0.47396930484501953</v>
          </cell>
          <cell r="CD19">
            <v>0.47593792967982712</v>
          </cell>
          <cell r="CE19">
            <v>0.46661760067290503</v>
          </cell>
          <cell r="CF19">
            <v>0.45300113250283125</v>
          </cell>
          <cell r="CG19">
            <v>0.46753015873015874</v>
          </cell>
          <cell r="CI19">
            <v>0.48768220078012731</v>
          </cell>
          <cell r="CJ19">
            <v>0.49398402156126675</v>
          </cell>
          <cell r="CK19">
            <v>0.49792615073343449</v>
          </cell>
          <cell r="CL19">
            <v>0.48094159361764993</v>
          </cell>
          <cell r="CM19">
            <v>0.49012920411262417</v>
          </cell>
          <cell r="CO19">
            <v>0.49949078789001017</v>
          </cell>
          <cell r="CP19">
            <v>0.50836667879228814</v>
          </cell>
          <cell r="CQ19">
            <v>0.49812312312312312</v>
          </cell>
          <cell r="CR19">
            <v>0.48717948717948717</v>
          </cell>
          <cell r="CS19">
            <v>0.49830539736702556</v>
          </cell>
          <cell r="CU19">
            <v>0.5179171791717917</v>
          </cell>
          <cell r="CV19">
            <v>0.52167007034263668</v>
          </cell>
          <cell r="CW19">
            <v>0.5092485992785325</v>
          </cell>
          <cell r="CX19">
            <v>0.50015429717636162</v>
          </cell>
          <cell r="CY19">
            <v>0.51220650884120844</v>
          </cell>
        </row>
        <row r="20">
          <cell r="A20" t="str">
            <v>Change (bps)</v>
          </cell>
          <cell r="D20">
            <v>81.332710413801749</v>
          </cell>
          <cell r="E20">
            <v>-113.76458644301147</v>
          </cell>
          <cell r="F20">
            <v>-27.839163484357222</v>
          </cell>
          <cell r="G20">
            <v>135.26562250831486</v>
          </cell>
          <cell r="H20">
            <v>65.441024304858104</v>
          </cell>
          <cell r="I20">
            <v>270.29414303073543</v>
          </cell>
          <cell r="J20">
            <v>138.13731000803853</v>
          </cell>
          <cell r="K20">
            <v>-63.753755493336506</v>
          </cell>
          <cell r="L20">
            <v>225.99045382465434</v>
          </cell>
          <cell r="M20">
            <v>81.761932544013874</v>
          </cell>
          <cell r="N20">
            <v>139.01111474182881</v>
          </cell>
          <cell r="O20">
            <v>91.568598278138907</v>
          </cell>
          <cell r="P20">
            <v>-82.764272328652581</v>
          </cell>
          <cell r="Q20">
            <v>0</v>
          </cell>
          <cell r="R20">
            <v>60.000000000000057</v>
          </cell>
          <cell r="S20">
            <v>60.000000000000057</v>
          </cell>
          <cell r="T20">
            <v>60.000000000000057</v>
          </cell>
          <cell r="U20">
            <v>60.000000000000057</v>
          </cell>
          <cell r="V20">
            <v>60.000000000000057</v>
          </cell>
          <cell r="W20">
            <v>60.000000000000057</v>
          </cell>
          <cell r="X20">
            <v>60.000000000000057</v>
          </cell>
          <cell r="Y20">
            <v>60.000000000000057</v>
          </cell>
          <cell r="Z20">
            <v>60.000000000000057</v>
          </cell>
          <cell r="CU20">
            <v>184.26391281781528</v>
          </cell>
          <cell r="CV20">
            <v>133.03391550348542</v>
          </cell>
          <cell r="CW20">
            <v>111.25476155409375</v>
          </cell>
          <cell r="CX20">
            <v>129.74809996874447</v>
          </cell>
          <cell r="CY20">
            <v>139.01111474182881</v>
          </cell>
        </row>
        <row r="21">
          <cell r="A21" t="str">
            <v>Charges against COGS</v>
          </cell>
          <cell r="B21">
            <v>0</v>
          </cell>
          <cell r="C21">
            <v>0</v>
          </cell>
          <cell r="D21">
            <v>0</v>
          </cell>
          <cell r="E21">
            <v>0</v>
          </cell>
          <cell r="F21">
            <v>50</v>
          </cell>
          <cell r="G21">
            <v>0</v>
          </cell>
          <cell r="H21">
            <v>0</v>
          </cell>
          <cell r="I21">
            <v>443</v>
          </cell>
          <cell r="J21">
            <v>496</v>
          </cell>
          <cell r="K21">
            <v>1136</v>
          </cell>
          <cell r="L21">
            <v>508</v>
          </cell>
          <cell r="M21">
            <v>381</v>
          </cell>
          <cell r="N21">
            <v>0</v>
          </cell>
          <cell r="BB21">
            <v>50</v>
          </cell>
          <cell r="BC21">
            <v>50</v>
          </cell>
          <cell r="BI21">
            <v>0</v>
          </cell>
          <cell r="BO21">
            <v>0</v>
          </cell>
          <cell r="BT21">
            <v>443</v>
          </cell>
          <cell r="BU21">
            <v>443</v>
          </cell>
          <cell r="BW21">
            <v>105</v>
          </cell>
          <cell r="BX21">
            <v>110</v>
          </cell>
          <cell r="BY21">
            <v>107</v>
          </cell>
          <cell r="BZ21">
            <v>174</v>
          </cell>
          <cell r="CA21">
            <v>496</v>
          </cell>
          <cell r="CC21">
            <v>63</v>
          </cell>
          <cell r="CD21">
            <v>81</v>
          </cell>
          <cell r="CE21">
            <v>102</v>
          </cell>
          <cell r="CF21">
            <v>890</v>
          </cell>
          <cell r="CG21">
            <v>1136</v>
          </cell>
          <cell r="CI21">
            <v>120</v>
          </cell>
          <cell r="CJ21">
            <v>82</v>
          </cell>
          <cell r="CK21">
            <v>107</v>
          </cell>
          <cell r="CL21">
            <v>199</v>
          </cell>
          <cell r="CM21">
            <v>508</v>
          </cell>
          <cell r="CO21">
            <v>83</v>
          </cell>
          <cell r="CP21">
            <v>84</v>
          </cell>
          <cell r="CQ21">
            <v>46</v>
          </cell>
          <cell r="CR21">
            <v>168</v>
          </cell>
          <cell r="CS21">
            <v>381</v>
          </cell>
          <cell r="CY21">
            <v>0</v>
          </cell>
        </row>
        <row r="22">
          <cell r="A22" t="str">
            <v>Gross margin -- reported</v>
          </cell>
          <cell r="C22">
            <v>0.4190188282456544</v>
          </cell>
          <cell r="D22">
            <v>0.42715209928703457</v>
          </cell>
          <cell r="E22">
            <v>0.41577564064273342</v>
          </cell>
          <cell r="F22">
            <v>0.41157465140006799</v>
          </cell>
          <cell r="G22">
            <v>0.42651828654512919</v>
          </cell>
          <cell r="H22">
            <v>0.433062388975615</v>
          </cell>
          <cell r="I22">
            <v>0.44847213114754098</v>
          </cell>
          <cell r="J22">
            <v>0.46149032564891995</v>
          </cell>
          <cell r="K22">
            <v>0.43867936507936506</v>
          </cell>
          <cell r="L22">
            <v>0.47748263586347683</v>
          </cell>
          <cell r="M22">
            <v>0.48952113065732139</v>
          </cell>
          <cell r="N22">
            <v>0.51220650884120844</v>
          </cell>
          <cell r="O22">
            <v>0.52136336866902233</v>
          </cell>
          <cell r="P22">
            <v>0.51308694143615707</v>
          </cell>
          <cell r="Q22">
            <v>0.51308694143615707</v>
          </cell>
          <cell r="R22">
            <v>0.51908694143615708</v>
          </cell>
          <cell r="S22">
            <v>0.52508694143615708</v>
          </cell>
          <cell r="T22">
            <v>0.53108694143615709</v>
          </cell>
          <cell r="U22">
            <v>0.53708694143615709</v>
          </cell>
          <cell r="V22">
            <v>0.5430869414361571</v>
          </cell>
          <cell r="W22">
            <v>0.54908694143615711</v>
          </cell>
          <cell r="X22">
            <v>0.55508694143615711</v>
          </cell>
          <cell r="Y22">
            <v>0.56108694143615712</v>
          </cell>
          <cell r="Z22">
            <v>0.56708694143615712</v>
          </cell>
          <cell r="AY22">
            <v>0.42273180458624127</v>
          </cell>
          <cell r="AZ22">
            <v>0.42079207920792078</v>
          </cell>
          <cell r="BA22">
            <v>0.4146966344474205</v>
          </cell>
          <cell r="BB22">
            <v>0.38694638694638694</v>
          </cell>
          <cell r="BC22">
            <v>0.41157465140006799</v>
          </cell>
          <cell r="BE22">
            <v>0.43277546894305291</v>
          </cell>
          <cell r="BF22">
            <v>0.44268212644935462</v>
          </cell>
          <cell r="BG22">
            <v>0.43187777904457875</v>
          </cell>
          <cell r="BH22">
            <v>0.39852481001341084</v>
          </cell>
          <cell r="BI22">
            <v>0.42651828654512919</v>
          </cell>
          <cell r="BK22">
            <v>0.44329235702832709</v>
          </cell>
          <cell r="BL22">
            <v>0.4479825744217405</v>
          </cell>
          <cell r="BM22">
            <v>0.41132755320346809</v>
          </cell>
          <cell r="BN22">
            <v>0.42804786029966585</v>
          </cell>
          <cell r="BO22">
            <v>0.433062388975615</v>
          </cell>
          <cell r="BQ22">
            <v>0.45930599369085173</v>
          </cell>
          <cell r="BR22">
            <v>0.46325749949667805</v>
          </cell>
          <cell r="BS22">
            <v>0.46907160654316976</v>
          </cell>
          <cell r="BT22">
            <v>0.40190476190476193</v>
          </cell>
          <cell r="BU22">
            <v>0.44847213114754098</v>
          </cell>
          <cell r="BW22">
            <v>0.47514870450650265</v>
          </cell>
          <cell r="BX22">
            <v>0.47459387986399698</v>
          </cell>
          <cell r="BY22">
            <v>0.45548400286210772</v>
          </cell>
          <cell r="BZ22">
            <v>0.43918848980436809</v>
          </cell>
          <cell r="CA22">
            <v>0.46149032564891995</v>
          </cell>
          <cell r="CC22">
            <v>0.46764971411375261</v>
          </cell>
          <cell r="CD22">
            <v>0.46798271459438223</v>
          </cell>
          <cell r="CE22">
            <v>0.45589317632215332</v>
          </cell>
          <cell r="CF22">
            <v>0.36137135797384951</v>
          </cell>
          <cell r="CG22">
            <v>0.43867936507936506</v>
          </cell>
          <cell r="CI22">
            <v>0.47536440156025456</v>
          </cell>
          <cell r="CJ22">
            <v>0.48609105784964868</v>
          </cell>
          <cell r="CK22">
            <v>0.48710166919575115</v>
          </cell>
          <cell r="CL22">
            <v>0.46134147542598247</v>
          </cell>
          <cell r="CM22">
            <v>0.47748263586347683</v>
          </cell>
          <cell r="CO22">
            <v>0.49180631423016385</v>
          </cell>
          <cell r="CP22">
            <v>0.50072753728628594</v>
          </cell>
          <cell r="CQ22">
            <v>0.49380630630630629</v>
          </cell>
          <cell r="CR22">
            <v>0.47179487179487178</v>
          </cell>
          <cell r="CS22">
            <v>0.48952113065732139</v>
          </cell>
          <cell r="CU22">
            <v>0.5179171791717917</v>
          </cell>
          <cell r="CV22">
            <v>0.52167007034263668</v>
          </cell>
          <cell r="CW22">
            <v>0.5092485992785325</v>
          </cell>
          <cell r="CX22">
            <v>0.50015429717636162</v>
          </cell>
          <cell r="CY22">
            <v>0.51220650884120844</v>
          </cell>
        </row>
        <row r="23">
          <cell r="A23" t="str">
            <v>Research + Development</v>
          </cell>
          <cell r="C23">
            <v>956</v>
          </cell>
          <cell r="D23">
            <v>1059</v>
          </cell>
          <cell r="E23">
            <v>1148</v>
          </cell>
          <cell r="F23">
            <v>1221</v>
          </cell>
          <cell r="G23">
            <v>1282</v>
          </cell>
          <cell r="H23">
            <v>1546</v>
          </cell>
          <cell r="I23">
            <v>1899</v>
          </cell>
          <cell r="J23">
            <v>1899</v>
          </cell>
          <cell r="K23">
            <v>1769</v>
          </cell>
          <cell r="L23">
            <v>1601</v>
          </cell>
          <cell r="M23">
            <v>1665</v>
          </cell>
          <cell r="N23">
            <v>1802</v>
          </cell>
          <cell r="O23">
            <v>2163.0038178867999</v>
          </cell>
          <cell r="BC23">
            <v>1221</v>
          </cell>
          <cell r="BI23">
            <v>1282</v>
          </cell>
          <cell r="BO23">
            <v>1546</v>
          </cell>
          <cell r="BU23">
            <v>1899</v>
          </cell>
          <cell r="CA23">
            <v>1899</v>
          </cell>
          <cell r="CG23">
            <v>1769</v>
          </cell>
          <cell r="CM23">
            <v>1601</v>
          </cell>
          <cell r="CS23">
            <v>1665</v>
          </cell>
          <cell r="CY23">
            <v>1802</v>
          </cell>
        </row>
        <row r="24">
          <cell r="A24" t="str">
            <v>Advertising</v>
          </cell>
          <cell r="C24">
            <v>2973</v>
          </cell>
          <cell r="D24">
            <v>2996</v>
          </cell>
          <cell r="E24">
            <v>3284</v>
          </cell>
          <cell r="F24">
            <v>3254</v>
          </cell>
          <cell r="G24">
            <v>3468</v>
          </cell>
          <cell r="H24">
            <v>3801</v>
          </cell>
          <cell r="I24">
            <v>3793</v>
          </cell>
          <cell r="J24">
            <v>3793</v>
          </cell>
          <cell r="K24">
            <v>3612</v>
          </cell>
          <cell r="L24">
            <v>3773</v>
          </cell>
          <cell r="M24">
            <v>4373</v>
          </cell>
          <cell r="N24">
            <v>5504</v>
          </cell>
          <cell r="O24">
            <v>7155</v>
          </cell>
          <cell r="BC24">
            <v>3254</v>
          </cell>
          <cell r="BI24">
            <v>3468</v>
          </cell>
          <cell r="BO24">
            <v>3801</v>
          </cell>
          <cell r="BU24">
            <v>3793</v>
          </cell>
          <cell r="CA24">
            <v>3793</v>
          </cell>
          <cell r="CG24">
            <v>3612</v>
          </cell>
          <cell r="CM24">
            <v>3773</v>
          </cell>
          <cell r="CS24">
            <v>4373</v>
          </cell>
          <cell r="CY24">
            <v>5504</v>
          </cell>
        </row>
        <row r="25">
          <cell r="A25" t="str">
            <v>Other</v>
          </cell>
          <cell r="F25">
            <v>5232</v>
          </cell>
          <cell r="G25">
            <v>5016</v>
          </cell>
          <cell r="H25">
            <v>4688</v>
          </cell>
          <cell r="I25">
            <v>5115</v>
          </cell>
          <cell r="J25">
            <v>6268</v>
          </cell>
          <cell r="K25">
            <v>5389</v>
          </cell>
          <cell r="L25">
            <v>6159</v>
          </cell>
          <cell r="M25">
            <v>6971</v>
          </cell>
          <cell r="N25">
            <v>9198</v>
          </cell>
          <cell r="O25">
            <v>13103.996182113202</v>
          </cell>
          <cell r="BC25">
            <v>5232</v>
          </cell>
          <cell r="BI25">
            <v>5016</v>
          </cell>
          <cell r="BO25">
            <v>4688</v>
          </cell>
          <cell r="BU25">
            <v>5115</v>
          </cell>
          <cell r="CA25">
            <v>6473</v>
          </cell>
          <cell r="CG25">
            <v>6207</v>
          </cell>
          <cell r="CM25">
            <v>6678</v>
          </cell>
          <cell r="CS25">
            <v>6971</v>
          </cell>
          <cell r="CY25">
            <v>9198</v>
          </cell>
        </row>
        <row r="26">
          <cell r="A26" t="str">
            <v>Charges against MRAO</v>
          </cell>
          <cell r="B26">
            <v>0</v>
          </cell>
          <cell r="C26">
            <v>0</v>
          </cell>
          <cell r="D26">
            <v>0</v>
          </cell>
          <cell r="E26">
            <v>0</v>
          </cell>
          <cell r="F26">
            <v>0</v>
          </cell>
          <cell r="G26">
            <v>0</v>
          </cell>
          <cell r="H26">
            <v>0</v>
          </cell>
          <cell r="I26">
            <v>38</v>
          </cell>
          <cell r="J26">
            <v>205</v>
          </cell>
          <cell r="K26">
            <v>818</v>
          </cell>
          <cell r="L26">
            <v>519</v>
          </cell>
          <cell r="M26">
            <v>374</v>
          </cell>
          <cell r="BC26">
            <v>0</v>
          </cell>
          <cell r="BI26">
            <v>0</v>
          </cell>
          <cell r="BO26">
            <v>0</v>
          </cell>
          <cell r="BT26">
            <v>38</v>
          </cell>
          <cell r="BU26">
            <v>38</v>
          </cell>
          <cell r="BW26">
            <v>55</v>
          </cell>
          <cell r="BX26">
            <v>73</v>
          </cell>
          <cell r="BY26">
            <v>77</v>
          </cell>
          <cell r="CA26">
            <v>205</v>
          </cell>
          <cell r="CC26">
            <v>99</v>
          </cell>
          <cell r="CD26">
            <v>133</v>
          </cell>
          <cell r="CE26">
            <v>109</v>
          </cell>
          <cell r="CF26">
            <v>477</v>
          </cell>
          <cell r="CG26">
            <v>818</v>
          </cell>
          <cell r="CI26">
            <v>214</v>
          </cell>
          <cell r="CJ26">
            <v>121</v>
          </cell>
          <cell r="CK26">
            <v>99</v>
          </cell>
          <cell r="CL26">
            <v>85</v>
          </cell>
          <cell r="CM26">
            <v>519</v>
          </cell>
          <cell r="CO26">
            <v>63</v>
          </cell>
          <cell r="CP26">
            <v>57</v>
          </cell>
          <cell r="CQ26">
            <v>41</v>
          </cell>
          <cell r="CR26">
            <v>213</v>
          </cell>
          <cell r="CS26">
            <v>374</v>
          </cell>
          <cell r="CY26">
            <v>0</v>
          </cell>
        </row>
        <row r="27">
          <cell r="A27" t="str">
            <v>Marketing, R&amp;D, Admin + Other</v>
          </cell>
          <cell r="B27">
            <v>9171</v>
          </cell>
          <cell r="C27">
            <v>9589</v>
          </cell>
          <cell r="D27">
            <v>9361</v>
          </cell>
          <cell r="E27">
            <v>9677</v>
          </cell>
          <cell r="F27">
            <v>9707</v>
          </cell>
          <cell r="G27">
            <v>9766</v>
          </cell>
          <cell r="H27">
            <v>10035</v>
          </cell>
          <cell r="I27">
            <v>10807</v>
          </cell>
          <cell r="J27">
            <v>12165</v>
          </cell>
          <cell r="K27">
            <v>11588</v>
          </cell>
          <cell r="L27">
            <v>12052</v>
          </cell>
          <cell r="M27">
            <v>13009</v>
          </cell>
          <cell r="N27">
            <v>16504</v>
          </cell>
          <cell r="O27">
            <v>22422</v>
          </cell>
          <cell r="P27">
            <v>22474.099399386563</v>
          </cell>
          <cell r="Q27">
            <v>23176.073926645273</v>
          </cell>
          <cell r="R27">
            <v>24196.077917870236</v>
          </cell>
          <cell r="S27">
            <v>25491.815872290874</v>
          </cell>
          <cell r="T27">
            <v>26758.298420763076</v>
          </cell>
          <cell r="U27">
            <v>28080.006262113235</v>
          </cell>
          <cell r="V27">
            <v>29478.285629459289</v>
          </cell>
          <cell r="W27">
            <v>30942.423985118727</v>
          </cell>
          <cell r="X27">
            <v>32487.342758016955</v>
          </cell>
          <cell r="Y27">
            <v>34176.441934583592</v>
          </cell>
          <cell r="Z27">
            <v>36077.34128050549</v>
          </cell>
          <cell r="AY27">
            <v>2381</v>
          </cell>
          <cell r="AZ27">
            <v>2473</v>
          </cell>
          <cell r="BA27">
            <v>2368</v>
          </cell>
          <cell r="BB27">
            <v>2485</v>
          </cell>
          <cell r="BC27">
            <v>9707</v>
          </cell>
          <cell r="BE27">
            <v>2306</v>
          </cell>
          <cell r="BF27">
            <v>2526</v>
          </cell>
          <cell r="BG27">
            <v>2405</v>
          </cell>
          <cell r="BH27">
            <v>2529</v>
          </cell>
          <cell r="BI27">
            <v>9766</v>
          </cell>
          <cell r="BK27">
            <v>2408</v>
          </cell>
          <cell r="BL27">
            <v>2631</v>
          </cell>
          <cell r="BM27">
            <v>2137</v>
          </cell>
          <cell r="BN27">
            <v>2859</v>
          </cell>
          <cell r="BO27">
            <v>10035</v>
          </cell>
          <cell r="BQ27">
            <v>2494</v>
          </cell>
          <cell r="BR27">
            <v>2765</v>
          </cell>
          <cell r="BS27">
            <v>2665</v>
          </cell>
          <cell r="BT27">
            <v>2883</v>
          </cell>
          <cell r="BU27">
            <v>10807</v>
          </cell>
          <cell r="BW27">
            <v>2811</v>
          </cell>
          <cell r="BX27">
            <v>3110</v>
          </cell>
          <cell r="BY27">
            <v>3059</v>
          </cell>
          <cell r="BZ27">
            <v>3185</v>
          </cell>
          <cell r="CA27">
            <v>12165</v>
          </cell>
          <cell r="CC27">
            <v>2784</v>
          </cell>
          <cell r="CD27">
            <v>2921</v>
          </cell>
          <cell r="CE27">
            <v>2925</v>
          </cell>
          <cell r="CF27">
            <v>2958</v>
          </cell>
          <cell r="CG27">
            <v>11588</v>
          </cell>
          <cell r="CI27">
            <v>2679</v>
          </cell>
          <cell r="CJ27">
            <v>3079</v>
          </cell>
          <cell r="CK27">
            <v>3077</v>
          </cell>
          <cell r="CL27">
            <v>3217</v>
          </cell>
          <cell r="CM27">
            <v>12052</v>
          </cell>
          <cell r="CO27">
            <v>3065</v>
          </cell>
          <cell r="CP27">
            <v>3210</v>
          </cell>
          <cell r="CQ27">
            <v>3264</v>
          </cell>
          <cell r="CR27">
            <v>3470</v>
          </cell>
          <cell r="CS27">
            <v>13009</v>
          </cell>
          <cell r="CU27">
            <v>3673</v>
          </cell>
          <cell r="CV27">
            <v>4155</v>
          </cell>
          <cell r="CW27">
            <v>4332</v>
          </cell>
          <cell r="CX27">
            <v>4344</v>
          </cell>
          <cell r="CY27">
            <v>16504</v>
          </cell>
        </row>
        <row r="28">
          <cell r="A28" t="str">
            <v>Operating Income</v>
          </cell>
          <cell r="B28">
            <v>2867</v>
          </cell>
          <cell r="C28">
            <v>3163</v>
          </cell>
          <cell r="D28">
            <v>3580</v>
          </cell>
          <cell r="E28">
            <v>4244</v>
          </cell>
          <cell r="F28">
            <v>4865</v>
          </cell>
          <cell r="G28">
            <v>5488</v>
          </cell>
          <cell r="H28">
            <v>6055</v>
          </cell>
          <cell r="I28">
            <v>6734</v>
          </cell>
          <cell r="J28">
            <v>6768</v>
          </cell>
          <cell r="K28">
            <v>6821</v>
          </cell>
          <cell r="L28">
            <v>7636</v>
          </cell>
          <cell r="M28">
            <v>8604</v>
          </cell>
          <cell r="N28">
            <v>9827</v>
          </cell>
          <cell r="O28">
            <v>12989</v>
          </cell>
          <cell r="P28">
            <v>13957.016749109549</v>
          </cell>
          <cell r="Q28">
            <v>15534.641131495788</v>
          </cell>
          <cell r="R28">
            <v>17085.349205285598</v>
          </cell>
          <cell r="S28">
            <v>18402.700773633751</v>
          </cell>
          <cell r="T28">
            <v>19683.673481154703</v>
          </cell>
          <cell r="U28">
            <v>20832.56661339835</v>
          </cell>
          <cell r="V28">
            <v>21994.65353480665</v>
          </cell>
          <cell r="W28">
            <v>23213.572785994769</v>
          </cell>
          <cell r="X28">
            <v>24491.153711652452</v>
          </cell>
          <cell r="Y28">
            <v>25771.173681548546</v>
          </cell>
          <cell r="Z28">
            <v>26993.882524834025</v>
          </cell>
          <cell r="AB28">
            <v>8.6691042145931707E-2</v>
          </cell>
          <cell r="AY28">
            <v>1435</v>
          </cell>
          <cell r="AZ28">
            <v>1352</v>
          </cell>
          <cell r="BA28">
            <v>1193</v>
          </cell>
          <cell r="BB28">
            <v>885</v>
          </cell>
          <cell r="BC28">
            <v>4865</v>
          </cell>
          <cell r="BE28">
            <v>1547</v>
          </cell>
          <cell r="BF28">
            <v>1521</v>
          </cell>
          <cell r="BG28">
            <v>1383</v>
          </cell>
          <cell r="BH28">
            <v>1037</v>
          </cell>
          <cell r="BI28">
            <v>5488</v>
          </cell>
          <cell r="BK28">
            <v>1739</v>
          </cell>
          <cell r="BL28">
            <v>1688</v>
          </cell>
          <cell r="BM28">
            <v>1516</v>
          </cell>
          <cell r="BN28">
            <v>1112</v>
          </cell>
          <cell r="BO28">
            <v>6055</v>
          </cell>
          <cell r="BQ28">
            <v>1874</v>
          </cell>
          <cell r="BR28">
            <v>1837</v>
          </cell>
          <cell r="BS28">
            <v>1665</v>
          </cell>
          <cell r="BT28">
            <v>1358</v>
          </cell>
          <cell r="BU28">
            <v>6734</v>
          </cell>
          <cell r="BW28">
            <v>2007</v>
          </cell>
          <cell r="BX28">
            <v>2025</v>
          </cell>
          <cell r="BY28">
            <v>1504</v>
          </cell>
          <cell r="BZ28">
            <v>1232</v>
          </cell>
          <cell r="CA28">
            <v>6768</v>
          </cell>
          <cell r="CC28">
            <v>1941</v>
          </cell>
          <cell r="CD28">
            <v>1925</v>
          </cell>
          <cell r="CE28">
            <v>1513</v>
          </cell>
          <cell r="CF28">
            <v>1442</v>
          </cell>
          <cell r="CG28">
            <v>6821</v>
          </cell>
          <cell r="CI28">
            <v>2072</v>
          </cell>
          <cell r="CJ28">
            <v>2053</v>
          </cell>
          <cell r="CK28">
            <v>1845</v>
          </cell>
          <cell r="CL28">
            <v>1666</v>
          </cell>
          <cell r="CM28">
            <v>7636</v>
          </cell>
          <cell r="CO28">
            <v>2330</v>
          </cell>
          <cell r="CP28">
            <v>2380</v>
          </cell>
          <cell r="CQ28">
            <v>2044</v>
          </cell>
          <cell r="CR28">
            <v>1850</v>
          </cell>
          <cell r="CS28">
            <v>8604</v>
          </cell>
          <cell r="CU28">
            <v>2643</v>
          </cell>
          <cell r="CV28">
            <v>2742</v>
          </cell>
          <cell r="CW28">
            <v>2303</v>
          </cell>
          <cell r="CX28">
            <v>2139</v>
          </cell>
          <cell r="CY28">
            <v>9827</v>
          </cell>
        </row>
        <row r="29">
          <cell r="A29" t="str">
            <v>Change vs. Yago</v>
          </cell>
          <cell r="C29">
            <v>0.10324380885943496</v>
          </cell>
          <cell r="D29">
            <v>0.13183686373695869</v>
          </cell>
          <cell r="E29">
            <v>0.18547486033519545</v>
          </cell>
          <cell r="F29">
            <v>0.14632422243166832</v>
          </cell>
          <cell r="G29">
            <v>0.12805755395683449</v>
          </cell>
          <cell r="H29">
            <v>0.10331632653061229</v>
          </cell>
          <cell r="I29">
            <v>0.11213872832369942</v>
          </cell>
          <cell r="J29">
            <v>5.0490050490050731E-3</v>
          </cell>
          <cell r="K29">
            <v>7.8309692671394426E-3</v>
          </cell>
          <cell r="L29">
            <v>0.11948394663539075</v>
          </cell>
          <cell r="M29">
            <v>0.12676794133053959</v>
          </cell>
          <cell r="N29">
            <v>0.14214318921431901</v>
          </cell>
          <cell r="O29">
            <v>0.32176656151419558</v>
          </cell>
          <cell r="P29">
            <v>7.4525887220690423E-2</v>
          </cell>
          <cell r="Q29">
            <v>0.11303449804105803</v>
          </cell>
          <cell r="R29">
            <v>9.9822587510297822E-2</v>
          </cell>
          <cell r="S29">
            <v>7.7104164071789105E-2</v>
          </cell>
          <cell r="T29">
            <v>6.9607864806249031E-2</v>
          </cell>
          <cell r="U29">
            <v>5.8367821095163253E-2</v>
          </cell>
          <cell r="V29">
            <v>5.5782225156112641E-2</v>
          </cell>
          <cell r="W29">
            <v>5.5418888470289973E-2</v>
          </cell>
          <cell r="X29">
            <v>5.5035945454655399E-2</v>
          </cell>
          <cell r="Y29">
            <v>5.2264584386936486E-2</v>
          </cell>
          <cell r="Z29">
            <v>4.7444825695343029E-2</v>
          </cell>
          <cell r="BE29">
            <v>7.8048780487804947E-2</v>
          </cell>
          <cell r="BF29">
            <v>0.125</v>
          </cell>
          <cell r="BG29">
            <v>0.15926236378876779</v>
          </cell>
          <cell r="BH29">
            <v>0.17175141242937864</v>
          </cell>
          <cell r="BI29">
            <v>0.12805755395683449</v>
          </cell>
          <cell r="BK29">
            <v>0.12411118293471235</v>
          </cell>
          <cell r="BL29">
            <v>0.10979618671926361</v>
          </cell>
          <cell r="BM29">
            <v>9.6167751265365142E-2</v>
          </cell>
          <cell r="BN29">
            <v>7.2324011571841762E-2</v>
          </cell>
          <cell r="BO29">
            <v>0.10331632653061229</v>
          </cell>
          <cell r="BQ29">
            <v>7.7630822311673287E-2</v>
          </cell>
          <cell r="BR29">
            <v>8.8270142180094879E-2</v>
          </cell>
          <cell r="BS29">
            <v>9.8284960422163614E-2</v>
          </cell>
          <cell r="BT29">
            <v>0.22122302158273377</v>
          </cell>
          <cell r="BU29">
            <v>0.11213872832369942</v>
          </cell>
          <cell r="BW29">
            <v>7.0971184631803519E-2</v>
          </cell>
          <cell r="BX29">
            <v>0.10234077299945565</v>
          </cell>
          <cell r="BY29">
            <v>-9.6696696696696671E-2</v>
          </cell>
          <cell r="BZ29">
            <v>-9.2783505154639179E-2</v>
          </cell>
          <cell r="CA29">
            <v>5.0490050490050731E-3</v>
          </cell>
          <cell r="CC29">
            <v>-3.2884902840059738E-2</v>
          </cell>
          <cell r="CD29">
            <v>-4.9382716049382713E-2</v>
          </cell>
          <cell r="CE29">
            <v>5.9840425531914043E-3</v>
          </cell>
          <cell r="CF29">
            <v>0.17045454545454541</v>
          </cell>
          <cell r="CG29">
            <v>7.8309692671394426E-3</v>
          </cell>
          <cell r="CI29">
            <v>6.749098402885112E-2</v>
          </cell>
          <cell r="CJ29">
            <v>6.6493506493506604E-2</v>
          </cell>
          <cell r="CK29">
            <v>0.21943159286186376</v>
          </cell>
          <cell r="CL29">
            <v>0.15533980582524265</v>
          </cell>
          <cell r="CM29">
            <v>0.11948394663539075</v>
          </cell>
          <cell r="CO29">
            <v>0.12451737451737444</v>
          </cell>
          <cell r="CP29">
            <v>0.15927910375060894</v>
          </cell>
          <cell r="CQ29">
            <v>0.10785907859078581</v>
          </cell>
          <cell r="CR29">
            <v>0.11044417767106851</v>
          </cell>
          <cell r="CS29">
            <v>0.12676794133053959</v>
          </cell>
          <cell r="CU29">
            <v>0.13433476394849775</v>
          </cell>
          <cell r="CV29">
            <v>0.15210084033613436</v>
          </cell>
          <cell r="CW29">
            <v>0.12671232876712324</v>
          </cell>
          <cell r="CX29">
            <v>0.15621621621621617</v>
          </cell>
          <cell r="CY29">
            <v>0.14214318921431901</v>
          </cell>
        </row>
        <row r="30">
          <cell r="A30" t="str">
            <v>Operating margin</v>
          </cell>
          <cell r="B30">
            <v>9.7643212315237385E-2</v>
          </cell>
          <cell r="C30">
            <v>0.10393323037492196</v>
          </cell>
          <cell r="D30">
            <v>0.11816741484024294</v>
          </cell>
          <cell r="E30">
            <v>0.12675467415327638</v>
          </cell>
          <cell r="F30">
            <v>0.13788119260854778</v>
          </cell>
          <cell r="G30">
            <v>0.15345039704731014</v>
          </cell>
          <cell r="H30">
            <v>0.16297033966733057</v>
          </cell>
          <cell r="I30">
            <v>0.17662950819672132</v>
          </cell>
          <cell r="J30">
            <v>0.16940752421716604</v>
          </cell>
          <cell r="K30">
            <v>0.17323174603174604</v>
          </cell>
          <cell r="L30">
            <v>0.19009684084741965</v>
          </cell>
          <cell r="M30">
            <v>0.19837225923961913</v>
          </cell>
          <cell r="N30">
            <v>0.19116073686462934</v>
          </cell>
          <cell r="O30">
            <v>0.19123969375736161</v>
          </cell>
          <cell r="P30">
            <v>0.19656721485513562</v>
          </cell>
          <cell r="Q30">
            <v>0.20590220285252089</v>
          </cell>
          <cell r="R30">
            <v>0.21483708971305515</v>
          </cell>
          <cell r="S30">
            <v>0.22014179906203177</v>
          </cell>
          <cell r="T30">
            <v>0.22509255135445205</v>
          </cell>
          <cell r="U30">
            <v>0.22875303478989389</v>
          </cell>
          <cell r="V30">
            <v>0.23206386326698611</v>
          </cell>
          <cell r="W30">
            <v>0.23536211021539666</v>
          </cell>
          <cell r="X30">
            <v>0.23859386344602196</v>
          </cell>
          <cell r="Y30">
            <v>0.24120840953528858</v>
          </cell>
          <cell r="Z30">
            <v>0.24270780484204141</v>
          </cell>
          <cell r="AY30">
            <v>0.15896754181898748</v>
          </cell>
          <cell r="AZ30">
            <v>0.14873487348734873</v>
          </cell>
          <cell r="BA30">
            <v>0.13893094212181203</v>
          </cell>
          <cell r="BB30">
            <v>0.10314685314685315</v>
          </cell>
          <cell r="BC30">
            <v>0.13788119260854778</v>
          </cell>
          <cell r="BE30">
            <v>0.17376165337526675</v>
          </cell>
          <cell r="BF30">
            <v>0.16637497265368628</v>
          </cell>
          <cell r="BG30">
            <v>0.15767871394367802</v>
          </cell>
          <cell r="BH30">
            <v>0.11589181940098346</v>
          </cell>
          <cell r="BI30">
            <v>0.15345039704731014</v>
          </cell>
          <cell r="BK30">
            <v>0.18588989845002674</v>
          </cell>
          <cell r="BL30">
            <v>0.17508557203609584</v>
          </cell>
          <cell r="BM30">
            <v>0.17070149757910144</v>
          </cell>
          <cell r="BN30">
            <v>0.11986633610003233</v>
          </cell>
          <cell r="BO30">
            <v>0.16297033966733057</v>
          </cell>
          <cell r="BQ30">
            <v>0.19705573080967403</v>
          </cell>
          <cell r="BR30">
            <v>0.18492047513589693</v>
          </cell>
          <cell r="BS30">
            <v>0.18037049073773156</v>
          </cell>
          <cell r="BT30">
            <v>0.14370370370370369</v>
          </cell>
          <cell r="BU30">
            <v>0.17662950819672132</v>
          </cell>
          <cell r="BW30">
            <v>0.20233894545821152</v>
          </cell>
          <cell r="BX30">
            <v>0.19125425009444655</v>
          </cell>
          <cell r="BY30">
            <v>0.15373607277931106</v>
          </cell>
          <cell r="BZ30">
            <v>0.1275230307421592</v>
          </cell>
          <cell r="CA30">
            <v>0.16940752421716604</v>
          </cell>
          <cell r="CC30">
            <v>0.19470358110141439</v>
          </cell>
          <cell r="CD30">
            <v>0.18905912394421528</v>
          </cell>
          <cell r="CE30">
            <v>0.15907896120281778</v>
          </cell>
          <cell r="CF30">
            <v>0.14846082569751878</v>
          </cell>
          <cell r="CG30">
            <v>0.17323174603174604</v>
          </cell>
          <cell r="CI30">
            <v>0.2126873331964689</v>
          </cell>
          <cell r="CJ30">
            <v>0.19761285975551063</v>
          </cell>
          <cell r="CK30">
            <v>0.18664643399089528</v>
          </cell>
          <cell r="CL30">
            <v>0.16408943169506549</v>
          </cell>
          <cell r="CM30">
            <v>0.19009684084741965</v>
          </cell>
          <cell r="CO30">
            <v>0.21572076659568559</v>
          </cell>
          <cell r="CP30">
            <v>0.21644234267006185</v>
          </cell>
          <cell r="CQ30">
            <v>0.19181681681681681</v>
          </cell>
          <cell r="CR30">
            <v>0.16941391941391942</v>
          </cell>
          <cell r="CS30">
            <v>0.19837225923961913</v>
          </cell>
          <cell r="CU30">
            <v>0.21672816728167282</v>
          </cell>
          <cell r="CV30">
            <v>0.20739732244157022</v>
          </cell>
          <cell r="CW30">
            <v>0.17675953641875816</v>
          </cell>
          <cell r="CX30">
            <v>0.16502083011880883</v>
          </cell>
          <cell r="CY30">
            <v>0.19116073686462934</v>
          </cell>
        </row>
        <row r="31">
          <cell r="A31" t="str">
            <v>Change (bps)</v>
          </cell>
          <cell r="C31">
            <v>62.900180596845715</v>
          </cell>
          <cell r="D31">
            <v>142.34184465320988</v>
          </cell>
          <cell r="E31">
            <v>85.872593130334323</v>
          </cell>
          <cell r="F31">
            <v>111.26518455271406</v>
          </cell>
          <cell r="G31">
            <v>155.69204438762364</v>
          </cell>
          <cell r="H31">
            <v>95.199426200204272</v>
          </cell>
          <cell r="I31">
            <v>136.59168529390752</v>
          </cell>
          <cell r="J31">
            <v>-72.219839795552858</v>
          </cell>
          <cell r="K31">
            <v>38.242218145800031</v>
          </cell>
          <cell r="L31">
            <v>168.65094815673609</v>
          </cell>
          <cell r="M31">
            <v>82.754183921994738</v>
          </cell>
          <cell r="N31">
            <v>0.14214318921431901</v>
          </cell>
          <cell r="O31">
            <v>0.78956892732268136</v>
          </cell>
          <cell r="P31">
            <v>53.27521097774013</v>
          </cell>
          <cell r="Q31">
            <v>93.349879973852751</v>
          </cell>
          <cell r="R31">
            <v>89.348868605342574</v>
          </cell>
          <cell r="S31">
            <v>53.047093489766162</v>
          </cell>
          <cell r="T31">
            <v>49.507522924202853</v>
          </cell>
          <cell r="U31">
            <v>36.604834354418415</v>
          </cell>
          <cell r="V31">
            <v>33.108284770922147</v>
          </cell>
          <cell r="W31">
            <v>32.982469484105494</v>
          </cell>
          <cell r="X31">
            <v>32.317532306253007</v>
          </cell>
          <cell r="Y31">
            <v>26.145460892666172</v>
          </cell>
          <cell r="Z31">
            <v>14.99395306752832</v>
          </cell>
          <cell r="BE31">
            <v>147.9411155627927</v>
          </cell>
          <cell r="BF31">
            <v>176.40099166337546</v>
          </cell>
          <cell r="BG31">
            <v>187.47771821865987</v>
          </cell>
          <cell r="BH31">
            <v>127.4496625413031</v>
          </cell>
          <cell r="BI31">
            <v>155.69204438762364</v>
          </cell>
          <cell r="BK31">
            <v>121.28245074759985</v>
          </cell>
          <cell r="BL31">
            <v>87.10599382409562</v>
          </cell>
          <cell r="BM31">
            <v>130.22783635423417</v>
          </cell>
          <cell r="BN31">
            <v>39.74516699048872</v>
          </cell>
          <cell r="BO31">
            <v>95.199426200204272</v>
          </cell>
          <cell r="BQ31">
            <v>111.65832359647298</v>
          </cell>
          <cell r="BR31">
            <v>98.349030998010903</v>
          </cell>
          <cell r="BS31">
            <v>96.689931586301242</v>
          </cell>
          <cell r="BT31">
            <v>238.37367603671362</v>
          </cell>
          <cell r="BU31">
            <v>136.59168529390752</v>
          </cell>
          <cell r="BW31">
            <v>52.832146485374821</v>
          </cell>
          <cell r="BX31">
            <v>63.337749585496148</v>
          </cell>
          <cell r="BY31">
            <v>-266.34417958420505</v>
          </cell>
          <cell r="BZ31">
            <v>-161.80672961544491</v>
          </cell>
          <cell r="CA31">
            <v>-72.219839795552858</v>
          </cell>
          <cell r="CC31">
            <v>-76.353643567971247</v>
          </cell>
          <cell r="CD31">
            <v>-21.951261502312637</v>
          </cell>
          <cell r="CE31">
            <v>53.428884235067201</v>
          </cell>
          <cell r="CF31">
            <v>209.37794955359578</v>
          </cell>
          <cell r="CG31">
            <v>38.242218145800031</v>
          </cell>
          <cell r="CI31">
            <v>179.83752095054513</v>
          </cell>
          <cell r="CJ31">
            <v>85.537358112953427</v>
          </cell>
          <cell r="CK31">
            <v>275.67472788077504</v>
          </cell>
          <cell r="CL31">
            <v>156.28605997546703</v>
          </cell>
          <cell r="CM31">
            <v>168.65094815673609</v>
          </cell>
          <cell r="CO31">
            <v>30.334333992166897</v>
          </cell>
          <cell r="CP31">
            <v>188.29482914551221</v>
          </cell>
          <cell r="CQ31">
            <v>51.703828259215271</v>
          </cell>
          <cell r="CR31">
            <v>53.244877188539377</v>
          </cell>
          <cell r="CS31">
            <v>82.754183921994738</v>
          </cell>
          <cell r="CU31">
            <v>10.074006859872309</v>
          </cell>
          <cell r="CV31">
            <v>-90.450202284916287</v>
          </cell>
          <cell r="CW31">
            <v>-150.57280398058649</v>
          </cell>
          <cell r="CX31">
            <v>-43.930892951105918</v>
          </cell>
          <cell r="CY31">
            <v>-72.115223749897865</v>
          </cell>
        </row>
        <row r="32">
          <cell r="A32" t="str">
            <v>Interest Expense</v>
          </cell>
          <cell r="B32">
            <v>-510</v>
          </cell>
          <cell r="C32">
            <v>-552</v>
          </cell>
          <cell r="D32">
            <v>-482</v>
          </cell>
          <cell r="E32">
            <v>-488</v>
          </cell>
          <cell r="F32">
            <v>-484</v>
          </cell>
          <cell r="G32">
            <v>-457</v>
          </cell>
          <cell r="H32">
            <v>-548</v>
          </cell>
          <cell r="I32">
            <v>-650</v>
          </cell>
          <cell r="J32">
            <v>-722</v>
          </cell>
          <cell r="K32">
            <v>-794</v>
          </cell>
          <cell r="L32">
            <v>-603</v>
          </cell>
          <cell r="M32">
            <v>-561</v>
          </cell>
          <cell r="N32">
            <v>-629</v>
          </cell>
          <cell r="O32">
            <v>-900</v>
          </cell>
          <cell r="P32">
            <v>-1283.189258188683</v>
          </cell>
          <cell r="Q32">
            <v>-1632.210286655531</v>
          </cell>
          <cell r="R32">
            <v>-1619.727374213448</v>
          </cell>
          <cell r="S32">
            <v>-1626.7668262390582</v>
          </cell>
          <cell r="T32">
            <v>-1669.6134543622998</v>
          </cell>
          <cell r="U32">
            <v>-1749.8558731905796</v>
          </cell>
          <cell r="V32">
            <v>-1831.9016172342849</v>
          </cell>
          <cell r="W32">
            <v>-1883.6019250827981</v>
          </cell>
          <cell r="X32">
            <v>-1902.6458265263075</v>
          </cell>
          <cell r="Y32">
            <v>-1887.7955073780217</v>
          </cell>
          <cell r="Z32">
            <v>-1839.7138588662353</v>
          </cell>
          <cell r="AY32">
            <v>-123</v>
          </cell>
          <cell r="AZ32">
            <v>-123</v>
          </cell>
          <cell r="BA32">
            <v>-121</v>
          </cell>
          <cell r="BB32">
            <v>-117</v>
          </cell>
          <cell r="BC32">
            <v>-484</v>
          </cell>
          <cell r="BE32">
            <v>-112</v>
          </cell>
          <cell r="BF32">
            <v>-134</v>
          </cell>
          <cell r="BG32">
            <v>-106</v>
          </cell>
          <cell r="BH32">
            <v>-105</v>
          </cell>
          <cell r="BI32">
            <v>-457</v>
          </cell>
          <cell r="BK32">
            <v>-121</v>
          </cell>
          <cell r="BL32">
            <v>-141</v>
          </cell>
          <cell r="BM32">
            <v>-134</v>
          </cell>
          <cell r="BN32">
            <v>-152</v>
          </cell>
          <cell r="BO32">
            <v>-548</v>
          </cell>
          <cell r="BQ32">
            <v>-157</v>
          </cell>
          <cell r="BR32">
            <v>-166</v>
          </cell>
          <cell r="BS32">
            <v>-168</v>
          </cell>
          <cell r="BT32">
            <v>-159</v>
          </cell>
          <cell r="BU32">
            <v>-650</v>
          </cell>
          <cell r="BW32">
            <v>-147</v>
          </cell>
          <cell r="BX32">
            <v>-178</v>
          </cell>
          <cell r="BY32">
            <v>-180</v>
          </cell>
          <cell r="BZ32">
            <v>-217</v>
          </cell>
          <cell r="CA32">
            <v>-722</v>
          </cell>
          <cell r="CC32">
            <v>-179</v>
          </cell>
          <cell r="CD32">
            <v>-224</v>
          </cell>
          <cell r="CE32">
            <v>-204</v>
          </cell>
          <cell r="CF32">
            <v>-187</v>
          </cell>
          <cell r="CG32">
            <v>-794</v>
          </cell>
          <cell r="CI32">
            <v>-157</v>
          </cell>
          <cell r="CJ32">
            <v>-150</v>
          </cell>
          <cell r="CK32">
            <v>-146</v>
          </cell>
          <cell r="CL32">
            <v>-150</v>
          </cell>
          <cell r="CM32">
            <v>-603</v>
          </cell>
          <cell r="CO32">
            <v>-144</v>
          </cell>
          <cell r="CP32">
            <v>-143</v>
          </cell>
          <cell r="CQ32">
            <v>-138</v>
          </cell>
          <cell r="CR32">
            <v>-136</v>
          </cell>
          <cell r="CS32">
            <v>-561</v>
          </cell>
          <cell r="CU32">
            <v>-141</v>
          </cell>
          <cell r="CV32">
            <v>-149</v>
          </cell>
          <cell r="CW32">
            <v>-164</v>
          </cell>
          <cell r="CX32">
            <v>-175</v>
          </cell>
          <cell r="CY32">
            <v>-629</v>
          </cell>
        </row>
        <row r="33">
          <cell r="A33" t="str">
            <v>Interest &amp; other income, net</v>
          </cell>
          <cell r="B33">
            <v>528</v>
          </cell>
          <cell r="C33">
            <v>443</v>
          </cell>
          <cell r="D33">
            <v>405</v>
          </cell>
          <cell r="E33">
            <v>321</v>
          </cell>
          <cell r="F33">
            <v>138.9</v>
          </cell>
          <cell r="G33">
            <v>218</v>
          </cell>
          <cell r="H33">
            <v>201</v>
          </cell>
          <cell r="I33">
            <v>235</v>
          </cell>
          <cell r="J33">
            <v>304</v>
          </cell>
          <cell r="K33">
            <v>674</v>
          </cell>
          <cell r="L33">
            <v>308</v>
          </cell>
          <cell r="M33">
            <v>238</v>
          </cell>
          <cell r="N33">
            <v>152</v>
          </cell>
          <cell r="O33">
            <v>323</v>
          </cell>
          <cell r="P33">
            <v>323.56835478384465</v>
          </cell>
          <cell r="Q33">
            <v>304.47771636739077</v>
          </cell>
          <cell r="R33">
            <v>313.17699399323118</v>
          </cell>
          <cell r="S33">
            <v>317.88550963128318</v>
          </cell>
          <cell r="T33">
            <v>321.23198436429465</v>
          </cell>
          <cell r="U33">
            <v>331.49217287441178</v>
          </cell>
          <cell r="V33">
            <v>341.99089681936431</v>
          </cell>
          <cell r="W33">
            <v>352.89334044458758</v>
          </cell>
          <cell r="X33">
            <v>364.27311794621062</v>
          </cell>
          <cell r="Y33">
            <v>376.15149152393462</v>
          </cell>
          <cell r="Z33">
            <v>388.55235578104981</v>
          </cell>
          <cell r="AY33">
            <v>62</v>
          </cell>
          <cell r="AZ33">
            <v>52</v>
          </cell>
          <cell r="BA33">
            <v>75</v>
          </cell>
          <cell r="BB33">
            <v>-50.1</v>
          </cell>
          <cell r="BC33">
            <v>138.9</v>
          </cell>
          <cell r="BE33">
            <v>56</v>
          </cell>
          <cell r="BF33">
            <v>45</v>
          </cell>
          <cell r="BG33">
            <v>53</v>
          </cell>
          <cell r="BH33">
            <v>64</v>
          </cell>
          <cell r="BI33">
            <v>218</v>
          </cell>
          <cell r="BK33">
            <v>51</v>
          </cell>
          <cell r="BL33">
            <v>47</v>
          </cell>
          <cell r="BM33">
            <v>50</v>
          </cell>
          <cell r="BN33">
            <v>53</v>
          </cell>
          <cell r="BO33">
            <v>201</v>
          </cell>
          <cell r="BQ33">
            <v>50</v>
          </cell>
          <cell r="BR33">
            <v>60</v>
          </cell>
          <cell r="BS33">
            <v>53</v>
          </cell>
          <cell r="BT33">
            <v>72</v>
          </cell>
          <cell r="BU33">
            <v>235</v>
          </cell>
          <cell r="BW33">
            <v>45</v>
          </cell>
          <cell r="BX33">
            <v>51</v>
          </cell>
          <cell r="BY33">
            <v>51</v>
          </cell>
          <cell r="BZ33">
            <v>157</v>
          </cell>
          <cell r="CA33">
            <v>304</v>
          </cell>
          <cell r="CC33">
            <v>105</v>
          </cell>
          <cell r="CD33">
            <v>292</v>
          </cell>
          <cell r="CE33">
            <v>227</v>
          </cell>
          <cell r="CF33">
            <v>50</v>
          </cell>
          <cell r="CG33">
            <v>674</v>
          </cell>
          <cell r="CI33">
            <v>22</v>
          </cell>
          <cell r="CJ33">
            <v>200</v>
          </cell>
          <cell r="CK33">
            <v>40</v>
          </cell>
          <cell r="CL33">
            <v>46</v>
          </cell>
          <cell r="CM33">
            <v>308</v>
          </cell>
          <cell r="CO33">
            <v>103</v>
          </cell>
          <cell r="CP33">
            <v>74</v>
          </cell>
          <cell r="CQ33">
            <v>37</v>
          </cell>
          <cell r="CR33">
            <v>24</v>
          </cell>
          <cell r="CS33">
            <v>238</v>
          </cell>
          <cell r="CU33">
            <v>40</v>
          </cell>
          <cell r="CV33">
            <v>29</v>
          </cell>
          <cell r="CW33">
            <v>67</v>
          </cell>
          <cell r="CX33">
            <v>16</v>
          </cell>
          <cell r="CY33">
            <v>152</v>
          </cell>
        </row>
        <row r="34">
          <cell r="A34" t="str">
            <v>Pre-tax Income by segment:</v>
          </cell>
          <cell r="BC34" t="str">
            <v>not PF</v>
          </cell>
        </row>
        <row r="35">
          <cell r="A35" t="str">
            <v>Fabric + Home Care</v>
          </cell>
          <cell r="B35" t="str">
            <v>NA</v>
          </cell>
          <cell r="C35">
            <v>1404</v>
          </cell>
          <cell r="D35">
            <v>1485</v>
          </cell>
          <cell r="E35">
            <v>1695</v>
          </cell>
          <cell r="F35">
            <v>1872</v>
          </cell>
          <cell r="G35">
            <v>2101</v>
          </cell>
          <cell r="H35">
            <v>2240</v>
          </cell>
          <cell r="I35">
            <v>2417</v>
          </cell>
          <cell r="J35">
            <v>2318</v>
          </cell>
          <cell r="K35">
            <v>2431.8445539135191</v>
          </cell>
          <cell r="L35">
            <v>2728</v>
          </cell>
          <cell r="M35">
            <v>3073</v>
          </cell>
          <cell r="N35">
            <v>3280</v>
          </cell>
          <cell r="O35">
            <v>3068</v>
          </cell>
          <cell r="P35">
            <v>3268.2738221211002</v>
          </cell>
          <cell r="Q35">
            <v>3504.057410228655</v>
          </cell>
          <cell r="R35">
            <v>3692.3541032481016</v>
          </cell>
          <cell r="S35">
            <v>3871.4055973534455</v>
          </cell>
          <cell r="T35">
            <v>4036.9954870165898</v>
          </cell>
          <cell r="U35">
            <v>4187.6479886991247</v>
          </cell>
          <cell r="V35">
            <v>4344.2902010723601</v>
          </cell>
          <cell r="W35">
            <v>4505.1425310907125</v>
          </cell>
          <cell r="X35">
            <v>4672.3521270394349</v>
          </cell>
          <cell r="Y35">
            <v>4842.9953355531616</v>
          </cell>
          <cell r="Z35">
            <v>5021.4144163924375</v>
          </cell>
          <cell r="AY35" t="str">
            <v>NA</v>
          </cell>
          <cell r="AZ35" t="str">
            <v>NA</v>
          </cell>
          <cell r="BA35" t="str">
            <v>NA</v>
          </cell>
          <cell r="BB35" t="str">
            <v>NA</v>
          </cell>
          <cell r="BC35">
            <v>1872</v>
          </cell>
          <cell r="BE35" t="str">
            <v>NA</v>
          </cell>
          <cell r="BF35" t="str">
            <v>NA</v>
          </cell>
          <cell r="BG35" t="str">
            <v>NA</v>
          </cell>
          <cell r="BH35" t="str">
            <v>NA</v>
          </cell>
          <cell r="BI35">
            <v>2101</v>
          </cell>
          <cell r="BK35" t="str">
            <v>NA</v>
          </cell>
          <cell r="BL35" t="str">
            <v>NA</v>
          </cell>
          <cell r="BM35" t="str">
            <v>NA</v>
          </cell>
          <cell r="BN35" t="str">
            <v>NA</v>
          </cell>
          <cell r="BO35">
            <v>2240</v>
          </cell>
          <cell r="BQ35">
            <v>708</v>
          </cell>
          <cell r="BR35">
            <v>608</v>
          </cell>
          <cell r="BS35">
            <v>597</v>
          </cell>
          <cell r="BT35">
            <v>504</v>
          </cell>
          <cell r="BU35">
            <v>2417</v>
          </cell>
          <cell r="BW35">
            <v>774</v>
          </cell>
          <cell r="BX35">
            <v>653</v>
          </cell>
          <cell r="BY35">
            <v>458</v>
          </cell>
          <cell r="BZ35">
            <v>433</v>
          </cell>
          <cell r="CA35">
            <v>2318</v>
          </cell>
          <cell r="CC35">
            <v>738.88888888888891</v>
          </cell>
          <cell r="CD35">
            <v>589.28571428571422</v>
          </cell>
          <cell r="CE35">
            <v>511.42857142857144</v>
          </cell>
          <cell r="CF35">
            <v>592.24137931034488</v>
          </cell>
          <cell r="CG35">
            <v>2431.8445539135191</v>
          </cell>
          <cell r="CI35">
            <v>665</v>
          </cell>
          <cell r="CJ35">
            <v>660</v>
          </cell>
          <cell r="CK35">
            <v>716</v>
          </cell>
          <cell r="CL35">
            <v>687</v>
          </cell>
          <cell r="CM35">
            <v>2728</v>
          </cell>
          <cell r="CO35">
            <v>807</v>
          </cell>
          <cell r="CP35">
            <v>766</v>
          </cell>
          <cell r="CQ35">
            <v>751</v>
          </cell>
          <cell r="CR35">
            <v>749</v>
          </cell>
          <cell r="CS35">
            <v>3073</v>
          </cell>
          <cell r="CU35">
            <v>832</v>
          </cell>
          <cell r="CV35">
            <v>843</v>
          </cell>
          <cell r="CW35">
            <v>826</v>
          </cell>
          <cell r="CX35">
            <v>779</v>
          </cell>
          <cell r="CY35">
            <v>3280</v>
          </cell>
        </row>
        <row r="36">
          <cell r="A36" t="str">
            <v>Baby + Family Care</v>
          </cell>
          <cell r="B36" t="str">
            <v>NA</v>
          </cell>
          <cell r="C36">
            <v>952</v>
          </cell>
          <cell r="D36">
            <v>1085</v>
          </cell>
          <cell r="E36">
            <v>1131</v>
          </cell>
          <cell r="F36">
            <v>1260</v>
          </cell>
          <cell r="G36">
            <v>1333</v>
          </cell>
          <cell r="H36">
            <v>1772</v>
          </cell>
          <cell r="I36">
            <v>2195</v>
          </cell>
          <cell r="J36">
            <v>1817</v>
          </cell>
          <cell r="K36">
            <v>1746.5677152250178</v>
          </cell>
          <cell r="L36">
            <v>1961</v>
          </cell>
          <cell r="M36">
            <v>1443</v>
          </cell>
          <cell r="N36">
            <v>1625</v>
          </cell>
          <cell r="O36">
            <v>1943</v>
          </cell>
          <cell r="P36">
            <v>2017.7837504263198</v>
          </cell>
          <cell r="Q36">
            <v>2126.4287595224127</v>
          </cell>
          <cell r="R36">
            <v>2203.2776440267908</v>
          </cell>
          <cell r="S36">
            <v>2258.0118472661802</v>
          </cell>
          <cell r="T36">
            <v>2314.9415444486394</v>
          </cell>
          <cell r="U36">
            <v>2372.1168598804652</v>
          </cell>
          <cell r="V36">
            <v>2430.2041874664828</v>
          </cell>
          <cell r="W36">
            <v>2490.5772193526286</v>
          </cell>
          <cell r="X36">
            <v>2550.539910329011</v>
          </cell>
          <cell r="Y36">
            <v>2610.7585329329722</v>
          </cell>
          <cell r="Z36">
            <v>2673.3288882274069</v>
          </cell>
          <cell r="AY36" t="str">
            <v>NA</v>
          </cell>
          <cell r="AZ36" t="str">
            <v>NA</v>
          </cell>
          <cell r="BA36" t="str">
            <v>NA</v>
          </cell>
          <cell r="BB36" t="str">
            <v>NA</v>
          </cell>
          <cell r="BC36">
            <v>1260</v>
          </cell>
          <cell r="BE36" t="str">
            <v>NA</v>
          </cell>
          <cell r="BF36" t="str">
            <v>NA</v>
          </cell>
          <cell r="BG36" t="str">
            <v>NA</v>
          </cell>
          <cell r="BH36" t="str">
            <v>NA</v>
          </cell>
          <cell r="BI36">
            <v>1333</v>
          </cell>
          <cell r="BK36" t="str">
            <v>NA</v>
          </cell>
          <cell r="BL36" t="str">
            <v>NA</v>
          </cell>
          <cell r="BM36" t="str">
            <v>NA</v>
          </cell>
          <cell r="BN36" t="str">
            <v>NA</v>
          </cell>
          <cell r="BO36">
            <v>1772</v>
          </cell>
          <cell r="BQ36">
            <v>616</v>
          </cell>
          <cell r="BR36">
            <v>591</v>
          </cell>
          <cell r="BS36">
            <v>521</v>
          </cell>
          <cell r="BT36">
            <v>467</v>
          </cell>
          <cell r="BU36">
            <v>2195</v>
          </cell>
          <cell r="BW36">
            <v>575</v>
          </cell>
          <cell r="BX36">
            <v>498</v>
          </cell>
          <cell r="BY36">
            <v>383</v>
          </cell>
          <cell r="BZ36">
            <v>361</v>
          </cell>
          <cell r="CA36">
            <v>1817</v>
          </cell>
          <cell r="CC36">
            <v>513.08411214953264</v>
          </cell>
          <cell r="CD36">
            <v>485.08771929824559</v>
          </cell>
          <cell r="CE36">
            <v>401.78571428571422</v>
          </cell>
          <cell r="CF36">
            <v>346.61016949152543</v>
          </cell>
          <cell r="CG36">
            <v>1746.5677152250178</v>
          </cell>
          <cell r="CI36">
            <v>549</v>
          </cell>
          <cell r="CJ36">
            <v>553</v>
          </cell>
          <cell r="CK36">
            <v>450</v>
          </cell>
          <cell r="CL36">
            <v>409</v>
          </cell>
          <cell r="CM36">
            <v>1961</v>
          </cell>
          <cell r="CO36">
            <v>398</v>
          </cell>
          <cell r="CP36">
            <v>442</v>
          </cell>
          <cell r="CQ36">
            <v>334</v>
          </cell>
          <cell r="CR36">
            <v>269</v>
          </cell>
          <cell r="CS36">
            <v>1443</v>
          </cell>
          <cell r="CU36">
            <v>472</v>
          </cell>
          <cell r="CV36">
            <v>446</v>
          </cell>
          <cell r="CW36">
            <v>357</v>
          </cell>
          <cell r="CX36">
            <v>350</v>
          </cell>
          <cell r="CY36">
            <v>1625</v>
          </cell>
        </row>
        <row r="37">
          <cell r="A37" t="str">
            <v>Beauty Care</v>
          </cell>
          <cell r="B37" t="str">
            <v>NA</v>
          </cell>
          <cell r="C37">
            <v>357</v>
          </cell>
          <cell r="D37">
            <v>578</v>
          </cell>
          <cell r="E37">
            <v>736</v>
          </cell>
          <cell r="F37">
            <v>955</v>
          </cell>
          <cell r="G37">
            <v>1066</v>
          </cell>
          <cell r="H37">
            <v>1379</v>
          </cell>
          <cell r="I37">
            <v>1457</v>
          </cell>
          <cell r="J37">
            <v>1393</v>
          </cell>
          <cell r="K37">
            <v>1392.4112901376393</v>
          </cell>
          <cell r="L37">
            <v>1664</v>
          </cell>
          <cell r="M37">
            <v>2849</v>
          </cell>
          <cell r="N37">
            <v>3551</v>
          </cell>
          <cell r="O37">
            <v>4058</v>
          </cell>
          <cell r="P37">
            <v>4322.2815910540039</v>
          </cell>
          <cell r="Q37">
            <v>4918.5317608007854</v>
          </cell>
          <cell r="R37">
            <v>5547.4076595181514</v>
          </cell>
          <cell r="S37">
            <v>6048.9207597571876</v>
          </cell>
          <cell r="T37">
            <v>6523.5359311127086</v>
          </cell>
          <cell r="U37">
            <v>6976.4466453608666</v>
          </cell>
          <cell r="V37">
            <v>7459.4438419847065</v>
          </cell>
          <cell r="W37">
            <v>7972.8798014706927</v>
          </cell>
          <cell r="X37">
            <v>8520.2288988781329</v>
          </cell>
          <cell r="Y37">
            <v>9068.3370672057081</v>
          </cell>
          <cell r="Z37">
            <v>9575.4823894748388</v>
          </cell>
          <cell r="AY37" t="str">
            <v>NA</v>
          </cell>
          <cell r="AZ37" t="str">
            <v>NA</v>
          </cell>
          <cell r="BA37" t="str">
            <v>NA</v>
          </cell>
          <cell r="BB37" t="str">
            <v>NA</v>
          </cell>
          <cell r="BC37">
            <v>955</v>
          </cell>
          <cell r="BE37" t="str">
            <v>NA</v>
          </cell>
          <cell r="BF37" t="str">
            <v>NA</v>
          </cell>
          <cell r="BG37" t="str">
            <v>NA</v>
          </cell>
          <cell r="BH37" t="str">
            <v>NA</v>
          </cell>
          <cell r="BI37">
            <v>1066</v>
          </cell>
          <cell r="BK37" t="str">
            <v>NA</v>
          </cell>
          <cell r="BL37" t="str">
            <v>NA</v>
          </cell>
          <cell r="BM37" t="str">
            <v>NA</v>
          </cell>
          <cell r="BN37" t="str">
            <v>NA</v>
          </cell>
          <cell r="BO37">
            <v>1379</v>
          </cell>
          <cell r="BQ37">
            <v>379</v>
          </cell>
          <cell r="BR37">
            <v>437</v>
          </cell>
          <cell r="BS37">
            <v>321</v>
          </cell>
          <cell r="BT37">
            <v>320</v>
          </cell>
          <cell r="BU37">
            <v>1457</v>
          </cell>
          <cell r="BW37">
            <v>357</v>
          </cell>
          <cell r="BX37">
            <v>420</v>
          </cell>
          <cell r="BY37">
            <v>360</v>
          </cell>
          <cell r="BZ37">
            <v>256</v>
          </cell>
          <cell r="CA37">
            <v>1393</v>
          </cell>
          <cell r="CC37">
            <v>384.87394957983196</v>
          </cell>
          <cell r="CD37">
            <v>412.14953271028037</v>
          </cell>
          <cell r="CE37">
            <v>355.75221238938059</v>
          </cell>
          <cell r="CF37">
            <v>239.63559545814627</v>
          </cell>
          <cell r="CG37">
            <v>1392.4112901376393</v>
          </cell>
          <cell r="CI37">
            <v>458</v>
          </cell>
          <cell r="CJ37">
            <v>441</v>
          </cell>
          <cell r="CK37">
            <v>402</v>
          </cell>
          <cell r="CL37">
            <v>363</v>
          </cell>
          <cell r="CM37">
            <v>1664</v>
          </cell>
          <cell r="CO37">
            <v>791</v>
          </cell>
          <cell r="CP37">
            <v>718</v>
          </cell>
          <cell r="CQ37">
            <v>673</v>
          </cell>
          <cell r="CR37">
            <v>667</v>
          </cell>
          <cell r="CS37">
            <v>2849</v>
          </cell>
          <cell r="CU37">
            <v>891</v>
          </cell>
          <cell r="CV37">
            <v>1011</v>
          </cell>
          <cell r="CW37">
            <v>882</v>
          </cell>
          <cell r="CX37">
            <v>767</v>
          </cell>
          <cell r="CY37">
            <v>3551</v>
          </cell>
        </row>
        <row r="38">
          <cell r="A38" t="str">
            <v>Health Care</v>
          </cell>
          <cell r="B38" t="str">
            <v>NA</v>
          </cell>
          <cell r="C38">
            <v>402</v>
          </cell>
          <cell r="D38">
            <v>358</v>
          </cell>
          <cell r="E38">
            <v>360</v>
          </cell>
          <cell r="F38">
            <v>441</v>
          </cell>
          <cell r="G38">
            <v>471</v>
          </cell>
          <cell r="H38">
            <v>381</v>
          </cell>
          <cell r="I38">
            <v>372</v>
          </cell>
          <cell r="J38">
            <v>540</v>
          </cell>
          <cell r="K38">
            <v>583.38145221684715</v>
          </cell>
          <cell r="L38">
            <v>795</v>
          </cell>
          <cell r="M38">
            <v>997</v>
          </cell>
          <cell r="N38">
            <v>1398</v>
          </cell>
          <cell r="O38">
            <v>1704</v>
          </cell>
          <cell r="P38">
            <v>1986.6390787981259</v>
          </cell>
          <cell r="Q38">
            <v>2364.7983257779388</v>
          </cell>
          <cell r="R38">
            <v>2799.347856913233</v>
          </cell>
          <cell r="S38">
            <v>3158.3230743633062</v>
          </cell>
          <cell r="T38">
            <v>3526.4787241786844</v>
          </cell>
          <cell r="U38">
            <v>3827.8415407676766</v>
          </cell>
          <cell r="V38">
            <v>4154.1154059306518</v>
          </cell>
          <cell r="W38">
            <v>4507.3111886666829</v>
          </cell>
          <cell r="X38">
            <v>4888.6172119140001</v>
          </cell>
          <cell r="Y38">
            <v>5279.1546330882911</v>
          </cell>
          <cell r="Z38">
            <v>5656.0033807663604</v>
          </cell>
          <cell r="AY38" t="str">
            <v>NA</v>
          </cell>
          <cell r="AZ38" t="str">
            <v>NA</v>
          </cell>
          <cell r="BA38" t="str">
            <v>NA</v>
          </cell>
          <cell r="BB38" t="str">
            <v>NA</v>
          </cell>
          <cell r="BC38">
            <v>441</v>
          </cell>
          <cell r="BE38" t="str">
            <v>NA</v>
          </cell>
          <cell r="BF38" t="str">
            <v>NA</v>
          </cell>
          <cell r="BG38" t="str">
            <v>NA</v>
          </cell>
          <cell r="BH38" t="str">
            <v>NA</v>
          </cell>
          <cell r="BI38">
            <v>471</v>
          </cell>
          <cell r="BK38" t="str">
            <v>NA</v>
          </cell>
          <cell r="BL38" t="str">
            <v>NA</v>
          </cell>
          <cell r="BM38" t="str">
            <v>NA</v>
          </cell>
          <cell r="BN38" t="str">
            <v>NA</v>
          </cell>
          <cell r="BO38">
            <v>381</v>
          </cell>
          <cell r="BQ38">
            <v>117</v>
          </cell>
          <cell r="BR38">
            <v>116</v>
          </cell>
          <cell r="BS38">
            <v>91</v>
          </cell>
          <cell r="BT38">
            <v>48</v>
          </cell>
          <cell r="BU38">
            <v>372</v>
          </cell>
          <cell r="BW38">
            <v>147</v>
          </cell>
          <cell r="BX38">
            <v>202</v>
          </cell>
          <cell r="BY38">
            <v>164</v>
          </cell>
          <cell r="BZ38">
            <v>27</v>
          </cell>
          <cell r="CA38">
            <v>540</v>
          </cell>
          <cell r="CC38">
            <v>117.31843575418995</v>
          </cell>
          <cell r="CD38">
            <v>251.42857142857142</v>
          </cell>
          <cell r="CE38">
            <v>143.5114503816794</v>
          </cell>
          <cell r="CF38">
            <v>71.122994652406419</v>
          </cell>
          <cell r="CG38">
            <v>583.38145221684715</v>
          </cell>
          <cell r="CI38">
            <v>210</v>
          </cell>
          <cell r="CJ38">
            <v>264</v>
          </cell>
          <cell r="CK38">
            <v>188</v>
          </cell>
          <cell r="CL38">
            <v>133</v>
          </cell>
          <cell r="CM38">
            <v>795</v>
          </cell>
          <cell r="CO38">
            <v>265</v>
          </cell>
          <cell r="CP38">
            <v>365</v>
          </cell>
          <cell r="CQ38">
            <v>218</v>
          </cell>
          <cell r="CR38">
            <v>149</v>
          </cell>
          <cell r="CS38">
            <v>997</v>
          </cell>
          <cell r="CU38">
            <v>393</v>
          </cell>
          <cell r="CV38">
            <v>488</v>
          </cell>
          <cell r="CW38">
            <v>308</v>
          </cell>
          <cell r="CX38">
            <v>209</v>
          </cell>
          <cell r="CY38">
            <v>1398</v>
          </cell>
        </row>
        <row r="39">
          <cell r="A39" t="str">
            <v>Snacks + Coffee</v>
          </cell>
          <cell r="B39" t="str">
            <v>NA</v>
          </cell>
          <cell r="C39">
            <v>240</v>
          </cell>
          <cell r="D39">
            <v>361</v>
          </cell>
          <cell r="E39">
            <v>513</v>
          </cell>
          <cell r="F39">
            <v>581</v>
          </cell>
          <cell r="G39">
            <v>542</v>
          </cell>
          <cell r="H39">
            <v>477</v>
          </cell>
          <cell r="I39">
            <v>528</v>
          </cell>
          <cell r="J39">
            <v>566</v>
          </cell>
          <cell r="K39">
            <v>546.5240482157775</v>
          </cell>
          <cell r="L39">
            <v>604</v>
          </cell>
          <cell r="M39">
            <v>437</v>
          </cell>
          <cell r="N39">
            <v>528</v>
          </cell>
          <cell r="O39">
            <v>617</v>
          </cell>
          <cell r="P39">
            <v>582.82480721000036</v>
          </cell>
          <cell r="Q39">
            <v>619.51916749840041</v>
          </cell>
          <cell r="R39">
            <v>641.74727741087634</v>
          </cell>
          <cell r="S39">
            <v>661.79702713087647</v>
          </cell>
          <cell r="T39">
            <v>661.79702713087647</v>
          </cell>
          <cell r="U39">
            <v>661.79702713087647</v>
          </cell>
          <cell r="V39">
            <v>661.79702713087647</v>
          </cell>
          <cell r="W39">
            <v>661.79702713087647</v>
          </cell>
          <cell r="X39">
            <v>661.79702713087647</v>
          </cell>
          <cell r="Y39">
            <v>661.79702713087647</v>
          </cell>
          <cell r="Z39">
            <v>661.79702713087647</v>
          </cell>
          <cell r="AY39" t="str">
            <v>NA</v>
          </cell>
          <cell r="AZ39" t="str">
            <v>NA</v>
          </cell>
          <cell r="BA39" t="str">
            <v>NA</v>
          </cell>
          <cell r="BB39" t="str">
            <v>NA</v>
          </cell>
          <cell r="BC39">
            <v>581</v>
          </cell>
          <cell r="BE39" t="str">
            <v>NA</v>
          </cell>
          <cell r="BF39" t="str">
            <v>NA</v>
          </cell>
          <cell r="BG39" t="str">
            <v>NA</v>
          </cell>
          <cell r="BH39" t="str">
            <v>NA</v>
          </cell>
          <cell r="BI39">
            <v>542</v>
          </cell>
          <cell r="BK39" t="str">
            <v>NA</v>
          </cell>
          <cell r="BL39" t="str">
            <v>NA</v>
          </cell>
          <cell r="BM39" t="str">
            <v>NA</v>
          </cell>
          <cell r="BN39" t="str">
            <v>NA</v>
          </cell>
          <cell r="BO39">
            <v>477</v>
          </cell>
          <cell r="BQ39">
            <v>130</v>
          </cell>
          <cell r="BR39">
            <v>181</v>
          </cell>
          <cell r="BS39">
            <v>118</v>
          </cell>
          <cell r="BT39">
            <v>99</v>
          </cell>
          <cell r="BU39">
            <v>528</v>
          </cell>
          <cell r="BW39">
            <v>169</v>
          </cell>
          <cell r="BX39">
            <v>219</v>
          </cell>
          <cell r="BY39">
            <v>78</v>
          </cell>
          <cell r="BZ39">
            <v>100</v>
          </cell>
          <cell r="CA39">
            <v>566</v>
          </cell>
          <cell r="CC39">
            <v>122.22222222222221</v>
          </cell>
          <cell r="CD39">
            <v>195.91836734693877</v>
          </cell>
          <cell r="CE39">
            <v>117.85714285714285</v>
          </cell>
          <cell r="CF39">
            <v>110.52631578947367</v>
          </cell>
          <cell r="CG39">
            <v>546.5240482157775</v>
          </cell>
          <cell r="CI39">
            <v>154</v>
          </cell>
          <cell r="CJ39">
            <v>192</v>
          </cell>
          <cell r="CK39">
            <v>132</v>
          </cell>
          <cell r="CL39">
            <v>126</v>
          </cell>
          <cell r="CM39">
            <v>604</v>
          </cell>
          <cell r="CO39">
            <v>107</v>
          </cell>
          <cell r="CP39">
            <v>178</v>
          </cell>
          <cell r="CQ39">
            <v>82</v>
          </cell>
          <cell r="CR39">
            <v>70</v>
          </cell>
          <cell r="CS39">
            <v>437</v>
          </cell>
          <cell r="CU39">
            <v>143</v>
          </cell>
          <cell r="CV39">
            <v>196</v>
          </cell>
          <cell r="CW39">
            <v>88</v>
          </cell>
          <cell r="CX39">
            <v>101</v>
          </cell>
          <cell r="CY39">
            <v>528</v>
          </cell>
        </row>
        <row r="40">
          <cell r="A40" t="str">
            <v>Blades &amp; Razors</v>
          </cell>
          <cell r="O40">
            <v>1642</v>
          </cell>
          <cell r="P40">
            <v>1794.3080474999999</v>
          </cell>
          <cell r="Q40">
            <v>1964.326447369612</v>
          </cell>
          <cell r="R40">
            <v>2143.013704362193</v>
          </cell>
          <cell r="S40">
            <v>2333.7771737113526</v>
          </cell>
          <cell r="T40">
            <v>2539.4868666466568</v>
          </cell>
          <cell r="U40">
            <v>2733.9799597495721</v>
          </cell>
          <cell r="V40">
            <v>2887.4874583221285</v>
          </cell>
          <cell r="W40">
            <v>3034.2907218877317</v>
          </cell>
          <cell r="X40">
            <v>3172.5183033456983</v>
          </cell>
          <cell r="Y40">
            <v>3300.3246606813223</v>
          </cell>
          <cell r="Z40">
            <v>3416.2588914813005</v>
          </cell>
        </row>
        <row r="41">
          <cell r="A41" t="str">
            <v>Duracell &amp; Braun</v>
          </cell>
          <cell r="O41">
            <v>530</v>
          </cell>
          <cell r="P41">
            <v>539.55565200000001</v>
          </cell>
          <cell r="Q41">
            <v>616.22926029798418</v>
          </cell>
          <cell r="R41">
            <v>662.51095980625564</v>
          </cell>
          <cell r="S41">
            <v>708.84729405140331</v>
          </cell>
          <cell r="T41">
            <v>753.78874062054456</v>
          </cell>
          <cell r="U41">
            <v>782.0223814097651</v>
          </cell>
          <cell r="V41">
            <v>803.57764168344625</v>
          </cell>
          <cell r="W41">
            <v>825.9365226908044</v>
          </cell>
          <cell r="X41">
            <v>848.77540755847576</v>
          </cell>
          <cell r="Y41">
            <v>872.10491159671551</v>
          </cell>
          <cell r="Z41">
            <v>895.93589309408299</v>
          </cell>
        </row>
        <row r="42">
          <cell r="A42" t="str">
            <v>Corporate</v>
          </cell>
          <cell r="B42" t="str">
            <v>NA</v>
          </cell>
          <cell r="C42">
            <v>-301</v>
          </cell>
          <cell r="D42">
            <v>-364</v>
          </cell>
          <cell r="E42">
            <v>-358</v>
          </cell>
          <cell r="F42">
            <v>-439</v>
          </cell>
          <cell r="G42">
            <v>-264</v>
          </cell>
          <cell r="H42">
            <v>-541</v>
          </cell>
          <cell r="I42">
            <v>-650</v>
          </cell>
          <cell r="J42">
            <v>-284</v>
          </cell>
          <cell r="K42">
            <v>0.27094029119894003</v>
          </cell>
          <cell r="L42">
            <v>-411</v>
          </cell>
          <cell r="M42">
            <v>-518</v>
          </cell>
          <cell r="N42">
            <v>-1032</v>
          </cell>
          <cell r="O42">
            <v>-1150</v>
          </cell>
          <cell r="P42">
            <v>-1514.2709034048382</v>
          </cell>
          <cell r="Q42">
            <v>-1906.9825702881403</v>
          </cell>
          <cell r="R42">
            <v>-1910.8603802202167</v>
          </cell>
          <cell r="S42">
            <v>-1947.2633166077751</v>
          </cell>
          <cell r="T42">
            <v>-2021.7323099980051</v>
          </cell>
          <cell r="U42">
            <v>-2127.649489916168</v>
          </cell>
          <cell r="V42">
            <v>-2236.1729491989208</v>
          </cell>
          <cell r="W42">
            <v>-2315.0708109335706</v>
          </cell>
          <cell r="X42">
            <v>-2362.0478831232713</v>
          </cell>
          <cell r="Y42">
            <v>-2375.9425024945886</v>
          </cell>
          <cell r="Z42">
            <v>-2357.4998648184674</v>
          </cell>
          <cell r="AY42" t="str">
            <v>NA</v>
          </cell>
          <cell r="AZ42" t="str">
            <v>NA</v>
          </cell>
          <cell r="BA42" t="str">
            <v>NA</v>
          </cell>
          <cell r="BB42" t="str">
            <v>NA</v>
          </cell>
          <cell r="BC42">
            <v>-439</v>
          </cell>
          <cell r="BE42" t="str">
            <v>NA</v>
          </cell>
          <cell r="BF42" t="str">
            <v>NA</v>
          </cell>
          <cell r="BG42" t="str">
            <v>NA</v>
          </cell>
          <cell r="BH42" t="str">
            <v>NA</v>
          </cell>
          <cell r="BI42">
            <v>-264</v>
          </cell>
          <cell r="BK42" t="str">
            <v>NA</v>
          </cell>
          <cell r="BL42" t="str">
            <v>NA</v>
          </cell>
          <cell r="BM42" t="str">
            <v>NA</v>
          </cell>
          <cell r="BN42" t="str">
            <v>NA</v>
          </cell>
          <cell r="BO42">
            <v>-541</v>
          </cell>
          <cell r="BQ42">
            <v>-183</v>
          </cell>
          <cell r="BR42">
            <v>-202</v>
          </cell>
          <cell r="BS42">
            <v>-98</v>
          </cell>
          <cell r="BT42">
            <v>-167</v>
          </cell>
          <cell r="BU42">
            <v>-650</v>
          </cell>
          <cell r="BW42">
            <v>-117</v>
          </cell>
          <cell r="BX42">
            <v>-94</v>
          </cell>
          <cell r="BY42">
            <v>-68</v>
          </cell>
          <cell r="BZ42">
            <v>-5</v>
          </cell>
          <cell r="CA42">
            <v>-284</v>
          </cell>
          <cell r="CC42">
            <v>-9.3876085946656076</v>
          </cell>
          <cell r="CD42">
            <v>59.130094930249697</v>
          </cell>
          <cell r="CE42">
            <v>5.6649086575114325</v>
          </cell>
          <cell r="CF42">
            <v>-55.136454701896582</v>
          </cell>
          <cell r="CG42">
            <v>0.27094029119894003</v>
          </cell>
          <cell r="CI42">
            <v>-99</v>
          </cell>
          <cell r="CJ42">
            <v>-7</v>
          </cell>
          <cell r="CK42">
            <v>-149</v>
          </cell>
          <cell r="CL42">
            <v>-156</v>
          </cell>
          <cell r="CM42">
            <v>-411</v>
          </cell>
          <cell r="CO42">
            <v>-79</v>
          </cell>
          <cell r="CP42">
            <v>-158</v>
          </cell>
          <cell r="CQ42">
            <v>-115</v>
          </cell>
          <cell r="CR42">
            <v>-166</v>
          </cell>
          <cell r="CS42">
            <v>-518</v>
          </cell>
          <cell r="CU42">
            <v>-189</v>
          </cell>
          <cell r="CV42">
            <v>-362</v>
          </cell>
          <cell r="CW42">
            <v>-255</v>
          </cell>
          <cell r="CX42">
            <v>-226</v>
          </cell>
          <cell r="CY42">
            <v>-1032</v>
          </cell>
        </row>
        <row r="43">
          <cell r="A43" t="str">
            <v>Pre-Tax Income</v>
          </cell>
          <cell r="B43">
            <v>2885</v>
          </cell>
          <cell r="C43">
            <v>3054</v>
          </cell>
          <cell r="D43">
            <v>3503</v>
          </cell>
          <cell r="E43">
            <v>4077</v>
          </cell>
          <cell r="F43">
            <v>4519.8999999999996</v>
          </cell>
          <cell r="G43">
            <v>5249</v>
          </cell>
          <cell r="H43">
            <v>5708</v>
          </cell>
          <cell r="I43">
            <v>6319</v>
          </cell>
          <cell r="J43">
            <v>6350</v>
          </cell>
          <cell r="K43">
            <v>6701</v>
          </cell>
          <cell r="L43">
            <v>7341</v>
          </cell>
          <cell r="M43">
            <v>8281</v>
          </cell>
          <cell r="N43">
            <v>9350</v>
          </cell>
          <cell r="O43">
            <v>12412</v>
          </cell>
          <cell r="P43">
            <v>12997.39584570471</v>
          </cell>
          <cell r="Q43">
            <v>14206.908561207647</v>
          </cell>
          <cell r="R43">
            <v>15778.798825065383</v>
          </cell>
          <cell r="S43">
            <v>17093.819457025977</v>
          </cell>
          <cell r="T43">
            <v>18335.292011156696</v>
          </cell>
          <cell r="U43">
            <v>19414.202913082183</v>
          </cell>
          <cell r="V43">
            <v>20504.742814391728</v>
          </cell>
          <cell r="W43">
            <v>21682.864201356559</v>
          </cell>
          <cell r="X43">
            <v>22952.781003072356</v>
          </cell>
          <cell r="Y43">
            <v>24259.529665694459</v>
          </cell>
          <cell r="Z43">
            <v>25542.721021748839</v>
          </cell>
          <cell r="AY43">
            <v>1374</v>
          </cell>
          <cell r="AZ43">
            <v>1281</v>
          </cell>
          <cell r="BA43">
            <v>1147</v>
          </cell>
          <cell r="BB43">
            <v>717.9</v>
          </cell>
          <cell r="BC43">
            <v>4519.8999999999996</v>
          </cell>
          <cell r="BE43">
            <v>1491</v>
          </cell>
          <cell r="BF43">
            <v>1432</v>
          </cell>
          <cell r="BG43">
            <v>1330</v>
          </cell>
          <cell r="BH43">
            <v>996</v>
          </cell>
          <cell r="BI43">
            <v>5249</v>
          </cell>
          <cell r="BK43">
            <v>1669</v>
          </cell>
          <cell r="BL43">
            <v>1594</v>
          </cell>
          <cell r="BM43">
            <v>1432</v>
          </cell>
          <cell r="BN43">
            <v>1013</v>
          </cell>
          <cell r="BO43">
            <v>5708</v>
          </cell>
          <cell r="BQ43">
            <v>1767</v>
          </cell>
          <cell r="BR43">
            <v>1731</v>
          </cell>
          <cell r="BS43">
            <v>1550</v>
          </cell>
          <cell r="BT43">
            <v>1271</v>
          </cell>
          <cell r="BU43">
            <v>6319</v>
          </cell>
          <cell r="BW43">
            <v>1905</v>
          </cell>
          <cell r="BX43">
            <v>1898</v>
          </cell>
          <cell r="BY43">
            <v>1375</v>
          </cell>
          <cell r="BZ43">
            <v>1172</v>
          </cell>
          <cell r="CA43">
            <v>6350</v>
          </cell>
          <cell r="CC43">
            <v>1867</v>
          </cell>
          <cell r="CD43">
            <v>1993</v>
          </cell>
          <cell r="CE43">
            <v>1536</v>
          </cell>
          <cell r="CF43">
            <v>1305</v>
          </cell>
          <cell r="CG43">
            <v>6701</v>
          </cell>
          <cell r="CI43">
            <v>1937</v>
          </cell>
          <cell r="CJ43">
            <v>2103</v>
          </cell>
          <cell r="CK43">
            <v>1739</v>
          </cell>
          <cell r="CL43">
            <v>1562</v>
          </cell>
          <cell r="CM43">
            <v>7341</v>
          </cell>
          <cell r="CO43">
            <v>2289</v>
          </cell>
          <cell r="CP43">
            <v>2311</v>
          </cell>
          <cell r="CQ43">
            <v>1943</v>
          </cell>
          <cell r="CR43">
            <v>1738</v>
          </cell>
          <cell r="CS43">
            <v>8281</v>
          </cell>
          <cell r="CU43">
            <v>2542</v>
          </cell>
          <cell r="CV43">
            <v>2622</v>
          </cell>
          <cell r="CW43">
            <v>2206</v>
          </cell>
          <cell r="CX43">
            <v>1980</v>
          </cell>
          <cell r="CY43">
            <v>9350</v>
          </cell>
        </row>
        <row r="44">
          <cell r="A44" t="str">
            <v>% change vs. prior</v>
          </cell>
          <cell r="B44" t="str">
            <v>NA</v>
          </cell>
          <cell r="C44">
            <v>5.8578856152512904E-2</v>
          </cell>
          <cell r="D44">
            <v>0.1470203012442699</v>
          </cell>
          <cell r="E44">
            <v>0.16385954895803589</v>
          </cell>
          <cell r="F44">
            <v>0.10863379936227613</v>
          </cell>
          <cell r="G44">
            <v>0.16130887851501141</v>
          </cell>
          <cell r="H44">
            <v>8.7445227662411806E-2</v>
          </cell>
          <cell r="I44">
            <v>0.10704274702172389</v>
          </cell>
          <cell r="J44">
            <v>4.905839531571532E-3</v>
          </cell>
          <cell r="K44">
            <v>5.5275590551181031E-2</v>
          </cell>
          <cell r="L44">
            <v>9.5508133114460492E-2</v>
          </cell>
          <cell r="M44">
            <v>0.12804794987058976</v>
          </cell>
          <cell r="N44">
            <v>0.12909068953024994</v>
          </cell>
          <cell r="O44">
            <v>0.3274866310160427</v>
          </cell>
          <cell r="P44">
            <v>4.7163700105116835E-2</v>
          </cell>
          <cell r="Q44">
            <v>9.3058081008023485E-2</v>
          </cell>
          <cell r="R44">
            <v>0.11064266776164278</v>
          </cell>
          <cell r="S44">
            <v>8.3340984731462564E-2</v>
          </cell>
          <cell r="T44">
            <v>7.262698411269608E-2</v>
          </cell>
          <cell r="U44">
            <v>5.8843398908999589E-2</v>
          </cell>
          <cell r="V44">
            <v>5.6172272752680996E-2</v>
          </cell>
          <cell r="W44">
            <v>5.7456043103254029E-2</v>
          </cell>
          <cell r="X44">
            <v>5.8567760694472559E-2</v>
          </cell>
          <cell r="Y44">
            <v>5.6932040716425103E-2</v>
          </cell>
          <cell r="Z44">
            <v>5.2894321272392464E-2</v>
          </cell>
          <cell r="AY44" t="str">
            <v>NA</v>
          </cell>
          <cell r="AZ44" t="str">
            <v>NA</v>
          </cell>
          <cell r="BA44" t="str">
            <v>NA</v>
          </cell>
          <cell r="BB44" t="str">
            <v>NA</v>
          </cell>
          <cell r="BC44">
            <v>0.10863379936227613</v>
          </cell>
          <cell r="BE44">
            <v>8.515283842794763E-2</v>
          </cell>
          <cell r="BF44">
            <v>0.11787665886026533</v>
          </cell>
          <cell r="BG44">
            <v>0.15954664341761116</v>
          </cell>
          <cell r="BH44">
            <v>0.38737985791893026</v>
          </cell>
          <cell r="BI44">
            <v>0.16130887851501141</v>
          </cell>
          <cell r="BK44">
            <v>0.11938296445338703</v>
          </cell>
          <cell r="BL44">
            <v>0.11312849162011163</v>
          </cell>
          <cell r="BM44">
            <v>7.6691729323308255E-2</v>
          </cell>
          <cell r="BN44">
            <v>1.7068273092369468E-2</v>
          </cell>
          <cell r="BO44">
            <v>8.7445227662411806E-2</v>
          </cell>
          <cell r="BQ44">
            <v>5.8717795086878466E-2</v>
          </cell>
          <cell r="BR44">
            <v>8.5947302383939883E-2</v>
          </cell>
          <cell r="BS44">
            <v>8.2402234636871574E-2</v>
          </cell>
          <cell r="BT44">
            <v>0.25468904244817381</v>
          </cell>
          <cell r="BU44">
            <v>0.10704274702172389</v>
          </cell>
          <cell r="BW44">
            <v>7.8098471986417728E-2</v>
          </cell>
          <cell r="BX44">
            <v>9.6476025418833045E-2</v>
          </cell>
          <cell r="BY44">
            <v>-0.11290322580645162</v>
          </cell>
          <cell r="BZ44">
            <v>-7.7891424075531068E-2</v>
          </cell>
          <cell r="CA44">
            <v>4.905839531571532E-3</v>
          </cell>
          <cell r="CC44">
            <v>-1.9947506561679762E-2</v>
          </cell>
          <cell r="CD44">
            <v>5.0052687038988353E-2</v>
          </cell>
          <cell r="CE44">
            <v>0.11709090909090913</v>
          </cell>
          <cell r="CF44">
            <v>0.11348122866894195</v>
          </cell>
          <cell r="CG44">
            <v>5.5275590551181031E-2</v>
          </cell>
          <cell r="CI44">
            <v>3.7493304767005853E-2</v>
          </cell>
          <cell r="CJ44">
            <v>5.5193176116407505E-2</v>
          </cell>
          <cell r="CK44">
            <v>0.13216145833333326</v>
          </cell>
          <cell r="CL44">
            <v>0.19693486590038312</v>
          </cell>
          <cell r="CM44">
            <v>9.5508133114460492E-2</v>
          </cell>
          <cell r="CO44">
            <v>0.18172431595250393</v>
          </cell>
          <cell r="CP44">
            <v>9.8906324298621007E-2</v>
          </cell>
          <cell r="CQ44">
            <v>0.11730879815986195</v>
          </cell>
          <cell r="CR44">
            <v>0.11267605633802824</v>
          </cell>
          <cell r="CS44">
            <v>0.12804794987058976</v>
          </cell>
          <cell r="CU44">
            <v>0.11052861511577117</v>
          </cell>
          <cell r="CV44">
            <v>0.13457377758546074</v>
          </cell>
          <cell r="CW44">
            <v>0.1353576942871848</v>
          </cell>
          <cell r="CX44">
            <v>0.139240506329114</v>
          </cell>
          <cell r="CY44">
            <v>0.12909068953024994</v>
          </cell>
        </row>
        <row r="45">
          <cell r="A45" t="str">
            <v>Tax</v>
          </cell>
          <cell r="B45">
            <v>1013</v>
          </cell>
          <cell r="C45">
            <v>1039</v>
          </cell>
          <cell r="D45">
            <v>1191.02</v>
          </cell>
          <cell r="E45">
            <v>1381.9999999999995</v>
          </cell>
          <cell r="F45">
            <v>1571.1710644677662</v>
          </cell>
          <cell r="G45">
            <v>1834</v>
          </cell>
          <cell r="H45">
            <v>1928</v>
          </cell>
          <cell r="I45">
            <v>2171</v>
          </cell>
          <cell r="J45">
            <v>2120</v>
          </cell>
          <cell r="K45">
            <v>2086</v>
          </cell>
          <cell r="L45">
            <v>2283</v>
          </cell>
          <cell r="M45">
            <v>2557</v>
          </cell>
          <cell r="N45">
            <v>2869</v>
          </cell>
          <cell r="O45">
            <v>3751.913</v>
          </cell>
          <cell r="P45">
            <v>3870.0050878053371</v>
          </cell>
          <cell r="Q45">
            <v>4230.1403347677888</v>
          </cell>
          <cell r="R45">
            <v>4698.1743464126257</v>
          </cell>
          <cell r="S45">
            <v>5089.7248228827502</v>
          </cell>
          <cell r="T45">
            <v>5459.3761867322501</v>
          </cell>
          <cell r="U45">
            <v>5780.6244374824282</v>
          </cell>
          <cell r="V45">
            <v>6105.3352500655046</v>
          </cell>
          <cell r="W45">
            <v>6456.1236553530844</v>
          </cell>
          <cell r="X45">
            <v>6834.2443606137276</v>
          </cell>
          <cell r="Y45">
            <v>7223.331838818187</v>
          </cell>
          <cell r="Z45">
            <v>7605.4050737577381</v>
          </cell>
          <cell r="AY45">
            <v>478</v>
          </cell>
          <cell r="AZ45">
            <v>445</v>
          </cell>
          <cell r="BA45">
            <v>387</v>
          </cell>
          <cell r="BB45">
            <v>314</v>
          </cell>
          <cell r="BC45">
            <v>1571.1710644677662</v>
          </cell>
          <cell r="BE45">
            <v>512</v>
          </cell>
          <cell r="BF45">
            <v>488</v>
          </cell>
          <cell r="BG45">
            <v>449</v>
          </cell>
          <cell r="BH45">
            <v>385</v>
          </cell>
          <cell r="BI45">
            <v>1834</v>
          </cell>
          <cell r="BK45">
            <v>582</v>
          </cell>
          <cell r="BL45">
            <v>548</v>
          </cell>
          <cell r="BM45">
            <v>471</v>
          </cell>
          <cell r="BN45">
            <v>327</v>
          </cell>
          <cell r="BO45">
            <v>1928</v>
          </cell>
          <cell r="BQ45">
            <v>600</v>
          </cell>
          <cell r="BR45">
            <v>589</v>
          </cell>
          <cell r="BS45">
            <v>510</v>
          </cell>
          <cell r="BT45">
            <v>472</v>
          </cell>
          <cell r="BU45">
            <v>2171</v>
          </cell>
          <cell r="BW45">
            <v>638</v>
          </cell>
          <cell r="BX45">
            <v>635</v>
          </cell>
          <cell r="BY45">
            <v>452</v>
          </cell>
          <cell r="BZ45">
            <v>395</v>
          </cell>
          <cell r="CA45">
            <v>2120</v>
          </cell>
          <cell r="CC45">
            <v>574</v>
          </cell>
          <cell r="CD45">
            <v>624</v>
          </cell>
          <cell r="CE45">
            <v>474</v>
          </cell>
          <cell r="CF45">
            <v>414</v>
          </cell>
          <cell r="CG45">
            <v>2086</v>
          </cell>
          <cell r="CI45">
            <v>595</v>
          </cell>
          <cell r="CJ45">
            <v>658</v>
          </cell>
          <cell r="CK45">
            <v>553</v>
          </cell>
          <cell r="CL45">
            <v>477</v>
          </cell>
          <cell r="CM45">
            <v>2283</v>
          </cell>
          <cell r="CO45">
            <v>712</v>
          </cell>
          <cell r="CP45">
            <v>719</v>
          </cell>
          <cell r="CQ45">
            <v>604</v>
          </cell>
          <cell r="CR45">
            <v>522</v>
          </cell>
          <cell r="CS45">
            <v>2557</v>
          </cell>
          <cell r="CU45">
            <v>781</v>
          </cell>
          <cell r="CV45">
            <v>804</v>
          </cell>
          <cell r="CW45">
            <v>678</v>
          </cell>
          <cell r="CX45">
            <v>606</v>
          </cell>
          <cell r="CY45">
            <v>2869</v>
          </cell>
        </row>
        <row r="46">
          <cell r="A46" t="str">
            <v>Tax Rate</v>
          </cell>
          <cell r="B46">
            <v>0.35112651646447141</v>
          </cell>
          <cell r="C46">
            <v>0.34020956123117224</v>
          </cell>
          <cell r="D46">
            <v>0.34</v>
          </cell>
          <cell r="E46">
            <v>0.33897473632572961</v>
          </cell>
          <cell r="F46">
            <v>0.34761190833154854</v>
          </cell>
          <cell r="G46">
            <v>0.34939988569251285</v>
          </cell>
          <cell r="H46">
            <v>0.33777154870357395</v>
          </cell>
          <cell r="I46">
            <v>0.34356702009811679</v>
          </cell>
          <cell r="J46">
            <v>0.33385826771653543</v>
          </cell>
          <cell r="K46">
            <v>0.3112968213699448</v>
          </cell>
          <cell r="L46">
            <v>0.31099305271761341</v>
          </cell>
          <cell r="M46">
            <v>0.30877913295495713</v>
          </cell>
          <cell r="N46">
            <v>0.30684491978609624</v>
          </cell>
          <cell r="O46">
            <v>0.30228109893651306</v>
          </cell>
          <cell r="P46">
            <v>0.29775234468097467</v>
          </cell>
          <cell r="Q46">
            <v>0.29775234468097467</v>
          </cell>
          <cell r="R46">
            <v>0.29775234468097467</v>
          </cell>
          <cell r="S46">
            <v>0.29775234468097467</v>
          </cell>
          <cell r="T46">
            <v>0.29775234468097467</v>
          </cell>
          <cell r="U46">
            <v>0.29775234468097467</v>
          </cell>
          <cell r="V46">
            <v>0.29775234468097467</v>
          </cell>
          <cell r="W46">
            <v>0.29775234468097467</v>
          </cell>
          <cell r="X46">
            <v>0.29775234468097467</v>
          </cell>
          <cell r="Y46">
            <v>0.29775234468097467</v>
          </cell>
          <cell r="Z46">
            <v>0.29775234468097467</v>
          </cell>
          <cell r="AY46">
            <v>0.34788937409024745</v>
          </cell>
          <cell r="AZ46">
            <v>0.34738485558157689</v>
          </cell>
          <cell r="BA46">
            <v>0.33740191804707936</v>
          </cell>
          <cell r="BB46">
            <v>0.4373868226772531</v>
          </cell>
          <cell r="BC46">
            <v>0.34761190833154854</v>
          </cell>
          <cell r="BE46">
            <v>0.34339369550637155</v>
          </cell>
          <cell r="BF46">
            <v>0.34078212290502791</v>
          </cell>
          <cell r="BG46">
            <v>0.337593984962406</v>
          </cell>
          <cell r="BH46">
            <v>0.3865461847389558</v>
          </cell>
          <cell r="BI46">
            <v>0.34939988569251285</v>
          </cell>
          <cell r="BK46">
            <v>0.34871180347513481</v>
          </cell>
          <cell r="BL46">
            <v>0.34378920953575909</v>
          </cell>
          <cell r="BM46">
            <v>0.32891061452513964</v>
          </cell>
          <cell r="BN46">
            <v>0.32280355380059228</v>
          </cell>
          <cell r="BO46">
            <v>0.33777154870357395</v>
          </cell>
          <cell r="BQ46">
            <v>0.3395585738539898</v>
          </cell>
          <cell r="BR46">
            <v>0.34026574234546503</v>
          </cell>
          <cell r="BS46">
            <v>0.32903225806451614</v>
          </cell>
          <cell r="BT46">
            <v>0.37136113296616835</v>
          </cell>
          <cell r="BU46">
            <v>0.34356702009811679</v>
          </cell>
          <cell r="BW46">
            <v>0.33490813648293966</v>
          </cell>
          <cell r="BX46">
            <v>0.33456269757639623</v>
          </cell>
          <cell r="BY46">
            <v>0.3287272727272727</v>
          </cell>
          <cell r="BZ46">
            <v>0.33703071672354951</v>
          </cell>
          <cell r="CA46">
            <v>0.33385826771653543</v>
          </cell>
          <cell r="CC46">
            <v>0.30744509908944834</v>
          </cell>
          <cell r="CD46">
            <v>0.31309583542398395</v>
          </cell>
          <cell r="CE46">
            <v>0.30859375</v>
          </cell>
          <cell r="CF46">
            <v>0.31724137931034485</v>
          </cell>
          <cell r="CG46">
            <v>0.3112968213699448</v>
          </cell>
          <cell r="CI46">
            <v>0.30717604543107901</v>
          </cell>
          <cell r="CJ46">
            <v>0.30890000000000001</v>
          </cell>
          <cell r="CK46">
            <v>0.31799884991374355</v>
          </cell>
          <cell r="CL46">
            <v>0.3053777208706786</v>
          </cell>
          <cell r="CM46">
            <v>0.31099305271761341</v>
          </cell>
          <cell r="CO46">
            <v>0.31105286151157713</v>
          </cell>
          <cell r="CP46">
            <v>0.31112072695802684</v>
          </cell>
          <cell r="CQ46">
            <v>0.31085949562532167</v>
          </cell>
          <cell r="CR46">
            <v>0.30034522439585731</v>
          </cell>
          <cell r="CS46">
            <v>0.30877913295495713</v>
          </cell>
          <cell r="CU46">
            <v>0.30723839496459482</v>
          </cell>
          <cell r="CV46">
            <v>0.30663615560640733</v>
          </cell>
          <cell r="CW46">
            <v>0.307</v>
          </cell>
          <cell r="CX46">
            <v>0.30606060606060603</v>
          </cell>
          <cell r="CY46">
            <v>0.30684491978609624</v>
          </cell>
        </row>
        <row r="47">
          <cell r="A47" t="str">
            <v>Net Income Available to Common, by segment:</v>
          </cell>
        </row>
        <row r="48">
          <cell r="A48" t="str">
            <v>Fabric + Home Care</v>
          </cell>
          <cell r="B48" t="str">
            <v>NA</v>
          </cell>
          <cell r="C48" t="str">
            <v>NA</v>
          </cell>
          <cell r="D48" t="str">
            <v>NA</v>
          </cell>
          <cell r="E48" t="str">
            <v>NA</v>
          </cell>
          <cell r="F48" t="str">
            <v>NA</v>
          </cell>
          <cell r="G48" t="str">
            <v>NA</v>
          </cell>
          <cell r="H48">
            <v>1406</v>
          </cell>
          <cell r="I48">
            <v>1497</v>
          </cell>
          <cell r="J48">
            <v>1450</v>
          </cell>
          <cell r="K48">
            <v>1644.1339466821209</v>
          </cell>
          <cell r="L48">
            <v>1831</v>
          </cell>
          <cell r="M48">
            <v>2047</v>
          </cell>
          <cell r="N48">
            <v>2186</v>
          </cell>
          <cell r="O48">
            <v>2140.7666742960223</v>
          </cell>
          <cell r="P48">
            <v>2295.0640923768983</v>
          </cell>
          <cell r="Q48">
            <v>2460.7161004363293</v>
          </cell>
          <cell r="R48">
            <v>2592.9470116135617</v>
          </cell>
          <cell r="S48">
            <v>2718.6855035304079</v>
          </cell>
          <cell r="T48">
            <v>2834.9706152908871</v>
          </cell>
          <cell r="U48">
            <v>2940.7659813653927</v>
          </cell>
          <cell r="V48">
            <v>3050.7676077284818</v>
          </cell>
          <cell r="W48">
            <v>3163.725779336472</v>
          </cell>
          <cell r="X48">
            <v>3281.1483260383038</v>
          </cell>
          <cell r="Y48">
            <v>3400.9821191131841</v>
          </cell>
          <cell r="Z48">
            <v>3526.2765002967412</v>
          </cell>
          <cell r="AY48" t="str">
            <v>NA</v>
          </cell>
          <cell r="AZ48" t="str">
            <v>NA</v>
          </cell>
          <cell r="BA48" t="str">
            <v>NA</v>
          </cell>
          <cell r="BB48" t="str">
            <v>NA</v>
          </cell>
          <cell r="BC48" t="str">
            <v>NA</v>
          </cell>
          <cell r="BE48" t="str">
            <v>NA</v>
          </cell>
          <cell r="BF48" t="str">
            <v>NA</v>
          </cell>
          <cell r="BG48" t="str">
            <v>NA</v>
          </cell>
          <cell r="BH48" t="str">
            <v>NA</v>
          </cell>
          <cell r="BI48" t="str">
            <v>NA</v>
          </cell>
          <cell r="BK48" t="str">
            <v>NA</v>
          </cell>
          <cell r="BL48" t="str">
            <v>NA</v>
          </cell>
          <cell r="BM48" t="str">
            <v>NA</v>
          </cell>
          <cell r="BN48" t="str">
            <v>NA</v>
          </cell>
          <cell r="BO48">
            <v>1406</v>
          </cell>
          <cell r="BQ48">
            <v>442</v>
          </cell>
          <cell r="BR48">
            <v>379</v>
          </cell>
          <cell r="BS48">
            <v>381</v>
          </cell>
          <cell r="BT48">
            <v>295</v>
          </cell>
          <cell r="BU48">
            <v>1497</v>
          </cell>
          <cell r="BW48">
            <v>484</v>
          </cell>
          <cell r="BX48">
            <v>405</v>
          </cell>
          <cell r="BY48">
            <v>283</v>
          </cell>
          <cell r="BZ48">
            <v>278</v>
          </cell>
          <cell r="CA48">
            <v>1450</v>
          </cell>
          <cell r="CC48">
            <v>500</v>
          </cell>
          <cell r="CD48">
            <v>390.17857142857139</v>
          </cell>
          <cell r="CE48">
            <v>347.05882352941177</v>
          </cell>
          <cell r="CF48">
            <v>406.89655172413796</v>
          </cell>
          <cell r="CG48">
            <v>1644.1339466821209</v>
          </cell>
          <cell r="CI48">
            <v>450</v>
          </cell>
          <cell r="CJ48">
            <v>437</v>
          </cell>
          <cell r="CK48">
            <v>472</v>
          </cell>
          <cell r="CL48">
            <v>472</v>
          </cell>
          <cell r="CM48">
            <v>1831</v>
          </cell>
          <cell r="CO48">
            <v>544</v>
          </cell>
          <cell r="CP48">
            <v>511</v>
          </cell>
          <cell r="CQ48">
            <v>496</v>
          </cell>
          <cell r="CR48">
            <v>496</v>
          </cell>
          <cell r="CS48">
            <v>2047</v>
          </cell>
          <cell r="CU48">
            <v>560</v>
          </cell>
          <cell r="CV48">
            <v>568</v>
          </cell>
          <cell r="CW48">
            <v>543</v>
          </cell>
          <cell r="CX48">
            <v>515</v>
          </cell>
          <cell r="CY48">
            <v>2186</v>
          </cell>
        </row>
        <row r="49">
          <cell r="A49" t="str">
            <v>Baby + Family Care</v>
          </cell>
          <cell r="B49" t="str">
            <v>NA</v>
          </cell>
          <cell r="C49" t="str">
            <v>NA</v>
          </cell>
          <cell r="D49" t="str">
            <v>NA</v>
          </cell>
          <cell r="E49" t="str">
            <v>NA</v>
          </cell>
          <cell r="F49" t="str">
            <v>NA</v>
          </cell>
          <cell r="G49" t="str">
            <v>NA</v>
          </cell>
          <cell r="H49">
            <v>990</v>
          </cell>
          <cell r="I49">
            <v>1278</v>
          </cell>
          <cell r="J49">
            <v>1069</v>
          </cell>
          <cell r="K49">
            <v>1051.3094065725645</v>
          </cell>
          <cell r="L49">
            <v>1170</v>
          </cell>
          <cell r="M49">
            <v>873</v>
          </cell>
          <cell r="N49">
            <v>990</v>
          </cell>
          <cell r="O49">
            <v>1354.8394333310785</v>
          </cell>
          <cell r="P49">
            <v>1417.0315418188288</v>
          </cell>
          <cell r="Q49">
            <v>1493.2796105775578</v>
          </cell>
          <cell r="R49">
            <v>1547.24655953464</v>
          </cell>
          <cell r="S49">
            <v>1585.6835254252562</v>
          </cell>
          <cell r="T49">
            <v>1625.6622717896603</v>
          </cell>
          <cell r="U49">
            <v>1665.8135029937857</v>
          </cell>
          <cell r="V49">
            <v>1706.6051925948148</v>
          </cell>
          <cell r="W49">
            <v>1749.0020126813613</v>
          </cell>
          <cell r="X49">
            <v>1791.1106718261451</v>
          </cell>
          <cell r="Y49">
            <v>1833.3990583563182</v>
          </cell>
          <cell r="Z49">
            <v>1877.3389436543132</v>
          </cell>
          <cell r="AY49" t="str">
            <v>NA</v>
          </cell>
          <cell r="AZ49" t="str">
            <v>NA</v>
          </cell>
          <cell r="BA49" t="str">
            <v>NA</v>
          </cell>
          <cell r="BB49" t="str">
            <v>NA</v>
          </cell>
          <cell r="BC49" t="str">
            <v>NA</v>
          </cell>
          <cell r="BE49" t="str">
            <v>NA</v>
          </cell>
          <cell r="BF49" t="str">
            <v>NA</v>
          </cell>
          <cell r="BG49" t="str">
            <v>NA</v>
          </cell>
          <cell r="BH49" t="str">
            <v>NA</v>
          </cell>
          <cell r="BI49" t="str">
            <v>NA</v>
          </cell>
          <cell r="BK49" t="str">
            <v>NA</v>
          </cell>
          <cell r="BL49" t="str">
            <v>NA</v>
          </cell>
          <cell r="BM49" t="str">
            <v>NA</v>
          </cell>
          <cell r="BN49" t="str">
            <v>NA</v>
          </cell>
          <cell r="BO49">
            <v>990</v>
          </cell>
          <cell r="BQ49">
            <v>352</v>
          </cell>
          <cell r="BR49">
            <v>343</v>
          </cell>
          <cell r="BS49">
            <v>299</v>
          </cell>
          <cell r="BT49">
            <v>284</v>
          </cell>
          <cell r="BU49">
            <v>1278</v>
          </cell>
          <cell r="BW49">
            <v>343</v>
          </cell>
          <cell r="BX49">
            <v>293</v>
          </cell>
          <cell r="BY49">
            <v>218</v>
          </cell>
          <cell r="BZ49">
            <v>215</v>
          </cell>
          <cell r="CA49">
            <v>1069</v>
          </cell>
          <cell r="CC49">
            <v>328.84615384615381</v>
          </cell>
          <cell r="CD49">
            <v>293.85964912280701</v>
          </cell>
          <cell r="CE49">
            <v>236.93693693693692</v>
          </cell>
          <cell r="CF49">
            <v>191.66666666666669</v>
          </cell>
          <cell r="CG49">
            <v>1051.3094065725645</v>
          </cell>
          <cell r="CI49">
            <v>342</v>
          </cell>
          <cell r="CJ49">
            <v>335</v>
          </cell>
          <cell r="CK49">
            <v>263</v>
          </cell>
          <cell r="CL49">
            <v>230</v>
          </cell>
          <cell r="CM49">
            <v>1170</v>
          </cell>
          <cell r="CO49">
            <v>239</v>
          </cell>
          <cell r="CP49">
            <v>274</v>
          </cell>
          <cell r="CQ49">
            <v>196</v>
          </cell>
          <cell r="CR49">
            <v>164</v>
          </cell>
          <cell r="CS49">
            <v>873</v>
          </cell>
          <cell r="CU49">
            <v>294</v>
          </cell>
          <cell r="CV49">
            <v>281</v>
          </cell>
          <cell r="CW49">
            <v>218</v>
          </cell>
          <cell r="CX49">
            <v>197</v>
          </cell>
          <cell r="CY49">
            <v>990</v>
          </cell>
        </row>
        <row r="50">
          <cell r="A50" t="str">
            <v>Beauty Care</v>
          </cell>
          <cell r="B50" t="str">
            <v>NA</v>
          </cell>
          <cell r="C50" t="str">
            <v>NA</v>
          </cell>
          <cell r="D50" t="str">
            <v>NA</v>
          </cell>
          <cell r="E50" t="str">
            <v>NA</v>
          </cell>
          <cell r="F50" t="str">
            <v>NA</v>
          </cell>
          <cell r="G50" t="str">
            <v>NA</v>
          </cell>
          <cell r="H50">
            <v>845</v>
          </cell>
          <cell r="I50">
            <v>917</v>
          </cell>
          <cell r="J50">
            <v>894</v>
          </cell>
          <cell r="K50">
            <v>966.06002532514685</v>
          </cell>
          <cell r="L50">
            <v>1177</v>
          </cell>
          <cell r="M50">
            <v>1938</v>
          </cell>
          <cell r="N50">
            <v>2333</v>
          </cell>
          <cell r="O50">
            <v>2831.4242622503157</v>
          </cell>
          <cell r="P50">
            <v>3035.4296103875386</v>
          </cell>
          <cell r="Q50">
            <v>3454.0273966345085</v>
          </cell>
          <cell r="R50">
            <v>3895.6540219954236</v>
          </cell>
          <cell r="S50">
            <v>4247.8404207500625</v>
          </cell>
          <cell r="T50">
            <v>4581.137812013314</v>
          </cell>
          <cell r="U50">
            <v>4899.1932991629483</v>
          </cell>
          <cell r="V50">
            <v>5238.3769480177025</v>
          </cell>
          <cell r="W50">
            <v>5598.9361467232102</v>
          </cell>
          <cell r="X50">
            <v>5983.31076701857</v>
          </cell>
          <cell r="Y50">
            <v>6368.2184430878151</v>
          </cell>
          <cell r="Z50">
            <v>6724.3600565573233</v>
          </cell>
          <cell r="AY50" t="str">
            <v>NA</v>
          </cell>
          <cell r="AZ50" t="str">
            <v>NA</v>
          </cell>
          <cell r="BA50" t="str">
            <v>NA</v>
          </cell>
          <cell r="BB50" t="str">
            <v>NA</v>
          </cell>
          <cell r="BC50" t="str">
            <v>NA</v>
          </cell>
          <cell r="BE50" t="str">
            <v>NA</v>
          </cell>
          <cell r="BF50" t="str">
            <v>NA</v>
          </cell>
          <cell r="BG50" t="str">
            <v>NA</v>
          </cell>
          <cell r="BH50" t="str">
            <v>NA</v>
          </cell>
          <cell r="BI50" t="str">
            <v>NA</v>
          </cell>
          <cell r="BK50" t="str">
            <v>NA</v>
          </cell>
          <cell r="BL50" t="str">
            <v>NA</v>
          </cell>
          <cell r="BM50" t="str">
            <v>NA</v>
          </cell>
          <cell r="BN50" t="str">
            <v>NA</v>
          </cell>
          <cell r="BO50">
            <v>845</v>
          </cell>
          <cell r="BQ50">
            <v>235</v>
          </cell>
          <cell r="BR50">
            <v>273</v>
          </cell>
          <cell r="BS50">
            <v>205</v>
          </cell>
          <cell r="BT50">
            <v>204</v>
          </cell>
          <cell r="BU50">
            <v>917</v>
          </cell>
          <cell r="BW50">
            <v>225</v>
          </cell>
          <cell r="BX50">
            <v>273</v>
          </cell>
          <cell r="BY50">
            <v>231</v>
          </cell>
          <cell r="BZ50">
            <v>165</v>
          </cell>
          <cell r="CA50">
            <v>894</v>
          </cell>
          <cell r="CC50">
            <v>267.21311475409834</v>
          </cell>
          <cell r="CD50">
            <v>285.47008547008551</v>
          </cell>
          <cell r="CE50">
            <v>242.34234234234233</v>
          </cell>
          <cell r="CF50">
            <v>171.0344827586207</v>
          </cell>
          <cell r="CG50">
            <v>966.06002532514685</v>
          </cell>
          <cell r="CI50">
            <v>326</v>
          </cell>
          <cell r="CJ50">
            <v>334</v>
          </cell>
          <cell r="CK50">
            <v>269</v>
          </cell>
          <cell r="CL50">
            <v>248</v>
          </cell>
          <cell r="CM50">
            <v>1177</v>
          </cell>
          <cell r="CO50">
            <v>538</v>
          </cell>
          <cell r="CP50">
            <v>495</v>
          </cell>
          <cell r="CQ50">
            <v>450</v>
          </cell>
          <cell r="CR50">
            <v>455</v>
          </cell>
          <cell r="CS50">
            <v>1938</v>
          </cell>
          <cell r="CU50">
            <v>599</v>
          </cell>
          <cell r="CV50">
            <v>654</v>
          </cell>
          <cell r="CW50">
            <v>571</v>
          </cell>
          <cell r="CX50">
            <v>509</v>
          </cell>
          <cell r="CY50">
            <v>2333</v>
          </cell>
        </row>
        <row r="51">
          <cell r="A51" t="str">
            <v>Health Care</v>
          </cell>
          <cell r="B51" t="str">
            <v>NA</v>
          </cell>
          <cell r="C51" t="str">
            <v>NA</v>
          </cell>
          <cell r="D51" t="str">
            <v>NA</v>
          </cell>
          <cell r="E51" t="str">
            <v>NA</v>
          </cell>
          <cell r="F51" t="str">
            <v>NA</v>
          </cell>
          <cell r="G51" t="str">
            <v>NA</v>
          </cell>
          <cell r="H51">
            <v>232</v>
          </cell>
          <cell r="I51">
            <v>242</v>
          </cell>
          <cell r="J51">
            <v>335</v>
          </cell>
          <cell r="K51">
            <v>390.05097727762359</v>
          </cell>
          <cell r="L51">
            <v>521</v>
          </cell>
          <cell r="M51">
            <v>678</v>
          </cell>
          <cell r="N51">
            <v>925</v>
          </cell>
          <cell r="O51">
            <v>1188.5102470616673</v>
          </cell>
          <cell r="P51">
            <v>1395.0853598108949</v>
          </cell>
          <cell r="Q51">
            <v>1660.6740795799142</v>
          </cell>
          <cell r="R51">
            <v>1965.8354689396563</v>
          </cell>
          <cell r="S51">
            <v>2217.9249737116074</v>
          </cell>
          <cell r="T51">
            <v>2476.461415586909</v>
          </cell>
          <cell r="U51">
            <v>2688.0927469368662</v>
          </cell>
          <cell r="V51">
            <v>2917.2178037394415</v>
          </cell>
          <cell r="W51">
            <v>3165.2487140343869</v>
          </cell>
          <cell r="X51">
            <v>3433.0199748188375</v>
          </cell>
          <cell r="Y51">
            <v>3707.273963152822</v>
          </cell>
          <cell r="Z51">
            <v>3971.9151126196571</v>
          </cell>
          <cell r="AY51" t="str">
            <v>NA</v>
          </cell>
          <cell r="AZ51" t="str">
            <v>NA</v>
          </cell>
          <cell r="BA51" t="str">
            <v>NA</v>
          </cell>
          <cell r="BB51" t="str">
            <v>NA</v>
          </cell>
          <cell r="BC51" t="str">
            <v>NA</v>
          </cell>
          <cell r="BE51" t="str">
            <v>NA</v>
          </cell>
          <cell r="BF51" t="str">
            <v>NA</v>
          </cell>
          <cell r="BG51" t="str">
            <v>NA</v>
          </cell>
          <cell r="BH51" t="str">
            <v>NA</v>
          </cell>
          <cell r="BI51" t="str">
            <v>NA</v>
          </cell>
          <cell r="BK51" t="str">
            <v>NA</v>
          </cell>
          <cell r="BL51" t="str">
            <v>NA</v>
          </cell>
          <cell r="BM51" t="str">
            <v>NA</v>
          </cell>
          <cell r="BN51" t="str">
            <v>NA</v>
          </cell>
          <cell r="BO51">
            <v>232</v>
          </cell>
          <cell r="BQ51">
            <v>70</v>
          </cell>
          <cell r="BR51">
            <v>79</v>
          </cell>
          <cell r="BS51">
            <v>58</v>
          </cell>
          <cell r="BT51">
            <v>35</v>
          </cell>
          <cell r="BU51">
            <v>242</v>
          </cell>
          <cell r="BW51">
            <v>91</v>
          </cell>
          <cell r="BX51">
            <v>125</v>
          </cell>
          <cell r="BY51">
            <v>101</v>
          </cell>
          <cell r="BZ51">
            <v>18</v>
          </cell>
          <cell r="CA51">
            <v>335</v>
          </cell>
          <cell r="CC51">
            <v>80.924855491329481</v>
          </cell>
          <cell r="CD51">
            <v>163.8095238095238</v>
          </cell>
          <cell r="CE51">
            <v>91.176470588235304</v>
          </cell>
          <cell r="CF51">
            <v>54.140127388535035</v>
          </cell>
          <cell r="CG51">
            <v>390.05097727762359</v>
          </cell>
          <cell r="CI51">
            <v>140</v>
          </cell>
          <cell r="CJ51">
            <v>172</v>
          </cell>
          <cell r="CK51">
            <v>124</v>
          </cell>
          <cell r="CL51">
            <v>85</v>
          </cell>
          <cell r="CM51">
            <v>521</v>
          </cell>
          <cell r="CO51">
            <v>190</v>
          </cell>
          <cell r="CP51">
            <v>246</v>
          </cell>
          <cell r="CQ51">
            <v>139</v>
          </cell>
          <cell r="CR51">
            <v>103</v>
          </cell>
          <cell r="CS51">
            <v>678</v>
          </cell>
          <cell r="CU51">
            <v>266</v>
          </cell>
          <cell r="CV51">
            <v>325</v>
          </cell>
          <cell r="CW51">
            <v>206</v>
          </cell>
          <cell r="CX51">
            <v>128</v>
          </cell>
          <cell r="CY51">
            <v>925</v>
          </cell>
        </row>
        <row r="52">
          <cell r="A52" t="str">
            <v>Snacks + Coffee</v>
          </cell>
          <cell r="B52" t="str">
            <v>NA</v>
          </cell>
          <cell r="C52" t="str">
            <v>NA</v>
          </cell>
          <cell r="D52" t="str">
            <v>NA</v>
          </cell>
          <cell r="E52" t="str">
            <v>NA</v>
          </cell>
          <cell r="F52" t="str">
            <v>NA</v>
          </cell>
          <cell r="G52" t="str">
            <v>NA</v>
          </cell>
          <cell r="H52">
            <v>294</v>
          </cell>
          <cell r="I52">
            <v>328</v>
          </cell>
          <cell r="J52">
            <v>364</v>
          </cell>
          <cell r="K52">
            <v>331.59426678641762</v>
          </cell>
          <cell r="L52">
            <v>384</v>
          </cell>
          <cell r="M52">
            <v>291</v>
          </cell>
          <cell r="N52">
            <v>344</v>
          </cell>
          <cell r="O52">
            <v>430.67021984899009</v>
          </cell>
          <cell r="P52">
            <v>409.35922508866935</v>
          </cell>
          <cell r="Q52">
            <v>435.05588280094622</v>
          </cell>
          <cell r="R52">
            <v>450.66552086915601</v>
          </cell>
          <cell r="S52">
            <v>464.7454105997594</v>
          </cell>
          <cell r="T52">
            <v>464.7454105997594</v>
          </cell>
          <cell r="U52">
            <v>464.7454105997594</v>
          </cell>
          <cell r="V52">
            <v>464.7454105997594</v>
          </cell>
          <cell r="W52">
            <v>464.7454105997594</v>
          </cell>
          <cell r="X52">
            <v>464.7454105997594</v>
          </cell>
          <cell r="Y52">
            <v>464.7454105997594</v>
          </cell>
          <cell r="Z52">
            <v>464.7454105997594</v>
          </cell>
          <cell r="AY52" t="str">
            <v>NA</v>
          </cell>
          <cell r="AZ52" t="str">
            <v>NA</v>
          </cell>
          <cell r="BA52" t="str">
            <v>NA</v>
          </cell>
          <cell r="BB52" t="str">
            <v>NA</v>
          </cell>
          <cell r="BC52" t="str">
            <v>NA</v>
          </cell>
          <cell r="BE52" t="str">
            <v>NA</v>
          </cell>
          <cell r="BF52" t="str">
            <v>NA</v>
          </cell>
          <cell r="BG52" t="str">
            <v>NA</v>
          </cell>
          <cell r="BH52" t="str">
            <v>NA</v>
          </cell>
          <cell r="BI52" t="str">
            <v>NA</v>
          </cell>
          <cell r="BK52" t="str">
            <v>NA</v>
          </cell>
          <cell r="BL52" t="str">
            <v>NA</v>
          </cell>
          <cell r="BM52" t="str">
            <v>NA</v>
          </cell>
          <cell r="BN52" t="str">
            <v>NA</v>
          </cell>
          <cell r="BO52">
            <v>294</v>
          </cell>
          <cell r="BQ52">
            <v>79</v>
          </cell>
          <cell r="BR52">
            <v>112</v>
          </cell>
          <cell r="BS52">
            <v>73</v>
          </cell>
          <cell r="BT52">
            <v>64</v>
          </cell>
          <cell r="BU52">
            <v>328</v>
          </cell>
          <cell r="BW52">
            <v>106</v>
          </cell>
          <cell r="BX52">
            <v>137</v>
          </cell>
          <cell r="BY52">
            <v>50</v>
          </cell>
          <cell r="BZ52">
            <v>71</v>
          </cell>
          <cell r="CA52">
            <v>364</v>
          </cell>
          <cell r="CC52">
            <v>75</v>
          </cell>
          <cell r="CD52">
            <v>123.52941176470588</v>
          </cell>
          <cell r="CE52">
            <v>66.949152542372886</v>
          </cell>
          <cell r="CF52">
            <v>66.11570247933885</v>
          </cell>
          <cell r="CG52">
            <v>331.59426678641762</v>
          </cell>
          <cell r="CI52">
            <v>99</v>
          </cell>
          <cell r="CJ52">
            <v>126</v>
          </cell>
          <cell r="CK52">
            <v>79</v>
          </cell>
          <cell r="CL52">
            <v>80</v>
          </cell>
          <cell r="CM52">
            <v>384</v>
          </cell>
          <cell r="CO52">
            <v>76</v>
          </cell>
          <cell r="CP52">
            <v>122</v>
          </cell>
          <cell r="CQ52">
            <v>52</v>
          </cell>
          <cell r="CR52">
            <v>41</v>
          </cell>
          <cell r="CS52">
            <v>291</v>
          </cell>
          <cell r="CU52">
            <v>95</v>
          </cell>
          <cell r="CV52">
            <v>129</v>
          </cell>
          <cell r="CW52">
            <v>55</v>
          </cell>
          <cell r="CX52">
            <v>65</v>
          </cell>
          <cell r="CY52">
            <v>344</v>
          </cell>
        </row>
        <row r="53">
          <cell r="A53" t="str">
            <v>Blades &amp; Razors</v>
          </cell>
          <cell r="O53">
            <v>1146.2141964330094</v>
          </cell>
          <cell r="P53">
            <v>1260.0879149283019</v>
          </cell>
          <cell r="Q53">
            <v>1379.4436419464607</v>
          </cell>
          <cell r="R53">
            <v>1504.926349204889</v>
          </cell>
          <cell r="S53">
            <v>1638.8895482758589</v>
          </cell>
          <cell r="T53">
            <v>1783.3486978160731</v>
          </cell>
          <cell r="U53">
            <v>1919.9310164233402</v>
          </cell>
          <cell r="V53">
            <v>2027.7312973698067</v>
          </cell>
          <cell r="W53">
            <v>2130.8235450019324</v>
          </cell>
          <cell r="X53">
            <v>2227.893539981209</v>
          </cell>
          <cell r="Y53">
            <v>2317.6452547550166</v>
          </cell>
          <cell r="Z53">
            <v>2399.0597965055158</v>
          </cell>
        </row>
        <row r="54">
          <cell r="A54" t="str">
            <v>Duracell &amp; Braun</v>
          </cell>
          <cell r="O54">
            <v>370.55835448263315</v>
          </cell>
          <cell r="P54">
            <v>378.94186712763286</v>
          </cell>
          <cell r="Q54">
            <v>432.74555318323672</v>
          </cell>
          <cell r="R54">
            <v>465.24676814710006</v>
          </cell>
          <cell r="S54">
            <v>497.78635022683369</v>
          </cell>
          <cell r="T54">
            <v>529.34637570665836</v>
          </cell>
          <cell r="U54">
            <v>549.17338375200814</v>
          </cell>
          <cell r="V54">
            <v>564.31051473899197</v>
          </cell>
          <cell r="W54">
            <v>580.01198650196636</v>
          </cell>
          <cell r="X54">
            <v>596.05053985038978</v>
          </cell>
          <cell r="Y54">
            <v>612.43362936099936</v>
          </cell>
          <cell r="Z54">
            <v>629.1688802414767</v>
          </cell>
        </row>
        <row r="55">
          <cell r="A55" t="str">
            <v>Corporate</v>
          </cell>
          <cell r="B55" t="str">
            <v>NA</v>
          </cell>
          <cell r="C55" t="str">
            <v>NA</v>
          </cell>
          <cell r="D55" t="str">
            <v>NA</v>
          </cell>
          <cell r="E55" t="str">
            <v>NA</v>
          </cell>
          <cell r="F55" t="str">
            <v>NA</v>
          </cell>
          <cell r="G55" t="str">
            <v>NA</v>
          </cell>
          <cell r="H55">
            <v>13</v>
          </cell>
          <cell r="I55">
            <v>-114</v>
          </cell>
          <cell r="J55">
            <v>118</v>
          </cell>
          <cell r="K55">
            <v>231.85137735612636</v>
          </cell>
          <cell r="L55">
            <v>-25</v>
          </cell>
          <cell r="M55">
            <v>-103</v>
          </cell>
          <cell r="N55">
            <v>-297</v>
          </cell>
          <cell r="O55">
            <v>-802.89638770371585</v>
          </cell>
          <cell r="P55">
            <v>-1063.6088536393902</v>
          </cell>
          <cell r="Q55">
            <v>-1339.1740387190951</v>
          </cell>
          <cell r="R55">
            <v>-1341.8972216516684</v>
          </cell>
          <cell r="S55">
            <v>-1367.461098376559</v>
          </cell>
          <cell r="T55">
            <v>-1419.7567743788159</v>
          </cell>
          <cell r="U55">
            <v>-1494.1368656343493</v>
          </cell>
          <cell r="V55">
            <v>-1570.3472104627722</v>
          </cell>
          <cell r="W55">
            <v>-1625.7530488756145</v>
          </cell>
          <cell r="X55">
            <v>-1658.7425876745845</v>
          </cell>
          <cell r="Y55">
            <v>-1668.5000515496422</v>
          </cell>
          <cell r="Z55">
            <v>-1655.5487524836878</v>
          </cell>
          <cell r="AY55" t="str">
            <v>NA</v>
          </cell>
          <cell r="AZ55" t="str">
            <v>NA</v>
          </cell>
          <cell r="BA55" t="str">
            <v>NA</v>
          </cell>
          <cell r="BB55" t="str">
            <v>NA</v>
          </cell>
          <cell r="BC55" t="str">
            <v>NA</v>
          </cell>
          <cell r="BE55" t="str">
            <v>NA</v>
          </cell>
          <cell r="BF55" t="str">
            <v>NA</v>
          </cell>
          <cell r="BG55" t="str">
            <v>NA</v>
          </cell>
          <cell r="BH55" t="str">
            <v>NA</v>
          </cell>
          <cell r="BI55" t="str">
            <v>NA</v>
          </cell>
          <cell r="BK55" t="str">
            <v>NA</v>
          </cell>
          <cell r="BL55" t="str">
            <v>NA</v>
          </cell>
          <cell r="BM55" t="str">
            <v>NA</v>
          </cell>
          <cell r="BN55" t="str">
            <v>NA</v>
          </cell>
          <cell r="BO55">
            <v>13</v>
          </cell>
          <cell r="BQ55">
            <v>-11</v>
          </cell>
          <cell r="BR55">
            <v>-44</v>
          </cell>
          <cell r="BS55">
            <v>24</v>
          </cell>
          <cell r="BT55">
            <v>-83</v>
          </cell>
          <cell r="BU55">
            <v>-114</v>
          </cell>
          <cell r="BW55">
            <v>18</v>
          </cell>
          <cell r="BX55">
            <v>30</v>
          </cell>
          <cell r="BY55">
            <v>40</v>
          </cell>
          <cell r="BZ55">
            <v>30</v>
          </cell>
          <cell r="CA55">
            <v>118</v>
          </cell>
          <cell r="CC55">
            <v>41.015875908418366</v>
          </cell>
          <cell r="CD55">
            <v>112.1527584043065</v>
          </cell>
          <cell r="CE55">
            <v>77.536274060700748</v>
          </cell>
          <cell r="CF55">
            <v>1.1464689827007533</v>
          </cell>
          <cell r="CG55">
            <v>231.85137735612636</v>
          </cell>
          <cell r="CI55">
            <v>-15</v>
          </cell>
          <cell r="CJ55">
            <v>41</v>
          </cell>
          <cell r="CK55">
            <v>-21</v>
          </cell>
          <cell r="CL55">
            <v>-30</v>
          </cell>
          <cell r="CM55">
            <v>-25</v>
          </cell>
          <cell r="CO55">
            <v>-10</v>
          </cell>
          <cell r="CP55">
            <v>-56</v>
          </cell>
          <cell r="CQ55">
            <v>6</v>
          </cell>
          <cell r="CR55">
            <v>-43</v>
          </cell>
          <cell r="CS55">
            <v>-103</v>
          </cell>
          <cell r="CU55">
            <v>-53</v>
          </cell>
          <cell r="CV55">
            <v>-139</v>
          </cell>
          <cell r="CW55">
            <v>-65</v>
          </cell>
          <cell r="CX55">
            <v>-40</v>
          </cell>
          <cell r="CY55">
            <v>-297</v>
          </cell>
        </row>
        <row r="56">
          <cell r="A56" t="str">
            <v>Core Net Income</v>
          </cell>
          <cell r="B56">
            <v>1872</v>
          </cell>
          <cell r="C56">
            <v>2015</v>
          </cell>
          <cell r="D56">
            <v>2311.98</v>
          </cell>
          <cell r="E56">
            <v>2695.0000000000005</v>
          </cell>
          <cell r="F56">
            <v>2948.7289355322337</v>
          </cell>
          <cell r="G56">
            <v>3415</v>
          </cell>
          <cell r="H56">
            <v>3780</v>
          </cell>
          <cell r="I56">
            <v>4148</v>
          </cell>
          <cell r="J56">
            <v>4230</v>
          </cell>
          <cell r="K56">
            <v>4615</v>
          </cell>
          <cell r="L56">
            <v>5058</v>
          </cell>
          <cell r="M56">
            <v>5724</v>
          </cell>
          <cell r="N56">
            <v>6481</v>
          </cell>
          <cell r="O56">
            <v>8660.0869999999995</v>
          </cell>
          <cell r="P56">
            <v>9127.3907578993749</v>
          </cell>
          <cell r="Q56">
            <v>9976.7682264398572</v>
          </cell>
          <cell r="R56">
            <v>11080.624478652757</v>
          </cell>
          <cell r="S56">
            <v>12004.094634143226</v>
          </cell>
          <cell r="T56">
            <v>12875.915824424446</v>
          </cell>
          <cell r="U56">
            <v>13633.578475599756</v>
          </cell>
          <cell r="V56">
            <v>14399.407564326222</v>
          </cell>
          <cell r="W56">
            <v>15226.740546003475</v>
          </cell>
          <cell r="X56">
            <v>16118.536642458628</v>
          </cell>
          <cell r="Y56">
            <v>17036.197826876272</v>
          </cell>
          <cell r="Z56">
            <v>17937.315947991101</v>
          </cell>
          <cell r="AY56">
            <v>896</v>
          </cell>
          <cell r="AZ56">
            <v>836</v>
          </cell>
          <cell r="BA56">
            <v>760</v>
          </cell>
          <cell r="BB56">
            <v>403.9</v>
          </cell>
          <cell r="BC56">
            <v>2948.7289355322337</v>
          </cell>
          <cell r="BE56">
            <v>979</v>
          </cell>
          <cell r="BF56">
            <v>944</v>
          </cell>
          <cell r="BG56">
            <v>881</v>
          </cell>
          <cell r="BH56">
            <v>611</v>
          </cell>
          <cell r="BI56">
            <v>3415</v>
          </cell>
          <cell r="BK56">
            <v>1087</v>
          </cell>
          <cell r="BL56">
            <v>1046</v>
          </cell>
          <cell r="BM56">
            <v>961</v>
          </cell>
          <cell r="BN56">
            <v>686</v>
          </cell>
          <cell r="BO56">
            <v>3780</v>
          </cell>
          <cell r="BQ56">
            <v>1167</v>
          </cell>
          <cell r="BR56">
            <v>1142</v>
          </cell>
          <cell r="BS56">
            <v>1040</v>
          </cell>
          <cell r="BT56">
            <v>799</v>
          </cell>
          <cell r="BU56">
            <v>4148</v>
          </cell>
          <cell r="BW56">
            <v>1267</v>
          </cell>
          <cell r="BX56">
            <v>1263</v>
          </cell>
          <cell r="BY56">
            <v>923</v>
          </cell>
          <cell r="BZ56">
            <v>777</v>
          </cell>
          <cell r="CA56">
            <v>4230</v>
          </cell>
          <cell r="CC56">
            <v>1293</v>
          </cell>
          <cell r="CD56">
            <v>1369</v>
          </cell>
          <cell r="CE56">
            <v>1062</v>
          </cell>
          <cell r="CF56">
            <v>891</v>
          </cell>
          <cell r="CG56">
            <v>4615</v>
          </cell>
          <cell r="CI56">
            <v>1342</v>
          </cell>
          <cell r="CJ56">
            <v>1445</v>
          </cell>
          <cell r="CK56">
            <v>1186</v>
          </cell>
          <cell r="CL56">
            <v>1085</v>
          </cell>
          <cell r="CM56">
            <v>5058</v>
          </cell>
          <cell r="CO56">
            <v>1577</v>
          </cell>
          <cell r="CP56">
            <v>1592</v>
          </cell>
          <cell r="CQ56">
            <v>1339</v>
          </cell>
          <cell r="CR56">
            <v>1216</v>
          </cell>
          <cell r="CS56">
            <v>5724</v>
          </cell>
          <cell r="CU56">
            <v>1761</v>
          </cell>
          <cell r="CV56">
            <v>1818</v>
          </cell>
          <cell r="CW56">
            <v>1528</v>
          </cell>
          <cell r="CX56">
            <v>1374</v>
          </cell>
          <cell r="CY56">
            <v>6481</v>
          </cell>
        </row>
        <row r="57">
          <cell r="A57" t="str">
            <v>Separations</v>
          </cell>
          <cell r="I57">
            <v>-45</v>
          </cell>
          <cell r="J57">
            <v>-153</v>
          </cell>
          <cell r="K57">
            <v>-341</v>
          </cell>
          <cell r="L57">
            <v>-393</v>
          </cell>
          <cell r="M57">
            <v>0</v>
          </cell>
          <cell r="N57">
            <v>0</v>
          </cell>
          <cell r="P57">
            <v>0</v>
          </cell>
          <cell r="BU57">
            <v>-45</v>
          </cell>
          <cell r="CA57">
            <v>-153</v>
          </cell>
          <cell r="CG57">
            <v>-341</v>
          </cell>
          <cell r="CM57">
            <v>-393</v>
          </cell>
        </row>
        <row r="58">
          <cell r="A58" t="str">
            <v>Accelerated Depreciation</v>
          </cell>
          <cell r="I58">
            <v>-208</v>
          </cell>
          <cell r="J58">
            <v>-386</v>
          </cell>
          <cell r="K58">
            <v>-276</v>
          </cell>
          <cell r="L58">
            <v>-135</v>
          </cell>
          <cell r="M58">
            <v>0</v>
          </cell>
          <cell r="N58">
            <v>0</v>
          </cell>
          <cell r="P58">
            <v>0</v>
          </cell>
          <cell r="BU58">
            <v>-208</v>
          </cell>
          <cell r="CA58">
            <v>-386</v>
          </cell>
          <cell r="CG58">
            <v>-276</v>
          </cell>
          <cell r="CM58">
            <v>-135</v>
          </cell>
        </row>
        <row r="59">
          <cell r="A59" t="str">
            <v>Asset-Write Downs</v>
          </cell>
          <cell r="I59">
            <v>-217</v>
          </cell>
          <cell r="J59">
            <v>-64</v>
          </cell>
          <cell r="K59">
            <v>-731</v>
          </cell>
          <cell r="L59">
            <v>-208</v>
          </cell>
          <cell r="M59">
            <v>-538</v>
          </cell>
          <cell r="N59">
            <v>0</v>
          </cell>
          <cell r="P59">
            <v>0</v>
          </cell>
          <cell r="BU59">
            <v>-217</v>
          </cell>
          <cell r="CA59">
            <v>-64</v>
          </cell>
          <cell r="CG59">
            <v>-731</v>
          </cell>
          <cell r="CM59">
            <v>-208</v>
          </cell>
          <cell r="CS59">
            <v>-538</v>
          </cell>
        </row>
        <row r="60">
          <cell r="A60" t="str">
            <v>Other</v>
          </cell>
          <cell r="I60">
            <v>-11</v>
          </cell>
          <cell r="J60">
            <v>-211</v>
          </cell>
          <cell r="K60">
            <v>-502</v>
          </cell>
          <cell r="L60">
            <v>-222</v>
          </cell>
          <cell r="M60">
            <v>0</v>
          </cell>
          <cell r="N60">
            <v>0</v>
          </cell>
          <cell r="P60">
            <v>0</v>
          </cell>
          <cell r="BU60">
            <v>-11</v>
          </cell>
          <cell r="CA60">
            <v>-211</v>
          </cell>
          <cell r="CG60">
            <v>-502</v>
          </cell>
          <cell r="CM60">
            <v>-222</v>
          </cell>
        </row>
        <row r="61">
          <cell r="A61" t="str">
            <v>Total One-time (charges)/gains before-tax</v>
          </cell>
          <cell r="I61">
            <v>-481</v>
          </cell>
          <cell r="J61">
            <v>-814</v>
          </cell>
          <cell r="K61">
            <v>-1850</v>
          </cell>
          <cell r="L61">
            <v>-958</v>
          </cell>
          <cell r="M61">
            <v>-538</v>
          </cell>
          <cell r="N61">
            <v>0</v>
          </cell>
          <cell r="P61">
            <v>-536.26525981975283</v>
          </cell>
          <cell r="BU61">
            <v>-481</v>
          </cell>
          <cell r="CA61">
            <v>-814</v>
          </cell>
          <cell r="CG61">
            <v>-1850</v>
          </cell>
          <cell r="CM61">
            <v>-958</v>
          </cell>
        </row>
        <row r="62">
          <cell r="P62">
            <v>0</v>
          </cell>
        </row>
        <row r="63">
          <cell r="A63" t="str">
            <v>One-time (charges)/gains after-tax</v>
          </cell>
          <cell r="B63">
            <v>0</v>
          </cell>
          <cell r="C63">
            <v>-2671</v>
          </cell>
          <cell r="D63">
            <v>-102</v>
          </cell>
          <cell r="E63">
            <v>-50</v>
          </cell>
          <cell r="F63">
            <v>97.271064467766337</v>
          </cell>
          <cell r="G63">
            <v>0</v>
          </cell>
          <cell r="H63">
            <v>0</v>
          </cell>
          <cell r="I63">
            <v>-385</v>
          </cell>
          <cell r="J63">
            <v>-688</v>
          </cell>
          <cell r="K63">
            <v>-1475</v>
          </cell>
          <cell r="L63">
            <v>-706</v>
          </cell>
          <cell r="M63">
            <v>-538</v>
          </cell>
          <cell r="P63">
            <v>-376.78236088365873</v>
          </cell>
          <cell r="Q63">
            <v>-262.70067566232024</v>
          </cell>
          <cell r="R63">
            <v>-96.027728916339555</v>
          </cell>
          <cell r="BB63">
            <v>97.271064467766337</v>
          </cell>
          <cell r="BC63">
            <v>97.271064467766337</v>
          </cell>
          <cell r="BT63">
            <v>-385</v>
          </cell>
          <cell r="BU63">
            <v>-385</v>
          </cell>
          <cell r="BW63">
            <v>-120</v>
          </cell>
          <cell r="BX63">
            <v>-137</v>
          </cell>
          <cell r="BY63">
            <v>-170</v>
          </cell>
          <cell r="BZ63">
            <v>-261</v>
          </cell>
          <cell r="CA63">
            <v>-688</v>
          </cell>
          <cell r="CC63">
            <v>-85</v>
          </cell>
          <cell r="CD63">
            <v>-120</v>
          </cell>
          <cell r="CE63">
            <v>-113</v>
          </cell>
          <cell r="CF63">
            <v>-1157</v>
          </cell>
          <cell r="CG63">
            <v>-1475</v>
          </cell>
          <cell r="CI63">
            <v>-238</v>
          </cell>
          <cell r="CJ63">
            <v>-146</v>
          </cell>
          <cell r="CK63">
            <v>-147</v>
          </cell>
          <cell r="CL63">
            <v>-175</v>
          </cell>
          <cell r="CM63">
            <v>-706</v>
          </cell>
          <cell r="CO63">
            <v>-113</v>
          </cell>
          <cell r="CP63">
            <v>-98</v>
          </cell>
          <cell r="CQ63">
            <v>-66</v>
          </cell>
          <cell r="CR63">
            <v>-261</v>
          </cell>
          <cell r="CS63">
            <v>-538</v>
          </cell>
          <cell r="CY63">
            <v>0</v>
          </cell>
        </row>
        <row r="64">
          <cell r="A64" t="str">
            <v>Net Income (w/one-timers)</v>
          </cell>
          <cell r="B64">
            <v>1872</v>
          </cell>
          <cell r="C64">
            <v>-656</v>
          </cell>
          <cell r="D64">
            <v>2209.98</v>
          </cell>
          <cell r="E64">
            <v>2645.0000000000005</v>
          </cell>
          <cell r="F64">
            <v>3046</v>
          </cell>
          <cell r="G64">
            <v>3415</v>
          </cell>
          <cell r="H64">
            <v>3780</v>
          </cell>
          <cell r="I64">
            <v>3763</v>
          </cell>
          <cell r="J64">
            <v>3542</v>
          </cell>
          <cell r="K64">
            <v>3140</v>
          </cell>
          <cell r="L64">
            <v>4352</v>
          </cell>
          <cell r="M64">
            <v>5186</v>
          </cell>
          <cell r="N64">
            <v>6481</v>
          </cell>
          <cell r="O64">
            <v>8660.0869999999995</v>
          </cell>
          <cell r="P64">
            <v>8750.608397015716</v>
          </cell>
          <cell r="Q64">
            <v>9714.0675507775377</v>
          </cell>
          <cell r="R64">
            <v>10984.596749736418</v>
          </cell>
          <cell r="S64">
            <v>12004.094634143226</v>
          </cell>
          <cell r="T64">
            <v>12875.915824424446</v>
          </cell>
          <cell r="U64">
            <v>13633.578475599756</v>
          </cell>
          <cell r="V64">
            <v>14399.407564326222</v>
          </cell>
          <cell r="W64">
            <v>15226.740546003475</v>
          </cell>
          <cell r="X64">
            <v>16118.536642458628</v>
          </cell>
          <cell r="Y64">
            <v>17036.197826876272</v>
          </cell>
          <cell r="Z64">
            <v>17937.315947991101</v>
          </cell>
          <cell r="AY64">
            <v>896</v>
          </cell>
          <cell r="AZ64">
            <v>836</v>
          </cell>
          <cell r="BA64">
            <v>760</v>
          </cell>
          <cell r="BB64">
            <v>501.17106446776631</v>
          </cell>
          <cell r="BC64">
            <v>3046</v>
          </cell>
          <cell r="BE64">
            <v>979</v>
          </cell>
          <cell r="BF64">
            <v>944</v>
          </cell>
          <cell r="BG64">
            <v>881</v>
          </cell>
          <cell r="BH64">
            <v>611</v>
          </cell>
          <cell r="BI64">
            <v>3415</v>
          </cell>
          <cell r="BK64">
            <v>1087</v>
          </cell>
          <cell r="BL64">
            <v>1046</v>
          </cell>
          <cell r="BM64">
            <v>961</v>
          </cell>
          <cell r="BN64">
            <v>686</v>
          </cell>
          <cell r="BO64">
            <v>3780</v>
          </cell>
          <cell r="BQ64">
            <v>1167</v>
          </cell>
          <cell r="BR64">
            <v>1142</v>
          </cell>
          <cell r="BS64">
            <v>1040</v>
          </cell>
          <cell r="BT64">
            <v>414</v>
          </cell>
          <cell r="BU64">
            <v>3763</v>
          </cell>
          <cell r="BW64">
            <v>1147</v>
          </cell>
          <cell r="BX64">
            <v>1126</v>
          </cell>
          <cell r="BY64">
            <v>753</v>
          </cell>
          <cell r="BZ64">
            <v>516</v>
          </cell>
          <cell r="CA64">
            <v>3542</v>
          </cell>
          <cell r="CC64">
            <v>1208</v>
          </cell>
          <cell r="CD64">
            <v>1249</v>
          </cell>
          <cell r="CE64">
            <v>949</v>
          </cell>
          <cell r="CF64">
            <v>-266</v>
          </cell>
          <cell r="CG64">
            <v>3140</v>
          </cell>
          <cell r="CI64">
            <v>1104</v>
          </cell>
          <cell r="CJ64">
            <v>1299</v>
          </cell>
          <cell r="CK64">
            <v>1039</v>
          </cell>
          <cell r="CL64">
            <v>910</v>
          </cell>
          <cell r="CM64">
            <v>4352</v>
          </cell>
          <cell r="CO64">
            <v>1464</v>
          </cell>
          <cell r="CP64">
            <v>1494</v>
          </cell>
          <cell r="CQ64">
            <v>1273</v>
          </cell>
          <cell r="CR64">
            <v>955</v>
          </cell>
          <cell r="CS64">
            <v>5186</v>
          </cell>
          <cell r="CU64">
            <v>1761</v>
          </cell>
          <cell r="CV64">
            <v>1818</v>
          </cell>
          <cell r="CW64">
            <v>1528</v>
          </cell>
          <cell r="CX64">
            <v>1374</v>
          </cell>
          <cell r="CY64">
            <v>6481</v>
          </cell>
        </row>
        <row r="65">
          <cell r="A65" t="str">
            <v>Preferred Dividends</v>
          </cell>
          <cell r="B65">
            <v>94</v>
          </cell>
          <cell r="C65">
            <v>102</v>
          </cell>
          <cell r="D65">
            <v>102</v>
          </cell>
          <cell r="E65">
            <v>102</v>
          </cell>
          <cell r="F65">
            <v>104</v>
          </cell>
          <cell r="G65">
            <v>104</v>
          </cell>
          <cell r="H65">
            <v>104</v>
          </cell>
          <cell r="I65">
            <v>108.5</v>
          </cell>
          <cell r="J65">
            <v>121</v>
          </cell>
          <cell r="K65">
            <v>120</v>
          </cell>
          <cell r="L65">
            <v>124</v>
          </cell>
          <cell r="M65">
            <v>125</v>
          </cell>
          <cell r="N65">
            <v>131</v>
          </cell>
          <cell r="O65">
            <v>136</v>
          </cell>
          <cell r="P65">
            <v>136</v>
          </cell>
          <cell r="Q65">
            <v>136</v>
          </cell>
          <cell r="R65">
            <v>136</v>
          </cell>
          <cell r="S65">
            <v>136</v>
          </cell>
          <cell r="T65">
            <v>136</v>
          </cell>
          <cell r="U65">
            <v>136</v>
          </cell>
          <cell r="V65">
            <v>136</v>
          </cell>
          <cell r="W65">
            <v>136</v>
          </cell>
          <cell r="X65">
            <v>136</v>
          </cell>
          <cell r="Y65">
            <v>136</v>
          </cell>
          <cell r="Z65">
            <v>136</v>
          </cell>
          <cell r="AY65">
            <v>26</v>
          </cell>
          <cell r="AZ65">
            <v>26</v>
          </cell>
          <cell r="BA65">
            <v>26</v>
          </cell>
          <cell r="BB65">
            <v>26</v>
          </cell>
          <cell r="BC65">
            <v>104</v>
          </cell>
          <cell r="BE65">
            <v>26</v>
          </cell>
          <cell r="BF65">
            <v>26</v>
          </cell>
          <cell r="BG65">
            <v>26</v>
          </cell>
          <cell r="BH65">
            <v>26</v>
          </cell>
          <cell r="BI65">
            <v>104</v>
          </cell>
          <cell r="BK65">
            <v>26</v>
          </cell>
          <cell r="BL65">
            <v>26</v>
          </cell>
          <cell r="BM65">
            <v>26</v>
          </cell>
          <cell r="BN65">
            <v>26</v>
          </cell>
          <cell r="BO65">
            <v>104</v>
          </cell>
          <cell r="BQ65">
            <v>25</v>
          </cell>
          <cell r="BR65">
            <v>29</v>
          </cell>
          <cell r="BS65">
            <v>28</v>
          </cell>
          <cell r="BT65">
            <v>26.5</v>
          </cell>
          <cell r="BU65">
            <v>108.5</v>
          </cell>
          <cell r="BW65">
            <v>30</v>
          </cell>
          <cell r="BX65">
            <v>29</v>
          </cell>
          <cell r="BY65">
            <v>28</v>
          </cell>
          <cell r="BZ65">
            <v>34</v>
          </cell>
          <cell r="CA65">
            <v>121</v>
          </cell>
          <cell r="CC65">
            <v>31</v>
          </cell>
          <cell r="CD65">
            <v>30</v>
          </cell>
          <cell r="CE65">
            <v>30</v>
          </cell>
          <cell r="CF65">
            <v>29</v>
          </cell>
          <cell r="CG65">
            <v>120</v>
          </cell>
          <cell r="CI65">
            <v>32</v>
          </cell>
          <cell r="CJ65">
            <v>31</v>
          </cell>
          <cell r="CK65">
            <v>31</v>
          </cell>
          <cell r="CL65">
            <v>30</v>
          </cell>
          <cell r="CM65">
            <v>124</v>
          </cell>
          <cell r="CO65">
            <v>32</v>
          </cell>
          <cell r="CP65">
            <v>31</v>
          </cell>
          <cell r="CQ65">
            <v>31</v>
          </cell>
          <cell r="CR65">
            <v>31</v>
          </cell>
          <cell r="CS65">
            <v>125</v>
          </cell>
          <cell r="CU65">
            <v>33</v>
          </cell>
          <cell r="CV65">
            <v>32</v>
          </cell>
          <cell r="CW65">
            <v>32</v>
          </cell>
          <cell r="CX65">
            <v>34</v>
          </cell>
          <cell r="CY65">
            <v>131</v>
          </cell>
        </row>
        <row r="66">
          <cell r="A66" t="str">
            <v>Core Net Income to Common (Basic)</v>
          </cell>
          <cell r="B66">
            <v>1778</v>
          </cell>
          <cell r="C66">
            <v>1913</v>
          </cell>
          <cell r="D66">
            <v>2209.98</v>
          </cell>
          <cell r="E66">
            <v>2593.0000000000005</v>
          </cell>
          <cell r="F66">
            <v>2844.7289355322337</v>
          </cell>
          <cell r="G66">
            <v>3311</v>
          </cell>
          <cell r="H66">
            <v>3676</v>
          </cell>
          <cell r="I66">
            <v>4039.5</v>
          </cell>
          <cell r="J66">
            <v>4109</v>
          </cell>
          <cell r="K66">
            <v>4495</v>
          </cell>
          <cell r="L66">
            <v>4934</v>
          </cell>
          <cell r="M66">
            <v>5599</v>
          </cell>
          <cell r="N66">
            <v>6350</v>
          </cell>
          <cell r="O66">
            <v>8524.0869999999995</v>
          </cell>
          <cell r="P66">
            <v>8991.3907578993749</v>
          </cell>
          <cell r="Q66">
            <v>9840.7682264398572</v>
          </cell>
          <cell r="R66">
            <v>10944.624478652757</v>
          </cell>
          <cell r="S66">
            <v>11868.094634143226</v>
          </cell>
          <cell r="T66">
            <v>12739.915824424446</v>
          </cell>
          <cell r="U66">
            <v>13497.578475599756</v>
          </cell>
          <cell r="V66">
            <v>14263.407564326222</v>
          </cell>
          <cell r="W66">
            <v>15090.740546003475</v>
          </cell>
          <cell r="X66">
            <v>15982.536642458628</v>
          </cell>
          <cell r="Y66">
            <v>16900.197826876272</v>
          </cell>
          <cell r="Z66">
            <v>17801.315947991101</v>
          </cell>
          <cell r="AY66">
            <v>870</v>
          </cell>
          <cell r="AZ66">
            <v>810</v>
          </cell>
          <cell r="BA66">
            <v>734</v>
          </cell>
          <cell r="BB66">
            <v>377.9</v>
          </cell>
          <cell r="BC66">
            <v>2844.7289355322337</v>
          </cell>
          <cell r="BE66">
            <v>953</v>
          </cell>
          <cell r="BF66">
            <v>918</v>
          </cell>
          <cell r="BG66">
            <v>855</v>
          </cell>
          <cell r="BH66">
            <v>585</v>
          </cell>
          <cell r="BI66">
            <v>3311</v>
          </cell>
          <cell r="BK66">
            <v>1061</v>
          </cell>
          <cell r="BL66">
            <v>1020</v>
          </cell>
          <cell r="BM66">
            <v>935</v>
          </cell>
          <cell r="BN66">
            <v>660</v>
          </cell>
          <cell r="BO66">
            <v>3676</v>
          </cell>
          <cell r="BQ66">
            <v>1142</v>
          </cell>
          <cell r="BR66">
            <v>1113</v>
          </cell>
          <cell r="BS66">
            <v>1012</v>
          </cell>
          <cell r="BT66">
            <v>772.5</v>
          </cell>
          <cell r="BU66">
            <v>4039.5</v>
          </cell>
          <cell r="BW66">
            <v>1237</v>
          </cell>
          <cell r="BX66">
            <v>1234</v>
          </cell>
          <cell r="BY66">
            <v>895</v>
          </cell>
          <cell r="BZ66">
            <v>743</v>
          </cell>
          <cell r="CA66">
            <v>4109</v>
          </cell>
          <cell r="CC66">
            <v>1262</v>
          </cell>
          <cell r="CD66">
            <v>1339</v>
          </cell>
          <cell r="CE66">
            <v>1032</v>
          </cell>
          <cell r="CF66">
            <v>862</v>
          </cell>
          <cell r="CG66">
            <v>4495</v>
          </cell>
          <cell r="CI66">
            <v>1310</v>
          </cell>
          <cell r="CJ66">
            <v>1414</v>
          </cell>
          <cell r="CK66">
            <v>1155</v>
          </cell>
          <cell r="CL66">
            <v>1055</v>
          </cell>
          <cell r="CM66">
            <v>4934</v>
          </cell>
          <cell r="CO66">
            <v>1545</v>
          </cell>
          <cell r="CP66">
            <v>1561</v>
          </cell>
          <cell r="CQ66">
            <v>1308</v>
          </cell>
          <cell r="CR66">
            <v>1185</v>
          </cell>
          <cell r="CS66">
            <v>5599</v>
          </cell>
          <cell r="CU66">
            <v>1728</v>
          </cell>
          <cell r="CV66">
            <v>1786</v>
          </cell>
          <cell r="CW66">
            <v>1496</v>
          </cell>
          <cell r="CX66">
            <v>1340</v>
          </cell>
          <cell r="CY66">
            <v>6350</v>
          </cell>
        </row>
        <row r="67">
          <cell r="A67" t="str">
            <v>% change vs. prior</v>
          </cell>
          <cell r="B67" t="str">
            <v>NA</v>
          </cell>
          <cell r="C67">
            <v>7.5928008998875196E-2</v>
          </cell>
          <cell r="D67">
            <v>0.1552430737062207</v>
          </cell>
          <cell r="E67">
            <v>0.17331378564511923</v>
          </cell>
          <cell r="F67">
            <v>9.7080191103830815E-2</v>
          </cell>
          <cell r="G67">
            <v>0.16390702771142207</v>
          </cell>
          <cell r="H67">
            <v>0.11023859861069174</v>
          </cell>
          <cell r="I67">
            <v>9.8884657236126161E-2</v>
          </cell>
          <cell r="J67">
            <v>1.7205099641044663E-2</v>
          </cell>
          <cell r="K67">
            <v>9.3940131418836614E-2</v>
          </cell>
          <cell r="L67">
            <v>9.7664071190211255E-2</v>
          </cell>
          <cell r="M67">
            <v>0.13477908390757998</v>
          </cell>
          <cell r="N67">
            <v>0.13413109483836405</v>
          </cell>
          <cell r="O67">
            <v>0.34237590551181096</v>
          </cell>
          <cell r="P67">
            <v>5.482156128854343E-2</v>
          </cell>
          <cell r="Q67">
            <v>9.4465638454680922E-2</v>
          </cell>
          <cell r="R67">
            <v>0.11217175598619367</v>
          </cell>
          <cell r="S67">
            <v>8.4376595770067508E-2</v>
          </cell>
          <cell r="T67">
            <v>7.3459238163898988E-2</v>
          </cell>
          <cell r="U67">
            <v>5.9471558652118395E-2</v>
          </cell>
          <cell r="V67">
            <v>5.6738257911290724E-2</v>
          </cell>
          <cell r="W67">
            <v>5.8003880064850133E-2</v>
          </cell>
          <cell r="X67">
            <v>5.9095582071439834E-2</v>
          </cell>
          <cell r="Y67">
            <v>5.7416491821443261E-2</v>
          </cell>
          <cell r="Z67">
            <v>5.3319974733182507E-2</v>
          </cell>
          <cell r="AY67" t="str">
            <v>NA</v>
          </cell>
          <cell r="AZ67" t="str">
            <v>NA</v>
          </cell>
          <cell r="BA67" t="str">
            <v>NA</v>
          </cell>
          <cell r="BB67" t="str">
            <v>NA</v>
          </cell>
          <cell r="BC67">
            <v>9.7080191103830815E-2</v>
          </cell>
          <cell r="BE67">
            <v>9.5402298850574718E-2</v>
          </cell>
          <cell r="BF67">
            <v>0.1333333333333333</v>
          </cell>
          <cell r="BG67">
            <v>0.16485013623978206</v>
          </cell>
          <cell r="BH67">
            <v>0.54802857898915058</v>
          </cell>
          <cell r="BI67">
            <v>0.16390702771142207</v>
          </cell>
          <cell r="BK67">
            <v>0.11332633788037771</v>
          </cell>
          <cell r="BL67">
            <v>0.11111111111111116</v>
          </cell>
          <cell r="BM67">
            <v>9.3567251461988299E-2</v>
          </cell>
          <cell r="BN67">
            <v>0.12820512820512819</v>
          </cell>
          <cell r="BO67">
            <v>0.11023859861069174</v>
          </cell>
          <cell r="BQ67">
            <v>7.6343072573044291E-2</v>
          </cell>
          <cell r="BR67">
            <v>9.1176470588235192E-2</v>
          </cell>
          <cell r="BS67">
            <v>8.2352941176470518E-2</v>
          </cell>
          <cell r="BT67">
            <v>0.17045454545454541</v>
          </cell>
          <cell r="BU67">
            <v>9.8884657236126161E-2</v>
          </cell>
          <cell r="BW67">
            <v>8.3187390542907247E-2</v>
          </cell>
          <cell r="BX67">
            <v>0.10871518418688231</v>
          </cell>
          <cell r="BY67">
            <v>-0.11561264822134387</v>
          </cell>
          <cell r="BZ67">
            <v>-3.8187702265372159E-2</v>
          </cell>
          <cell r="CA67">
            <v>1.7205099641044663E-2</v>
          </cell>
          <cell r="CC67">
            <v>-2.2635408245755828E-2</v>
          </cell>
          <cell r="CD67">
            <v>4.0518638573743937E-2</v>
          </cell>
          <cell r="CE67">
            <v>9.0502793296089346E-2</v>
          </cell>
          <cell r="CF67">
            <v>8.6137281292059109E-2</v>
          </cell>
          <cell r="CG67">
            <v>4.0642492090533056E-2</v>
          </cell>
          <cell r="CI67">
            <v>3.8034865293185449E-2</v>
          </cell>
          <cell r="CJ67">
            <v>5.6011949215832635E-2</v>
          </cell>
          <cell r="CK67">
            <v>0.1191860465116279</v>
          </cell>
          <cell r="CL67">
            <v>0.22389791183294672</v>
          </cell>
          <cell r="CM67">
            <v>9.7664071190211255E-2</v>
          </cell>
          <cell r="CO67">
            <v>0.17938931297709915</v>
          </cell>
          <cell r="CP67">
            <v>0.10396039603960405</v>
          </cell>
          <cell r="CQ67">
            <v>0.1324675324675324</v>
          </cell>
          <cell r="CR67">
            <v>0.12322274881516582</v>
          </cell>
          <cell r="CS67">
            <v>0.13477908390757998</v>
          </cell>
          <cell r="CU67">
            <v>0.11844660194174761</v>
          </cell>
          <cell r="CV67">
            <v>0.14413837283792441</v>
          </cell>
          <cell r="CW67">
            <v>0.14373088685015301</v>
          </cell>
          <cell r="CX67">
            <v>0.13080168776371304</v>
          </cell>
          <cell r="CY67">
            <v>0.13413109483836405</v>
          </cell>
        </row>
        <row r="68">
          <cell r="A68" t="str">
            <v>Preferred Dividend Impact on ESOP/ Options</v>
          </cell>
          <cell r="B68">
            <v>49</v>
          </cell>
          <cell r="C68">
            <v>57</v>
          </cell>
          <cell r="D68">
            <v>51</v>
          </cell>
          <cell r="E68">
            <v>45</v>
          </cell>
          <cell r="F68">
            <v>39</v>
          </cell>
          <cell r="G68">
            <v>32</v>
          </cell>
          <cell r="H68">
            <v>25</v>
          </cell>
          <cell r="I68">
            <v>22</v>
          </cell>
          <cell r="J68">
            <v>18</v>
          </cell>
          <cell r="K68">
            <v>15</v>
          </cell>
          <cell r="L68">
            <v>12</v>
          </cell>
          <cell r="M68">
            <v>9</v>
          </cell>
          <cell r="N68">
            <v>4</v>
          </cell>
          <cell r="O68">
            <v>0</v>
          </cell>
          <cell r="P68">
            <v>0</v>
          </cell>
          <cell r="Q68">
            <v>0</v>
          </cell>
          <cell r="R68">
            <v>0</v>
          </cell>
          <cell r="S68">
            <v>0</v>
          </cell>
          <cell r="T68">
            <v>0</v>
          </cell>
          <cell r="U68">
            <v>0</v>
          </cell>
          <cell r="V68">
            <v>0</v>
          </cell>
          <cell r="W68">
            <v>0</v>
          </cell>
          <cell r="X68">
            <v>0</v>
          </cell>
          <cell r="Y68">
            <v>0</v>
          </cell>
          <cell r="Z68">
            <v>0</v>
          </cell>
          <cell r="AY68">
            <v>10</v>
          </cell>
          <cell r="AZ68">
            <v>10</v>
          </cell>
          <cell r="BA68">
            <v>9</v>
          </cell>
          <cell r="BB68">
            <v>29</v>
          </cell>
          <cell r="BC68">
            <v>39</v>
          </cell>
          <cell r="BE68">
            <v>8</v>
          </cell>
          <cell r="BF68">
            <v>8</v>
          </cell>
          <cell r="BG68">
            <v>8</v>
          </cell>
          <cell r="BH68">
            <v>8</v>
          </cell>
          <cell r="BI68">
            <v>32</v>
          </cell>
          <cell r="BK68">
            <v>7</v>
          </cell>
          <cell r="BL68">
            <v>6</v>
          </cell>
          <cell r="BM68">
            <v>6</v>
          </cell>
          <cell r="BN68">
            <v>6</v>
          </cell>
          <cell r="BO68">
            <v>25</v>
          </cell>
          <cell r="BQ68">
            <v>5</v>
          </cell>
          <cell r="BR68">
            <v>6</v>
          </cell>
          <cell r="BS68">
            <v>6</v>
          </cell>
          <cell r="BT68">
            <v>5</v>
          </cell>
          <cell r="BU68">
            <v>22</v>
          </cell>
          <cell r="BW68">
            <v>5</v>
          </cell>
          <cell r="BX68">
            <v>5</v>
          </cell>
          <cell r="BY68">
            <v>5</v>
          </cell>
          <cell r="BZ68">
            <v>3</v>
          </cell>
          <cell r="CA68">
            <v>18</v>
          </cell>
          <cell r="CC68">
            <v>4</v>
          </cell>
          <cell r="CD68">
            <v>4</v>
          </cell>
          <cell r="CE68">
            <v>4</v>
          </cell>
          <cell r="CF68">
            <v>3</v>
          </cell>
          <cell r="CG68">
            <v>15</v>
          </cell>
          <cell r="CI68">
            <v>3</v>
          </cell>
          <cell r="CJ68">
            <v>2</v>
          </cell>
          <cell r="CK68">
            <v>3</v>
          </cell>
          <cell r="CL68">
            <v>4</v>
          </cell>
          <cell r="CM68">
            <v>12</v>
          </cell>
          <cell r="CO68">
            <v>2</v>
          </cell>
          <cell r="CP68">
            <v>3</v>
          </cell>
          <cell r="CQ68">
            <v>2</v>
          </cell>
          <cell r="CR68">
            <v>2</v>
          </cell>
          <cell r="CS68">
            <v>9</v>
          </cell>
          <cell r="CU68">
            <v>1</v>
          </cell>
          <cell r="CV68">
            <v>1</v>
          </cell>
          <cell r="CW68">
            <v>1</v>
          </cell>
          <cell r="CX68">
            <v>1</v>
          </cell>
          <cell r="CY68">
            <v>4</v>
          </cell>
        </row>
        <row r="69">
          <cell r="A69" t="str">
            <v>Core Net Income to Common (Diluted)</v>
          </cell>
          <cell r="B69">
            <v>1823</v>
          </cell>
          <cell r="C69">
            <v>1958</v>
          </cell>
          <cell r="D69">
            <v>2260.98</v>
          </cell>
          <cell r="E69">
            <v>2650.0000000000005</v>
          </cell>
          <cell r="F69">
            <v>2909.7289355322337</v>
          </cell>
          <cell r="G69">
            <v>3383</v>
          </cell>
          <cell r="H69">
            <v>3755</v>
          </cell>
          <cell r="I69">
            <v>4126</v>
          </cell>
          <cell r="J69">
            <v>4212</v>
          </cell>
          <cell r="K69">
            <v>4600</v>
          </cell>
          <cell r="L69">
            <v>5046</v>
          </cell>
          <cell r="M69">
            <v>5715</v>
          </cell>
          <cell r="N69">
            <v>6477</v>
          </cell>
          <cell r="O69">
            <v>8660.0869999999995</v>
          </cell>
          <cell r="P69">
            <v>9127.3907578993749</v>
          </cell>
          <cell r="Q69">
            <v>9976.7682264398572</v>
          </cell>
          <cell r="R69">
            <v>11080.624478652757</v>
          </cell>
          <cell r="S69">
            <v>12004.094634143226</v>
          </cell>
          <cell r="T69">
            <v>12875.915824424446</v>
          </cell>
          <cell r="U69">
            <v>13633.578475599756</v>
          </cell>
          <cell r="V69">
            <v>14399.407564326222</v>
          </cell>
          <cell r="W69">
            <v>15226.740546003475</v>
          </cell>
          <cell r="X69">
            <v>16118.536642458628</v>
          </cell>
          <cell r="Y69">
            <v>17036.197826876272</v>
          </cell>
          <cell r="Z69">
            <v>17937.315947991101</v>
          </cell>
          <cell r="AY69">
            <v>886</v>
          </cell>
          <cell r="AZ69">
            <v>826</v>
          </cell>
          <cell r="BA69">
            <v>751</v>
          </cell>
          <cell r="BB69">
            <v>374.9</v>
          </cell>
          <cell r="BC69">
            <v>2909.7289355322337</v>
          </cell>
          <cell r="BE69">
            <v>971</v>
          </cell>
          <cell r="BF69">
            <v>936</v>
          </cell>
          <cell r="BG69">
            <v>873</v>
          </cell>
          <cell r="BH69">
            <v>603</v>
          </cell>
          <cell r="BI69">
            <v>3383</v>
          </cell>
          <cell r="BK69">
            <v>1080</v>
          </cell>
          <cell r="BL69">
            <v>1040</v>
          </cell>
          <cell r="BM69">
            <v>955</v>
          </cell>
          <cell r="BN69">
            <v>680</v>
          </cell>
          <cell r="BO69">
            <v>3755</v>
          </cell>
          <cell r="BQ69">
            <v>1162</v>
          </cell>
          <cell r="BR69">
            <v>1136</v>
          </cell>
          <cell r="BS69">
            <v>1034</v>
          </cell>
          <cell r="BT69">
            <v>794</v>
          </cell>
          <cell r="BU69">
            <v>4126</v>
          </cell>
          <cell r="BW69">
            <v>1262</v>
          </cell>
          <cell r="BX69">
            <v>1258</v>
          </cell>
          <cell r="BY69">
            <v>918</v>
          </cell>
          <cell r="BZ69">
            <v>774</v>
          </cell>
          <cell r="CA69">
            <v>4212</v>
          </cell>
          <cell r="CC69">
            <v>1289</v>
          </cell>
          <cell r="CD69">
            <v>1365</v>
          </cell>
          <cell r="CE69">
            <v>1058</v>
          </cell>
          <cell r="CF69">
            <v>888</v>
          </cell>
          <cell r="CG69">
            <v>4600</v>
          </cell>
          <cell r="CI69">
            <v>1339</v>
          </cell>
          <cell r="CJ69">
            <v>1443</v>
          </cell>
          <cell r="CK69">
            <v>1183</v>
          </cell>
          <cell r="CL69">
            <v>1081</v>
          </cell>
          <cell r="CM69">
            <v>5046</v>
          </cell>
          <cell r="CO69">
            <v>1575</v>
          </cell>
          <cell r="CP69">
            <v>1589</v>
          </cell>
          <cell r="CQ69">
            <v>1337</v>
          </cell>
          <cell r="CR69">
            <v>1214</v>
          </cell>
          <cell r="CS69">
            <v>5715</v>
          </cell>
          <cell r="CU69">
            <v>1760</v>
          </cell>
          <cell r="CV69">
            <v>1817</v>
          </cell>
          <cell r="CW69">
            <v>1527</v>
          </cell>
          <cell r="CX69">
            <v>1373</v>
          </cell>
          <cell r="CY69">
            <v>6477</v>
          </cell>
        </row>
        <row r="70">
          <cell r="A70" t="str">
            <v>% change vs. prior</v>
          </cell>
          <cell r="B70" t="str">
            <v>NA</v>
          </cell>
          <cell r="C70">
            <v>7.4053757542512422E-2</v>
          </cell>
          <cell r="D70">
            <v>0.15473953013278852</v>
          </cell>
          <cell r="E70">
            <v>0.17205813408345083</v>
          </cell>
          <cell r="F70">
            <v>9.8010919068767244E-2</v>
          </cell>
          <cell r="G70">
            <v>0.16265125547895676</v>
          </cell>
          <cell r="H70">
            <v>0.10996157256872596</v>
          </cell>
          <cell r="I70">
            <v>9.8801597869507374E-2</v>
          </cell>
          <cell r="J70">
            <v>2.0843431895298137E-2</v>
          </cell>
          <cell r="K70">
            <v>9.2117758784425519E-2</v>
          </cell>
          <cell r="L70">
            <v>9.6956521739130386E-2</v>
          </cell>
          <cell r="M70">
            <v>0.13258026159334135</v>
          </cell>
          <cell r="N70">
            <v>0.1333333333333333</v>
          </cell>
          <cell r="O70">
            <v>0.33705218465338893</v>
          </cell>
          <cell r="P70">
            <v>5.3960630868878701E-2</v>
          </cell>
          <cell r="Q70">
            <v>9.3058081008023263E-2</v>
          </cell>
          <cell r="R70">
            <v>0.11064266776164278</v>
          </cell>
          <cell r="S70">
            <v>8.3340984731462564E-2</v>
          </cell>
          <cell r="T70">
            <v>7.262698411269608E-2</v>
          </cell>
          <cell r="U70">
            <v>5.8843398908999589E-2</v>
          </cell>
          <cell r="V70">
            <v>5.6172272752680774E-2</v>
          </cell>
          <cell r="W70">
            <v>5.7456043103254251E-2</v>
          </cell>
          <cell r="X70">
            <v>5.8567760694472559E-2</v>
          </cell>
          <cell r="Y70">
            <v>5.6932040716425103E-2</v>
          </cell>
          <cell r="Z70">
            <v>5.2894321272392464E-2</v>
          </cell>
          <cell r="AY70" t="str">
            <v>NA</v>
          </cell>
          <cell r="AZ70" t="str">
            <v>NA</v>
          </cell>
          <cell r="BA70" t="str">
            <v>NA</v>
          </cell>
          <cell r="BB70" t="str">
            <v>NA</v>
          </cell>
          <cell r="BC70">
            <v>9.8010919068767244E-2</v>
          </cell>
          <cell r="BE70">
            <v>9.5936794582392793E-2</v>
          </cell>
          <cell r="BF70">
            <v>0.13317191283292984</v>
          </cell>
          <cell r="BG70">
            <v>0.16245006657789607</v>
          </cell>
          <cell r="BH70">
            <v>0.60842891437716728</v>
          </cell>
          <cell r="BI70">
            <v>0.16265125547895676</v>
          </cell>
          <cell r="BK70">
            <v>0.11225540679711643</v>
          </cell>
          <cell r="BL70">
            <v>0.11111111111111116</v>
          </cell>
          <cell r="BM70">
            <v>9.3928980526918782E-2</v>
          </cell>
          <cell r="BN70">
            <v>0.12769485903814259</v>
          </cell>
          <cell r="BO70">
            <v>0.10996157256872596</v>
          </cell>
          <cell r="BQ70">
            <v>7.5925925925925952E-2</v>
          </cell>
          <cell r="BR70">
            <v>9.2307692307692202E-2</v>
          </cell>
          <cell r="BS70">
            <v>8.2722513089005245E-2</v>
          </cell>
          <cell r="BT70">
            <v>0.16764705882352948</v>
          </cell>
          <cell r="BU70">
            <v>9.8801597869507374E-2</v>
          </cell>
          <cell r="BW70">
            <v>8.6058519793459576E-2</v>
          </cell>
          <cell r="BX70">
            <v>0.10739436619718301</v>
          </cell>
          <cell r="BY70">
            <v>-0.11218568665377171</v>
          </cell>
          <cell r="BZ70">
            <v>-2.5188916876574319E-2</v>
          </cell>
          <cell r="CA70">
            <v>2.0843431895298137E-2</v>
          </cell>
          <cell r="CC70">
            <v>-2.0602218700475405E-2</v>
          </cell>
          <cell r="CD70">
            <v>4.133545310015907E-2</v>
          </cell>
          <cell r="CE70">
            <v>9.1503267973856106E-2</v>
          </cell>
          <cell r="CF70">
            <v>7.7519379844961156E-2</v>
          </cell>
          <cell r="CG70">
            <v>4.0360873694206933E-2</v>
          </cell>
          <cell r="CI70">
            <v>3.8789759503491172E-2</v>
          </cell>
          <cell r="CJ70">
            <v>5.7142857142857162E-2</v>
          </cell>
          <cell r="CK70">
            <v>0.11814744801512278</v>
          </cell>
          <cell r="CL70">
            <v>0.2173423423423424</v>
          </cell>
          <cell r="CM70">
            <v>9.6956521739130386E-2</v>
          </cell>
          <cell r="CO70">
            <v>0.17625093353248689</v>
          </cell>
          <cell r="CP70">
            <v>0.10117810117810122</v>
          </cell>
          <cell r="CQ70">
            <v>0.13017751479289941</v>
          </cell>
          <cell r="CR70">
            <v>0.1230342275670675</v>
          </cell>
          <cell r="CS70">
            <v>0.13258026159334135</v>
          </cell>
          <cell r="CU70">
            <v>0.11746031746031749</v>
          </cell>
          <cell r="CV70">
            <v>0.14348646947765897</v>
          </cell>
          <cell r="CW70">
            <v>0.14210919970082281</v>
          </cell>
          <cell r="CX70">
            <v>0.13097199341021426</v>
          </cell>
          <cell r="CY70">
            <v>0.1333333333333333</v>
          </cell>
        </row>
        <row r="71">
          <cell r="A71" t="str">
            <v>Core Earnings Per Share</v>
          </cell>
        </row>
        <row r="72">
          <cell r="A72" t="str">
            <v>Basic</v>
          </cell>
          <cell r="B72">
            <v>0.66</v>
          </cell>
          <cell r="C72">
            <v>0.7</v>
          </cell>
          <cell r="D72">
            <v>0.81</v>
          </cell>
          <cell r="E72">
            <v>0.94</v>
          </cell>
          <cell r="F72">
            <v>1.04</v>
          </cell>
          <cell r="G72">
            <v>1.22</v>
          </cell>
          <cell r="H72">
            <v>1.37</v>
          </cell>
          <cell r="I72">
            <v>1.52</v>
          </cell>
          <cell r="J72">
            <v>1.56</v>
          </cell>
          <cell r="K72">
            <v>1.73</v>
          </cell>
          <cell r="L72">
            <v>1.9</v>
          </cell>
          <cell r="M72">
            <v>2.16</v>
          </cell>
          <cell r="N72">
            <v>2.46</v>
          </cell>
          <cell r="O72">
            <v>2.4500000000000002</v>
          </cell>
          <cell r="P72">
            <v>2.76</v>
          </cell>
          <cell r="Q72">
            <v>3.21</v>
          </cell>
          <cell r="R72">
            <v>3.67</v>
          </cell>
          <cell r="S72">
            <v>4.12</v>
          </cell>
          <cell r="T72">
            <v>4.5999999999999996</v>
          </cell>
          <cell r="U72">
            <v>5.09</v>
          </cell>
          <cell r="V72">
            <v>5.62</v>
          </cell>
          <cell r="W72">
            <v>6.19</v>
          </cell>
          <cell r="X72">
            <v>6.8</v>
          </cell>
          <cell r="Y72">
            <v>7.45</v>
          </cell>
          <cell r="Z72">
            <v>8.1</v>
          </cell>
          <cell r="AY72">
            <v>0.32</v>
          </cell>
          <cell r="AZ72">
            <v>0.3</v>
          </cell>
          <cell r="BA72">
            <v>0.27</v>
          </cell>
          <cell r="BB72">
            <v>0.14000000000000001</v>
          </cell>
          <cell r="BC72">
            <v>1.04</v>
          </cell>
          <cell r="BE72">
            <v>0.35</v>
          </cell>
          <cell r="BF72">
            <v>0.34</v>
          </cell>
          <cell r="BG72">
            <v>0.31</v>
          </cell>
          <cell r="BH72">
            <v>0.22</v>
          </cell>
          <cell r="BI72">
            <v>1.22</v>
          </cell>
          <cell r="BK72">
            <v>0.39</v>
          </cell>
          <cell r="BL72">
            <v>0.38</v>
          </cell>
          <cell r="BM72">
            <v>0.35</v>
          </cell>
          <cell r="BN72">
            <v>0.25</v>
          </cell>
          <cell r="BO72">
            <v>1.37</v>
          </cell>
          <cell r="BQ72">
            <v>0.43</v>
          </cell>
          <cell r="BR72">
            <v>0.42</v>
          </cell>
          <cell r="BS72">
            <v>0.38</v>
          </cell>
          <cell r="BT72">
            <v>0.28999999999999998</v>
          </cell>
          <cell r="BU72">
            <v>1.52</v>
          </cell>
          <cell r="BW72">
            <v>0.47</v>
          </cell>
          <cell r="BX72">
            <v>0.47</v>
          </cell>
          <cell r="BY72">
            <v>0.34</v>
          </cell>
          <cell r="BZ72">
            <v>0.28000000000000003</v>
          </cell>
          <cell r="CA72">
            <v>1.56</v>
          </cell>
          <cell r="CC72">
            <v>0.48</v>
          </cell>
          <cell r="CD72">
            <v>0.51</v>
          </cell>
          <cell r="CE72">
            <v>0.4</v>
          </cell>
          <cell r="CF72">
            <v>0.33</v>
          </cell>
          <cell r="CG72">
            <v>1.73</v>
          </cell>
          <cell r="CI72">
            <v>0.51</v>
          </cell>
          <cell r="CJ72">
            <v>0.55000000000000004</v>
          </cell>
          <cell r="CK72">
            <v>0.44</v>
          </cell>
          <cell r="CL72">
            <v>0.41</v>
          </cell>
          <cell r="CM72">
            <v>1.9</v>
          </cell>
          <cell r="CO72">
            <v>0.59</v>
          </cell>
          <cell r="CP72">
            <v>0.6</v>
          </cell>
          <cell r="CQ72">
            <v>0.51</v>
          </cell>
          <cell r="CR72">
            <v>0.46</v>
          </cell>
          <cell r="CS72">
            <v>2.16</v>
          </cell>
          <cell r="CU72">
            <v>0.67</v>
          </cell>
          <cell r="CV72">
            <v>0.69</v>
          </cell>
          <cell r="CW72">
            <v>0.57999999999999996</v>
          </cell>
          <cell r="CX72">
            <v>0.52</v>
          </cell>
          <cell r="CY72">
            <v>2.46</v>
          </cell>
        </row>
        <row r="73">
          <cell r="A73" t="str">
            <v>Diluted (Pro Forma)</v>
          </cell>
          <cell r="B73">
            <v>0.62</v>
          </cell>
          <cell r="C73">
            <v>0.66</v>
          </cell>
          <cell r="D73">
            <v>0.76</v>
          </cell>
          <cell r="E73">
            <v>0.89</v>
          </cell>
          <cell r="F73">
            <v>0.97</v>
          </cell>
          <cell r="G73">
            <v>1.1399999999999999</v>
          </cell>
          <cell r="H73">
            <v>1.28</v>
          </cell>
          <cell r="I73">
            <v>1.43</v>
          </cell>
          <cell r="J73">
            <v>1.48</v>
          </cell>
          <cell r="K73">
            <v>1.64</v>
          </cell>
          <cell r="L73">
            <v>1.8</v>
          </cell>
          <cell r="M73">
            <v>2.04</v>
          </cell>
          <cell r="N73">
            <v>2.33</v>
          </cell>
          <cell r="O73">
            <v>2.4</v>
          </cell>
          <cell r="P73">
            <v>2.62</v>
          </cell>
          <cell r="Q73">
            <v>3.04</v>
          </cell>
          <cell r="R73">
            <v>3.46</v>
          </cell>
          <cell r="S73">
            <v>3.88</v>
          </cell>
          <cell r="T73">
            <v>4.3099999999999996</v>
          </cell>
          <cell r="U73">
            <v>4.75</v>
          </cell>
          <cell r="V73">
            <v>5.22</v>
          </cell>
          <cell r="W73">
            <v>5.73</v>
          </cell>
          <cell r="X73">
            <v>6.28</v>
          </cell>
          <cell r="Y73">
            <v>6.85</v>
          </cell>
          <cell r="Z73">
            <v>7.43</v>
          </cell>
          <cell r="AB73">
            <v>0.12422491453398887</v>
          </cell>
          <cell r="AY73">
            <v>0.3</v>
          </cell>
          <cell r="AZ73">
            <v>0.28000000000000003</v>
          </cell>
          <cell r="BA73">
            <v>0.25</v>
          </cell>
          <cell r="BB73">
            <v>0.13</v>
          </cell>
          <cell r="BC73">
            <v>0.97</v>
          </cell>
          <cell r="BE73">
            <v>0.33</v>
          </cell>
          <cell r="BF73">
            <v>0.31</v>
          </cell>
          <cell r="BG73">
            <v>0.28999999999999998</v>
          </cell>
          <cell r="BH73">
            <v>0.2</v>
          </cell>
          <cell r="BI73">
            <v>1.1399999999999999</v>
          </cell>
          <cell r="BK73">
            <v>0.37</v>
          </cell>
          <cell r="BL73">
            <v>0.35</v>
          </cell>
          <cell r="BM73">
            <v>0.33</v>
          </cell>
          <cell r="BN73">
            <v>0.24</v>
          </cell>
          <cell r="BO73">
            <v>1.28</v>
          </cell>
          <cell r="BQ73">
            <v>0.4</v>
          </cell>
          <cell r="BR73">
            <v>0.39</v>
          </cell>
          <cell r="BS73">
            <v>0.36</v>
          </cell>
          <cell r="BT73">
            <v>0.27</v>
          </cell>
          <cell r="BU73">
            <v>1.43</v>
          </cell>
          <cell r="BW73">
            <v>0.44</v>
          </cell>
          <cell r="BX73">
            <v>0.44</v>
          </cell>
          <cell r="BY73">
            <v>0.32</v>
          </cell>
          <cell r="BZ73">
            <v>0.27</v>
          </cell>
          <cell r="CA73">
            <v>1.48</v>
          </cell>
          <cell r="CC73">
            <v>0.46</v>
          </cell>
          <cell r="CD73">
            <v>0.48</v>
          </cell>
          <cell r="CE73">
            <v>0.38</v>
          </cell>
          <cell r="CF73">
            <v>0.32</v>
          </cell>
          <cell r="CG73">
            <v>1.64</v>
          </cell>
          <cell r="CI73">
            <v>0.48</v>
          </cell>
          <cell r="CJ73">
            <v>0.51</v>
          </cell>
          <cell r="CK73">
            <v>0.42</v>
          </cell>
          <cell r="CL73">
            <v>0.38</v>
          </cell>
          <cell r="CM73">
            <v>1.8</v>
          </cell>
          <cell r="CO73">
            <v>0.56000000000000005</v>
          </cell>
          <cell r="CP73">
            <v>0.56999999999999995</v>
          </cell>
          <cell r="CQ73">
            <v>0.48</v>
          </cell>
          <cell r="CR73">
            <v>0.43</v>
          </cell>
          <cell r="CS73">
            <v>2.04</v>
          </cell>
          <cell r="CU73">
            <v>0.63</v>
          </cell>
          <cell r="CV73">
            <v>0.65</v>
          </cell>
          <cell r="CW73">
            <v>0.55000000000000004</v>
          </cell>
          <cell r="CX73">
            <v>0.5</v>
          </cell>
          <cell r="CY73">
            <v>2.33</v>
          </cell>
        </row>
        <row r="74">
          <cell r="A74" t="str">
            <v>After One-time charges (Diluted)</v>
          </cell>
          <cell r="B74">
            <v>0.62</v>
          </cell>
          <cell r="C74">
            <v>-0.24</v>
          </cell>
          <cell r="D74">
            <v>0.73</v>
          </cell>
          <cell r="E74">
            <v>0.87</v>
          </cell>
          <cell r="F74">
            <v>1</v>
          </cell>
          <cell r="G74">
            <v>1.1399999999999999</v>
          </cell>
          <cell r="H74">
            <v>1.28</v>
          </cell>
          <cell r="I74">
            <v>1.29</v>
          </cell>
          <cell r="J74">
            <v>1.23</v>
          </cell>
          <cell r="K74">
            <v>1.1100000000000001</v>
          </cell>
          <cell r="L74">
            <v>1.54</v>
          </cell>
          <cell r="M74">
            <v>1.85</v>
          </cell>
          <cell r="N74">
            <v>2.3199999999999998</v>
          </cell>
          <cell r="O74">
            <v>2.33</v>
          </cell>
          <cell r="P74">
            <v>2.5099999999999998</v>
          </cell>
          <cell r="Q74">
            <v>2.96</v>
          </cell>
          <cell r="R74">
            <v>3.43</v>
          </cell>
          <cell r="S74">
            <v>3.88</v>
          </cell>
          <cell r="T74">
            <v>4.3099999999999996</v>
          </cell>
          <cell r="U74">
            <v>4.75</v>
          </cell>
          <cell r="V74">
            <v>5.22</v>
          </cell>
          <cell r="W74">
            <v>5.73</v>
          </cell>
          <cell r="X74">
            <v>6.28</v>
          </cell>
          <cell r="Y74">
            <v>6.85</v>
          </cell>
          <cell r="Z74">
            <v>7.43</v>
          </cell>
          <cell r="AY74">
            <v>0.3</v>
          </cell>
          <cell r="AZ74">
            <v>0.28000000000000003</v>
          </cell>
          <cell r="BA74">
            <v>0.25</v>
          </cell>
          <cell r="BB74">
            <v>0.16</v>
          </cell>
          <cell r="BC74">
            <v>1</v>
          </cell>
          <cell r="BE74">
            <v>0.33</v>
          </cell>
          <cell r="BF74">
            <v>0.31</v>
          </cell>
          <cell r="BG74">
            <v>0.28999999999999998</v>
          </cell>
          <cell r="BH74">
            <v>0.2</v>
          </cell>
          <cell r="BI74">
            <v>1.1399999999999999</v>
          </cell>
          <cell r="BK74">
            <v>0.37</v>
          </cell>
          <cell r="BL74">
            <v>0.35</v>
          </cell>
          <cell r="BM74">
            <v>0.33</v>
          </cell>
          <cell r="BN74">
            <v>0.24</v>
          </cell>
          <cell r="BO74">
            <v>1.28</v>
          </cell>
          <cell r="BQ74">
            <v>0.4</v>
          </cell>
          <cell r="BR74">
            <v>0.39</v>
          </cell>
          <cell r="BS74">
            <v>0.36</v>
          </cell>
          <cell r="BT74">
            <v>0.14000000000000001</v>
          </cell>
          <cell r="BU74">
            <v>1.29</v>
          </cell>
          <cell r="BW74">
            <v>0.4</v>
          </cell>
          <cell r="BX74">
            <v>0.39</v>
          </cell>
          <cell r="BY74">
            <v>0.26</v>
          </cell>
          <cell r="BZ74">
            <v>0.18</v>
          </cell>
          <cell r="CA74">
            <v>1.23</v>
          </cell>
          <cell r="CC74">
            <v>0.43</v>
          </cell>
          <cell r="CD74">
            <v>0.44</v>
          </cell>
          <cell r="CE74">
            <v>0.34</v>
          </cell>
          <cell r="CF74">
            <v>-0.1</v>
          </cell>
          <cell r="CG74">
            <v>1.1100000000000001</v>
          </cell>
          <cell r="CI74">
            <v>0.39</v>
          </cell>
          <cell r="CJ74">
            <v>0.46</v>
          </cell>
          <cell r="CK74">
            <v>0.37</v>
          </cell>
          <cell r="CL74">
            <v>0.32</v>
          </cell>
          <cell r="CM74">
            <v>1.54</v>
          </cell>
          <cell r="CO74">
            <v>0.52</v>
          </cell>
          <cell r="CP74">
            <v>0.53</v>
          </cell>
          <cell r="CQ74">
            <v>0.46</v>
          </cell>
          <cell r="CR74">
            <v>0.34</v>
          </cell>
          <cell r="CS74">
            <v>1.85</v>
          </cell>
          <cell r="CU74">
            <v>0.63</v>
          </cell>
          <cell r="CV74">
            <v>0.65</v>
          </cell>
          <cell r="CW74">
            <v>0.55000000000000004</v>
          </cell>
          <cell r="CX74">
            <v>0.5</v>
          </cell>
          <cell r="CY74">
            <v>2.3199999999999998</v>
          </cell>
        </row>
        <row r="75">
          <cell r="A75" t="str">
            <v>% change vs. prior</v>
          </cell>
          <cell r="B75" t="str">
            <v>NA</v>
          </cell>
          <cell r="C75">
            <v>6.4516129032258229E-2</v>
          </cell>
          <cell r="D75">
            <v>0.15151515151515138</v>
          </cell>
          <cell r="E75">
            <v>0.17105263157894735</v>
          </cell>
          <cell r="F75">
            <v>8.98876404494382E-2</v>
          </cell>
          <cell r="G75">
            <v>0.17525773195876271</v>
          </cell>
          <cell r="H75">
            <v>0.12280701754385981</v>
          </cell>
          <cell r="I75">
            <v>0.1171875</v>
          </cell>
          <cell r="J75">
            <v>3.4965034965035002E-2</v>
          </cell>
          <cell r="K75">
            <v>5.7627118644067554E-2</v>
          </cell>
          <cell r="L75">
            <v>9.7560975609756184E-2</v>
          </cell>
          <cell r="M75">
            <v>0.1333333333333333</v>
          </cell>
          <cell r="N75">
            <v>0.14215686274509798</v>
          </cell>
          <cell r="O75">
            <v>3.0042918454935563E-2</v>
          </cell>
          <cell r="P75">
            <v>9.1666666666666785E-2</v>
          </cell>
          <cell r="Q75">
            <v>0.16030534351145032</v>
          </cell>
          <cell r="R75">
            <v>0.13815789473684204</v>
          </cell>
          <cell r="S75">
            <v>0.12138728323699421</v>
          </cell>
          <cell r="T75">
            <v>0.11082474226804107</v>
          </cell>
          <cell r="U75">
            <v>0.10208816705336443</v>
          </cell>
          <cell r="V75">
            <v>9.8947368421052673E-2</v>
          </cell>
          <cell r="W75">
            <v>9.7701149425287515E-2</v>
          </cell>
          <cell r="X75">
            <v>9.5986038394415329E-2</v>
          </cell>
          <cell r="Y75">
            <v>9.0764331210190896E-2</v>
          </cell>
          <cell r="Z75">
            <v>8.4671532846715358E-2</v>
          </cell>
          <cell r="AY75" t="str">
            <v>NA</v>
          </cell>
          <cell r="AZ75" t="str">
            <v>NA</v>
          </cell>
          <cell r="BA75" t="str">
            <v>NA</v>
          </cell>
          <cell r="BB75" t="str">
            <v>NA</v>
          </cell>
          <cell r="BC75">
            <v>8.98876404494382E-2</v>
          </cell>
          <cell r="BE75">
            <v>0.10000000000000009</v>
          </cell>
          <cell r="BF75">
            <v>0.10714285714285698</v>
          </cell>
          <cell r="BG75">
            <v>0.15999999999999992</v>
          </cell>
          <cell r="BH75">
            <v>0.53846153846153855</v>
          </cell>
          <cell r="BI75">
            <v>0.17525773195876271</v>
          </cell>
          <cell r="BK75">
            <v>0.1212121212121211</v>
          </cell>
          <cell r="BL75">
            <v>0.12903225806451601</v>
          </cell>
          <cell r="BM75">
            <v>0.13793103448275867</v>
          </cell>
          <cell r="BN75">
            <v>0.19999999999999996</v>
          </cell>
          <cell r="BO75">
            <v>0.12280701754385981</v>
          </cell>
          <cell r="BQ75">
            <v>8.1081081081081141E-2</v>
          </cell>
          <cell r="BR75">
            <v>0.11428571428571432</v>
          </cell>
          <cell r="BS75">
            <v>9.0909090909090828E-2</v>
          </cell>
          <cell r="BT75">
            <v>0.12500000000000022</v>
          </cell>
          <cell r="BU75">
            <v>0.1171875</v>
          </cell>
          <cell r="BW75">
            <v>9.9999999999999867E-2</v>
          </cell>
          <cell r="BX75">
            <v>0.12820512820512819</v>
          </cell>
          <cell r="BY75">
            <v>-0.11111111111111105</v>
          </cell>
          <cell r="BZ75">
            <v>0</v>
          </cell>
          <cell r="CA75">
            <v>3.4965034965035002E-2</v>
          </cell>
          <cell r="CC75">
            <v>0</v>
          </cell>
          <cell r="CD75">
            <v>5.6818181818181657E-2</v>
          </cell>
          <cell r="CE75">
            <v>0.109375</v>
          </cell>
          <cell r="CF75">
            <v>9.090909090909105E-2</v>
          </cell>
          <cell r="CG75">
            <v>5.7627118644067554E-2</v>
          </cell>
          <cell r="CI75">
            <v>4.3478260869565188E-2</v>
          </cell>
          <cell r="CJ75">
            <v>6.25E-2</v>
          </cell>
          <cell r="CK75">
            <v>0.10526315789473673</v>
          </cell>
          <cell r="CL75">
            <v>0.1875</v>
          </cell>
          <cell r="CM75">
            <v>9.7560975609756184E-2</v>
          </cell>
          <cell r="CO75">
            <v>0.16666666666666674</v>
          </cell>
          <cell r="CP75">
            <v>0.11764705882352922</v>
          </cell>
          <cell r="CQ75">
            <v>0.14285714285714279</v>
          </cell>
          <cell r="CR75">
            <v>0.13157894736842102</v>
          </cell>
          <cell r="CS75">
            <v>0.1333333333333333</v>
          </cell>
          <cell r="CU75">
            <v>0.125</v>
          </cell>
          <cell r="CV75">
            <v>0.14035087719298267</v>
          </cell>
          <cell r="CW75">
            <v>0.14583333333333348</v>
          </cell>
          <cell r="CX75">
            <v>0.16279069767441867</v>
          </cell>
          <cell r="CY75">
            <v>0.14215686274509798</v>
          </cell>
        </row>
        <row r="76">
          <cell r="A76" t="str">
            <v>Adjusted EPS, charges in</v>
          </cell>
          <cell r="N76">
            <v>2.33</v>
          </cell>
          <cell r="O76">
            <v>2.5299999999999998</v>
          </cell>
          <cell r="P76">
            <v>2.58</v>
          </cell>
          <cell r="Q76">
            <v>2.96</v>
          </cell>
          <cell r="R76">
            <v>3.43</v>
          </cell>
          <cell r="S76">
            <v>3.88</v>
          </cell>
          <cell r="T76">
            <v>4.3099999999999996</v>
          </cell>
          <cell r="U76">
            <v>4.75</v>
          </cell>
          <cell r="V76">
            <v>5.22</v>
          </cell>
          <cell r="W76">
            <v>5.73</v>
          </cell>
          <cell r="X76">
            <v>6.28</v>
          </cell>
          <cell r="Y76">
            <v>6.85</v>
          </cell>
          <cell r="Z76">
            <v>7.43</v>
          </cell>
        </row>
        <row r="77">
          <cell r="A77" t="str">
            <v>Adjusted EPS, core</v>
          </cell>
          <cell r="N77">
            <v>2.33</v>
          </cell>
          <cell r="O77">
            <v>2.5299999999999998</v>
          </cell>
          <cell r="P77">
            <v>2.69</v>
          </cell>
          <cell r="Q77">
            <v>3.04</v>
          </cell>
          <cell r="R77">
            <v>3.46</v>
          </cell>
          <cell r="S77">
            <v>3.88</v>
          </cell>
          <cell r="T77">
            <v>4.3099999999999996</v>
          </cell>
          <cell r="U77">
            <v>4.75</v>
          </cell>
          <cell r="V77">
            <v>5.22</v>
          </cell>
          <cell r="W77">
            <v>5.73</v>
          </cell>
          <cell r="X77">
            <v>6.28</v>
          </cell>
          <cell r="Y77">
            <v>6.85</v>
          </cell>
          <cell r="Z77">
            <v>7.43</v>
          </cell>
        </row>
        <row r="78">
          <cell r="A78" t="str">
            <v>Avg. Shares - Basic</v>
          </cell>
          <cell r="B78">
            <v>2709.6</v>
          </cell>
          <cell r="C78">
            <v>2721.6</v>
          </cell>
          <cell r="D78">
            <v>2732.4</v>
          </cell>
          <cell r="E78">
            <v>2744</v>
          </cell>
          <cell r="F78">
            <v>2745.2</v>
          </cell>
          <cell r="G78">
            <v>2723.6000000000004</v>
          </cell>
          <cell r="H78">
            <v>2686.8</v>
          </cell>
          <cell r="I78">
            <v>2656.2</v>
          </cell>
          <cell r="J78">
            <v>2626.4</v>
          </cell>
          <cell r="K78">
            <v>2600.6999999999998</v>
          </cell>
          <cell r="L78">
            <v>2594.8000000000002</v>
          </cell>
          <cell r="M78">
            <v>2592.6010521660683</v>
          </cell>
          <cell r="N78">
            <v>2580.1</v>
          </cell>
          <cell r="O78">
            <v>3485.3155398543026</v>
          </cell>
          <cell r="P78">
            <v>3261.3682098681238</v>
          </cell>
          <cell r="Q78">
            <v>3066.2584457790026</v>
          </cell>
          <cell r="R78">
            <v>2983.4242972113188</v>
          </cell>
          <cell r="S78">
            <v>2879.2692976459621</v>
          </cell>
          <cell r="T78">
            <v>2767.6746552545083</v>
          </cell>
          <cell r="U78">
            <v>2650.6858137080485</v>
          </cell>
          <cell r="V78">
            <v>2538.5009507084151</v>
          </cell>
          <cell r="W78">
            <v>2438.3358944587426</v>
          </cell>
          <cell r="X78">
            <v>2348.9028085215346</v>
          </cell>
          <cell r="Y78">
            <v>2269.0518389347417</v>
          </cell>
          <cell r="Z78">
            <v>2197.7563303751058</v>
          </cell>
          <cell r="AY78">
            <v>2746.4</v>
          </cell>
          <cell r="AZ78">
            <v>2745.6</v>
          </cell>
          <cell r="BA78">
            <v>2746</v>
          </cell>
          <cell r="BB78">
            <v>2742.8</v>
          </cell>
          <cell r="BC78">
            <v>2745.2</v>
          </cell>
          <cell r="BE78">
            <v>2735.2</v>
          </cell>
          <cell r="BF78">
            <v>2728.8</v>
          </cell>
          <cell r="BG78">
            <v>2725.6</v>
          </cell>
          <cell r="BH78">
            <v>2704.8</v>
          </cell>
          <cell r="BI78">
            <v>2723.6000000000004</v>
          </cell>
          <cell r="BK78">
            <v>2696.6</v>
          </cell>
          <cell r="BL78">
            <v>2692</v>
          </cell>
          <cell r="BM78">
            <v>2692</v>
          </cell>
          <cell r="BN78">
            <v>2686.8</v>
          </cell>
          <cell r="BO78">
            <v>2686.8</v>
          </cell>
          <cell r="BQ78">
            <v>2664.8</v>
          </cell>
          <cell r="BR78">
            <v>2660.2</v>
          </cell>
          <cell r="BS78">
            <v>2657.6</v>
          </cell>
          <cell r="BT78">
            <v>2656.2</v>
          </cell>
          <cell r="BU78">
            <v>2656.2</v>
          </cell>
          <cell r="BW78">
            <v>2633</v>
          </cell>
          <cell r="BX78">
            <v>2632</v>
          </cell>
          <cell r="BY78">
            <v>2628</v>
          </cell>
          <cell r="BZ78">
            <v>2613.8000000000002</v>
          </cell>
          <cell r="CA78">
            <v>2626.4</v>
          </cell>
          <cell r="CC78">
            <v>2611.1999999999998</v>
          </cell>
          <cell r="CD78">
            <v>2603.6</v>
          </cell>
          <cell r="CE78">
            <v>2596.8000000000002</v>
          </cell>
          <cell r="CF78">
            <v>2591.1999999999998</v>
          </cell>
          <cell r="CG78">
            <v>2600.6999999999998</v>
          </cell>
          <cell r="CI78">
            <v>2592.1999999999998</v>
          </cell>
          <cell r="CJ78">
            <v>2590.1999999999998</v>
          </cell>
          <cell r="CK78">
            <v>2595.8000000000002</v>
          </cell>
          <cell r="CL78">
            <v>2590.1999999999998</v>
          </cell>
          <cell r="CM78">
            <v>2594.8000000000002</v>
          </cell>
          <cell r="CO78">
            <v>2600</v>
          </cell>
          <cell r="CP78">
            <v>2594</v>
          </cell>
          <cell r="CQ78">
            <v>2587</v>
          </cell>
          <cell r="CR78">
            <v>2589.4042086642739</v>
          </cell>
          <cell r="CS78">
            <v>2592.6010521660683</v>
          </cell>
          <cell r="CU78">
            <v>2593.1999999999998</v>
          </cell>
          <cell r="CV78">
            <v>2591</v>
          </cell>
          <cell r="CW78">
            <v>2578.4</v>
          </cell>
          <cell r="CX78">
            <v>2556</v>
          </cell>
          <cell r="CY78">
            <v>2580.1</v>
          </cell>
        </row>
        <row r="79">
          <cell r="A79" t="str">
            <v>Avg. Shares - Diluted</v>
          </cell>
          <cell r="B79">
            <v>2960.4</v>
          </cell>
          <cell r="C79">
            <v>2969.2</v>
          </cell>
          <cell r="D79">
            <v>2972</v>
          </cell>
          <cell r="E79">
            <v>2989.2</v>
          </cell>
          <cell r="F79">
            <v>2992.3999999999996</v>
          </cell>
          <cell r="G79">
            <v>2974</v>
          </cell>
          <cell r="H79">
            <v>2931</v>
          </cell>
          <cell r="I79">
            <v>2893.6</v>
          </cell>
          <cell r="J79">
            <v>2854.4</v>
          </cell>
          <cell r="K79">
            <v>2811.2</v>
          </cell>
          <cell r="L79">
            <v>2809.8</v>
          </cell>
          <cell r="M79">
            <v>2802.6</v>
          </cell>
          <cell r="N79">
            <v>2790.1</v>
          </cell>
          <cell r="O79">
            <v>3717.4155398543026</v>
          </cell>
          <cell r="P79">
            <v>3478.8682098681238</v>
          </cell>
          <cell r="Q79">
            <v>3283.7584457790026</v>
          </cell>
          <cell r="R79">
            <v>3200.9242972113188</v>
          </cell>
          <cell r="S79">
            <v>3096.7692976459621</v>
          </cell>
          <cell r="T79">
            <v>2985.1746552545083</v>
          </cell>
          <cell r="U79">
            <v>2868.1858137080485</v>
          </cell>
          <cell r="V79">
            <v>2756.0009507084151</v>
          </cell>
          <cell r="W79">
            <v>2655.8358944587426</v>
          </cell>
          <cell r="X79">
            <v>2566.4028085215346</v>
          </cell>
          <cell r="Y79">
            <v>2486.5518389347417</v>
          </cell>
          <cell r="Z79">
            <v>2415.2563303751058</v>
          </cell>
          <cell r="AY79">
            <v>2992</v>
          </cell>
          <cell r="AZ79">
            <v>2992</v>
          </cell>
          <cell r="BA79">
            <v>2988.8</v>
          </cell>
          <cell r="BB79">
            <v>2996.8</v>
          </cell>
          <cell r="BC79">
            <v>2992.3999999999996</v>
          </cell>
          <cell r="BE79">
            <v>2981.2</v>
          </cell>
          <cell r="BF79">
            <v>2977.2</v>
          </cell>
          <cell r="BG79">
            <v>2965.2</v>
          </cell>
          <cell r="BH79">
            <v>2965.6</v>
          </cell>
          <cell r="BI79">
            <v>2974</v>
          </cell>
          <cell r="BK79">
            <v>2947.8</v>
          </cell>
          <cell r="BL79">
            <v>2940.6</v>
          </cell>
          <cell r="BM79">
            <v>2935</v>
          </cell>
          <cell r="BN79">
            <v>2864</v>
          </cell>
          <cell r="BO79">
            <v>2931</v>
          </cell>
          <cell r="BQ79">
            <v>2909</v>
          </cell>
          <cell r="BR79">
            <v>2902.8</v>
          </cell>
          <cell r="BS79">
            <v>2892</v>
          </cell>
          <cell r="BT79">
            <v>2893.6</v>
          </cell>
          <cell r="BU79">
            <v>2893.6</v>
          </cell>
          <cell r="BW79">
            <v>2870.4</v>
          </cell>
          <cell r="BX79">
            <v>2869.6</v>
          </cell>
          <cell r="BY79">
            <v>2853.4</v>
          </cell>
          <cell r="BZ79">
            <v>2826</v>
          </cell>
          <cell r="CA79">
            <v>2854.4</v>
          </cell>
          <cell r="CC79">
            <v>2816</v>
          </cell>
          <cell r="CD79">
            <v>2822</v>
          </cell>
          <cell r="CE79">
            <v>2814</v>
          </cell>
          <cell r="CF79">
            <v>2801.6</v>
          </cell>
          <cell r="CG79">
            <v>2811.2</v>
          </cell>
          <cell r="CI79">
            <v>2801.6</v>
          </cell>
          <cell r="CJ79">
            <v>2803</v>
          </cell>
          <cell r="CK79">
            <v>2811.4</v>
          </cell>
          <cell r="CL79">
            <v>2824.2</v>
          </cell>
          <cell r="CM79">
            <v>2809.8</v>
          </cell>
          <cell r="CO79">
            <v>2814.6</v>
          </cell>
          <cell r="CP79">
            <v>2805.2</v>
          </cell>
          <cell r="CQ79">
            <v>2791.6</v>
          </cell>
          <cell r="CR79">
            <v>2799.2</v>
          </cell>
          <cell r="CS79">
            <v>2802.6</v>
          </cell>
          <cell r="CU79">
            <v>2797.8</v>
          </cell>
          <cell r="CV79">
            <v>2800.8</v>
          </cell>
          <cell r="CW79">
            <v>2790</v>
          </cell>
          <cell r="CX79">
            <v>2772.9</v>
          </cell>
          <cell r="CY79">
            <v>2790.1</v>
          </cell>
        </row>
        <row r="82">
          <cell r="B82">
            <v>2</v>
          </cell>
          <cell r="Q82">
            <v>3.0382162364178034</v>
          </cell>
          <cell r="R82">
            <v>3.4616952635544429</v>
          </cell>
          <cell r="S82">
            <v>3.8763283539617404</v>
          </cell>
          <cell r="T82">
            <v>4.3132872650383263</v>
          </cell>
          <cell r="CX82">
            <v>0.15384615384615397</v>
          </cell>
          <cell r="CY82" t="str">
            <v>&lt;-- 10%</v>
          </cell>
        </row>
        <row r="83">
          <cell r="A83" t="str">
            <v>Reference Notes</v>
          </cell>
          <cell r="C83" t="str">
            <v>A</v>
          </cell>
          <cell r="D83" t="str">
            <v>B</v>
          </cell>
          <cell r="E83" t="str">
            <v>C</v>
          </cell>
          <cell r="F83" t="str">
            <v>D</v>
          </cell>
          <cell r="H83" t="str">
            <v>E</v>
          </cell>
          <cell r="I83" t="str">
            <v>F</v>
          </cell>
          <cell r="J83" t="str">
            <v>G</v>
          </cell>
          <cell r="K83" t="str">
            <v>H, R</v>
          </cell>
          <cell r="L83" t="str">
            <v>I, XC</v>
          </cell>
          <cell r="M83" t="str">
            <v>J</v>
          </cell>
          <cell r="T83">
            <v>0.12422491453398887</v>
          </cell>
          <cell r="U83">
            <v>0.1263632277325315</v>
          </cell>
          <cell r="BB83" t="str">
            <v>A</v>
          </cell>
          <cell r="BM83" t="str">
            <v>A</v>
          </cell>
          <cell r="BT83" t="str">
            <v>A</v>
          </cell>
          <cell r="BW83" t="str">
            <v>A</v>
          </cell>
          <cell r="BX83" t="str">
            <v>B</v>
          </cell>
          <cell r="BY83" t="str">
            <v>C</v>
          </cell>
          <cell r="BZ83" t="str">
            <v>D</v>
          </cell>
          <cell r="CC83" t="str">
            <v>R, A</v>
          </cell>
          <cell r="CD83" t="str">
            <v>R, B</v>
          </cell>
          <cell r="CE83" t="str">
            <v>R, C</v>
          </cell>
          <cell r="CF83" t="str">
            <v>R, D</v>
          </cell>
          <cell r="CG83" t="str">
            <v>R</v>
          </cell>
          <cell r="CI83" t="str">
            <v>XC, A</v>
          </cell>
          <cell r="CJ83" t="str">
            <v>B</v>
          </cell>
          <cell r="CK83" t="str">
            <v>C</v>
          </cell>
          <cell r="CL83" t="str">
            <v>D</v>
          </cell>
          <cell r="CO83" t="str">
            <v>A</v>
          </cell>
          <cell r="CP83" t="str">
            <v>B</v>
          </cell>
          <cell r="CQ83" t="str">
            <v>C</v>
          </cell>
          <cell r="CR83" t="str">
            <v>D</v>
          </cell>
          <cell r="CS83" t="str">
            <v>E</v>
          </cell>
          <cell r="CU83">
            <v>0.62906569447422966</v>
          </cell>
          <cell r="CV83">
            <v>0.64874321622393594</v>
          </cell>
          <cell r="CW83">
            <v>0.54731182795698929</v>
          </cell>
          <cell r="CX83">
            <v>0.49514948249125462</v>
          </cell>
          <cell r="CY83">
            <v>2.3214221712483423</v>
          </cell>
        </row>
        <row r="84">
          <cell r="A84" t="str">
            <v>A. Excludes a provision for restructuring ($1746M) and a charge for the prior year's effect of accounting charges ($925M)</v>
          </cell>
          <cell r="AY84" t="str">
            <v>A. Excludes impact of Aleve, pulp charge, FAS 121 adoption, BT settlement (~ $0.01 per share)</v>
          </cell>
          <cell r="BK84" t="str">
            <v>A. Includes a $300 M gain pre-tax from the sale of Duncan Hines and a $300 M charge pre-tax from plant closures.  Excluding these items, Gross Margin would have been 44.5% and SG&amp;A (as a % of revenue) would have been 27.4%</v>
          </cell>
          <cell r="CU84" t="str">
            <v xml:space="preserve"> </v>
          </cell>
        </row>
        <row r="85">
          <cell r="A85" t="str">
            <v>B. Excludes a $102 M after-tax charge related to two interest rate contracts</v>
          </cell>
          <cell r="BT85" t="str">
            <v>Notes relating to restructuring under the O-2005 program:</v>
          </cell>
          <cell r="BZ85" t="str">
            <v>Notes relating to restructuring under the O-2005 program:</v>
          </cell>
          <cell r="CF85" t="str">
            <v>R. Restatement for SFAS No. 141 "Business Combinations and SFAS No. 142 "Goodwill and Other Intangible Assets" which the Company adopted on July 1, 2001.  SFAS No. 141 eliminated the pooling-of-interests method of accoutning and SFAS No. 142 eliminated th</v>
          </cell>
          <cell r="CL85" t="str">
            <v xml:space="preserve">XC. Excludes Clairol.  The Company aquired Clairol on 11/16/01. </v>
          </cell>
          <cell r="CR85" t="str">
            <v>Notes relating to restructuring under the O-2005 program:</v>
          </cell>
        </row>
        <row r="248">
          <cell r="A248" t="str">
            <v>% change vs. prior</v>
          </cell>
          <cell r="B248" t="str">
            <v>NA</v>
          </cell>
          <cell r="C248">
            <v>4.557845382182979E-2</v>
          </cell>
          <cell r="D248">
            <v>-2.3777244759620397E-2</v>
          </cell>
          <cell r="E248">
            <v>3.3757077235338162E-2</v>
          </cell>
          <cell r="F248">
            <v>3.100134339154792E-3</v>
          </cell>
          <cell r="G248">
            <v>6.0780879777480035E-3</v>
          </cell>
          <cell r="H248">
            <v>2.7544542289576146E-2</v>
          </cell>
          <cell r="I248">
            <v>7.6930742401594365E-2</v>
          </cell>
          <cell r="J248">
            <v>0.12565929490145278</v>
          </cell>
          <cell r="K248">
            <v>-4.7431154952733201E-2</v>
          </cell>
          <cell r="L248">
            <v>4.0041422160856044E-2</v>
          </cell>
          <cell r="M248">
            <v>7.9405907733156367E-2</v>
          </cell>
          <cell r="N248">
            <v>0.26866015835191015</v>
          </cell>
          <cell r="O248">
            <v>0.35857973824527378</v>
          </cell>
          <cell r="P248">
            <v>2.3235839526609681E-3</v>
          </cell>
          <cell r="Q248">
            <v>3.1234823464288519E-2</v>
          </cell>
          <cell r="R248">
            <v>4.4011077737039717E-2</v>
          </cell>
        </row>
        <row r="249">
          <cell r="H249" t="str">
            <v xml:space="preserve"> </v>
          </cell>
          <cell r="I249" t="str">
            <v xml:space="preserve"> </v>
          </cell>
          <cell r="J249" t="str">
            <v xml:space="preserve"> </v>
          </cell>
          <cell r="K249" t="str">
            <v xml:space="preserve"> </v>
          </cell>
          <cell r="L249" t="str">
            <v xml:space="preserve"> </v>
          </cell>
          <cell r="M249" t="str">
            <v xml:space="preserve"> </v>
          </cell>
          <cell r="N249" t="str">
            <v xml:space="preserve"> </v>
          </cell>
          <cell r="O249" t="str">
            <v xml:space="preserve"> </v>
          </cell>
          <cell r="P249" t="str">
            <v xml:space="preserve"> </v>
          </cell>
          <cell r="Q249" t="str">
            <v xml:space="preserve"> </v>
          </cell>
          <cell r="R249" t="str">
            <v xml:space="preserve"> </v>
          </cell>
        </row>
        <row r="250">
          <cell r="A250" t="str">
            <v>Cash Flow Statement</v>
          </cell>
          <cell r="N250">
            <v>2004</v>
          </cell>
          <cell r="O250" t="str">
            <v>2005P</v>
          </cell>
          <cell r="P250">
            <v>2006</v>
          </cell>
          <cell r="Q250">
            <v>2007</v>
          </cell>
          <cell r="R250">
            <v>2008</v>
          </cell>
        </row>
        <row r="252">
          <cell r="A252" t="str">
            <v>Net Income from Continuing Operations</v>
          </cell>
          <cell r="B252">
            <v>1872</v>
          </cell>
          <cell r="C252">
            <v>1913</v>
          </cell>
          <cell r="D252">
            <v>2311.98</v>
          </cell>
          <cell r="E252">
            <v>2695.0000000000005</v>
          </cell>
          <cell r="F252">
            <v>2948.7289355322337</v>
          </cell>
          <cell r="G252">
            <v>3415</v>
          </cell>
          <cell r="H252">
            <v>3780</v>
          </cell>
          <cell r="I252">
            <v>4148</v>
          </cell>
          <cell r="J252">
            <v>4230</v>
          </cell>
          <cell r="K252">
            <v>4615</v>
          </cell>
          <cell r="L252">
            <v>5058</v>
          </cell>
          <cell r="M252">
            <v>5724</v>
          </cell>
          <cell r="N252">
            <v>6481</v>
          </cell>
          <cell r="O252">
            <v>8660.0869999999995</v>
          </cell>
          <cell r="P252">
            <v>9127.3907578993749</v>
          </cell>
          <cell r="Q252">
            <v>9976.7682264398572</v>
          </cell>
          <cell r="R252">
            <v>11080.624478652757</v>
          </cell>
        </row>
        <row r="253">
          <cell r="A253" t="str">
            <v>Adjustments:</v>
          </cell>
        </row>
        <row r="254">
          <cell r="A254" t="str">
            <v>Provision for Restructuring</v>
          </cell>
          <cell r="B254">
            <v>0</v>
          </cell>
          <cell r="C254">
            <v>1061</v>
          </cell>
          <cell r="D254">
            <v>-100.98</v>
          </cell>
          <cell r="E254">
            <v>-50</v>
          </cell>
          <cell r="F254">
            <v>97.271064467766337</v>
          </cell>
          <cell r="G254">
            <v>0</v>
          </cell>
          <cell r="H254">
            <v>0</v>
          </cell>
          <cell r="I254">
            <v>-385</v>
          </cell>
          <cell r="J254">
            <v>-688</v>
          </cell>
          <cell r="K254">
            <v>-1693</v>
          </cell>
          <cell r="L254">
            <v>-706</v>
          </cell>
          <cell r="M254">
            <v>-538</v>
          </cell>
          <cell r="N254">
            <v>0</v>
          </cell>
          <cell r="O254">
            <v>0</v>
          </cell>
          <cell r="P254">
            <v>-376.78236088365873</v>
          </cell>
          <cell r="Q254">
            <v>-262.70067566232024</v>
          </cell>
          <cell r="R254">
            <v>-96.027728916339555</v>
          </cell>
        </row>
        <row r="255">
          <cell r="A255" t="str">
            <v>Depreciation &amp; Amortization</v>
          </cell>
          <cell r="B255">
            <v>1051</v>
          </cell>
          <cell r="C255">
            <v>1140</v>
          </cell>
          <cell r="D255">
            <v>1134</v>
          </cell>
          <cell r="E255">
            <v>1253</v>
          </cell>
          <cell r="F255">
            <v>1358</v>
          </cell>
          <cell r="G255">
            <v>1487</v>
          </cell>
          <cell r="H255">
            <v>1598</v>
          </cell>
          <cell r="I255">
            <v>2148</v>
          </cell>
          <cell r="J255">
            <v>2191</v>
          </cell>
          <cell r="K255">
            <v>2271</v>
          </cell>
          <cell r="L255">
            <v>1693</v>
          </cell>
          <cell r="M255">
            <v>1703</v>
          </cell>
          <cell r="N255">
            <v>1733</v>
          </cell>
          <cell r="O255">
            <v>2510</v>
          </cell>
          <cell r="P255">
            <v>2852.1586034874135</v>
          </cell>
          <cell r="Q255">
            <v>2905.1770449248279</v>
          </cell>
          <cell r="R255">
            <v>3013.1288879182712</v>
          </cell>
        </row>
        <row r="256">
          <cell r="A256" t="str">
            <v>Other Non-cash Items</v>
          </cell>
          <cell r="B256">
            <v>125</v>
          </cell>
          <cell r="C256">
            <v>-1065</v>
          </cell>
          <cell r="D256">
            <v>196</v>
          </cell>
          <cell r="E256">
            <v>181</v>
          </cell>
          <cell r="F256">
            <v>328</v>
          </cell>
          <cell r="G256">
            <v>-26</v>
          </cell>
          <cell r="H256">
            <v>-101</v>
          </cell>
          <cell r="I256">
            <v>-60</v>
          </cell>
          <cell r="J256">
            <v>463</v>
          </cell>
          <cell r="K256">
            <v>-102</v>
          </cell>
          <cell r="L256">
            <v>389</v>
          </cell>
          <cell r="M256">
            <v>63</v>
          </cell>
          <cell r="N256">
            <v>415</v>
          </cell>
          <cell r="O256">
            <v>1083.913</v>
          </cell>
        </row>
        <row r="257">
          <cell r="A257" t="str">
            <v>Changes in Working Capital</v>
          </cell>
          <cell r="B257">
            <v>25</v>
          </cell>
          <cell r="C257">
            <v>222</v>
          </cell>
          <cell r="D257">
            <v>461</v>
          </cell>
          <cell r="E257">
            <v>-354</v>
          </cell>
          <cell r="F257">
            <v>-440</v>
          </cell>
          <cell r="G257">
            <v>1001</v>
          </cell>
          <cell r="H257">
            <v>-255</v>
          </cell>
          <cell r="I257">
            <v>-437</v>
          </cell>
          <cell r="J257">
            <v>-1399</v>
          </cell>
          <cell r="K257">
            <v>669</v>
          </cell>
          <cell r="L257">
            <v>841</v>
          </cell>
          <cell r="M257">
            <v>1221</v>
          </cell>
          <cell r="N257">
            <v>434</v>
          </cell>
          <cell r="O257">
            <v>-1569</v>
          </cell>
          <cell r="P257">
            <v>-52.179005954756576</v>
          </cell>
          <cell r="Q257">
            <v>-15.51296066868963</v>
          </cell>
          <cell r="R257">
            <v>-3.5318810762582871</v>
          </cell>
        </row>
        <row r="258">
          <cell r="A258" t="str">
            <v>Accounts Receivable</v>
          </cell>
          <cell r="B258">
            <v>23</v>
          </cell>
          <cell r="C258">
            <v>-9</v>
          </cell>
          <cell r="D258">
            <v>40</v>
          </cell>
          <cell r="E258">
            <v>-225</v>
          </cell>
          <cell r="F258">
            <v>17</v>
          </cell>
          <cell r="G258">
            <v>8</v>
          </cell>
          <cell r="H258">
            <v>42</v>
          </cell>
          <cell r="I258">
            <v>-207</v>
          </cell>
          <cell r="J258">
            <v>64</v>
          </cell>
          <cell r="K258">
            <v>-122</v>
          </cell>
          <cell r="L258">
            <v>96</v>
          </cell>
          <cell r="M258">
            <v>163</v>
          </cell>
          <cell r="N258">
            <v>-159</v>
          </cell>
          <cell r="O258">
            <v>-133</v>
          </cell>
          <cell r="P258">
            <v>-161.53295695658107</v>
          </cell>
          <cell r="Q258">
            <v>-263.42120571498526</v>
          </cell>
          <cell r="R258">
            <v>-222.30822818048</v>
          </cell>
        </row>
        <row r="259">
          <cell r="A259" t="str">
            <v>Inventories</v>
          </cell>
          <cell r="B259">
            <v>160</v>
          </cell>
          <cell r="C259">
            <v>97</v>
          </cell>
          <cell r="D259">
            <v>25</v>
          </cell>
          <cell r="E259">
            <v>-401</v>
          </cell>
          <cell r="F259">
            <v>202</v>
          </cell>
          <cell r="G259">
            <v>-71</v>
          </cell>
          <cell r="H259">
            <v>-229</v>
          </cell>
          <cell r="I259">
            <v>-96</v>
          </cell>
          <cell r="J259">
            <v>-176</v>
          </cell>
          <cell r="K259">
            <v>-67</v>
          </cell>
          <cell r="L259">
            <v>159</v>
          </cell>
          <cell r="M259">
            <v>-56</v>
          </cell>
          <cell r="N259">
            <v>56</v>
          </cell>
          <cell r="O259">
            <v>-676</v>
          </cell>
          <cell r="P259">
            <v>-317.26555481303058</v>
          </cell>
          <cell r="Q259">
            <v>-325.30350714386623</v>
          </cell>
          <cell r="R259">
            <v>-188.3160732361539</v>
          </cell>
        </row>
        <row r="260">
          <cell r="A260" t="str">
            <v>Accounts Payable &amp; Accrued Liabilities</v>
          </cell>
          <cell r="B260">
            <v>45</v>
          </cell>
          <cell r="C260">
            <v>55</v>
          </cell>
          <cell r="D260">
            <v>98</v>
          </cell>
          <cell r="E260">
            <v>435</v>
          </cell>
          <cell r="F260">
            <v>-948</v>
          </cell>
          <cell r="G260">
            <v>561</v>
          </cell>
          <cell r="H260">
            <v>-3</v>
          </cell>
          <cell r="I260">
            <v>792</v>
          </cell>
          <cell r="J260">
            <v>-883</v>
          </cell>
          <cell r="K260">
            <v>801</v>
          </cell>
          <cell r="L260">
            <v>684</v>
          </cell>
          <cell r="M260">
            <v>936</v>
          </cell>
          <cell r="N260">
            <v>625</v>
          </cell>
          <cell r="O260">
            <v>-200</v>
          </cell>
          <cell r="P260">
            <v>329.14754531260769</v>
          </cell>
          <cell r="Q260">
            <v>348.67986299446056</v>
          </cell>
          <cell r="R260">
            <v>262.65684351863092</v>
          </cell>
        </row>
        <row r="261">
          <cell r="A261" t="str">
            <v>Other Working Capital Items</v>
          </cell>
          <cell r="B261">
            <v>-203</v>
          </cell>
          <cell r="C261">
            <v>79</v>
          </cell>
          <cell r="D261">
            <v>298</v>
          </cell>
          <cell r="E261">
            <v>-163</v>
          </cell>
          <cell r="F261">
            <v>289</v>
          </cell>
          <cell r="G261">
            <v>503</v>
          </cell>
          <cell r="H261">
            <v>-65</v>
          </cell>
          <cell r="I261">
            <v>-926</v>
          </cell>
          <cell r="J261">
            <v>-404</v>
          </cell>
          <cell r="K261">
            <v>57</v>
          </cell>
          <cell r="L261">
            <v>-98</v>
          </cell>
          <cell r="M261">
            <v>178</v>
          </cell>
          <cell r="N261">
            <v>-88</v>
          </cell>
          <cell r="O261">
            <v>-560</v>
          </cell>
          <cell r="P261">
            <v>97.471960502247384</v>
          </cell>
          <cell r="Q261">
            <v>224.5318891957013</v>
          </cell>
          <cell r="R261">
            <v>144.43557682174469</v>
          </cell>
        </row>
        <row r="262">
          <cell r="A262" t="str">
            <v>Other Non-current Assets &amp; Liabilities</v>
          </cell>
          <cell r="B262">
            <v>-48</v>
          </cell>
          <cell r="C262">
            <v>67</v>
          </cell>
          <cell r="D262">
            <v>-353</v>
          </cell>
          <cell r="E262">
            <v>-157</v>
          </cell>
          <cell r="F262">
            <v>-134</v>
          </cell>
          <cell r="G262">
            <v>5</v>
          </cell>
          <cell r="H262">
            <v>-137</v>
          </cell>
          <cell r="I262">
            <v>130</v>
          </cell>
          <cell r="J262">
            <v>-122</v>
          </cell>
          <cell r="K262">
            <v>44</v>
          </cell>
          <cell r="L262">
            <v>467</v>
          </cell>
          <cell r="M262">
            <v>527</v>
          </cell>
          <cell r="N262">
            <v>299</v>
          </cell>
          <cell r="O262">
            <v>11</v>
          </cell>
          <cell r="P262">
            <v>240.92134258713759</v>
          </cell>
          <cell r="Q262">
            <v>385.14476336632379</v>
          </cell>
          <cell r="R262">
            <v>372.03366758754601</v>
          </cell>
        </row>
        <row r="263">
          <cell r="A263" t="str">
            <v>Net Cash from Operating Activities</v>
          </cell>
          <cell r="B263">
            <v>3025</v>
          </cell>
          <cell r="C263">
            <v>3338</v>
          </cell>
          <cell r="D263">
            <v>3649</v>
          </cell>
          <cell r="E263">
            <v>3568.0000000000005</v>
          </cell>
          <cell r="F263">
            <v>4158</v>
          </cell>
          <cell r="G263">
            <v>5882</v>
          </cell>
          <cell r="H263">
            <v>4885</v>
          </cell>
          <cell r="I263">
            <v>5544</v>
          </cell>
          <cell r="J263">
            <v>4675</v>
          </cell>
          <cell r="K263">
            <v>5804</v>
          </cell>
          <cell r="L263">
            <v>7742</v>
          </cell>
          <cell r="M263">
            <v>8700</v>
          </cell>
          <cell r="N263">
            <v>9362</v>
          </cell>
          <cell r="O263">
            <v>10696</v>
          </cell>
          <cell r="P263">
            <v>11791.509337135511</v>
          </cell>
          <cell r="Q263">
            <v>12988.8763984</v>
          </cell>
          <cell r="R263">
            <v>14366.227424165978</v>
          </cell>
        </row>
        <row r="265">
          <cell r="A265" t="str">
            <v>Capital Expenditures</v>
          </cell>
          <cell r="B265">
            <v>-1911</v>
          </cell>
          <cell r="C265">
            <v>-1911</v>
          </cell>
          <cell r="D265">
            <v>-1841</v>
          </cell>
          <cell r="E265">
            <v>-2146</v>
          </cell>
          <cell r="F265">
            <v>-2179</v>
          </cell>
          <cell r="G265">
            <v>-2129</v>
          </cell>
          <cell r="H265">
            <v>-2559</v>
          </cell>
          <cell r="I265">
            <v>-2828</v>
          </cell>
          <cell r="J265">
            <v>-3018</v>
          </cell>
          <cell r="K265">
            <v>-2486</v>
          </cell>
          <cell r="L265">
            <v>-1679</v>
          </cell>
          <cell r="M265">
            <v>-1482</v>
          </cell>
          <cell r="N265">
            <v>-2024</v>
          </cell>
          <cell r="O265">
            <v>-2878</v>
          </cell>
          <cell r="P265">
            <v>-2613.3470573153249</v>
          </cell>
          <cell r="Q265">
            <v>-3017.8678841280002</v>
          </cell>
          <cell r="R265">
            <v>-3181.0799947263226</v>
          </cell>
        </row>
        <row r="266">
          <cell r="A266" t="str">
            <v>Asset sales or retirements (PP&amp;E)</v>
          </cell>
          <cell r="B266">
            <v>291</v>
          </cell>
          <cell r="C266">
            <v>725</v>
          </cell>
          <cell r="D266">
            <v>105</v>
          </cell>
          <cell r="E266">
            <v>310</v>
          </cell>
          <cell r="F266">
            <v>402</v>
          </cell>
          <cell r="G266">
            <v>520</v>
          </cell>
          <cell r="H266">
            <v>555</v>
          </cell>
          <cell r="I266">
            <v>434</v>
          </cell>
          <cell r="J266">
            <v>419</v>
          </cell>
          <cell r="K266">
            <v>788</v>
          </cell>
          <cell r="L266">
            <v>227</v>
          </cell>
          <cell r="M266">
            <v>143</v>
          </cell>
          <cell r="N266">
            <v>230</v>
          </cell>
          <cell r="O266">
            <v>592</v>
          </cell>
        </row>
        <row r="267">
          <cell r="A267" t="str">
            <v xml:space="preserve">Sale/(Acquisition) of Businesses </v>
          </cell>
          <cell r="B267">
            <v>-1240</v>
          </cell>
          <cell r="C267">
            <v>-138</v>
          </cell>
          <cell r="D267">
            <v>-295</v>
          </cell>
          <cell r="E267">
            <v>-623</v>
          </cell>
          <cell r="F267">
            <v>-358</v>
          </cell>
          <cell r="G267">
            <v>-150</v>
          </cell>
          <cell r="H267">
            <v>-3269</v>
          </cell>
          <cell r="I267">
            <v>-137</v>
          </cell>
          <cell r="J267">
            <v>-2967</v>
          </cell>
          <cell r="K267">
            <v>-138</v>
          </cell>
          <cell r="L267">
            <v>-5471</v>
          </cell>
          <cell r="M267">
            <v>-61</v>
          </cell>
          <cell r="N267">
            <v>-7476</v>
          </cell>
          <cell r="O267">
            <v>-574</v>
          </cell>
        </row>
        <row r="268">
          <cell r="A268" t="str">
            <v>Change in Marketable securities</v>
          </cell>
          <cell r="B268">
            <v>0</v>
          </cell>
          <cell r="C268">
            <v>-306</v>
          </cell>
          <cell r="D268">
            <v>23</v>
          </cell>
          <cell r="E268">
            <v>96</v>
          </cell>
          <cell r="F268">
            <v>-331</v>
          </cell>
          <cell r="G268">
            <v>-309</v>
          </cell>
          <cell r="H268">
            <v>63</v>
          </cell>
          <cell r="I268">
            <v>356</v>
          </cell>
          <cell r="J268">
            <v>221</v>
          </cell>
          <cell r="K268">
            <v>-7</v>
          </cell>
          <cell r="L268">
            <v>88</v>
          </cell>
          <cell r="M268">
            <v>37</v>
          </cell>
          <cell r="N268">
            <v>-874</v>
          </cell>
          <cell r="O268">
            <v>10</v>
          </cell>
          <cell r="P268">
            <v>0</v>
          </cell>
          <cell r="Q268">
            <v>0</v>
          </cell>
          <cell r="R268">
            <v>0</v>
          </cell>
        </row>
        <row r="269">
          <cell r="A269" t="str">
            <v>Net Cash from Investing Activities</v>
          </cell>
          <cell r="B269">
            <v>-2860</v>
          </cell>
          <cell r="C269">
            <v>-1630</v>
          </cell>
          <cell r="D269">
            <v>-2008</v>
          </cell>
          <cell r="E269">
            <v>-2363</v>
          </cell>
          <cell r="F269">
            <v>-2466</v>
          </cell>
          <cell r="G269">
            <v>-2068</v>
          </cell>
          <cell r="H269">
            <v>-5210</v>
          </cell>
          <cell r="I269">
            <v>-2175</v>
          </cell>
          <cell r="J269">
            <v>-5345</v>
          </cell>
          <cell r="K269">
            <v>-1843</v>
          </cell>
          <cell r="L269">
            <v>-6835</v>
          </cell>
          <cell r="M269">
            <v>-1363</v>
          </cell>
          <cell r="N269">
            <v>-10144</v>
          </cell>
          <cell r="O269">
            <v>-2850</v>
          </cell>
          <cell r="P269">
            <v>-2613.3470573153249</v>
          </cell>
          <cell r="Q269">
            <v>-3017.8678841280002</v>
          </cell>
          <cell r="R269">
            <v>-3181.0799947263226</v>
          </cell>
        </row>
        <row r="271">
          <cell r="A271" t="str">
            <v>Purchase of Treasury Stock</v>
          </cell>
          <cell r="B271">
            <v>-49</v>
          </cell>
          <cell r="C271">
            <v>-55</v>
          </cell>
          <cell r="D271">
            <v>-14</v>
          </cell>
          <cell r="E271">
            <v>-114</v>
          </cell>
          <cell r="F271">
            <v>-432</v>
          </cell>
          <cell r="G271">
            <v>-1652</v>
          </cell>
          <cell r="H271">
            <v>-1929</v>
          </cell>
          <cell r="I271">
            <v>-2533</v>
          </cell>
          <cell r="J271">
            <v>-1766</v>
          </cell>
          <cell r="K271">
            <v>-1250</v>
          </cell>
          <cell r="L271">
            <v>-568</v>
          </cell>
          <cell r="M271">
            <v>-1236</v>
          </cell>
          <cell r="N271">
            <v>-4070</v>
          </cell>
          <cell r="O271">
            <v>-5689</v>
          </cell>
          <cell r="P271">
            <v>-19055</v>
          </cell>
          <cell r="Q271">
            <v>-5500</v>
          </cell>
          <cell r="R271">
            <v>-6875</v>
          </cell>
        </row>
        <row r="272">
          <cell r="A272" t="str">
            <v>Proceeds from Stock Options</v>
          </cell>
          <cell r="B272">
            <v>71</v>
          </cell>
          <cell r="C272">
            <v>77</v>
          </cell>
          <cell r="D272">
            <v>36</v>
          </cell>
          <cell r="E272">
            <v>66</v>
          </cell>
          <cell r="F272">
            <v>89</v>
          </cell>
          <cell r="G272">
            <v>134</v>
          </cell>
          <cell r="H272">
            <v>158</v>
          </cell>
          <cell r="I272">
            <v>212</v>
          </cell>
          <cell r="J272">
            <v>336</v>
          </cell>
          <cell r="K272">
            <v>141</v>
          </cell>
          <cell r="L272">
            <v>237</v>
          </cell>
          <cell r="M272">
            <v>269</v>
          </cell>
          <cell r="N272">
            <v>555</v>
          </cell>
          <cell r="O272">
            <v>930</v>
          </cell>
          <cell r="P272">
            <v>0</v>
          </cell>
          <cell r="Q272">
            <v>0</v>
          </cell>
          <cell r="R272">
            <v>0</v>
          </cell>
        </row>
        <row r="273">
          <cell r="A273" t="str">
            <v>Additions to Long-term Debt</v>
          </cell>
          <cell r="B273">
            <v>1608</v>
          </cell>
          <cell r="C273">
            <v>1001</v>
          </cell>
          <cell r="D273">
            <v>414</v>
          </cell>
          <cell r="E273">
            <v>449</v>
          </cell>
          <cell r="F273">
            <v>339</v>
          </cell>
          <cell r="G273">
            <v>224</v>
          </cell>
          <cell r="H273">
            <v>1970</v>
          </cell>
          <cell r="I273">
            <v>986</v>
          </cell>
          <cell r="J273">
            <v>4196</v>
          </cell>
          <cell r="K273">
            <v>1356</v>
          </cell>
          <cell r="L273">
            <v>1690</v>
          </cell>
          <cell r="M273">
            <v>1230</v>
          </cell>
          <cell r="N273">
            <v>1963</v>
          </cell>
          <cell r="O273">
            <v>3454</v>
          </cell>
          <cell r="P273">
            <v>0</v>
          </cell>
          <cell r="Q273">
            <v>0</v>
          </cell>
          <cell r="R273">
            <v>0</v>
          </cell>
        </row>
        <row r="274">
          <cell r="A274" t="str">
            <v>Repayment of Long-Term Debt</v>
          </cell>
          <cell r="B274">
            <v>-433</v>
          </cell>
          <cell r="C274">
            <v>-939</v>
          </cell>
          <cell r="D274">
            <v>-797</v>
          </cell>
          <cell r="E274">
            <v>-510</v>
          </cell>
          <cell r="F274">
            <v>-619</v>
          </cell>
          <cell r="G274">
            <v>-724</v>
          </cell>
          <cell r="H274">
            <v>-432</v>
          </cell>
          <cell r="I274">
            <v>-334</v>
          </cell>
          <cell r="J274">
            <v>-1409</v>
          </cell>
          <cell r="K274">
            <v>-226</v>
          </cell>
          <cell r="L274">
            <v>-461</v>
          </cell>
          <cell r="M274">
            <v>-1060</v>
          </cell>
          <cell r="N274">
            <v>-1188</v>
          </cell>
          <cell r="O274">
            <v>-2623</v>
          </cell>
          <cell r="P274">
            <v>13789.230308470467</v>
          </cell>
          <cell r="Q274">
            <v>-430.12012334450253</v>
          </cell>
          <cell r="R274">
            <v>-176.27642783666056</v>
          </cell>
        </row>
        <row r="275">
          <cell r="A275" t="str">
            <v>Increase (Decrease) in ST Debt</v>
          </cell>
          <cell r="B275">
            <v>-156</v>
          </cell>
          <cell r="C275">
            <v>-277</v>
          </cell>
          <cell r="D275">
            <v>-281</v>
          </cell>
          <cell r="E275">
            <v>-429</v>
          </cell>
          <cell r="F275">
            <v>242</v>
          </cell>
          <cell r="G275">
            <v>-160</v>
          </cell>
          <cell r="H275">
            <v>1315</v>
          </cell>
          <cell r="I275">
            <v>689</v>
          </cell>
          <cell r="J275">
            <v>243</v>
          </cell>
          <cell r="K275">
            <v>-1092</v>
          </cell>
          <cell r="L275">
            <v>1394</v>
          </cell>
          <cell r="M275">
            <v>-2052</v>
          </cell>
          <cell r="N275">
            <v>4911</v>
          </cell>
          <cell r="O275">
            <v>1942</v>
          </cell>
        </row>
        <row r="276">
          <cell r="A276" t="str">
            <v>Dividends Paid to Shareholders</v>
          </cell>
          <cell r="B276">
            <v>-788</v>
          </cell>
          <cell r="C276">
            <v>-850</v>
          </cell>
          <cell r="D276">
            <v>-949</v>
          </cell>
          <cell r="E276">
            <v>-1062</v>
          </cell>
          <cell r="F276">
            <v>-1202</v>
          </cell>
          <cell r="G276">
            <v>-1329</v>
          </cell>
          <cell r="H276">
            <v>-1462</v>
          </cell>
          <cell r="I276">
            <v>-1626</v>
          </cell>
          <cell r="J276">
            <v>-1796</v>
          </cell>
          <cell r="K276">
            <v>-1943</v>
          </cell>
          <cell r="L276">
            <v>-2095</v>
          </cell>
          <cell r="M276">
            <v>-2246</v>
          </cell>
          <cell r="N276">
            <v>-2539</v>
          </cell>
          <cell r="O276">
            <v>-3378</v>
          </cell>
          <cell r="P276">
            <v>-3788.7323950522991</v>
          </cell>
          <cell r="Q276">
            <v>-3810.604121421557</v>
          </cell>
          <cell r="R276">
            <v>-3961.6091752225084</v>
          </cell>
        </row>
        <row r="277">
          <cell r="A277" t="str">
            <v>Net Cash from Financing Activities</v>
          </cell>
          <cell r="B277">
            <v>253</v>
          </cell>
          <cell r="C277">
            <v>-1043</v>
          </cell>
          <cell r="D277">
            <v>-1591</v>
          </cell>
          <cell r="E277">
            <v>-1600</v>
          </cell>
          <cell r="F277">
            <v>-1583</v>
          </cell>
          <cell r="G277">
            <v>-3507</v>
          </cell>
          <cell r="H277">
            <v>-380</v>
          </cell>
          <cell r="I277">
            <v>-2606</v>
          </cell>
          <cell r="J277">
            <v>-196</v>
          </cell>
          <cell r="K277">
            <v>-3014</v>
          </cell>
          <cell r="L277">
            <v>197</v>
          </cell>
          <cell r="M277">
            <v>-5095</v>
          </cell>
          <cell r="N277">
            <v>-368</v>
          </cell>
          <cell r="O277">
            <v>-5364</v>
          </cell>
          <cell r="P277">
            <v>-9054.5020865818315</v>
          </cell>
          <cell r="Q277">
            <v>-9740.7242447660592</v>
          </cell>
          <cell r="R277">
            <v>-11012.885603059169</v>
          </cell>
        </row>
        <row r="278">
          <cell r="A278" t="str">
            <v>Adjustment for Acquisitions</v>
          </cell>
          <cell r="O278">
            <v>211</v>
          </cell>
        </row>
        <row r="279">
          <cell r="A279" t="str">
            <v>Exchange Rate Effect</v>
          </cell>
          <cell r="B279">
            <v>-26</v>
          </cell>
          <cell r="C279">
            <v>-119</v>
          </cell>
          <cell r="D279">
            <v>1</v>
          </cell>
          <cell r="E279">
            <v>50</v>
          </cell>
          <cell r="F279">
            <v>-63</v>
          </cell>
          <cell r="G279">
            <v>-31</v>
          </cell>
          <cell r="H279">
            <v>-96</v>
          </cell>
          <cell r="I279">
            <v>-18</v>
          </cell>
          <cell r="J279">
            <v>-13</v>
          </cell>
          <cell r="K279">
            <v>-56</v>
          </cell>
          <cell r="L279">
            <v>17</v>
          </cell>
          <cell r="M279">
            <v>-241</v>
          </cell>
          <cell r="N279">
            <v>-46</v>
          </cell>
          <cell r="O279">
            <v>-65</v>
          </cell>
          <cell r="P279">
            <v>0</v>
          </cell>
          <cell r="Q279">
            <v>0</v>
          </cell>
          <cell r="R279">
            <v>0</v>
          </cell>
        </row>
        <row r="280">
          <cell r="A280" t="str">
            <v>Increase (Decrease) in Cash + Equivalents</v>
          </cell>
          <cell r="B280">
            <v>392</v>
          </cell>
          <cell r="C280">
            <v>546</v>
          </cell>
          <cell r="D280">
            <v>51</v>
          </cell>
          <cell r="E280">
            <v>-344.99999999999955</v>
          </cell>
          <cell r="F280">
            <v>46</v>
          </cell>
          <cell r="G280">
            <v>276</v>
          </cell>
          <cell r="H280">
            <v>-801</v>
          </cell>
          <cell r="I280">
            <v>745</v>
          </cell>
          <cell r="J280">
            <v>-879</v>
          </cell>
          <cell r="K280">
            <v>891</v>
          </cell>
          <cell r="L280">
            <v>1121</v>
          </cell>
          <cell r="M280">
            <v>2001</v>
          </cell>
          <cell r="N280">
            <v>-1196</v>
          </cell>
          <cell r="O280">
            <v>2628</v>
          </cell>
          <cell r="P280">
            <v>123.66019323835462</v>
          </cell>
          <cell r="Q280">
            <v>230.28426950594076</v>
          </cell>
          <cell r="R280">
            <v>172.26182638048704</v>
          </cell>
        </row>
        <row r="292">
          <cell r="A292" t="str">
            <v>Conversion of Preferred to Common shares</v>
          </cell>
          <cell r="B292">
            <v>9</v>
          </cell>
          <cell r="C292">
            <v>20</v>
          </cell>
          <cell r="D292">
            <v>27</v>
          </cell>
          <cell r="E292">
            <v>29</v>
          </cell>
          <cell r="F292">
            <v>0</v>
          </cell>
          <cell r="G292">
            <v>0</v>
          </cell>
          <cell r="H292">
            <v>0</v>
          </cell>
          <cell r="I292">
            <v>0</v>
          </cell>
          <cell r="J292">
            <v>0</v>
          </cell>
          <cell r="K292">
            <v>0</v>
          </cell>
          <cell r="L292">
            <v>0</v>
          </cell>
          <cell r="M292">
            <v>0</v>
          </cell>
          <cell r="N292">
            <v>11954</v>
          </cell>
        </row>
        <row r="293">
          <cell r="A293" t="str">
            <v>Assets acquired, excluding cash</v>
          </cell>
        </row>
        <row r="294">
          <cell r="A294" t="str">
            <v>Balance Sheet</v>
          </cell>
          <cell r="N294">
            <v>2004</v>
          </cell>
          <cell r="O294" t="str">
            <v>2005P</v>
          </cell>
          <cell r="P294">
            <v>2006</v>
          </cell>
          <cell r="Q294">
            <v>2007</v>
          </cell>
          <cell r="R294">
            <v>2008</v>
          </cell>
        </row>
        <row r="296">
          <cell r="A296" t="str">
            <v>Assets:</v>
          </cell>
        </row>
        <row r="297">
          <cell r="A297" t="str">
            <v>Total Cash + Equivalents</v>
          </cell>
          <cell r="B297">
            <v>1776</v>
          </cell>
          <cell r="C297">
            <v>2628</v>
          </cell>
          <cell r="D297">
            <v>2656</v>
          </cell>
          <cell r="E297">
            <v>2178</v>
          </cell>
          <cell r="F297">
            <v>2520</v>
          </cell>
          <cell r="G297">
            <v>3110</v>
          </cell>
          <cell r="H297">
            <v>2406</v>
          </cell>
          <cell r="I297">
            <v>2800</v>
          </cell>
          <cell r="J297">
            <v>1600</v>
          </cell>
          <cell r="K297">
            <v>2518</v>
          </cell>
          <cell r="L297">
            <v>3623</v>
          </cell>
          <cell r="M297">
            <v>6212</v>
          </cell>
          <cell r="N297">
            <v>5892</v>
          </cell>
          <cell r="O297">
            <v>8929</v>
          </cell>
          <cell r="P297">
            <v>9052.6601932383564</v>
          </cell>
          <cell r="Q297">
            <v>9282.9444627443299</v>
          </cell>
          <cell r="R297">
            <v>9455.206289124817</v>
          </cell>
        </row>
        <row r="298">
          <cell r="A298" t="str">
            <v>Cash</v>
          </cell>
          <cell r="B298">
            <v>1776</v>
          </cell>
          <cell r="C298">
            <v>2322</v>
          </cell>
          <cell r="D298">
            <v>2373</v>
          </cell>
          <cell r="E298">
            <v>2028</v>
          </cell>
          <cell r="F298">
            <v>2074</v>
          </cell>
          <cell r="G298">
            <v>2350</v>
          </cell>
          <cell r="H298">
            <v>1549</v>
          </cell>
          <cell r="I298">
            <v>2294</v>
          </cell>
          <cell r="J298">
            <v>1415</v>
          </cell>
          <cell r="K298">
            <v>2306</v>
          </cell>
          <cell r="L298">
            <v>3427</v>
          </cell>
          <cell r="M298">
            <v>5428</v>
          </cell>
          <cell r="N298">
            <v>4232</v>
          </cell>
          <cell r="O298">
            <v>6860</v>
          </cell>
          <cell r="P298">
            <v>6983.6601932383564</v>
          </cell>
          <cell r="Q298">
            <v>7213.944462744329</v>
          </cell>
          <cell r="R298">
            <v>7386.206289124817</v>
          </cell>
        </row>
        <row r="299">
          <cell r="A299" t="str">
            <v>Marketable Securities</v>
          </cell>
          <cell r="B299">
            <v>0</v>
          </cell>
          <cell r="C299">
            <v>306</v>
          </cell>
          <cell r="D299">
            <v>283</v>
          </cell>
          <cell r="E299">
            <v>150</v>
          </cell>
          <cell r="F299">
            <v>446</v>
          </cell>
          <cell r="G299">
            <v>760</v>
          </cell>
          <cell r="H299">
            <v>857</v>
          </cell>
          <cell r="I299">
            <v>506</v>
          </cell>
          <cell r="J299">
            <v>185</v>
          </cell>
          <cell r="K299">
            <v>212</v>
          </cell>
          <cell r="L299">
            <v>196</v>
          </cell>
          <cell r="M299">
            <v>784</v>
          </cell>
          <cell r="N299">
            <v>1660</v>
          </cell>
          <cell r="O299">
            <v>2069</v>
          </cell>
          <cell r="P299">
            <v>2069</v>
          </cell>
          <cell r="Q299">
            <v>2069</v>
          </cell>
          <cell r="R299">
            <v>2069</v>
          </cell>
        </row>
        <row r="300">
          <cell r="A300" t="str">
            <v>Net Accounts Receivable</v>
          </cell>
          <cell r="B300">
            <v>3341</v>
          </cell>
          <cell r="C300">
            <v>3111</v>
          </cell>
          <cell r="D300">
            <v>3115</v>
          </cell>
          <cell r="E300">
            <v>3562</v>
          </cell>
          <cell r="F300">
            <v>2841</v>
          </cell>
          <cell r="G300">
            <v>2738</v>
          </cell>
          <cell r="H300">
            <v>2781</v>
          </cell>
          <cell r="I300">
            <v>2940</v>
          </cell>
          <cell r="J300">
            <v>2910</v>
          </cell>
          <cell r="K300">
            <v>2931</v>
          </cell>
          <cell r="L300">
            <v>3090</v>
          </cell>
          <cell r="M300">
            <v>3038</v>
          </cell>
          <cell r="N300">
            <v>4062</v>
          </cell>
          <cell r="O300">
            <v>5700</v>
          </cell>
          <cell r="P300">
            <v>5861.5329569565811</v>
          </cell>
          <cell r="Q300">
            <v>6124.9541626715663</v>
          </cell>
          <cell r="R300">
            <v>6347.2623908520463</v>
          </cell>
        </row>
        <row r="301">
          <cell r="A301" t="str">
            <v>Inventories</v>
          </cell>
          <cell r="B301">
            <v>3311</v>
          </cell>
          <cell r="C301">
            <v>2903</v>
          </cell>
          <cell r="D301">
            <v>2877</v>
          </cell>
          <cell r="E301">
            <v>3453</v>
          </cell>
          <cell r="F301">
            <v>3130</v>
          </cell>
          <cell r="G301">
            <v>3087</v>
          </cell>
          <cell r="H301">
            <v>3284</v>
          </cell>
          <cell r="I301">
            <v>3338</v>
          </cell>
          <cell r="J301">
            <v>3490</v>
          </cell>
          <cell r="K301">
            <v>3384</v>
          </cell>
          <cell r="L301">
            <v>3456</v>
          </cell>
          <cell r="M301">
            <v>3640</v>
          </cell>
          <cell r="N301">
            <v>4400</v>
          </cell>
          <cell r="O301">
            <v>6490</v>
          </cell>
          <cell r="P301">
            <v>6807.2655548130306</v>
          </cell>
          <cell r="Q301">
            <v>7132.5690619568968</v>
          </cell>
          <cell r="R301">
            <v>7320.8851351930507</v>
          </cell>
        </row>
        <row r="302">
          <cell r="A302" t="str">
            <v>Other Current Assets, incl. Def. Taxes</v>
          </cell>
          <cell r="B302">
            <v>938</v>
          </cell>
          <cell r="C302">
            <v>1333</v>
          </cell>
          <cell r="D302">
            <v>1340</v>
          </cell>
          <cell r="E302">
            <v>1649</v>
          </cell>
          <cell r="F302">
            <v>2316</v>
          </cell>
          <cell r="G302">
            <v>1851</v>
          </cell>
          <cell r="H302">
            <v>2106</v>
          </cell>
          <cell r="I302">
            <v>2280</v>
          </cell>
          <cell r="J302">
            <v>2146</v>
          </cell>
          <cell r="K302">
            <v>2056</v>
          </cell>
          <cell r="L302">
            <v>1997</v>
          </cell>
          <cell r="M302">
            <v>2330</v>
          </cell>
          <cell r="N302">
            <v>2761</v>
          </cell>
          <cell r="O302">
            <v>3681</v>
          </cell>
          <cell r="P302">
            <v>3670.6198262628973</v>
          </cell>
          <cell r="Q302">
            <v>3711.6842417643174</v>
          </cell>
          <cell r="R302">
            <v>3912.4192779661853</v>
          </cell>
        </row>
        <row r="303">
          <cell r="A303" t="str">
            <v>Deferred Income Taxes</v>
          </cell>
          <cell r="B303">
            <v>358</v>
          </cell>
          <cell r="C303">
            <v>740</v>
          </cell>
          <cell r="D303">
            <v>716</v>
          </cell>
          <cell r="E303">
            <v>804</v>
          </cell>
          <cell r="F303">
            <v>598</v>
          </cell>
          <cell r="G303">
            <v>661</v>
          </cell>
          <cell r="H303">
            <v>595</v>
          </cell>
          <cell r="I303">
            <v>621</v>
          </cell>
          <cell r="J303">
            <v>309</v>
          </cell>
          <cell r="K303">
            <v>397</v>
          </cell>
          <cell r="L303">
            <v>521</v>
          </cell>
          <cell r="M303">
            <v>843</v>
          </cell>
          <cell r="N303">
            <v>958</v>
          </cell>
          <cell r="O303">
            <v>1381</v>
          </cell>
          <cell r="P303">
            <v>1443.701862630742</v>
          </cell>
          <cell r="Q303">
            <v>1534.0384084145937</v>
          </cell>
          <cell r="R303">
            <v>1617.0021616302456</v>
          </cell>
        </row>
        <row r="304">
          <cell r="A304" t="str">
            <v>Prepaid Expenses + Other Current Assets</v>
          </cell>
          <cell r="B304">
            <v>580</v>
          </cell>
          <cell r="C304">
            <v>593</v>
          </cell>
          <cell r="D304">
            <v>624</v>
          </cell>
          <cell r="E304">
            <v>845</v>
          </cell>
          <cell r="F304">
            <v>1718</v>
          </cell>
          <cell r="G304">
            <v>1190</v>
          </cell>
          <cell r="H304">
            <v>1511</v>
          </cell>
          <cell r="I304">
            <v>1659</v>
          </cell>
          <cell r="J304">
            <v>1837</v>
          </cell>
          <cell r="K304">
            <v>1659</v>
          </cell>
          <cell r="L304">
            <v>1476</v>
          </cell>
          <cell r="M304">
            <v>1487</v>
          </cell>
          <cell r="N304">
            <v>1803</v>
          </cell>
          <cell r="O304">
            <v>2300</v>
          </cell>
          <cell r="P304">
            <v>2226.9179636321551</v>
          </cell>
          <cell r="Q304">
            <v>2177.6458333497239</v>
          </cell>
          <cell r="R304">
            <v>2295.4171163359397</v>
          </cell>
        </row>
        <row r="305">
          <cell r="A305" t="str">
            <v>Total Current Assets</v>
          </cell>
          <cell r="B305">
            <v>9366</v>
          </cell>
          <cell r="C305">
            <v>9975</v>
          </cell>
          <cell r="D305">
            <v>9988</v>
          </cell>
          <cell r="E305">
            <v>10842</v>
          </cell>
          <cell r="F305">
            <v>10807</v>
          </cell>
          <cell r="G305">
            <v>10786</v>
          </cell>
          <cell r="H305">
            <v>10577</v>
          </cell>
          <cell r="I305">
            <v>11358</v>
          </cell>
          <cell r="J305">
            <v>10146</v>
          </cell>
          <cell r="K305">
            <v>10889</v>
          </cell>
          <cell r="L305">
            <v>12166</v>
          </cell>
          <cell r="M305">
            <v>15220</v>
          </cell>
          <cell r="N305">
            <v>17115</v>
          </cell>
          <cell r="O305">
            <v>24800</v>
          </cell>
          <cell r="P305">
            <v>25392.078531270865</v>
          </cell>
          <cell r="Q305">
            <v>26252.151929137108</v>
          </cell>
          <cell r="R305">
            <v>27035.7730931361</v>
          </cell>
        </row>
        <row r="306">
          <cell r="A306" t="str">
            <v>Net Property, Plant + Equipment</v>
          </cell>
          <cell r="B306">
            <v>9696</v>
          </cell>
          <cell r="C306">
            <v>9485</v>
          </cell>
          <cell r="D306">
            <v>10024</v>
          </cell>
          <cell r="E306">
            <v>11026</v>
          </cell>
          <cell r="F306">
            <v>11118</v>
          </cell>
          <cell r="G306">
            <v>11376</v>
          </cell>
          <cell r="H306">
            <v>12180</v>
          </cell>
          <cell r="I306">
            <v>12626</v>
          </cell>
          <cell r="J306">
            <v>13692</v>
          </cell>
          <cell r="K306">
            <v>13095</v>
          </cell>
          <cell r="L306">
            <v>13349</v>
          </cell>
          <cell r="M306">
            <v>13104</v>
          </cell>
          <cell r="N306">
            <v>14108</v>
          </cell>
          <cell r="O306">
            <v>17910</v>
          </cell>
          <cell r="P306">
            <v>18197.688453827912</v>
          </cell>
          <cell r="Q306">
            <v>18802.379293031085</v>
          </cell>
          <cell r="R306">
            <v>19449.330399839135</v>
          </cell>
        </row>
        <row r="307">
          <cell r="A307" t="str">
            <v>Goodwill</v>
          </cell>
          <cell r="B307">
            <v>3426</v>
          </cell>
          <cell r="C307">
            <v>3472</v>
          </cell>
          <cell r="D307">
            <v>3564</v>
          </cell>
          <cell r="E307">
            <v>4474</v>
          </cell>
          <cell r="F307">
            <v>4175</v>
          </cell>
          <cell r="G307">
            <v>3915</v>
          </cell>
          <cell r="H307">
            <v>7023</v>
          </cell>
          <cell r="I307">
            <v>7062</v>
          </cell>
          <cell r="J307">
            <v>9080</v>
          </cell>
          <cell r="K307">
            <v>7429</v>
          </cell>
          <cell r="L307">
            <v>10966</v>
          </cell>
          <cell r="M307">
            <v>11132</v>
          </cell>
          <cell r="N307">
            <v>19610</v>
          </cell>
          <cell r="O307">
            <v>20840</v>
          </cell>
          <cell r="P307">
            <v>20840</v>
          </cell>
          <cell r="Q307">
            <v>20840</v>
          </cell>
          <cell r="R307">
            <v>20840</v>
          </cell>
        </row>
        <row r="308">
          <cell r="A308" t="str">
            <v>Intangible Assets</v>
          </cell>
          <cell r="B308">
            <v>991</v>
          </cell>
          <cell r="C308">
            <v>957</v>
          </cell>
          <cell r="D308">
            <v>946</v>
          </cell>
          <cell r="E308">
            <v>1008</v>
          </cell>
          <cell r="F308">
            <v>1095</v>
          </cell>
          <cell r="G308">
            <v>1085</v>
          </cell>
          <cell r="H308">
            <v>1157</v>
          </cell>
          <cell r="I308">
            <v>1115</v>
          </cell>
          <cell r="J308">
            <v>1305</v>
          </cell>
          <cell r="K308">
            <v>871</v>
          </cell>
          <cell r="L308">
            <v>2464</v>
          </cell>
          <cell r="M308">
            <v>2375</v>
          </cell>
          <cell r="N308">
            <v>4290</v>
          </cell>
          <cell r="O308">
            <v>55464</v>
          </cell>
          <cell r="P308">
            <v>55464</v>
          </cell>
          <cell r="Q308">
            <v>54937.5</v>
          </cell>
          <cell r="R308">
            <v>54445.5</v>
          </cell>
        </row>
        <row r="309">
          <cell r="A309" t="str">
            <v>Amortization</v>
          </cell>
          <cell r="B309">
            <v>-556</v>
          </cell>
          <cell r="C309">
            <v>-667</v>
          </cell>
          <cell r="D309">
            <v>-756</v>
          </cell>
          <cell r="E309">
            <v>-910</v>
          </cell>
          <cell r="F309">
            <v>-989</v>
          </cell>
          <cell r="G309">
            <v>-1051</v>
          </cell>
          <cell r="H309">
            <v>-1169</v>
          </cell>
          <cell r="I309">
            <v>-1355</v>
          </cell>
          <cell r="J309">
            <v>-1599</v>
          </cell>
          <cell r="P309">
            <v>-526.5</v>
          </cell>
          <cell r="Q309">
            <v>-492</v>
          </cell>
          <cell r="R309">
            <v>-479</v>
          </cell>
        </row>
        <row r="310">
          <cell r="A310" t="str">
            <v>Net Goodwill and Intangibles</v>
          </cell>
          <cell r="B310">
            <v>3861</v>
          </cell>
          <cell r="C310">
            <v>3762</v>
          </cell>
          <cell r="D310">
            <v>3754</v>
          </cell>
          <cell r="E310">
            <v>4572</v>
          </cell>
          <cell r="F310">
            <v>4281</v>
          </cell>
          <cell r="G310">
            <v>3949</v>
          </cell>
          <cell r="H310">
            <v>7011</v>
          </cell>
          <cell r="I310">
            <v>6822</v>
          </cell>
          <cell r="J310">
            <v>8786</v>
          </cell>
          <cell r="K310">
            <v>8300</v>
          </cell>
          <cell r="L310">
            <v>13430</v>
          </cell>
          <cell r="M310">
            <v>13507</v>
          </cell>
          <cell r="N310">
            <v>23900</v>
          </cell>
          <cell r="O310">
            <v>76304</v>
          </cell>
          <cell r="P310">
            <v>75777.5</v>
          </cell>
          <cell r="Q310">
            <v>75285.5</v>
          </cell>
          <cell r="R310">
            <v>74806.5</v>
          </cell>
        </row>
        <row r="311">
          <cell r="A311" t="str">
            <v>Other Assets</v>
          </cell>
          <cell r="B311">
            <v>1102</v>
          </cell>
          <cell r="C311">
            <v>1713</v>
          </cell>
          <cell r="D311">
            <v>1769</v>
          </cell>
          <cell r="E311">
            <v>1685</v>
          </cell>
          <cell r="F311">
            <v>1524</v>
          </cell>
          <cell r="G311">
            <v>1433</v>
          </cell>
          <cell r="H311">
            <v>1198</v>
          </cell>
          <cell r="I311">
            <v>1307</v>
          </cell>
          <cell r="J311">
            <v>1742</v>
          </cell>
          <cell r="K311">
            <v>2103</v>
          </cell>
          <cell r="L311">
            <v>1831</v>
          </cell>
          <cell r="M311">
            <v>1875</v>
          </cell>
          <cell r="N311">
            <v>1925</v>
          </cell>
          <cell r="O311">
            <v>3856</v>
          </cell>
          <cell r="P311">
            <v>3856</v>
          </cell>
          <cell r="Q311">
            <v>3856</v>
          </cell>
          <cell r="R311">
            <v>3856</v>
          </cell>
        </row>
        <row r="312">
          <cell r="A312" t="str">
            <v>Total Assets</v>
          </cell>
          <cell r="B312">
            <v>24025</v>
          </cell>
          <cell r="C312">
            <v>24935</v>
          </cell>
          <cell r="D312">
            <v>25535</v>
          </cell>
          <cell r="E312">
            <v>28125</v>
          </cell>
          <cell r="F312">
            <v>27730</v>
          </cell>
          <cell r="G312">
            <v>27544</v>
          </cell>
          <cell r="H312">
            <v>30966</v>
          </cell>
          <cell r="I312">
            <v>32113</v>
          </cell>
          <cell r="J312">
            <v>34366</v>
          </cell>
          <cell r="K312">
            <v>34387</v>
          </cell>
          <cell r="L312">
            <v>40776</v>
          </cell>
          <cell r="M312">
            <v>43706</v>
          </cell>
          <cell r="N312">
            <v>57048</v>
          </cell>
          <cell r="O312">
            <v>122870</v>
          </cell>
          <cell r="P312">
            <v>123223.26698509877</v>
          </cell>
          <cell r="Q312">
            <v>124196.0312221682</v>
          </cell>
          <cell r="R312">
            <v>125147.60349297523</v>
          </cell>
        </row>
        <row r="314">
          <cell r="A314" t="str">
            <v>Liabilities + Shareholders' Equity:</v>
          </cell>
        </row>
        <row r="315">
          <cell r="A315" t="str">
            <v>Accounts Payable and Accrued Liabilities</v>
          </cell>
          <cell r="B315">
            <v>5025</v>
          </cell>
          <cell r="C315">
            <v>5749</v>
          </cell>
          <cell r="D315">
            <v>6225</v>
          </cell>
          <cell r="E315">
            <v>7110</v>
          </cell>
          <cell r="F315">
            <v>6217</v>
          </cell>
          <cell r="G315">
            <v>6005</v>
          </cell>
          <cell r="H315">
            <v>5993</v>
          </cell>
          <cell r="I315">
            <v>6383</v>
          </cell>
          <cell r="J315">
            <v>5975</v>
          </cell>
          <cell r="K315">
            <v>6706</v>
          </cell>
          <cell r="L315">
            <v>7535</v>
          </cell>
          <cell r="M315">
            <v>8307</v>
          </cell>
          <cell r="N315">
            <v>11306</v>
          </cell>
          <cell r="O315">
            <v>13761</v>
          </cell>
          <cell r="P315">
            <v>14090.147545312608</v>
          </cell>
          <cell r="Q315">
            <v>14438.827408307068</v>
          </cell>
          <cell r="R315">
            <v>14701.484251825699</v>
          </cell>
        </row>
        <row r="316">
          <cell r="A316" t="str">
            <v>A/P Trade</v>
          </cell>
          <cell r="B316">
            <v>2323</v>
          </cell>
          <cell r="C316">
            <v>2269</v>
          </cell>
          <cell r="D316">
            <v>2604</v>
          </cell>
          <cell r="E316">
            <v>2891</v>
          </cell>
          <cell r="F316">
            <v>2236</v>
          </cell>
          <cell r="G316">
            <v>2203</v>
          </cell>
          <cell r="H316">
            <v>2051</v>
          </cell>
          <cell r="I316">
            <v>2300</v>
          </cell>
          <cell r="J316">
            <v>2209</v>
          </cell>
          <cell r="K316">
            <v>2075</v>
          </cell>
          <cell r="L316">
            <v>2205</v>
          </cell>
          <cell r="M316">
            <v>2795</v>
          </cell>
          <cell r="N316">
            <v>3617</v>
          </cell>
          <cell r="O316">
            <v>4439</v>
          </cell>
          <cell r="P316">
            <v>4768.1475453126068</v>
          </cell>
          <cell r="Q316">
            <v>5116.8274083070692</v>
          </cell>
          <cell r="R316">
            <v>5379.4842518256992</v>
          </cell>
        </row>
        <row r="317">
          <cell r="A317" t="str">
            <v>A/P Other</v>
          </cell>
          <cell r="B317">
            <v>587</v>
          </cell>
          <cell r="C317">
            <v>642</v>
          </cell>
          <cell r="D317">
            <v>660</v>
          </cell>
          <cell r="E317">
            <v>725</v>
          </cell>
          <cell r="F317">
            <v>0</v>
          </cell>
          <cell r="G317">
            <v>0</v>
          </cell>
          <cell r="H317">
            <v>0</v>
          </cell>
          <cell r="I317">
            <v>0</v>
          </cell>
          <cell r="J317">
            <v>0</v>
          </cell>
          <cell r="K317">
            <v>0</v>
          </cell>
          <cell r="L317">
            <v>0</v>
          </cell>
          <cell r="M317">
            <v>0</v>
          </cell>
        </row>
        <row r="318">
          <cell r="A318" t="str">
            <v>Accrued Liabilities</v>
          </cell>
          <cell r="B318">
            <v>2115</v>
          </cell>
          <cell r="C318">
            <v>2838</v>
          </cell>
          <cell r="D318">
            <v>2961</v>
          </cell>
          <cell r="E318">
            <v>3494</v>
          </cell>
          <cell r="F318">
            <v>3981</v>
          </cell>
          <cell r="G318">
            <v>3802</v>
          </cell>
          <cell r="H318">
            <v>3942</v>
          </cell>
          <cell r="I318">
            <v>4083</v>
          </cell>
          <cell r="J318">
            <v>3766</v>
          </cell>
          <cell r="K318">
            <v>4631</v>
          </cell>
          <cell r="L318">
            <v>5330</v>
          </cell>
          <cell r="M318">
            <v>5512</v>
          </cell>
          <cell r="N318">
            <v>7689</v>
          </cell>
          <cell r="O318">
            <v>9322</v>
          </cell>
          <cell r="P318">
            <v>9322</v>
          </cell>
          <cell r="Q318">
            <v>9322</v>
          </cell>
          <cell r="R318">
            <v>9322</v>
          </cell>
        </row>
        <row r="319">
          <cell r="A319" t="str">
            <v>Income Taxes</v>
          </cell>
          <cell r="B319">
            <v>615</v>
          </cell>
          <cell r="C319">
            <v>726</v>
          </cell>
          <cell r="D319">
            <v>440</v>
          </cell>
          <cell r="E319">
            <v>568</v>
          </cell>
          <cell r="F319">
            <v>492</v>
          </cell>
          <cell r="G319">
            <v>944</v>
          </cell>
          <cell r="H319">
            <v>976</v>
          </cell>
          <cell r="I319">
            <v>1228</v>
          </cell>
          <cell r="J319">
            <v>925</v>
          </cell>
          <cell r="K319">
            <v>907</v>
          </cell>
          <cell r="L319">
            <v>1438</v>
          </cell>
          <cell r="M319">
            <v>1879</v>
          </cell>
          <cell r="N319">
            <v>2554</v>
          </cell>
          <cell r="O319">
            <v>2767</v>
          </cell>
          <cell r="P319">
            <v>2854.0917867651428</v>
          </cell>
          <cell r="Q319">
            <v>3119.6880914622679</v>
          </cell>
          <cell r="R319">
            <v>3464.8587044858809</v>
          </cell>
        </row>
        <row r="320">
          <cell r="A320" t="str">
            <v>Total Current Liabilities</v>
          </cell>
          <cell r="B320">
            <v>5640</v>
          </cell>
          <cell r="C320">
            <v>6475</v>
          </cell>
          <cell r="D320">
            <v>6665</v>
          </cell>
          <cell r="E320">
            <v>7678</v>
          </cell>
          <cell r="F320">
            <v>6709</v>
          </cell>
          <cell r="G320">
            <v>6949</v>
          </cell>
          <cell r="H320">
            <v>6969</v>
          </cell>
          <cell r="I320">
            <v>7611</v>
          </cell>
          <cell r="J320">
            <v>6900</v>
          </cell>
          <cell r="K320">
            <v>7613</v>
          </cell>
          <cell r="L320">
            <v>8973</v>
          </cell>
          <cell r="M320">
            <v>10186</v>
          </cell>
          <cell r="N320">
            <v>13860</v>
          </cell>
          <cell r="O320">
            <v>16528</v>
          </cell>
          <cell r="P320">
            <v>16944.239332077752</v>
          </cell>
          <cell r="Q320">
            <v>17558.515499769335</v>
          </cell>
          <cell r="R320">
            <v>18166.342956311579</v>
          </cell>
        </row>
        <row r="321">
          <cell r="A321" t="str">
            <v>Old Total Debt</v>
          </cell>
          <cell r="B321">
            <v>7225</v>
          </cell>
          <cell r="C321">
            <v>6986</v>
          </cell>
          <cell r="D321">
            <v>6355</v>
          </cell>
          <cell r="E321">
            <v>6131</v>
          </cell>
          <cell r="F321">
            <v>5786</v>
          </cell>
          <cell r="G321">
            <v>4992</v>
          </cell>
          <cell r="H321">
            <v>8046</v>
          </cell>
          <cell r="I321">
            <v>9381</v>
          </cell>
          <cell r="J321">
            <v>12253</v>
          </cell>
          <cell r="K321">
            <v>12025</v>
          </cell>
          <cell r="L321">
            <v>14932</v>
          </cell>
          <cell r="M321">
            <v>13647</v>
          </cell>
          <cell r="N321">
            <v>20841</v>
          </cell>
          <cell r="O321">
            <v>27086</v>
          </cell>
          <cell r="P321">
            <v>27086</v>
          </cell>
          <cell r="Q321">
            <v>40875.230308470469</v>
          </cell>
          <cell r="R321">
            <v>40445.110185125966</v>
          </cell>
        </row>
        <row r="322">
          <cell r="A322" t="str">
            <v>Long Term Debt</v>
          </cell>
          <cell r="B322">
            <v>5223</v>
          </cell>
          <cell r="C322">
            <v>5174</v>
          </cell>
          <cell r="D322">
            <v>4980</v>
          </cell>
          <cell r="E322">
            <v>5161</v>
          </cell>
          <cell r="F322">
            <v>4670</v>
          </cell>
          <cell r="G322">
            <v>4143</v>
          </cell>
          <cell r="H322">
            <v>5765</v>
          </cell>
          <cell r="I322">
            <v>6231</v>
          </cell>
          <cell r="J322">
            <v>9012</v>
          </cell>
          <cell r="K322">
            <v>9792</v>
          </cell>
          <cell r="L322">
            <v>11201</v>
          </cell>
          <cell r="M322">
            <v>11475</v>
          </cell>
          <cell r="N322">
            <v>12554</v>
          </cell>
          <cell r="O322">
            <v>15016</v>
          </cell>
          <cell r="P322">
            <v>15016</v>
          </cell>
          <cell r="Q322">
            <v>28805.230308470469</v>
          </cell>
          <cell r="R322">
            <v>28375.110185125966</v>
          </cell>
        </row>
        <row r="323">
          <cell r="A323" t="str">
            <v>Current Portions of Long-Term Debt</v>
          </cell>
          <cell r="B323">
            <v>2002</v>
          </cell>
          <cell r="C323">
            <v>1812</v>
          </cell>
          <cell r="D323">
            <v>1375</v>
          </cell>
          <cell r="E323">
            <v>970</v>
          </cell>
          <cell r="F323">
            <v>1116</v>
          </cell>
          <cell r="G323">
            <v>849</v>
          </cell>
          <cell r="H323">
            <v>2281</v>
          </cell>
          <cell r="I323">
            <v>3150</v>
          </cell>
          <cell r="J323">
            <v>3241</v>
          </cell>
          <cell r="K323">
            <v>2233</v>
          </cell>
          <cell r="L323">
            <v>3731</v>
          </cell>
          <cell r="M323">
            <v>2172</v>
          </cell>
          <cell r="N323">
            <v>8287</v>
          </cell>
          <cell r="O323">
            <v>12070</v>
          </cell>
          <cell r="P323">
            <v>12070</v>
          </cell>
          <cell r="Q323">
            <v>12070</v>
          </cell>
          <cell r="R323">
            <v>12070</v>
          </cell>
        </row>
        <row r="324">
          <cell r="A324" t="str">
            <v>New Debt/(Debt Paydown)</v>
          </cell>
          <cell r="P324">
            <v>13789.230308470467</v>
          </cell>
          <cell r="Q324">
            <v>-430.12012334450253</v>
          </cell>
          <cell r="R324">
            <v>-176.27642783666056</v>
          </cell>
        </row>
        <row r="325">
          <cell r="A325" t="str">
            <v>Deferred Income Taxes</v>
          </cell>
          <cell r="B325">
            <v>1483</v>
          </cell>
          <cell r="C325">
            <v>183</v>
          </cell>
          <cell r="D325">
            <v>347</v>
          </cell>
          <cell r="E325">
            <v>531</v>
          </cell>
          <cell r="F325">
            <v>638</v>
          </cell>
          <cell r="G325">
            <v>559</v>
          </cell>
          <cell r="H325">
            <v>428</v>
          </cell>
          <cell r="I325">
            <v>362</v>
          </cell>
          <cell r="J325">
            <v>625</v>
          </cell>
          <cell r="K325">
            <v>894</v>
          </cell>
          <cell r="L325">
            <v>1077</v>
          </cell>
          <cell r="M325">
            <v>1396</v>
          </cell>
          <cell r="N325">
            <v>2261</v>
          </cell>
          <cell r="O325">
            <v>3582</v>
          </cell>
          <cell r="P325">
            <v>3639.5376907655827</v>
          </cell>
          <cell r="Q325">
            <v>3760.4758586062171</v>
          </cell>
          <cell r="R325">
            <v>3889.8660799678273</v>
          </cell>
        </row>
        <row r="326">
          <cell r="A326" t="str">
            <v>Other Long-Term Liabilities</v>
          </cell>
          <cell r="B326">
            <v>606</v>
          </cell>
          <cell r="C326">
            <v>3850</v>
          </cell>
          <cell r="D326">
            <v>3336</v>
          </cell>
          <cell r="E326">
            <v>3196</v>
          </cell>
          <cell r="F326">
            <v>2875</v>
          </cell>
          <cell r="G326">
            <v>2998</v>
          </cell>
          <cell r="H326">
            <v>3287</v>
          </cell>
          <cell r="I326">
            <v>2701</v>
          </cell>
          <cell r="J326">
            <v>2301</v>
          </cell>
          <cell r="K326">
            <v>1845</v>
          </cell>
          <cell r="L326">
            <v>2088</v>
          </cell>
          <cell r="M326">
            <v>2291</v>
          </cell>
          <cell r="N326">
            <v>2808</v>
          </cell>
          <cell r="O326">
            <v>4039</v>
          </cell>
          <cell r="P326">
            <v>4222.3836518215548</v>
          </cell>
          <cell r="Q326">
            <v>4486.5902473472433</v>
          </cell>
          <cell r="R326">
            <v>4729.2336935731801</v>
          </cell>
        </row>
        <row r="327">
          <cell r="A327" t="str">
            <v>Total Liabilities</v>
          </cell>
          <cell r="B327">
            <v>14954</v>
          </cell>
          <cell r="C327">
            <v>17494</v>
          </cell>
          <cell r="D327">
            <v>16703</v>
          </cell>
          <cell r="E327">
            <v>17536</v>
          </cell>
          <cell r="F327">
            <v>16008</v>
          </cell>
          <cell r="G327">
            <v>15498</v>
          </cell>
          <cell r="H327">
            <v>18730</v>
          </cell>
          <cell r="I327">
            <v>20055</v>
          </cell>
          <cell r="J327">
            <v>22079</v>
          </cell>
          <cell r="K327">
            <v>22377</v>
          </cell>
          <cell r="L327">
            <v>27070</v>
          </cell>
          <cell r="M327">
            <v>27520</v>
          </cell>
          <cell r="N327">
            <v>39770</v>
          </cell>
          <cell r="O327">
            <v>51235</v>
          </cell>
          <cell r="P327">
            <v>65681.390983135352</v>
          </cell>
          <cell r="Q327">
            <v>66250.691790848767</v>
          </cell>
          <cell r="R327">
            <v>67054.276487141891</v>
          </cell>
        </row>
        <row r="329">
          <cell r="A329" t="str">
            <v>Shareholders' Equity:</v>
          </cell>
        </row>
        <row r="330">
          <cell r="A330" t="str">
            <v>Convertible Class A preferred stock</v>
          </cell>
          <cell r="B330">
            <v>1986</v>
          </cell>
          <cell r="C330">
            <v>1969</v>
          </cell>
          <cell r="D330">
            <v>1942</v>
          </cell>
          <cell r="E330">
            <v>1913</v>
          </cell>
          <cell r="F330">
            <v>1886</v>
          </cell>
          <cell r="G330">
            <v>1859</v>
          </cell>
          <cell r="H330">
            <v>1821</v>
          </cell>
          <cell r="I330">
            <v>1781</v>
          </cell>
          <cell r="J330">
            <v>1737</v>
          </cell>
          <cell r="K330">
            <v>1701</v>
          </cell>
          <cell r="L330">
            <v>1634</v>
          </cell>
          <cell r="M330">
            <v>1580</v>
          </cell>
          <cell r="N330">
            <v>1526</v>
          </cell>
          <cell r="O330">
            <v>1483</v>
          </cell>
          <cell r="P330">
            <v>1483</v>
          </cell>
          <cell r="Q330">
            <v>1483</v>
          </cell>
          <cell r="R330">
            <v>1483</v>
          </cell>
        </row>
        <row r="331">
          <cell r="A331" t="str">
            <v>Comon Stock, par per $1 share</v>
          </cell>
          <cell r="B331">
            <v>679</v>
          </cell>
          <cell r="C331">
            <v>682</v>
          </cell>
          <cell r="D331">
            <v>684</v>
          </cell>
          <cell r="E331">
            <v>687</v>
          </cell>
          <cell r="F331">
            <v>1371</v>
          </cell>
          <cell r="G331">
            <v>1351</v>
          </cell>
          <cell r="H331">
            <v>1337</v>
          </cell>
          <cell r="I331">
            <v>1320</v>
          </cell>
          <cell r="J331">
            <v>1306</v>
          </cell>
          <cell r="K331">
            <v>1296</v>
          </cell>
          <cell r="L331">
            <v>1301</v>
          </cell>
          <cell r="M331">
            <v>1297</v>
          </cell>
          <cell r="N331">
            <v>2544</v>
          </cell>
          <cell r="O331">
            <v>3863</v>
          </cell>
          <cell r="P331">
            <v>3863</v>
          </cell>
          <cell r="Q331">
            <v>3863</v>
          </cell>
          <cell r="R331">
            <v>3863</v>
          </cell>
        </row>
        <row r="332">
          <cell r="A332" t="str">
            <v>Additional Paid-In Capital</v>
          </cell>
          <cell r="B332">
            <v>366</v>
          </cell>
          <cell r="C332">
            <v>477</v>
          </cell>
          <cell r="D332">
            <v>560</v>
          </cell>
          <cell r="E332">
            <v>693</v>
          </cell>
          <cell r="F332">
            <v>294</v>
          </cell>
          <cell r="G332">
            <v>559</v>
          </cell>
          <cell r="H332">
            <v>907</v>
          </cell>
          <cell r="I332">
            <v>1337</v>
          </cell>
          <cell r="J332">
            <v>1794</v>
          </cell>
          <cell r="K332">
            <v>2057</v>
          </cell>
          <cell r="L332">
            <v>2490</v>
          </cell>
          <cell r="M332">
            <v>2931</v>
          </cell>
          <cell r="N332">
            <v>2425</v>
          </cell>
          <cell r="O332">
            <v>55952</v>
          </cell>
          <cell r="P332">
            <v>55952</v>
          </cell>
          <cell r="Q332">
            <v>55952</v>
          </cell>
          <cell r="R332">
            <v>55952</v>
          </cell>
        </row>
        <row r="333">
          <cell r="A333" t="str">
            <v>Earnings Reinvested in the business</v>
          </cell>
          <cell r="B333">
            <v>7810</v>
          </cell>
          <cell r="C333">
            <v>6248</v>
          </cell>
          <cell r="D333">
            <v>7496</v>
          </cell>
          <cell r="E333">
            <v>8965</v>
          </cell>
          <cell r="F333">
            <v>10265</v>
          </cell>
          <cell r="G333">
            <v>10730</v>
          </cell>
          <cell r="H333">
            <v>11144</v>
          </cell>
          <cell r="I333">
            <v>10778</v>
          </cell>
          <cell r="J333">
            <v>10710</v>
          </cell>
          <cell r="K333">
            <v>10451</v>
          </cell>
          <cell r="L333">
            <v>11980</v>
          </cell>
          <cell r="M333">
            <v>13692</v>
          </cell>
          <cell r="N333">
            <v>13611</v>
          </cell>
          <cell r="O333">
            <v>14085</v>
          </cell>
          <cell r="P333">
            <v>-8.1239980365830888</v>
          </cell>
          <cell r="Q333">
            <v>395.33943131939805</v>
          </cell>
          <cell r="R333">
            <v>543.32700583330825</v>
          </cell>
        </row>
        <row r="334">
          <cell r="A334" t="str">
            <v>Reserve for ESOP Debt Retirement</v>
          </cell>
          <cell r="B334">
            <v>-1882</v>
          </cell>
          <cell r="C334">
            <v>-1836</v>
          </cell>
          <cell r="D334">
            <v>-1787</v>
          </cell>
          <cell r="E334">
            <v>-1734</v>
          </cell>
          <cell r="F334">
            <v>-1676</v>
          </cell>
          <cell r="G334">
            <v>-1634</v>
          </cell>
          <cell r="H334">
            <v>-1616</v>
          </cell>
          <cell r="I334">
            <v>-1552</v>
          </cell>
          <cell r="J334">
            <v>-1418</v>
          </cell>
          <cell r="K334">
            <v>-1375</v>
          </cell>
          <cell r="L334">
            <v>-1339</v>
          </cell>
          <cell r="M334">
            <v>-1308</v>
          </cell>
          <cell r="N334">
            <v>-1283</v>
          </cell>
          <cell r="O334">
            <v>-1259</v>
          </cell>
          <cell r="P334">
            <v>-1259</v>
          </cell>
          <cell r="Q334">
            <v>-1259</v>
          </cell>
          <cell r="R334">
            <v>-1259</v>
          </cell>
        </row>
        <row r="335">
          <cell r="A335" t="str">
            <v>Foreign Currency Translation</v>
          </cell>
          <cell r="B335">
            <v>112</v>
          </cell>
          <cell r="C335">
            <v>-99</v>
          </cell>
          <cell r="D335">
            <v>-63</v>
          </cell>
          <cell r="E335">
            <v>65</v>
          </cell>
          <cell r="F335">
            <v>-418</v>
          </cell>
          <cell r="G335">
            <v>-819</v>
          </cell>
          <cell r="H335">
            <v>0</v>
          </cell>
          <cell r="I335">
            <v>0</v>
          </cell>
          <cell r="J335">
            <v>0</v>
          </cell>
          <cell r="K335">
            <v>0</v>
          </cell>
          <cell r="L335">
            <v>0</v>
          </cell>
          <cell r="M335">
            <v>0</v>
          </cell>
          <cell r="N335">
            <v>0</v>
          </cell>
          <cell r="O335">
            <v>0</v>
          </cell>
          <cell r="P335">
            <v>0</v>
          </cell>
          <cell r="Q335">
            <v>0</v>
          </cell>
          <cell r="R335">
            <v>0</v>
          </cell>
        </row>
        <row r="336">
          <cell r="A336" t="str">
            <v>Accumulated other comprehensive income</v>
          </cell>
          <cell r="H336">
            <v>-1357</v>
          </cell>
          <cell r="I336">
            <v>-1606</v>
          </cell>
          <cell r="J336">
            <v>-1842</v>
          </cell>
          <cell r="K336">
            <v>-2120</v>
          </cell>
          <cell r="L336">
            <v>-2360</v>
          </cell>
          <cell r="M336">
            <v>-2006</v>
          </cell>
          <cell r="N336">
            <v>-1545</v>
          </cell>
          <cell r="O336">
            <v>-2489</v>
          </cell>
          <cell r="P336">
            <v>-2489</v>
          </cell>
          <cell r="Q336">
            <v>-2489</v>
          </cell>
          <cell r="R336">
            <v>-2489</v>
          </cell>
        </row>
        <row r="337">
          <cell r="A337" t="str">
            <v>Total Shareholders' Equity</v>
          </cell>
          <cell r="B337">
            <v>9071</v>
          </cell>
          <cell r="C337">
            <v>7441</v>
          </cell>
          <cell r="D337">
            <v>8832</v>
          </cell>
          <cell r="E337">
            <v>10589</v>
          </cell>
          <cell r="F337">
            <v>11722</v>
          </cell>
          <cell r="G337">
            <v>12046</v>
          </cell>
          <cell r="H337">
            <v>12236</v>
          </cell>
          <cell r="I337">
            <v>12058</v>
          </cell>
          <cell r="J337">
            <v>12287</v>
          </cell>
          <cell r="K337">
            <v>12010</v>
          </cell>
          <cell r="L337">
            <v>13706</v>
          </cell>
          <cell r="M337">
            <v>16186</v>
          </cell>
          <cell r="N337">
            <v>17278</v>
          </cell>
          <cell r="O337">
            <v>71635</v>
          </cell>
          <cell r="P337">
            <v>57541.876001963414</v>
          </cell>
          <cell r="Q337">
            <v>57945.3394313194</v>
          </cell>
          <cell r="R337">
            <v>58093.327005833307</v>
          </cell>
        </row>
        <row r="338">
          <cell r="A338" t="str">
            <v>Total Liabilities + Shareholders' Equity</v>
          </cell>
          <cell r="B338">
            <v>24025</v>
          </cell>
          <cell r="C338">
            <v>24935</v>
          </cell>
          <cell r="D338">
            <v>25535</v>
          </cell>
          <cell r="E338">
            <v>28125</v>
          </cell>
          <cell r="F338">
            <v>27730</v>
          </cell>
          <cell r="G338">
            <v>27544</v>
          </cell>
          <cell r="H338">
            <v>30966</v>
          </cell>
          <cell r="I338">
            <v>32113</v>
          </cell>
          <cell r="J338">
            <v>34366</v>
          </cell>
          <cell r="K338">
            <v>34387</v>
          </cell>
          <cell r="L338">
            <v>40776</v>
          </cell>
          <cell r="M338">
            <v>43706</v>
          </cell>
          <cell r="N338">
            <v>57048</v>
          </cell>
          <cell r="O338">
            <v>122870</v>
          </cell>
          <cell r="P338">
            <v>123223.26698509877</v>
          </cell>
          <cell r="Q338">
            <v>124196.03122216817</v>
          </cell>
          <cell r="R338">
            <v>125147.60349297521</v>
          </cell>
        </row>
        <row r="339">
          <cell r="M339">
            <v>0</v>
          </cell>
          <cell r="N339">
            <v>0</v>
          </cell>
          <cell r="O339">
            <v>0</v>
          </cell>
          <cell r="P339">
            <v>0</v>
          </cell>
          <cell r="Q339">
            <v>0</v>
          </cell>
          <cell r="R339">
            <v>0</v>
          </cell>
        </row>
        <row r="340">
          <cell r="A340" t="str">
            <v>Check:</v>
          </cell>
          <cell r="B340" t="b">
            <v>1</v>
          </cell>
          <cell r="C340" t="b">
            <v>1</v>
          </cell>
          <cell r="D340" t="b">
            <v>1</v>
          </cell>
          <cell r="E340" t="b">
            <v>1</v>
          </cell>
          <cell r="F340" t="b">
            <v>1</v>
          </cell>
          <cell r="G340" t="b">
            <v>1</v>
          </cell>
          <cell r="H340" t="b">
            <v>1</v>
          </cell>
          <cell r="I340" t="b">
            <v>1</v>
          </cell>
          <cell r="J340" t="b">
            <v>1</v>
          </cell>
          <cell r="K340" t="b">
            <v>1</v>
          </cell>
          <cell r="L340" t="b">
            <v>1</v>
          </cell>
          <cell r="M340" t="b">
            <v>1</v>
          </cell>
          <cell r="N340" t="b">
            <v>1</v>
          </cell>
          <cell r="O340" t="b">
            <v>1</v>
          </cell>
          <cell r="P340" t="b">
            <v>1</v>
          </cell>
          <cell r="Q340" t="b">
            <v>1</v>
          </cell>
          <cell r="R340" t="b">
            <v>1</v>
          </cell>
        </row>
        <row r="342">
          <cell r="A342" t="str">
            <v>Working Capital (ex. Cash)</v>
          </cell>
          <cell r="B342">
            <v>1950</v>
          </cell>
          <cell r="C342">
            <v>872</v>
          </cell>
          <cell r="D342">
            <v>667</v>
          </cell>
          <cell r="E342">
            <v>986</v>
          </cell>
          <cell r="F342">
            <v>1578</v>
          </cell>
          <cell r="G342">
            <v>727</v>
          </cell>
          <cell r="H342">
            <v>1202</v>
          </cell>
          <cell r="I342">
            <v>947</v>
          </cell>
          <cell r="J342">
            <v>1646</v>
          </cell>
          <cell r="K342">
            <v>758</v>
          </cell>
          <cell r="L342">
            <v>-430</v>
          </cell>
          <cell r="M342">
            <v>-1178</v>
          </cell>
          <cell r="N342">
            <v>-2637</v>
          </cell>
          <cell r="O342">
            <v>-657</v>
          </cell>
          <cell r="P342">
            <v>-604.82099404524342</v>
          </cell>
          <cell r="Q342">
            <v>-589.30803337655379</v>
          </cell>
          <cell r="R342">
            <v>-585.77615230029551</v>
          </cell>
        </row>
        <row r="343">
          <cell r="A343" t="str">
            <v>as a % of sales</v>
          </cell>
          <cell r="B343">
            <v>6.6412369729582449E-2</v>
          </cell>
          <cell r="C343">
            <v>2.8653106824828311E-2</v>
          </cell>
          <cell r="D343">
            <v>2.2016107736994982E-2</v>
          </cell>
          <cell r="E343">
            <v>2.9448658980944984E-2</v>
          </cell>
          <cell r="F343">
            <v>4.4722820541888676E-2</v>
          </cell>
          <cell r="G343">
            <v>2.0327703836259925E-2</v>
          </cell>
          <cell r="H343">
            <v>3.2351832911664963E-2</v>
          </cell>
          <cell r="I343">
            <v>2.4839344262295081E-2</v>
          </cell>
          <cell r="J343">
            <v>4.1200470576456157E-2</v>
          </cell>
          <cell r="K343">
            <v>1.925079365079365E-2</v>
          </cell>
          <cell r="L343">
            <v>-1.0704772336876696E-2</v>
          </cell>
          <cell r="M343">
            <v>-2.7159753763862312E-2</v>
          </cell>
          <cell r="N343">
            <v>5.1296516038671774E-2</v>
          </cell>
          <cell r="O343">
            <v>9.6731448763250887E-3</v>
          </cell>
          <cell r="P343">
            <v>8.518151150959467E-3</v>
          </cell>
          <cell r="Q343">
            <v>7.8109189136598908E-3</v>
          </cell>
          <cell r="R343">
            <v>7.3657519241441339E-3</v>
          </cell>
        </row>
        <row r="344">
          <cell r="A344" t="str">
            <v>Total Debt</v>
          </cell>
          <cell r="B344">
            <v>7225</v>
          </cell>
          <cell r="C344">
            <v>6986</v>
          </cell>
          <cell r="D344">
            <v>6355</v>
          </cell>
          <cell r="E344">
            <v>6131</v>
          </cell>
          <cell r="F344">
            <v>5786</v>
          </cell>
          <cell r="G344">
            <v>4992</v>
          </cell>
          <cell r="H344">
            <v>8046</v>
          </cell>
          <cell r="I344">
            <v>9381</v>
          </cell>
          <cell r="J344">
            <v>12253</v>
          </cell>
          <cell r="K344">
            <v>12025</v>
          </cell>
          <cell r="L344">
            <v>14932</v>
          </cell>
          <cell r="M344">
            <v>13647</v>
          </cell>
          <cell r="N344">
            <v>20841</v>
          </cell>
          <cell r="O344">
            <v>27086</v>
          </cell>
          <cell r="P344">
            <v>40875.230308470469</v>
          </cell>
          <cell r="Q344">
            <v>40445.110185125966</v>
          </cell>
          <cell r="R344">
            <v>40268.833757289307</v>
          </cell>
        </row>
        <row r="345">
          <cell r="A345" t="str">
            <v>Net Debt</v>
          </cell>
          <cell r="B345">
            <v>5449</v>
          </cell>
          <cell r="C345">
            <v>4358</v>
          </cell>
          <cell r="D345">
            <v>3699</v>
          </cell>
          <cell r="E345">
            <v>3953</v>
          </cell>
          <cell r="F345">
            <v>3266</v>
          </cell>
          <cell r="G345">
            <v>1882</v>
          </cell>
          <cell r="H345">
            <v>5640</v>
          </cell>
          <cell r="I345">
            <v>6581</v>
          </cell>
          <cell r="J345">
            <v>10653</v>
          </cell>
          <cell r="K345">
            <v>9507</v>
          </cell>
          <cell r="L345">
            <v>11309</v>
          </cell>
          <cell r="M345">
            <v>7435</v>
          </cell>
          <cell r="N345">
            <v>14949</v>
          </cell>
          <cell r="O345">
            <v>18157</v>
          </cell>
          <cell r="P345">
            <v>31822.570115232113</v>
          </cell>
          <cell r="Q345">
            <v>31162.165722381636</v>
          </cell>
          <cell r="R345">
            <v>30813.62746816449</v>
          </cell>
        </row>
        <row r="347">
          <cell r="A347" t="str">
            <v>B/S assumptions</v>
          </cell>
        </row>
        <row r="348">
          <cell r="A348" t="str">
            <v>Cash sales per day</v>
          </cell>
          <cell r="B348">
            <v>22.1</v>
          </cell>
          <cell r="C348">
            <v>27.8</v>
          </cell>
          <cell r="D348">
            <v>28.6</v>
          </cell>
          <cell r="E348">
            <v>22.1</v>
          </cell>
          <cell r="F348">
            <v>21.5</v>
          </cell>
          <cell r="G348">
            <v>24</v>
          </cell>
          <cell r="H348">
            <v>15.2</v>
          </cell>
          <cell r="I348">
            <v>22</v>
          </cell>
          <cell r="J348">
            <v>12.9</v>
          </cell>
          <cell r="K348">
            <v>21.4</v>
          </cell>
          <cell r="L348">
            <v>31.1</v>
          </cell>
          <cell r="M348">
            <v>45.7</v>
          </cell>
          <cell r="N348">
            <v>30</v>
          </cell>
          <cell r="O348">
            <v>36.9</v>
          </cell>
          <cell r="P348">
            <v>35.9</v>
          </cell>
          <cell r="Q348">
            <v>34.9</v>
          </cell>
          <cell r="R348">
            <v>33.9</v>
          </cell>
        </row>
        <row r="349">
          <cell r="A349" t="str">
            <v>Days in AR</v>
          </cell>
          <cell r="B349">
            <v>41.532082283223218</v>
          </cell>
          <cell r="C349">
            <v>37.311963986462068</v>
          </cell>
          <cell r="D349">
            <v>37.528881700554528</v>
          </cell>
          <cell r="E349">
            <v>38.830715011050714</v>
          </cell>
          <cell r="F349">
            <v>29.389099875297582</v>
          </cell>
          <cell r="G349">
            <v>27.94346269992171</v>
          </cell>
          <cell r="H349">
            <v>27.320476933842922</v>
          </cell>
          <cell r="I349">
            <v>28.14688524590164</v>
          </cell>
          <cell r="J349">
            <v>26.586318239843809</v>
          </cell>
          <cell r="K349">
            <v>27.16990476190476</v>
          </cell>
          <cell r="L349">
            <v>28.077622046852053</v>
          </cell>
          <cell r="M349">
            <v>25.565905056140917</v>
          </cell>
          <cell r="N349">
            <v>28.841013869706458</v>
          </cell>
          <cell r="O349">
            <v>30.631625441696112</v>
          </cell>
          <cell r="P349">
            <v>30.131625441696112</v>
          </cell>
          <cell r="Q349">
            <v>29.631625441696112</v>
          </cell>
          <cell r="R349">
            <v>29.131625441696112</v>
          </cell>
        </row>
        <row r="350">
          <cell r="A350" t="str">
            <v>Inventory % COGs</v>
          </cell>
          <cell r="B350">
            <v>0.19112214269221889</v>
          </cell>
          <cell r="C350">
            <v>0.16418754595328319</v>
          </cell>
          <cell r="D350">
            <v>0.16577355229040622</v>
          </cell>
          <cell r="E350">
            <v>0.1765247175502275</v>
          </cell>
          <cell r="F350">
            <v>0.1511201235998455</v>
          </cell>
          <cell r="G350">
            <v>0.15051194539249146</v>
          </cell>
          <cell r="H350">
            <v>0.15590581086213445</v>
          </cell>
          <cell r="I350">
            <v>0.16216478818499805</v>
          </cell>
          <cell r="J350">
            <v>0.16604814920544295</v>
          </cell>
          <cell r="K350">
            <v>0.16140417819326527</v>
          </cell>
          <cell r="L350">
            <v>0.16874176065621796</v>
          </cell>
          <cell r="M350">
            <v>0.16727941176470587</v>
          </cell>
          <cell r="N350">
            <v>0.17546658159196044</v>
          </cell>
          <cell r="O350">
            <v>0.19963702359346641</v>
          </cell>
          <cell r="P350">
            <v>0.19689729756606916</v>
          </cell>
          <cell r="Q350">
            <v>0.19415757153867189</v>
          </cell>
          <cell r="R350">
            <v>0.19141784551127461</v>
          </cell>
        </row>
        <row r="351">
          <cell r="A351" t="str">
            <v>Inventory (days)</v>
          </cell>
          <cell r="B351">
            <v>69.75958208265989</v>
          </cell>
          <cell r="C351">
            <v>59.928454272948365</v>
          </cell>
          <cell r="D351">
            <v>60.50734658599827</v>
          </cell>
          <cell r="E351">
            <v>64.431521905833037</v>
          </cell>
          <cell r="F351">
            <v>55.158845113943606</v>
          </cell>
          <cell r="G351">
            <v>54.936860068259385</v>
          </cell>
          <cell r="H351">
            <v>56.905620964679073</v>
          </cell>
          <cell r="I351">
            <v>59.190147687524288</v>
          </cell>
          <cell r="J351">
            <v>60.607574459986672</v>
          </cell>
          <cell r="K351">
            <v>58.912525040541823</v>
          </cell>
          <cell r="L351">
            <v>61.590742639519554</v>
          </cell>
          <cell r="M351">
            <v>61.056985294117645</v>
          </cell>
          <cell r="N351">
            <v>64.04530228106556</v>
          </cell>
          <cell r="O351">
            <v>72.867513611615237</v>
          </cell>
          <cell r="P351">
            <v>71.867513611615237</v>
          </cell>
          <cell r="Q351">
            <v>70.867513611615237</v>
          </cell>
          <cell r="R351">
            <v>69.867513611615237</v>
          </cell>
        </row>
        <row r="352">
          <cell r="A352" t="str">
            <v>Other Current Assets, incl. Def. Taxes</v>
          </cell>
          <cell r="B352">
            <v>3.1946052721204279E-2</v>
          </cell>
          <cell r="C352">
            <v>4.3801136923734107E-2</v>
          </cell>
          <cell r="D352">
            <v>4.4230261420649591E-2</v>
          </cell>
          <cell r="E352">
            <v>4.9250343468132132E-2</v>
          </cell>
          <cell r="F352">
            <v>6.5638816460718744E-2</v>
          </cell>
          <cell r="G352">
            <v>5.1755955709652163E-2</v>
          </cell>
          <cell r="H352">
            <v>5.6682995101469562E-2</v>
          </cell>
          <cell r="I352">
            <v>5.9803278688524593E-2</v>
          </cell>
          <cell r="J352">
            <v>5.3715801857275161E-2</v>
          </cell>
          <cell r="K352">
            <v>5.2215873015873014E-2</v>
          </cell>
          <cell r="L352">
            <v>4.9714954318006425E-2</v>
          </cell>
          <cell r="M352">
            <v>5.3720056256196254E-2</v>
          </cell>
          <cell r="N352">
            <v>5.3708638901316941E-2</v>
          </cell>
          <cell r="O352">
            <v>5.4196113074204945E-2</v>
          </cell>
          <cell r="P352">
            <v>5.1696113074204943E-2</v>
          </cell>
          <cell r="Q352">
            <v>4.919611307420494E-2</v>
          </cell>
          <cell r="R352">
            <v>4.919611307420494E-2</v>
          </cell>
        </row>
        <row r="353">
          <cell r="A353" t="str">
            <v>Deferred income tax</v>
          </cell>
          <cell r="B353">
            <v>1.2192629929841291E-2</v>
          </cell>
          <cell r="C353">
            <v>2.4315709920152466E-2</v>
          </cell>
          <cell r="D353">
            <v>2.3633482968048587E-2</v>
          </cell>
          <cell r="E353">
            <v>2.4012902455050476E-2</v>
          </cell>
          <cell r="F353">
            <v>1.6948191814986961E-2</v>
          </cell>
          <cell r="G353">
            <v>1.8482272676434403E-2</v>
          </cell>
          <cell r="H353">
            <v>1.6014426441298378E-2</v>
          </cell>
          <cell r="I353">
            <v>1.6288524590163934E-2</v>
          </cell>
          <cell r="J353">
            <v>7.7344747315461438E-3</v>
          </cell>
          <cell r="K353">
            <v>1.0082539682539682E-2</v>
          </cell>
          <cell r="L353">
            <v>1.2970200901192462E-2</v>
          </cell>
          <cell r="M353">
            <v>1.9436054688400619E-2</v>
          </cell>
          <cell r="N353">
            <v>1.8635594374307E-2</v>
          </cell>
          <cell r="O353">
            <v>2.0332744405182568E-2</v>
          </cell>
          <cell r="P353">
            <v>2.0332744405182568E-2</v>
          </cell>
          <cell r="Q353">
            <v>2.0332744405182568E-2</v>
          </cell>
          <cell r="R353">
            <v>2.0332744405182568E-2</v>
          </cell>
        </row>
        <row r="354">
          <cell r="A354" t="str">
            <v>Fixed Asset Turnover</v>
          </cell>
          <cell r="B354">
            <v>3.0282590759075907</v>
          </cell>
          <cell r="C354">
            <v>3.2085397996837113</v>
          </cell>
          <cell r="D354">
            <v>3.022346368715084</v>
          </cell>
          <cell r="E354">
            <v>3.0366406675131508</v>
          </cell>
          <cell r="F354">
            <v>3.1735923727289079</v>
          </cell>
          <cell r="G354">
            <v>3.1438115330520393</v>
          </cell>
          <cell r="H354">
            <v>3.0504105090311988</v>
          </cell>
          <cell r="I354">
            <v>3.0195628069063836</v>
          </cell>
          <cell r="J354">
            <v>2.9178352322524104</v>
          </cell>
          <cell r="K354">
            <v>3.006872852233677</v>
          </cell>
          <cell r="L354">
            <v>3.0091392613678929</v>
          </cell>
          <cell r="M354">
            <v>3.3099053724053724</v>
          </cell>
          <cell r="N354">
            <v>3.6438191097249786</v>
          </cell>
          <cell r="O354">
            <v>3.7922948073701841</v>
          </cell>
          <cell r="P354">
            <v>3.9018025646583836</v>
          </cell>
          <cell r="Q354">
            <v>4.01261435733102</v>
          </cell>
          <cell r="R354">
            <v>4.0889325356319635</v>
          </cell>
        </row>
        <row r="355">
          <cell r="A355" t="str">
            <v>Days in AP</v>
          </cell>
          <cell r="B355">
            <v>48.943373354883398</v>
          </cell>
          <cell r="C355">
            <v>46.840393642893503</v>
          </cell>
          <cell r="D355">
            <v>54.765773552290405</v>
          </cell>
          <cell r="E355">
            <v>53.944839220898729</v>
          </cell>
          <cell r="F355">
            <v>39.40421011973735</v>
          </cell>
          <cell r="G355">
            <v>39.205021940516822</v>
          </cell>
          <cell r="H355">
            <v>35.540020888720093</v>
          </cell>
          <cell r="I355">
            <v>40.784104158569761</v>
          </cell>
          <cell r="J355">
            <v>38.361642401750878</v>
          </cell>
          <cell r="K355">
            <v>36.123962606124202</v>
          </cell>
          <cell r="L355">
            <v>39.296176944485133</v>
          </cell>
          <cell r="M355">
            <v>46.883042279411768</v>
          </cell>
          <cell r="N355">
            <v>52.648149625139581</v>
          </cell>
          <cell r="O355">
            <v>49.839582884739613</v>
          </cell>
          <cell r="P355">
            <v>50.339582884739613</v>
          </cell>
          <cell r="Q355">
            <v>50.839582884739613</v>
          </cell>
          <cell r="R355">
            <v>51.339582884739613</v>
          </cell>
        </row>
        <row r="356">
          <cell r="A356" t="str">
            <v>Accrued Liabilities (% revenue)</v>
          </cell>
          <cell r="B356">
            <v>7.2031877937470193E-2</v>
          </cell>
          <cell r="C356">
            <v>9.3254033450530668E-2</v>
          </cell>
          <cell r="D356">
            <v>9.7735674676524956E-2</v>
          </cell>
          <cell r="E356">
            <v>0.10435457857953527</v>
          </cell>
          <cell r="F356">
            <v>0.11282734383856706</v>
          </cell>
          <cell r="G356">
            <v>0.10630801923722179</v>
          </cell>
          <cell r="H356">
            <v>0.10609893954890456</v>
          </cell>
          <cell r="I356">
            <v>0.10709508196721311</v>
          </cell>
          <cell r="J356">
            <v>9.4265475207128732E-2</v>
          </cell>
          <cell r="K356">
            <v>0.11761269841269842</v>
          </cell>
          <cell r="L356">
            <v>0.13268938733849486</v>
          </cell>
          <cell r="M356">
            <v>0.12708366956401448</v>
          </cell>
          <cell r="N356">
            <v>0.14957107008773124</v>
          </cell>
          <cell r="O356">
            <v>0.13724970553592461</v>
          </cell>
          <cell r="P356">
            <v>0.13128877107613132</v>
          </cell>
          <cell r="Q356">
            <v>0.12355743005222446</v>
          </cell>
          <cell r="R356">
            <v>0.11721805192518585</v>
          </cell>
        </row>
        <row r="357">
          <cell r="A357" t="str">
            <v>Income tax payable</v>
          </cell>
          <cell r="C357">
            <v>0.69874879692011549</v>
          </cell>
          <cell r="D357">
            <v>0.3694312438078286</v>
          </cell>
          <cell r="E357">
            <v>0.41099855282199727</v>
          </cell>
          <cell r="F357">
            <v>0.31314222310138129</v>
          </cell>
          <cell r="G357">
            <v>0.51472191930207201</v>
          </cell>
          <cell r="H357">
            <v>0.50622406639004147</v>
          </cell>
          <cell r="I357">
            <v>0.56563795485951174</v>
          </cell>
          <cell r="J357">
            <v>0.43632075471698112</v>
          </cell>
          <cell r="K357">
            <v>0.43480345158197509</v>
          </cell>
          <cell r="L357">
            <v>0.62987297415681121</v>
          </cell>
          <cell r="M357">
            <v>0.73484552209620646</v>
          </cell>
          <cell r="N357">
            <v>0.89020564656674794</v>
          </cell>
          <cell r="O357">
            <v>0.73749044820602183</v>
          </cell>
          <cell r="P357">
            <v>0.73749044820602183</v>
          </cell>
          <cell r="Q357">
            <v>0.73749044820602183</v>
          </cell>
          <cell r="R357">
            <v>0.73749044820602183</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row r="4">
          <cell r="B4">
            <v>2203.5</v>
          </cell>
          <cell r="C4">
            <v>2371.8000000000002</v>
          </cell>
          <cell r="E4">
            <v>2824.4</v>
          </cell>
          <cell r="G4">
            <v>3187</v>
          </cell>
          <cell r="I4">
            <v>3390.0348240854064</v>
          </cell>
          <cell r="K4">
            <v>3536.0440656209535</v>
          </cell>
          <cell r="M4">
            <v>3815.9008531994336</v>
          </cell>
          <cell r="O4">
            <v>4119.5433928396124</v>
          </cell>
          <cell r="Q4">
            <v>4449.1151526331123</v>
          </cell>
          <cell r="S4">
            <v>4806.9628709921071</v>
          </cell>
        </row>
        <row r="5">
          <cell r="K5">
            <v>476.42655835944646</v>
          </cell>
          <cell r="S5">
            <v>714.22126050775546</v>
          </cell>
        </row>
        <row r="6">
          <cell r="K6">
            <v>352.2769823955428</v>
          </cell>
          <cell r="S6">
            <v>563.10802749171194</v>
          </cell>
        </row>
        <row r="7">
          <cell r="C7">
            <v>7.5891727801669608</v>
          </cell>
          <cell r="G7">
            <v>8.61160966426106</v>
          </cell>
          <cell r="O7">
            <v>10.895967177078655</v>
          </cell>
        </row>
        <row r="14">
          <cell r="B14">
            <v>-1.5669999999999999</v>
          </cell>
          <cell r="E14">
            <v>-4.2530000000000001</v>
          </cell>
          <cell r="M14">
            <v>-10.028480000000002</v>
          </cell>
        </row>
        <row r="15">
          <cell r="B15">
            <v>63.637999999999998</v>
          </cell>
          <cell r="E15">
            <v>96.236999999999995</v>
          </cell>
          <cell r="M15">
            <v>202.62004618392686</v>
          </cell>
        </row>
        <row r="18">
          <cell r="B18">
            <v>44.135675999999997</v>
          </cell>
          <cell r="E18">
            <v>44.000875999999998</v>
          </cell>
          <cell r="M18">
            <v>43.658551000000003</v>
          </cell>
        </row>
        <row r="19">
          <cell r="C19">
            <v>23.38167</v>
          </cell>
          <cell r="G19">
            <v>23.38167</v>
          </cell>
          <cell r="O19">
            <v>22.625429</v>
          </cell>
        </row>
        <row r="21">
          <cell r="I21">
            <v>2.0329903986048463</v>
          </cell>
          <cell r="Q21">
            <v>4.1794504924961986</v>
          </cell>
        </row>
        <row r="22">
          <cell r="B22">
            <v>0.9553183326939434</v>
          </cell>
          <cell r="E22">
            <v>1.4408806507690841</v>
          </cell>
          <cell r="M22">
            <v>3.0736847353797825</v>
          </cell>
        </row>
        <row r="24">
          <cell r="K24">
            <v>2.7416981306890302</v>
          </cell>
          <cell r="S24">
            <v>4.9527523267750277</v>
          </cell>
        </row>
        <row r="25">
          <cell r="G25">
            <v>0.49692612236268874</v>
          </cell>
          <cell r="O25">
            <v>1.0696185440372799</v>
          </cell>
        </row>
      </sheetData>
      <sheetData sheetId="48"/>
      <sheetData sheetId="49"/>
      <sheetData sheetId="50"/>
      <sheetData sheetId="51"/>
      <sheetData sheetId="52"/>
      <sheetData sheetId="53"/>
      <sheetData sheetId="54"/>
      <sheetData sheetId="55"/>
      <sheetData sheetId="56"/>
      <sheetData sheetId="57" refreshError="1">
        <row r="779">
          <cell r="B779" t="str">
            <v>Foot Note</v>
          </cell>
        </row>
      </sheetData>
      <sheetData sheetId="58"/>
      <sheetData sheetId="59"/>
      <sheetData sheetId="60"/>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puts"/>
      <sheetName val="Index"/>
      <sheetName val="RankingBarCharts"/>
      <sheetName val="ScatterCharts"/>
      <sheetName val="Val_MW"/>
      <sheetName val="CoreMetrics_MW"/>
      <sheetName val="Perf_MW"/>
      <sheetName val="Valuation"/>
      <sheetName val="Performance"/>
      <sheetName val="CoreMetrics"/>
      <sheetName val="__FDSCACHE__"/>
      <sheetName val="IBES"/>
      <sheetName val="Team"/>
      <sheetName val="Nitro"/>
      <sheetName val="Analysis"/>
      <sheetName val="Euromonitor_Australia"/>
      <sheetName val="Rev_Profit_Mix"/>
      <sheetName val="GeoRev"/>
      <sheetName val="GeoProfit"/>
      <sheetName val="ProdMix"/>
      <sheetName val="ChannelMix"/>
      <sheetName val="GrowthRates"/>
      <sheetName val="Brands"/>
      <sheetName val="BubChart"/>
      <sheetName val="Raw Data"/>
      <sheetName val="Europe - LC Sales Growth"/>
      <sheetName val="Euro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Download"/>
      <sheetName val="Download"/>
      <sheetName val="MWare_Cached"/>
      <sheetName val="Sheet1"/>
      <sheetName val="#REF"/>
      <sheetName val="Europe - LC Sales Growth"/>
      <sheetName val="Val_MW"/>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sheetName val="A"/>
      <sheetName val="__FDSCACHE__"/>
      <sheetName val="Sales_Region"/>
      <sheetName val="P&amp;L"/>
      <sheetName val="Breakdown"/>
      <sheetName val="Q_Breakdown"/>
      <sheetName val="Q_P&amp;L"/>
      <sheetName val="BS"/>
      <sheetName val="CF"/>
      <sheetName val="Margin_Breakdown"/>
      <sheetName val="Sheet2"/>
      <sheetName val="GE3"/>
      <sheetName val="Ratios"/>
      <sheetName val="Total_Assets"/>
      <sheetName val="WADG.F"/>
      <sheetName val="WADG_p.F"/>
      <sheetName val="GE Upload"/>
      <sheetName val="L-f-L"/>
      <sheetName val="Sheet1"/>
      <sheetName val="B"/>
      <sheetName val="p&amp;leuro"/>
      <sheetName val="D"/>
      <sheetName val="Model"/>
      <sheetName val="Income Statement"/>
      <sheetName val="Cash Flo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ntents"/>
      <sheetName val="RI"/>
      <sheetName val="SOP"/>
      <sheetName val="A"/>
      <sheetName val="P&amp;L"/>
      <sheetName val="Breakdown"/>
      <sheetName val="Q_Breakdown"/>
      <sheetName val="Q_P&amp;L"/>
      <sheetName val="BS"/>
      <sheetName val="CF"/>
      <sheetName val="CF DM"/>
      <sheetName val="Sheet1"/>
      <sheetName val="DB DMm"/>
      <sheetName val="P&amp;L DM"/>
      <sheetName val="BS DMm"/>
      <sheetName val="Currency Impact"/>
      <sheetName val="GE3"/>
      <sheetName val="Ratios"/>
      <sheetName val="Sheet3"/>
      <sheetName val="GE Upload"/>
      <sheetName val="BEIG.F"/>
      <sheetName val="Split"/>
      <sheetName val="Summary"/>
    </sheetNames>
    <sheetDataSet>
      <sheetData sheetId="0" refreshError="1"/>
      <sheetData sheetId="1" refreshError="1"/>
      <sheetData sheetId="2" refreshError="1"/>
      <sheetData sheetId="3" refreshError="1"/>
      <sheetData sheetId="4"/>
      <sheetData sheetId="5" refreshError="1">
        <row r="34">
          <cell r="I34">
            <v>84</v>
          </cell>
          <cell r="K34">
            <v>84</v>
          </cell>
          <cell r="M34">
            <v>84</v>
          </cell>
          <cell r="O34">
            <v>84</v>
          </cell>
          <cell r="Q34">
            <v>84</v>
          </cell>
        </row>
        <row r="35">
          <cell r="O35">
            <v>4.8465537527889282</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refreshError="1"/>
      <sheetData sheetId="16" refreshError="1"/>
      <sheetData sheetId="17" refreshError="1"/>
      <sheetData sheetId="18" refreshError="1">
        <row r="14">
          <cell r="E14">
            <v>17.250390092879258</v>
          </cell>
          <cell r="F14">
            <v>15.803420989622662</v>
          </cell>
          <cell r="G14">
            <v>15.934634603159767</v>
          </cell>
          <cell r="H14">
            <v>16.242558560206135</v>
          </cell>
          <cell r="I14">
            <v>16.355690702592366</v>
          </cell>
          <cell r="J14">
            <v>16.387286640698349</v>
          </cell>
        </row>
      </sheetData>
      <sheetData sheetId="19" refreshError="1"/>
      <sheetData sheetId="20" refreshError="1"/>
      <sheetData sheetId="21" refreshError="1"/>
      <sheetData sheetId="22" refreshError="1"/>
      <sheetData sheetId="2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IS"/>
      <sheetName val="BS"/>
      <sheetName val="__FDSCACHE__"/>
      <sheetName val="CF"/>
      <sheetName val="Valuation Inputs"/>
      <sheetName val="DCF Valuation"/>
      <sheetName val="Residual Income Valuation"/>
      <sheetName val="Pension_DLM"/>
      <sheetName val="SALES "/>
      <sheetName val="mwareDates"/>
      <sheetName val="Segment Sales"/>
      <sheetName val="ANNUAL"/>
      <sheetName val="QTRLY"/>
      <sheetName val="BAL SHEET"/>
      <sheetName val="CASHFLOW"/>
      <sheetName val="Switches"/>
      <sheetName val="Inputs"/>
      <sheetName val="LBO Summary"/>
      <sheetName val="Break-up"/>
      <sheetName val="Charges"/>
      <sheetName val="Actual vs. Estimates"/>
      <sheetName val="Conference"/>
      <sheetName val="Graphs"/>
      <sheetName val="Revenue"/>
      <sheetName val="DLM_HNZ"/>
      <sheetName val="IS(2)"/>
      <sheetName val="FCF"/>
      <sheetName val="DCF-RI"/>
      <sheetName val="ROIC"/>
      <sheetName val="Leases"/>
      <sheetName val="Mktg"/>
      <sheetName val="Acquisition History"/>
      <sheetName val="Divestiture History"/>
      <sheetName val="mwareTaxoPres"/>
      <sheetName val="mwareValPrintout"/>
      <sheetName val="mwareSettings"/>
      <sheetName val="MainCode"/>
      <sheetName val="mwarePreview"/>
      <sheetName val="NY UPLOAD"/>
      <sheetName val="NY UPLOAD shadow"/>
      <sheetName val="MWare_Cach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row r="2">
          <cell r="A2" t="str">
            <v>Del Monte</v>
          </cell>
        </row>
        <row r="3">
          <cell r="A3" t="str">
            <v xml:space="preserve">Balance sheet </v>
          </cell>
        </row>
        <row r="4">
          <cell r="A4" t="str">
            <v>($ millions except per share data)</v>
          </cell>
        </row>
        <row r="6">
          <cell r="I6" t="str">
            <v>1Q98</v>
          </cell>
          <cell r="J6" t="str">
            <v>2Q98</v>
          </cell>
          <cell r="K6" t="str">
            <v>3Q98</v>
          </cell>
          <cell r="M6" t="str">
            <v>1Q99</v>
          </cell>
          <cell r="N6" t="str">
            <v>2Q99</v>
          </cell>
          <cell r="O6" t="str">
            <v>3Q99</v>
          </cell>
          <cell r="Q6" t="str">
            <v>1Q00</v>
          </cell>
          <cell r="R6" t="str">
            <v>2Q00</v>
          </cell>
          <cell r="S6" t="str">
            <v>3Q00</v>
          </cell>
          <cell r="U6" t="str">
            <v>1Q01</v>
          </cell>
          <cell r="V6" t="str">
            <v>2Q01</v>
          </cell>
          <cell r="W6" t="str">
            <v>3Q01</v>
          </cell>
          <cell r="Y6" t="str">
            <v>1Q02</v>
          </cell>
          <cell r="Z6" t="str">
            <v>2Q02</v>
          </cell>
          <cell r="AA6" t="str">
            <v>3Q02</v>
          </cell>
          <cell r="AC6" t="str">
            <v>HNZ</v>
          </cell>
          <cell r="AD6" t="str">
            <v>DLM</v>
          </cell>
          <cell r="AF6" t="str">
            <v xml:space="preserve">Proforma </v>
          </cell>
          <cell r="AG6" t="str">
            <v>1Q03</v>
          </cell>
          <cell r="AH6" t="str">
            <v>2Q03</v>
          </cell>
          <cell r="AI6" t="str">
            <v>3Q03</v>
          </cell>
          <cell r="AL6" t="str">
            <v>Proforma</v>
          </cell>
          <cell r="AM6" t="str">
            <v>1Q04</v>
          </cell>
          <cell r="AN6" t="str">
            <v>2Q04</v>
          </cell>
          <cell r="AO6" t="str">
            <v>3Q04</v>
          </cell>
          <cell r="AR6" t="str">
            <v>1Q05</v>
          </cell>
          <cell r="AS6" t="str">
            <v>2Q05</v>
          </cell>
          <cell r="AT6" t="str">
            <v>3Q05</v>
          </cell>
          <cell r="AV6" t="str">
            <v>1Q06</v>
          </cell>
          <cell r="AW6" t="str">
            <v>2Q06</v>
          </cell>
          <cell r="AX6" t="str">
            <v>3Q06</v>
          </cell>
          <cell r="AZ6" t="str">
            <v>1Q07</v>
          </cell>
          <cell r="BA6" t="str">
            <v>2Q07</v>
          </cell>
          <cell r="BB6" t="str">
            <v>3Q07</v>
          </cell>
          <cell r="BD6" t="str">
            <v>1Q08</v>
          </cell>
          <cell r="BE6" t="str">
            <v>2Q08</v>
          </cell>
          <cell r="BF6" t="str">
            <v>3Q08</v>
          </cell>
          <cell r="BH6" t="str">
            <v>1Q09</v>
          </cell>
          <cell r="BI6" t="str">
            <v>2Q09</v>
          </cell>
          <cell r="BJ6" t="str">
            <v>3Q09</v>
          </cell>
          <cell r="BN6" t="str">
            <v>1Q06</v>
          </cell>
          <cell r="BO6" t="str">
            <v>1Q05</v>
          </cell>
        </row>
        <row r="7">
          <cell r="B7">
            <v>1991</v>
          </cell>
          <cell r="C7">
            <v>1992</v>
          </cell>
          <cell r="D7">
            <v>1993</v>
          </cell>
          <cell r="E7">
            <v>1994</v>
          </cell>
          <cell r="F7">
            <v>1995</v>
          </cell>
          <cell r="G7">
            <v>1996</v>
          </cell>
          <cell r="H7">
            <v>1997</v>
          </cell>
          <cell r="I7">
            <v>35703</v>
          </cell>
          <cell r="J7">
            <v>35795</v>
          </cell>
          <cell r="K7">
            <v>35885</v>
          </cell>
          <cell r="L7">
            <v>1998</v>
          </cell>
          <cell r="M7">
            <v>36068</v>
          </cell>
          <cell r="N7">
            <v>36160</v>
          </cell>
          <cell r="O7">
            <v>36250</v>
          </cell>
          <cell r="P7">
            <v>1999</v>
          </cell>
          <cell r="Q7">
            <v>36433</v>
          </cell>
          <cell r="R7">
            <v>36525</v>
          </cell>
          <cell r="S7">
            <v>36616</v>
          </cell>
          <cell r="T7">
            <v>2000</v>
          </cell>
          <cell r="U7">
            <v>36799</v>
          </cell>
          <cell r="V7">
            <v>36891</v>
          </cell>
          <cell r="W7">
            <v>36981</v>
          </cell>
          <cell r="X7">
            <v>2001</v>
          </cell>
          <cell r="Y7">
            <v>37164</v>
          </cell>
          <cell r="Z7">
            <v>37256</v>
          </cell>
          <cell r="AA7">
            <v>37346</v>
          </cell>
          <cell r="AB7">
            <v>2002</v>
          </cell>
          <cell r="AC7">
            <v>37468</v>
          </cell>
          <cell r="AD7">
            <v>37437</v>
          </cell>
          <cell r="AE7" t="str">
            <v>Adj</v>
          </cell>
          <cell r="AF7">
            <v>2002</v>
          </cell>
          <cell r="AG7">
            <v>37529</v>
          </cell>
          <cell r="AH7">
            <v>37621</v>
          </cell>
          <cell r="AI7">
            <v>37711</v>
          </cell>
          <cell r="AJ7" t="str">
            <v>2003E</v>
          </cell>
          <cell r="AK7" t="str">
            <v>adj</v>
          </cell>
          <cell r="AL7">
            <v>2003</v>
          </cell>
          <cell r="AM7">
            <v>37829</v>
          </cell>
          <cell r="AN7">
            <v>37920</v>
          </cell>
          <cell r="AO7">
            <v>38011</v>
          </cell>
          <cell r="AQ7">
            <v>2004</v>
          </cell>
          <cell r="AR7">
            <v>38200</v>
          </cell>
          <cell r="AS7">
            <v>38291</v>
          </cell>
          <cell r="AT7">
            <v>38382</v>
          </cell>
          <cell r="AU7" t="str">
            <v>2005</v>
          </cell>
          <cell r="AV7">
            <v>38565</v>
          </cell>
          <cell r="AW7">
            <v>38656</v>
          </cell>
          <cell r="AX7">
            <v>38747</v>
          </cell>
          <cell r="AY7" t="str">
            <v>2006</v>
          </cell>
          <cell r="AZ7">
            <v>38928</v>
          </cell>
          <cell r="BA7">
            <v>39021</v>
          </cell>
          <cell r="BB7">
            <v>39112</v>
          </cell>
          <cell r="BC7" t="str">
            <v>2007E</v>
          </cell>
          <cell r="BD7">
            <v>39295</v>
          </cell>
          <cell r="BE7">
            <v>39386</v>
          </cell>
          <cell r="BF7">
            <v>39477</v>
          </cell>
          <cell r="BG7" t="str">
            <v>2008E</v>
          </cell>
          <cell r="BH7">
            <v>39661</v>
          </cell>
          <cell r="BI7">
            <v>39752</v>
          </cell>
          <cell r="BJ7">
            <v>39843</v>
          </cell>
          <cell r="BK7" t="str">
            <v>2009E</v>
          </cell>
          <cell r="BN7">
            <v>38565</v>
          </cell>
          <cell r="BO7">
            <v>38200</v>
          </cell>
        </row>
        <row r="8">
          <cell r="A8" t="str">
            <v>Assets</v>
          </cell>
        </row>
        <row r="9">
          <cell r="A9" t="str">
            <v>Cash and equivalents</v>
          </cell>
          <cell r="B9">
            <v>10</v>
          </cell>
          <cell r="C9">
            <v>8</v>
          </cell>
          <cell r="D9">
            <v>9</v>
          </cell>
          <cell r="E9">
            <v>7</v>
          </cell>
          <cell r="F9">
            <v>8</v>
          </cell>
          <cell r="G9">
            <v>36</v>
          </cell>
          <cell r="H9">
            <v>5</v>
          </cell>
          <cell r="I9">
            <v>5</v>
          </cell>
          <cell r="J9">
            <v>12</v>
          </cell>
          <cell r="K9">
            <v>4</v>
          </cell>
          <cell r="L9">
            <v>7</v>
          </cell>
          <cell r="M9">
            <v>11</v>
          </cell>
          <cell r="N9">
            <v>5</v>
          </cell>
          <cell r="O9">
            <v>7</v>
          </cell>
          <cell r="P9">
            <v>7</v>
          </cell>
          <cell r="Q9">
            <v>11</v>
          </cell>
          <cell r="R9">
            <v>10</v>
          </cell>
          <cell r="S9">
            <v>6</v>
          </cell>
          <cell r="T9">
            <v>5.0999999999999996</v>
          </cell>
          <cell r="U9">
            <v>7.7</v>
          </cell>
          <cell r="V9">
            <v>7.5</v>
          </cell>
          <cell r="W9">
            <v>8.9</v>
          </cell>
          <cell r="X9">
            <v>12.4</v>
          </cell>
          <cell r="Y9">
            <v>5.0999999999999996</v>
          </cell>
          <cell r="Z9">
            <v>7.2</v>
          </cell>
          <cell r="AA9">
            <v>21.5</v>
          </cell>
          <cell r="AB9">
            <v>16.899999999999999</v>
          </cell>
          <cell r="AC9">
            <v>2</v>
          </cell>
          <cell r="AD9">
            <v>16.899999999999999</v>
          </cell>
          <cell r="AE9">
            <v>4</v>
          </cell>
          <cell r="AF9">
            <v>0.5</v>
          </cell>
          <cell r="AG9">
            <v>4.0999999999999996</v>
          </cell>
          <cell r="AI9">
            <v>17.7</v>
          </cell>
          <cell r="AJ9">
            <v>-445.30000000000018</v>
          </cell>
          <cell r="AL9">
            <v>42.7</v>
          </cell>
          <cell r="AM9">
            <v>12</v>
          </cell>
          <cell r="AN9">
            <v>13.6</v>
          </cell>
          <cell r="AO9">
            <v>20.3</v>
          </cell>
          <cell r="AQ9">
            <v>36.299999999999997</v>
          </cell>
          <cell r="AR9">
            <v>5.3</v>
          </cell>
          <cell r="AS9">
            <v>10.8</v>
          </cell>
          <cell r="AT9">
            <v>8.6</v>
          </cell>
          <cell r="AU9">
            <v>145.9</v>
          </cell>
          <cell r="AV9">
            <v>41.7</v>
          </cell>
          <cell r="AW9">
            <v>20.2</v>
          </cell>
          <cell r="AX9">
            <v>94.6</v>
          </cell>
          <cell r="AY9">
            <v>459.88393006992914</v>
          </cell>
          <cell r="AZ9">
            <v>12.1</v>
          </cell>
          <cell r="BA9">
            <v>22</v>
          </cell>
          <cell r="BB9">
            <v>20.9</v>
          </cell>
          <cell r="BC9">
            <v>581.50523107469598</v>
          </cell>
          <cell r="BG9">
            <v>283.63813435783732</v>
          </cell>
          <cell r="BK9">
            <v>392.17999517137002</v>
          </cell>
          <cell r="BM9" t="str">
            <v>Cash and equivalents</v>
          </cell>
        </row>
        <row r="10">
          <cell r="A10" t="str">
            <v>Accounts receivable</v>
          </cell>
          <cell r="B10">
            <v>143</v>
          </cell>
          <cell r="C10">
            <v>124</v>
          </cell>
          <cell r="D10">
            <v>139</v>
          </cell>
          <cell r="E10">
            <v>139</v>
          </cell>
          <cell r="F10">
            <v>169</v>
          </cell>
          <cell r="G10">
            <v>106</v>
          </cell>
          <cell r="H10">
            <v>69</v>
          </cell>
          <cell r="I10">
            <v>84</v>
          </cell>
          <cell r="J10">
            <v>90</v>
          </cell>
          <cell r="K10">
            <v>109</v>
          </cell>
          <cell r="L10">
            <v>114</v>
          </cell>
          <cell r="M10">
            <v>128</v>
          </cell>
          <cell r="N10">
            <v>133</v>
          </cell>
          <cell r="O10">
            <v>155</v>
          </cell>
          <cell r="P10">
            <v>138</v>
          </cell>
          <cell r="Q10">
            <v>166</v>
          </cell>
          <cell r="R10">
            <v>159.80000000000001</v>
          </cell>
          <cell r="S10">
            <v>148</v>
          </cell>
          <cell r="T10">
            <v>109.2</v>
          </cell>
          <cell r="U10">
            <v>128</v>
          </cell>
          <cell r="V10">
            <v>140.9</v>
          </cell>
          <cell r="W10">
            <v>140.30000000000001</v>
          </cell>
          <cell r="X10">
            <v>135.80000000000001</v>
          </cell>
          <cell r="Y10">
            <v>140.5</v>
          </cell>
          <cell r="Z10">
            <v>139.19999999999999</v>
          </cell>
          <cell r="AA10">
            <v>127.1</v>
          </cell>
          <cell r="AB10">
            <v>116.9</v>
          </cell>
          <cell r="AC10">
            <v>153.30000000000001</v>
          </cell>
          <cell r="AD10">
            <v>116.9</v>
          </cell>
          <cell r="AE10">
            <v>-19.2</v>
          </cell>
          <cell r="AF10">
            <v>195.6</v>
          </cell>
          <cell r="AG10">
            <v>134.80000000000001</v>
          </cell>
          <cell r="AI10">
            <v>250</v>
          </cell>
          <cell r="AJ10">
            <v>222.4</v>
          </cell>
          <cell r="AL10">
            <v>222.4</v>
          </cell>
          <cell r="AM10">
            <v>193.4</v>
          </cell>
          <cell r="AN10">
            <v>245.3</v>
          </cell>
          <cell r="AO10">
            <v>265.3</v>
          </cell>
          <cell r="AQ10">
            <v>222.3</v>
          </cell>
          <cell r="AR10">
            <v>187.8</v>
          </cell>
          <cell r="AS10">
            <v>240.9</v>
          </cell>
          <cell r="AT10">
            <v>228</v>
          </cell>
          <cell r="AU10">
            <v>212.6</v>
          </cell>
          <cell r="AV10">
            <v>169.8</v>
          </cell>
          <cell r="AW10">
            <v>222.9</v>
          </cell>
          <cell r="AX10">
            <v>218.2</v>
          </cell>
          <cell r="AY10">
            <v>237.8</v>
          </cell>
          <cell r="AZ10">
            <v>189.2</v>
          </cell>
          <cell r="BA10">
            <v>228.6</v>
          </cell>
          <cell r="BB10">
            <v>251.5</v>
          </cell>
          <cell r="BC10">
            <v>228.87820558333334</v>
          </cell>
          <cell r="BG10">
            <v>234.60016072291663</v>
          </cell>
          <cell r="BK10">
            <v>242.81116634821871</v>
          </cell>
        </row>
        <row r="11">
          <cell r="A11" t="str">
            <v>Inventories</v>
          </cell>
          <cell r="B11">
            <v>391</v>
          </cell>
          <cell r="C11">
            <v>436</v>
          </cell>
          <cell r="D11">
            <v>421</v>
          </cell>
          <cell r="E11">
            <v>352</v>
          </cell>
          <cell r="F11">
            <v>360</v>
          </cell>
          <cell r="G11">
            <v>304</v>
          </cell>
          <cell r="H11">
            <v>339</v>
          </cell>
          <cell r="I11">
            <v>624</v>
          </cell>
          <cell r="J11">
            <v>600</v>
          </cell>
          <cell r="K11">
            <v>467</v>
          </cell>
          <cell r="L11">
            <v>366</v>
          </cell>
          <cell r="M11">
            <v>693</v>
          </cell>
          <cell r="N11">
            <v>565</v>
          </cell>
          <cell r="O11">
            <v>435</v>
          </cell>
          <cell r="P11">
            <v>343</v>
          </cell>
          <cell r="Q11">
            <v>707</v>
          </cell>
          <cell r="R11">
            <v>570.9</v>
          </cell>
          <cell r="S11">
            <v>476.1</v>
          </cell>
          <cell r="T11">
            <v>425.3</v>
          </cell>
          <cell r="U11">
            <v>780.2</v>
          </cell>
          <cell r="V11">
            <v>638.6</v>
          </cell>
          <cell r="W11">
            <v>535.20000000000005</v>
          </cell>
          <cell r="X11">
            <v>437.5</v>
          </cell>
          <cell r="Y11">
            <v>749.5</v>
          </cell>
          <cell r="Z11">
            <v>596.6</v>
          </cell>
          <cell r="AA11">
            <v>473.8</v>
          </cell>
          <cell r="AB11">
            <v>405.4</v>
          </cell>
          <cell r="AC11">
            <v>323.7</v>
          </cell>
          <cell r="AD11">
            <v>405.4</v>
          </cell>
          <cell r="AE11">
            <v>34.5</v>
          </cell>
          <cell r="AF11">
            <v>330.6</v>
          </cell>
          <cell r="AG11">
            <v>745.9</v>
          </cell>
          <cell r="AI11">
            <v>935.7</v>
          </cell>
          <cell r="AJ11">
            <v>768</v>
          </cell>
          <cell r="AL11">
            <v>768</v>
          </cell>
          <cell r="AM11">
            <v>899.2</v>
          </cell>
          <cell r="AN11">
            <v>1142.2</v>
          </cell>
          <cell r="AO11">
            <v>1003.5</v>
          </cell>
          <cell r="AQ11">
            <v>823.5</v>
          </cell>
          <cell r="AR11">
            <v>1035.0999999999999</v>
          </cell>
          <cell r="AS11">
            <v>1172.2</v>
          </cell>
          <cell r="AT11">
            <v>1000.6</v>
          </cell>
          <cell r="AU11">
            <v>825.1</v>
          </cell>
          <cell r="AV11">
            <v>956</v>
          </cell>
          <cell r="AW11">
            <v>1140.9000000000001</v>
          </cell>
          <cell r="AX11">
            <v>1024.5999999999999</v>
          </cell>
          <cell r="AY11">
            <v>764.2</v>
          </cell>
          <cell r="AZ11">
            <v>924.8</v>
          </cell>
          <cell r="BA11">
            <v>1169.3</v>
          </cell>
          <cell r="BB11">
            <v>1006.2</v>
          </cell>
          <cell r="BC11">
            <v>884.13743498461793</v>
          </cell>
          <cell r="BG11">
            <v>902.51659330775715</v>
          </cell>
          <cell r="BK11">
            <v>930.25004680775055</v>
          </cell>
        </row>
        <row r="12">
          <cell r="A12" t="str">
            <v>Prepaids and other</v>
          </cell>
          <cell r="B12">
            <v>17</v>
          </cell>
          <cell r="C12">
            <v>20</v>
          </cell>
          <cell r="D12">
            <v>17</v>
          </cell>
          <cell r="E12">
            <v>18</v>
          </cell>
          <cell r="F12">
            <v>14</v>
          </cell>
          <cell r="G12">
            <v>13</v>
          </cell>
          <cell r="H12">
            <v>9</v>
          </cell>
          <cell r="I12">
            <v>3</v>
          </cell>
          <cell r="J12">
            <v>9</v>
          </cell>
          <cell r="K12">
            <v>10</v>
          </cell>
          <cell r="L12">
            <v>14</v>
          </cell>
          <cell r="M12">
            <v>7</v>
          </cell>
          <cell r="N12">
            <v>8</v>
          </cell>
          <cell r="O12">
            <v>5</v>
          </cell>
          <cell r="P12">
            <v>14</v>
          </cell>
          <cell r="Q12">
            <v>9</v>
          </cell>
          <cell r="R12">
            <v>11.7</v>
          </cell>
          <cell r="S12">
            <v>12.5</v>
          </cell>
          <cell r="T12">
            <v>25.9</v>
          </cell>
          <cell r="U12">
            <v>19.5</v>
          </cell>
          <cell r="V12">
            <v>15.5</v>
          </cell>
          <cell r="W12">
            <v>16.2</v>
          </cell>
          <cell r="X12">
            <v>26.9</v>
          </cell>
          <cell r="Y12">
            <v>23</v>
          </cell>
          <cell r="Z12">
            <v>19.100000000000001</v>
          </cell>
          <cell r="AA12">
            <v>19</v>
          </cell>
          <cell r="AB12">
            <v>30.6</v>
          </cell>
          <cell r="AC12">
            <v>50.2</v>
          </cell>
          <cell r="AD12">
            <v>30.6</v>
          </cell>
          <cell r="AE12">
            <v>10.1</v>
          </cell>
          <cell r="AF12">
            <v>46.9</v>
          </cell>
          <cell r="AG12">
            <v>26.8</v>
          </cell>
          <cell r="AI12">
            <v>76.5</v>
          </cell>
          <cell r="AJ12">
            <v>26.8</v>
          </cell>
          <cell r="AK12">
            <v>10</v>
          </cell>
          <cell r="AL12">
            <v>170.9</v>
          </cell>
          <cell r="AM12">
            <v>128.4</v>
          </cell>
          <cell r="AN12">
            <v>120.5</v>
          </cell>
          <cell r="AO12">
            <v>205.2</v>
          </cell>
          <cell r="AQ12">
            <v>135.30000000000001</v>
          </cell>
          <cell r="AR12">
            <v>125.60000000000001</v>
          </cell>
          <cell r="AS12">
            <v>113.8</v>
          </cell>
          <cell r="AT12">
            <v>121.19999999999999</v>
          </cell>
          <cell r="AU12">
            <v>134.80000000000001</v>
          </cell>
          <cell r="AV12">
            <v>114.1</v>
          </cell>
          <cell r="AY12">
            <v>155.19999999999999</v>
          </cell>
          <cell r="AZ12">
            <v>106.3</v>
          </cell>
          <cell r="BA12">
            <v>113.8</v>
          </cell>
          <cell r="BB12">
            <v>103.5</v>
          </cell>
          <cell r="BC12">
            <v>177.316</v>
          </cell>
          <cell r="BG12">
            <v>181.74889999999999</v>
          </cell>
          <cell r="BK12">
            <v>188.11011149999999</v>
          </cell>
        </row>
        <row r="13">
          <cell r="A13" t="str">
            <v>Deferred tax assets</v>
          </cell>
          <cell r="B13">
            <v>0</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12.3</v>
          </cell>
          <cell r="U13">
            <v>12.3</v>
          </cell>
          <cell r="V13">
            <v>13.7</v>
          </cell>
          <cell r="W13">
            <v>13.7</v>
          </cell>
          <cell r="X13">
            <v>9.9</v>
          </cell>
          <cell r="Y13">
            <v>10.3</v>
          </cell>
          <cell r="Z13">
            <v>3.2</v>
          </cell>
          <cell r="AA13">
            <v>2.4</v>
          </cell>
          <cell r="AB13">
            <v>19.2</v>
          </cell>
          <cell r="AC13">
            <v>8.1</v>
          </cell>
          <cell r="AD13">
            <v>19.2</v>
          </cell>
          <cell r="AE13">
            <v>-1.3</v>
          </cell>
          <cell r="AF13">
            <v>5.0999999999999996</v>
          </cell>
          <cell r="AG13">
            <v>19.2</v>
          </cell>
          <cell r="AI13">
            <v>0.8</v>
          </cell>
          <cell r="AJ13">
            <v>19.2</v>
          </cell>
          <cell r="AK13">
            <v>10</v>
          </cell>
          <cell r="AL13">
            <v>16.399999999999999</v>
          </cell>
          <cell r="AM13">
            <v>15.7</v>
          </cell>
          <cell r="AN13">
            <v>15.1</v>
          </cell>
          <cell r="AO13">
            <v>10.4</v>
          </cell>
          <cell r="AQ13">
            <v>8.3000000000000007</v>
          </cell>
          <cell r="AR13">
            <v>8.6</v>
          </cell>
          <cell r="AS13">
            <v>8.4</v>
          </cell>
          <cell r="AT13">
            <v>12.7</v>
          </cell>
          <cell r="AU13">
            <v>0</v>
          </cell>
          <cell r="AY13">
            <v>0</v>
          </cell>
          <cell r="AZ13">
            <v>0</v>
          </cell>
          <cell r="BC13">
            <v>0</v>
          </cell>
          <cell r="BG13">
            <v>0</v>
          </cell>
          <cell r="BK13">
            <v>0</v>
          </cell>
        </row>
        <row r="14">
          <cell r="A14" t="str">
            <v>Total current assets</v>
          </cell>
          <cell r="B14">
            <v>561</v>
          </cell>
          <cell r="C14">
            <v>588</v>
          </cell>
          <cell r="D14">
            <v>586</v>
          </cell>
          <cell r="E14">
            <v>516</v>
          </cell>
          <cell r="F14">
            <v>551</v>
          </cell>
          <cell r="G14">
            <v>459</v>
          </cell>
          <cell r="H14">
            <v>422</v>
          </cell>
          <cell r="I14">
            <v>716</v>
          </cell>
          <cell r="J14">
            <v>711</v>
          </cell>
          <cell r="K14">
            <v>590</v>
          </cell>
          <cell r="L14">
            <v>501</v>
          </cell>
          <cell r="M14">
            <v>839</v>
          </cell>
          <cell r="N14">
            <v>711</v>
          </cell>
          <cell r="O14">
            <v>602</v>
          </cell>
          <cell r="P14">
            <v>502</v>
          </cell>
          <cell r="Q14">
            <v>893</v>
          </cell>
          <cell r="R14">
            <v>752.40000000000009</v>
          </cell>
          <cell r="S14">
            <v>642.6</v>
          </cell>
          <cell r="T14">
            <v>577.79999999999995</v>
          </cell>
          <cell r="U14">
            <v>947.7</v>
          </cell>
          <cell r="V14">
            <v>816.2</v>
          </cell>
          <cell r="W14">
            <v>714.30000000000018</v>
          </cell>
          <cell r="X14">
            <v>622.5</v>
          </cell>
          <cell r="Y14">
            <v>928.4</v>
          </cell>
          <cell r="Z14">
            <v>765.30000000000007</v>
          </cell>
          <cell r="AA14">
            <v>643.79999999999995</v>
          </cell>
          <cell r="AB14">
            <v>589.00000000000011</v>
          </cell>
          <cell r="AC14">
            <v>537.30000000000007</v>
          </cell>
          <cell r="AD14">
            <v>589.00000000000011</v>
          </cell>
          <cell r="AE14">
            <v>28.099999999999998</v>
          </cell>
          <cell r="AF14">
            <v>578.70000000000005</v>
          </cell>
          <cell r="AG14">
            <v>930.8</v>
          </cell>
          <cell r="AH14">
            <v>0</v>
          </cell>
          <cell r="AI14">
            <v>1280.7</v>
          </cell>
          <cell r="AJ14">
            <v>591.0999999999998</v>
          </cell>
          <cell r="AK14">
            <v>20</v>
          </cell>
          <cell r="AL14">
            <v>1220.4000000000001</v>
          </cell>
          <cell r="AM14">
            <v>1248.7000000000003</v>
          </cell>
          <cell r="AN14">
            <v>1536.7</v>
          </cell>
          <cell r="AO14">
            <v>1504.7</v>
          </cell>
          <cell r="AQ14">
            <v>1225.6999999999998</v>
          </cell>
          <cell r="AR14">
            <v>1362.3999999999996</v>
          </cell>
          <cell r="AS14">
            <v>1546.1000000000001</v>
          </cell>
          <cell r="AT14">
            <v>1371.1000000000001</v>
          </cell>
          <cell r="AU14">
            <v>1318.3999999999999</v>
          </cell>
          <cell r="AV14">
            <v>1281.5999999999999</v>
          </cell>
          <cell r="AW14">
            <v>1384</v>
          </cell>
          <cell r="AX14">
            <v>1337.3999999999999</v>
          </cell>
          <cell r="AY14">
            <v>1617.0839300699292</v>
          </cell>
          <cell r="AZ14">
            <v>1232.3999999999999</v>
          </cell>
          <cell r="BA14">
            <v>1533.6999999999998</v>
          </cell>
          <cell r="BB14">
            <v>1382.1</v>
          </cell>
          <cell r="BC14">
            <v>1871.8368716426473</v>
          </cell>
          <cell r="BG14">
            <v>1602.5037883885111</v>
          </cell>
          <cell r="BK14">
            <v>1753.3513198273392</v>
          </cell>
        </row>
        <row r="16">
          <cell r="A16" t="str">
            <v>Gross PP&amp;E</v>
          </cell>
          <cell r="AF16">
            <v>665.9</v>
          </cell>
          <cell r="AL16">
            <v>1210.7</v>
          </cell>
          <cell r="AQ16">
            <v>1262.4000000000001</v>
          </cell>
          <cell r="AU16">
            <v>1332.4</v>
          </cell>
          <cell r="AY16">
            <v>1126.4000000000001</v>
          </cell>
          <cell r="BC16">
            <v>1196.4000000000001</v>
          </cell>
          <cell r="BG16">
            <v>1266.4000000000001</v>
          </cell>
          <cell r="BK16">
            <v>1336.4</v>
          </cell>
        </row>
        <row r="17">
          <cell r="A17" t="str">
            <v>Accumulated depreciation</v>
          </cell>
          <cell r="AF17">
            <v>328.8</v>
          </cell>
          <cell r="AL17">
            <v>347.7</v>
          </cell>
          <cell r="AQ17">
            <v>441.5</v>
          </cell>
          <cell r="AU17">
            <v>524.5</v>
          </cell>
          <cell r="AY17">
            <v>485</v>
          </cell>
          <cell r="BC17">
            <v>574.37254901960785</v>
          </cell>
          <cell r="BG17">
            <v>665.11764705882354</v>
          </cell>
          <cell r="BK17">
            <v>757.23529411764707</v>
          </cell>
        </row>
        <row r="18">
          <cell r="A18" t="str">
            <v>PP&amp;E, net</v>
          </cell>
          <cell r="B18">
            <v>418</v>
          </cell>
          <cell r="C18">
            <v>412</v>
          </cell>
          <cell r="D18">
            <v>402</v>
          </cell>
          <cell r="E18">
            <v>335</v>
          </cell>
          <cell r="F18">
            <v>317</v>
          </cell>
          <cell r="G18">
            <v>247</v>
          </cell>
          <cell r="H18">
            <v>222</v>
          </cell>
          <cell r="I18">
            <v>218</v>
          </cell>
          <cell r="J18">
            <v>291</v>
          </cell>
          <cell r="K18">
            <v>298</v>
          </cell>
          <cell r="L18">
            <v>305</v>
          </cell>
          <cell r="M18">
            <v>296</v>
          </cell>
          <cell r="N18">
            <v>290</v>
          </cell>
          <cell r="O18">
            <v>298</v>
          </cell>
          <cell r="P18">
            <v>312</v>
          </cell>
          <cell r="Q18">
            <v>312</v>
          </cell>
          <cell r="R18">
            <v>322.60000000000002</v>
          </cell>
          <cell r="S18">
            <v>325.8</v>
          </cell>
          <cell r="T18">
            <v>341.8</v>
          </cell>
          <cell r="U18">
            <v>346.1</v>
          </cell>
          <cell r="V18">
            <v>337.2</v>
          </cell>
          <cell r="W18">
            <v>337.5</v>
          </cell>
          <cell r="X18">
            <v>326.39999999999998</v>
          </cell>
          <cell r="Y18">
            <v>325.7</v>
          </cell>
          <cell r="Z18">
            <v>324.7</v>
          </cell>
          <cell r="AA18">
            <v>329.3</v>
          </cell>
          <cell r="AB18">
            <v>336.6</v>
          </cell>
          <cell r="AC18">
            <v>334.4</v>
          </cell>
          <cell r="AD18">
            <v>336.6</v>
          </cell>
          <cell r="AE18">
            <v>96.3</v>
          </cell>
          <cell r="AF18">
            <v>337.09999999999997</v>
          </cell>
          <cell r="AG18">
            <v>340.2</v>
          </cell>
          <cell r="AI18">
            <v>835.1</v>
          </cell>
          <cell r="AJ18">
            <v>482.40000000000003</v>
          </cell>
          <cell r="AL18">
            <v>863</v>
          </cell>
          <cell r="AM18">
            <v>850.9</v>
          </cell>
          <cell r="AN18">
            <v>851.6</v>
          </cell>
          <cell r="AO18">
            <v>834.8</v>
          </cell>
          <cell r="AQ18">
            <v>820.90000000000009</v>
          </cell>
          <cell r="AR18">
            <v>813</v>
          </cell>
          <cell r="AS18">
            <v>811.1</v>
          </cell>
          <cell r="AT18">
            <v>801.8</v>
          </cell>
          <cell r="AU18">
            <v>807.90000000000009</v>
          </cell>
          <cell r="AV18">
            <v>795.1</v>
          </cell>
          <cell r="AW18">
            <v>2307.1</v>
          </cell>
          <cell r="AY18">
            <v>641.40000000000009</v>
          </cell>
          <cell r="AZ18">
            <v>717.3</v>
          </cell>
          <cell r="BA18">
            <v>704.4</v>
          </cell>
          <cell r="BB18">
            <v>700.5</v>
          </cell>
          <cell r="BC18">
            <v>622.02745098039225</v>
          </cell>
          <cell r="BG18">
            <v>601.28235294117655</v>
          </cell>
          <cell r="BK18">
            <v>579.16470588235302</v>
          </cell>
        </row>
        <row r="19">
          <cell r="A19" t="str">
            <v>Amortizable intangibles</v>
          </cell>
          <cell r="AF19">
            <v>886.80000000000018</v>
          </cell>
          <cell r="AL19">
            <v>56.199999999999996</v>
          </cell>
          <cell r="AQ19">
            <v>52.499999999999993</v>
          </cell>
          <cell r="AU19">
            <v>48.199999999999996</v>
          </cell>
          <cell r="AY19">
            <v>40.199999999999996</v>
          </cell>
          <cell r="BC19">
            <v>34.457142857142856</v>
          </cell>
          <cell r="BG19">
            <v>29.534693877551021</v>
          </cell>
          <cell r="BK19">
            <v>25.842857142857142</v>
          </cell>
        </row>
        <row r="20">
          <cell r="A20" t="str">
            <v>Non-amortizable intangibles</v>
          </cell>
          <cell r="AF20">
            <v>0</v>
          </cell>
          <cell r="AL20">
            <v>533.79999999999995</v>
          </cell>
          <cell r="AQ20">
            <v>532.6</v>
          </cell>
          <cell r="AU20">
            <v>539</v>
          </cell>
          <cell r="AY20">
            <v>539</v>
          </cell>
          <cell r="BC20">
            <v>539</v>
          </cell>
          <cell r="BG20">
            <v>539</v>
          </cell>
          <cell r="BK20">
            <v>539</v>
          </cell>
        </row>
        <row r="21">
          <cell r="A21" t="str">
            <v>Intangibles</v>
          </cell>
          <cell r="B21">
            <v>155</v>
          </cell>
          <cell r="C21">
            <v>137</v>
          </cell>
          <cell r="D21">
            <v>0</v>
          </cell>
          <cell r="E21">
            <v>0</v>
          </cell>
          <cell r="F21">
            <v>0</v>
          </cell>
          <cell r="G21">
            <v>0</v>
          </cell>
          <cell r="H21">
            <v>0</v>
          </cell>
          <cell r="I21">
            <v>0</v>
          </cell>
          <cell r="J21">
            <v>26</v>
          </cell>
          <cell r="K21">
            <v>16</v>
          </cell>
          <cell r="L21">
            <v>16</v>
          </cell>
          <cell r="M21">
            <v>44</v>
          </cell>
          <cell r="N21">
            <v>44</v>
          </cell>
          <cell r="O21">
            <v>44</v>
          </cell>
          <cell r="P21">
            <v>43</v>
          </cell>
          <cell r="Q21">
            <v>43</v>
          </cell>
          <cell r="R21">
            <v>42.5</v>
          </cell>
          <cell r="S21">
            <v>42</v>
          </cell>
          <cell r="T21">
            <v>41.6</v>
          </cell>
          <cell r="U21">
            <v>44.5</v>
          </cell>
          <cell r="V21">
            <v>44.6</v>
          </cell>
          <cell r="W21">
            <v>56.4</v>
          </cell>
          <cell r="X21">
            <v>56.7</v>
          </cell>
          <cell r="Y21">
            <v>56.6</v>
          </cell>
          <cell r="Z21">
            <v>56.6</v>
          </cell>
          <cell r="AA21">
            <v>56.5</v>
          </cell>
          <cell r="AB21">
            <v>56.5</v>
          </cell>
          <cell r="AC21">
            <v>263.7</v>
          </cell>
          <cell r="AD21">
            <v>56.5</v>
          </cell>
          <cell r="AE21">
            <v>350</v>
          </cell>
          <cell r="AF21">
            <v>886.80000000000018</v>
          </cell>
          <cell r="AG21">
            <v>56.4</v>
          </cell>
          <cell r="AJ21">
            <v>51.5</v>
          </cell>
          <cell r="AL21">
            <v>590</v>
          </cell>
          <cell r="AM21">
            <v>589.60000000000014</v>
          </cell>
          <cell r="AN21">
            <v>588.09999999999991</v>
          </cell>
          <cell r="AQ21">
            <v>585.1</v>
          </cell>
          <cell r="AR21">
            <v>584.1</v>
          </cell>
          <cell r="AS21">
            <v>583.20000000000005</v>
          </cell>
          <cell r="AT21">
            <v>586.9</v>
          </cell>
          <cell r="AU21">
            <v>587.20000000000005</v>
          </cell>
          <cell r="AV21">
            <v>586.29999999999995</v>
          </cell>
          <cell r="AY21">
            <v>572.5</v>
          </cell>
          <cell r="AZ21">
            <v>883.8</v>
          </cell>
          <cell r="BA21">
            <v>1205.7</v>
          </cell>
          <cell r="BB21">
            <v>1203.5999999999999</v>
          </cell>
          <cell r="BC21">
            <v>573.4571428571428</v>
          </cell>
          <cell r="BG21">
            <v>568.53469387755104</v>
          </cell>
          <cell r="BK21">
            <v>564.84285714285716</v>
          </cell>
        </row>
        <row r="22">
          <cell r="A22" t="str">
            <v>Goodwill</v>
          </cell>
          <cell r="AC22">
            <v>621.20000000000005</v>
          </cell>
          <cell r="AD22">
            <v>0</v>
          </cell>
          <cell r="AE22">
            <v>183.5</v>
          </cell>
          <cell r="AF22">
            <v>0</v>
          </cell>
          <cell r="AL22">
            <v>795.8</v>
          </cell>
          <cell r="AM22">
            <v>869.3</v>
          </cell>
          <cell r="AN22">
            <v>872.7</v>
          </cell>
          <cell r="AQ22">
            <v>770.9</v>
          </cell>
          <cell r="AR22">
            <v>770.4</v>
          </cell>
          <cell r="AS22">
            <v>770.5</v>
          </cell>
          <cell r="AT22">
            <v>769.2</v>
          </cell>
          <cell r="AU22">
            <v>769.1</v>
          </cell>
          <cell r="AV22">
            <v>769.2</v>
          </cell>
          <cell r="AY22">
            <v>758.7</v>
          </cell>
          <cell r="AZ22">
            <v>1744.9</v>
          </cell>
          <cell r="BA22">
            <v>1390.6</v>
          </cell>
          <cell r="BB22">
            <v>1390.9</v>
          </cell>
          <cell r="BC22">
            <v>1558.7</v>
          </cell>
          <cell r="BG22">
            <v>1558.7</v>
          </cell>
          <cell r="BK22">
            <v>1558.7</v>
          </cell>
        </row>
        <row r="23">
          <cell r="A23" t="str">
            <v>Goodwill &amp; intangibles, net</v>
          </cell>
          <cell r="AF23">
            <v>886.80000000000018</v>
          </cell>
          <cell r="AI23">
            <v>1376.9</v>
          </cell>
          <cell r="AL23">
            <v>1385.8</v>
          </cell>
          <cell r="AM23">
            <v>1458.9</v>
          </cell>
          <cell r="AN23">
            <v>1460.8</v>
          </cell>
          <cell r="AO23">
            <v>1358.4</v>
          </cell>
          <cell r="AQ23">
            <v>1356</v>
          </cell>
          <cell r="AR23">
            <v>1354.5</v>
          </cell>
          <cell r="AS23">
            <v>1353.7</v>
          </cell>
          <cell r="AT23">
            <v>1356.1</v>
          </cell>
          <cell r="AU23">
            <v>1356.3000000000002</v>
          </cell>
          <cell r="AV23">
            <v>1355.5</v>
          </cell>
          <cell r="AY23">
            <v>1331.2</v>
          </cell>
          <cell r="AZ23">
            <v>2628.7</v>
          </cell>
          <cell r="BA23">
            <v>2596.3000000000002</v>
          </cell>
          <cell r="BB23">
            <v>2594.5</v>
          </cell>
          <cell r="BC23">
            <v>2132.1571428571428</v>
          </cell>
          <cell r="BG23">
            <v>2127.2346938775509</v>
          </cell>
          <cell r="BK23">
            <v>2123.5428571428574</v>
          </cell>
        </row>
        <row r="24">
          <cell r="A24" t="str">
            <v>Deferred tax assets</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61.9</v>
          </cell>
          <cell r="U24">
            <v>61.9</v>
          </cell>
          <cell r="V24">
            <v>58.9</v>
          </cell>
          <cell r="W24">
            <v>56.9</v>
          </cell>
          <cell r="X24">
            <v>51</v>
          </cell>
          <cell r="Y24">
            <v>52.5</v>
          </cell>
          <cell r="Z24">
            <v>52</v>
          </cell>
          <cell r="AA24">
            <v>47.6</v>
          </cell>
          <cell r="AB24">
            <v>43.5</v>
          </cell>
          <cell r="AC24">
            <v>0</v>
          </cell>
          <cell r="AD24">
            <v>43.5</v>
          </cell>
          <cell r="AE24">
            <v>-43.5</v>
          </cell>
          <cell r="AF24">
            <v>0</v>
          </cell>
          <cell r="AG24">
            <v>45.2</v>
          </cell>
          <cell r="AI24">
            <v>0</v>
          </cell>
          <cell r="AJ24">
            <v>45.2</v>
          </cell>
          <cell r="AK24">
            <v>10</v>
          </cell>
          <cell r="AL24">
            <v>0</v>
          </cell>
          <cell r="AM24">
            <v>0</v>
          </cell>
          <cell r="AN24">
            <v>0</v>
          </cell>
          <cell r="AO24">
            <v>0</v>
          </cell>
          <cell r="AQ24">
            <v>0</v>
          </cell>
          <cell r="AR24">
            <v>0</v>
          </cell>
          <cell r="AS24">
            <v>0</v>
          </cell>
          <cell r="AT24">
            <v>0</v>
          </cell>
          <cell r="AU24">
            <v>0</v>
          </cell>
          <cell r="AY24">
            <v>0</v>
          </cell>
          <cell r="BC24">
            <v>0</v>
          </cell>
          <cell r="BG24">
            <v>0</v>
          </cell>
          <cell r="BK24">
            <v>0</v>
          </cell>
        </row>
        <row r="25">
          <cell r="A25" t="str">
            <v>Other assets</v>
          </cell>
          <cell r="B25">
            <v>78</v>
          </cell>
          <cell r="C25">
            <v>78</v>
          </cell>
          <cell r="D25">
            <v>78</v>
          </cell>
          <cell r="E25">
            <v>85</v>
          </cell>
          <cell r="F25">
            <v>92</v>
          </cell>
          <cell r="G25">
            <v>30</v>
          </cell>
          <cell r="H25">
            <v>23</v>
          </cell>
          <cell r="I25">
            <v>22</v>
          </cell>
          <cell r="J25">
            <v>25</v>
          </cell>
          <cell r="K25">
            <v>24</v>
          </cell>
          <cell r="L25">
            <v>23</v>
          </cell>
          <cell r="M25">
            <v>22</v>
          </cell>
          <cell r="N25">
            <v>21</v>
          </cell>
          <cell r="O25">
            <v>15</v>
          </cell>
          <cell r="P25">
            <v>15</v>
          </cell>
          <cell r="Q25">
            <v>14</v>
          </cell>
          <cell r="R25">
            <v>13.6</v>
          </cell>
          <cell r="S25">
            <v>12.9</v>
          </cell>
          <cell r="T25">
            <v>17.600000000000001</v>
          </cell>
          <cell r="U25">
            <v>20.8</v>
          </cell>
          <cell r="V25">
            <v>24</v>
          </cell>
          <cell r="W25">
            <v>26.9</v>
          </cell>
          <cell r="X25">
            <v>67.5</v>
          </cell>
          <cell r="Y25">
            <v>68.400000000000006</v>
          </cell>
          <cell r="Z25">
            <v>69.2</v>
          </cell>
          <cell r="AA25">
            <v>67.099999999999994</v>
          </cell>
          <cell r="AB25">
            <v>44.4</v>
          </cell>
          <cell r="AC25">
            <v>25.6</v>
          </cell>
          <cell r="AD25">
            <v>44.4</v>
          </cell>
          <cell r="AE25">
            <v>49.4</v>
          </cell>
          <cell r="AF25">
            <v>32.700000000000003</v>
          </cell>
          <cell r="AG25">
            <v>32.5</v>
          </cell>
          <cell r="AI25">
            <v>84.1</v>
          </cell>
          <cell r="AJ25">
            <v>32.5</v>
          </cell>
          <cell r="AK25">
            <v>10</v>
          </cell>
          <cell r="AL25">
            <v>75.7</v>
          </cell>
          <cell r="AM25">
            <v>76.099999999999994</v>
          </cell>
          <cell r="AN25">
            <v>68</v>
          </cell>
          <cell r="AO25">
            <v>68.2</v>
          </cell>
          <cell r="AQ25">
            <v>57.1</v>
          </cell>
          <cell r="AR25">
            <v>54</v>
          </cell>
          <cell r="AS25">
            <v>55.4</v>
          </cell>
          <cell r="AT25">
            <v>50.5</v>
          </cell>
          <cell r="AU25">
            <v>48</v>
          </cell>
          <cell r="AV25">
            <v>48.5</v>
          </cell>
          <cell r="AY25">
            <v>33.200000000000003</v>
          </cell>
          <cell r="AZ25">
            <v>39.9</v>
          </cell>
          <cell r="BA25">
            <v>41.5</v>
          </cell>
          <cell r="BB25">
            <v>39.799999999999997</v>
          </cell>
          <cell r="BC25">
            <v>33.200000000000003</v>
          </cell>
          <cell r="BG25">
            <v>33.200000000000003</v>
          </cell>
          <cell r="BK25">
            <v>33.200000000000003</v>
          </cell>
        </row>
        <row r="26">
          <cell r="A26" t="str">
            <v>Total assets</v>
          </cell>
          <cell r="B26">
            <v>1212</v>
          </cell>
          <cell r="C26">
            <v>1215</v>
          </cell>
          <cell r="D26">
            <v>1066</v>
          </cell>
          <cell r="E26">
            <v>936</v>
          </cell>
          <cell r="F26">
            <v>960</v>
          </cell>
          <cell r="G26">
            <v>736</v>
          </cell>
          <cell r="H26">
            <v>667</v>
          </cell>
          <cell r="I26">
            <v>956</v>
          </cell>
          <cell r="J26">
            <v>1053</v>
          </cell>
          <cell r="K26">
            <v>928</v>
          </cell>
          <cell r="L26">
            <v>845</v>
          </cell>
          <cell r="M26">
            <v>1201</v>
          </cell>
          <cell r="N26">
            <v>1066</v>
          </cell>
          <cell r="O26">
            <v>959</v>
          </cell>
          <cell r="P26">
            <v>872</v>
          </cell>
          <cell r="Q26">
            <v>1262</v>
          </cell>
          <cell r="R26">
            <v>1131.0999999999999</v>
          </cell>
          <cell r="S26">
            <v>1023.3000000000001</v>
          </cell>
          <cell r="T26">
            <v>1040.6999999999998</v>
          </cell>
          <cell r="U26">
            <v>1421.0000000000002</v>
          </cell>
          <cell r="V26">
            <v>1281.3000000000002</v>
          </cell>
          <cell r="W26">
            <v>1192.0000000000005</v>
          </cell>
          <cell r="X26">
            <v>1124.0999999999999</v>
          </cell>
          <cell r="Y26">
            <v>1431.6</v>
          </cell>
          <cell r="Z26">
            <v>1267.8</v>
          </cell>
          <cell r="AA26">
            <v>1144.2999999999997</v>
          </cell>
          <cell r="AB26">
            <v>1070.0000000000002</v>
          </cell>
          <cell r="AC26">
            <v>1782.2</v>
          </cell>
          <cell r="AD26">
            <v>1070.0000000000002</v>
          </cell>
          <cell r="AE26">
            <v>480.29999999999995</v>
          </cell>
          <cell r="AF26">
            <v>1835.3000000000002</v>
          </cell>
          <cell r="AG26">
            <v>1405.1000000000001</v>
          </cell>
          <cell r="AH26">
            <v>0</v>
          </cell>
          <cell r="AI26">
            <v>3576.8</v>
          </cell>
          <cell r="AJ26">
            <v>1202.6999999999998</v>
          </cell>
          <cell r="AK26">
            <v>40</v>
          </cell>
          <cell r="AL26">
            <v>3544.8999999999996</v>
          </cell>
          <cell r="AM26">
            <v>3634.6000000000004</v>
          </cell>
          <cell r="AN26">
            <v>3917.1000000000004</v>
          </cell>
          <cell r="AO26">
            <v>3766.1</v>
          </cell>
          <cell r="AQ26">
            <v>3459.7</v>
          </cell>
          <cell r="AR26">
            <v>3583.8999999999996</v>
          </cell>
          <cell r="AS26">
            <v>3766.3000000000006</v>
          </cell>
          <cell r="AT26">
            <v>3579.5</v>
          </cell>
          <cell r="AU26">
            <v>3530.6</v>
          </cell>
          <cell r="AV26">
            <v>3480.7</v>
          </cell>
          <cell r="AW26">
            <v>3691.1</v>
          </cell>
          <cell r="AX26">
            <v>3630.6</v>
          </cell>
          <cell r="AY26">
            <v>3622.8839300699292</v>
          </cell>
          <cell r="AZ26">
            <v>4618.2999999999993</v>
          </cell>
          <cell r="BA26">
            <v>4875.8999999999996</v>
          </cell>
          <cell r="BB26">
            <v>4716.9000000000005</v>
          </cell>
          <cell r="BC26">
            <v>4659.2214654801819</v>
          </cell>
          <cell r="BG26">
            <v>4364.2208352072385</v>
          </cell>
          <cell r="BK26">
            <v>4489.2588828525495</v>
          </cell>
        </row>
        <row r="28">
          <cell r="A28" t="str">
            <v>Liabilities</v>
          </cell>
        </row>
        <row r="29">
          <cell r="A29" t="str">
            <v>Accounts payable &amp; accrued exp</v>
          </cell>
          <cell r="B29">
            <v>299</v>
          </cell>
          <cell r="C29">
            <v>275</v>
          </cell>
          <cell r="D29">
            <v>311</v>
          </cell>
          <cell r="E29">
            <v>245</v>
          </cell>
          <cell r="F29">
            <v>267</v>
          </cell>
          <cell r="G29">
            <v>202</v>
          </cell>
          <cell r="H29">
            <v>220</v>
          </cell>
          <cell r="I29">
            <v>352</v>
          </cell>
          <cell r="J29">
            <v>317</v>
          </cell>
          <cell r="K29">
            <v>280</v>
          </cell>
          <cell r="L29">
            <v>259</v>
          </cell>
          <cell r="M29">
            <v>432</v>
          </cell>
          <cell r="N29">
            <v>333</v>
          </cell>
          <cell r="O29">
            <v>306</v>
          </cell>
          <cell r="P29">
            <v>266</v>
          </cell>
          <cell r="Q29">
            <v>444</v>
          </cell>
          <cell r="R29">
            <v>335.8</v>
          </cell>
          <cell r="S29">
            <v>277.8</v>
          </cell>
          <cell r="T29">
            <v>238.9</v>
          </cell>
          <cell r="U29">
            <v>399</v>
          </cell>
          <cell r="V29">
            <v>308.10000000000002</v>
          </cell>
          <cell r="W29">
            <v>272.10000000000002</v>
          </cell>
          <cell r="X29">
            <v>227</v>
          </cell>
          <cell r="Y29">
            <v>408.2</v>
          </cell>
          <cell r="Z29">
            <v>327.8</v>
          </cell>
          <cell r="AA29">
            <v>288.2</v>
          </cell>
          <cell r="AB29">
            <v>258.5</v>
          </cell>
          <cell r="AC29">
            <v>86</v>
          </cell>
          <cell r="AD29">
            <v>241.4</v>
          </cell>
          <cell r="AE29">
            <v>-24.4</v>
          </cell>
          <cell r="AF29">
            <v>106.9</v>
          </cell>
          <cell r="AG29">
            <v>463.8</v>
          </cell>
          <cell r="AI29">
            <v>438.6</v>
          </cell>
          <cell r="AJ29">
            <v>432.4</v>
          </cell>
          <cell r="AL29">
            <v>432.4</v>
          </cell>
          <cell r="AM29">
            <v>467.2</v>
          </cell>
          <cell r="AN29">
            <v>607</v>
          </cell>
          <cell r="AO29">
            <v>512</v>
          </cell>
          <cell r="AQ29">
            <v>427.2</v>
          </cell>
          <cell r="AR29">
            <v>454.5</v>
          </cell>
          <cell r="AS29">
            <v>542.29999999999995</v>
          </cell>
          <cell r="AT29">
            <v>401.3</v>
          </cell>
          <cell r="AU29">
            <v>387.3</v>
          </cell>
          <cell r="AV29">
            <v>433.7</v>
          </cell>
          <cell r="AW29">
            <v>560.9</v>
          </cell>
          <cell r="AX29">
            <v>462.8</v>
          </cell>
          <cell r="AY29">
            <v>450.9</v>
          </cell>
          <cell r="AZ29">
            <v>482.2</v>
          </cell>
          <cell r="BA29">
            <v>613.79999999999995</v>
          </cell>
          <cell r="BB29">
            <v>501.6</v>
          </cell>
          <cell r="BC29">
            <v>452.51128562204855</v>
          </cell>
          <cell r="BG29">
            <v>461.91794145672606</v>
          </cell>
          <cell r="BK29">
            <v>476.11222868113219</v>
          </cell>
        </row>
        <row r="30">
          <cell r="A30" t="str">
            <v>Income taxes payable</v>
          </cell>
          <cell r="AD30">
            <v>17.100000000000001</v>
          </cell>
          <cell r="AE30">
            <v>0</v>
          </cell>
          <cell r="AF30">
            <v>0</v>
          </cell>
          <cell r="AI30">
            <v>0</v>
          </cell>
          <cell r="AL30">
            <v>0</v>
          </cell>
          <cell r="AM30">
            <v>0</v>
          </cell>
          <cell r="AN30">
            <v>0</v>
          </cell>
          <cell r="AO30">
            <v>0</v>
          </cell>
          <cell r="AQ30">
            <v>0</v>
          </cell>
          <cell r="AR30">
            <v>0</v>
          </cell>
          <cell r="AS30">
            <v>0</v>
          </cell>
          <cell r="AT30">
            <v>0</v>
          </cell>
          <cell r="AU30">
            <v>0</v>
          </cell>
          <cell r="AY30">
            <v>0</v>
          </cell>
          <cell r="BC30">
            <v>0</v>
          </cell>
          <cell r="BG30">
            <v>0</v>
          </cell>
          <cell r="BK30">
            <v>0</v>
          </cell>
        </row>
        <row r="31">
          <cell r="A31" t="str">
            <v>Short term debt</v>
          </cell>
          <cell r="B31">
            <v>91</v>
          </cell>
          <cell r="C31">
            <v>148</v>
          </cell>
          <cell r="D31">
            <v>133</v>
          </cell>
          <cell r="E31">
            <v>133</v>
          </cell>
          <cell r="F31">
            <v>167</v>
          </cell>
          <cell r="G31">
            <v>43</v>
          </cell>
          <cell r="H31">
            <v>82</v>
          </cell>
          <cell r="I31">
            <v>237</v>
          </cell>
          <cell r="J31">
            <v>153</v>
          </cell>
          <cell r="K31">
            <v>68</v>
          </cell>
          <cell r="L31">
            <v>0</v>
          </cell>
          <cell r="M31">
            <v>202</v>
          </cell>
          <cell r="N31">
            <v>163</v>
          </cell>
          <cell r="O31">
            <v>77</v>
          </cell>
          <cell r="P31">
            <v>16</v>
          </cell>
          <cell r="Q31">
            <v>230</v>
          </cell>
          <cell r="R31">
            <v>190</v>
          </cell>
          <cell r="S31">
            <v>172</v>
          </cell>
          <cell r="T31">
            <v>153.5</v>
          </cell>
          <cell r="U31">
            <v>271.60000000000002</v>
          </cell>
          <cell r="V31">
            <v>222.4</v>
          </cell>
          <cell r="W31">
            <v>167.5</v>
          </cell>
          <cell r="X31">
            <v>0.3</v>
          </cell>
          <cell r="Y31">
            <v>124.8</v>
          </cell>
          <cell r="Z31">
            <v>25.9</v>
          </cell>
          <cell r="AA31">
            <v>0.2</v>
          </cell>
          <cell r="AB31">
            <v>0.2</v>
          </cell>
          <cell r="AC31">
            <v>0</v>
          </cell>
          <cell r="AD31">
            <v>0.2</v>
          </cell>
          <cell r="AE31">
            <v>102.3</v>
          </cell>
          <cell r="AF31">
            <v>0</v>
          </cell>
          <cell r="AG31">
            <v>124.6</v>
          </cell>
          <cell r="AI31">
            <v>29.3</v>
          </cell>
          <cell r="AJ31">
            <v>124.6</v>
          </cell>
          <cell r="AL31">
            <v>0.6</v>
          </cell>
          <cell r="AM31">
            <v>35.5</v>
          </cell>
          <cell r="AN31">
            <v>129.1</v>
          </cell>
          <cell r="AO31">
            <v>34.9</v>
          </cell>
          <cell r="AQ31">
            <v>0.8</v>
          </cell>
          <cell r="AR31">
            <v>88.5</v>
          </cell>
          <cell r="AS31">
            <v>142</v>
          </cell>
          <cell r="AT31">
            <v>14.9</v>
          </cell>
          <cell r="AU31">
            <v>1</v>
          </cell>
          <cell r="AV31">
            <v>1.2</v>
          </cell>
          <cell r="AW31">
            <v>39.299999999999997</v>
          </cell>
          <cell r="AX31">
            <v>1.8</v>
          </cell>
          <cell r="AY31">
            <v>1.7</v>
          </cell>
          <cell r="AZ31">
            <v>241.5</v>
          </cell>
          <cell r="BA31">
            <v>290.3</v>
          </cell>
          <cell r="BB31">
            <v>187.9</v>
          </cell>
          <cell r="BC31">
            <v>204.7</v>
          </cell>
          <cell r="BG31">
            <v>157.69999999999999</v>
          </cell>
          <cell r="BK31">
            <v>210.7</v>
          </cell>
        </row>
        <row r="32">
          <cell r="A32" t="str">
            <v>Current portion of LTD</v>
          </cell>
          <cell r="B32">
            <v>48</v>
          </cell>
          <cell r="C32">
            <v>30</v>
          </cell>
          <cell r="D32">
            <v>50</v>
          </cell>
          <cell r="E32">
            <v>50</v>
          </cell>
          <cell r="F32">
            <v>18</v>
          </cell>
          <cell r="G32">
            <v>7</v>
          </cell>
          <cell r="H32">
            <v>2</v>
          </cell>
          <cell r="I32">
            <v>10</v>
          </cell>
          <cell r="J32">
            <v>17</v>
          </cell>
          <cell r="K32">
            <v>24</v>
          </cell>
          <cell r="L32">
            <v>32</v>
          </cell>
          <cell r="M32">
            <v>34</v>
          </cell>
          <cell r="N32">
            <v>35</v>
          </cell>
          <cell r="O32">
            <v>32</v>
          </cell>
          <cell r="P32">
            <v>32</v>
          </cell>
          <cell r="Q32">
            <v>32</v>
          </cell>
          <cell r="R32">
            <v>33.5</v>
          </cell>
          <cell r="S32">
            <v>34.5</v>
          </cell>
          <cell r="T32">
            <v>35.6</v>
          </cell>
          <cell r="U32">
            <v>37.700000000000003</v>
          </cell>
          <cell r="V32">
            <v>38.799999999999997</v>
          </cell>
          <cell r="W32">
            <v>39.799999999999997</v>
          </cell>
          <cell r="X32">
            <v>4.2</v>
          </cell>
          <cell r="Y32">
            <v>4.2</v>
          </cell>
          <cell r="Z32">
            <v>4.2</v>
          </cell>
          <cell r="AA32">
            <v>3.5</v>
          </cell>
          <cell r="AB32">
            <v>2.9</v>
          </cell>
          <cell r="AC32">
            <v>0</v>
          </cell>
          <cell r="AD32">
            <v>2.9</v>
          </cell>
          <cell r="AE32">
            <v>2.1</v>
          </cell>
          <cell r="AF32">
            <v>0</v>
          </cell>
          <cell r="AG32">
            <v>2.9</v>
          </cell>
          <cell r="AI32">
            <v>7.5</v>
          </cell>
          <cell r="AJ32">
            <v>2.9</v>
          </cell>
          <cell r="AL32">
            <v>11.5</v>
          </cell>
          <cell r="AM32">
            <v>15.7</v>
          </cell>
          <cell r="AN32">
            <v>19.899999999999999</v>
          </cell>
          <cell r="AO32">
            <v>24.1</v>
          </cell>
          <cell r="AQ32">
            <v>6.3</v>
          </cell>
          <cell r="AR32">
            <v>6.3</v>
          </cell>
          <cell r="AS32">
            <v>6.3</v>
          </cell>
          <cell r="AT32">
            <v>6.3</v>
          </cell>
          <cell r="AU32">
            <v>1.7</v>
          </cell>
          <cell r="AV32">
            <v>4.5</v>
          </cell>
          <cell r="AY32">
            <v>58.6</v>
          </cell>
          <cell r="AZ32">
            <v>20.7</v>
          </cell>
          <cell r="BA32">
            <v>24.3</v>
          </cell>
          <cell r="BB32">
            <v>26.8</v>
          </cell>
          <cell r="BC32">
            <v>10.005499999999984</v>
          </cell>
          <cell r="BG32">
            <v>8.0054999999999836</v>
          </cell>
          <cell r="BK32">
            <v>7.5054999999999836</v>
          </cell>
        </row>
        <row r="33">
          <cell r="A33" t="str">
            <v>Total current liabilities</v>
          </cell>
          <cell r="B33">
            <v>438</v>
          </cell>
          <cell r="C33">
            <v>453</v>
          </cell>
          <cell r="D33">
            <v>494</v>
          </cell>
          <cell r="E33">
            <v>428</v>
          </cell>
          <cell r="F33">
            <v>452</v>
          </cell>
          <cell r="G33">
            <v>252</v>
          </cell>
          <cell r="H33">
            <v>304</v>
          </cell>
          <cell r="I33">
            <v>599</v>
          </cell>
          <cell r="J33">
            <v>487</v>
          </cell>
          <cell r="K33">
            <v>372</v>
          </cell>
          <cell r="L33">
            <v>291</v>
          </cell>
          <cell r="M33">
            <v>668</v>
          </cell>
          <cell r="N33">
            <v>531</v>
          </cell>
          <cell r="O33">
            <v>415</v>
          </cell>
          <cell r="P33">
            <v>314</v>
          </cell>
          <cell r="Q33">
            <v>706</v>
          </cell>
          <cell r="R33">
            <v>559.29999999999995</v>
          </cell>
          <cell r="S33">
            <v>484.3</v>
          </cell>
          <cell r="T33">
            <v>428</v>
          </cell>
          <cell r="U33">
            <v>708.30000000000007</v>
          </cell>
          <cell r="V33">
            <v>569.29999999999995</v>
          </cell>
          <cell r="W33">
            <v>479.40000000000003</v>
          </cell>
          <cell r="X33">
            <v>231.5</v>
          </cell>
          <cell r="Y33">
            <v>537.20000000000005</v>
          </cell>
          <cell r="Z33">
            <v>357.9</v>
          </cell>
          <cell r="AA33">
            <v>291.89999999999998</v>
          </cell>
          <cell r="AB33">
            <v>261.59999999999997</v>
          </cell>
          <cell r="AC33">
            <v>86</v>
          </cell>
          <cell r="AD33">
            <v>261.59999999999997</v>
          </cell>
          <cell r="AE33">
            <v>80</v>
          </cell>
          <cell r="AF33">
            <v>106.9</v>
          </cell>
          <cell r="AG33">
            <v>591.29999999999995</v>
          </cell>
          <cell r="AH33">
            <v>0</v>
          </cell>
          <cell r="AI33">
            <v>475.40000000000003</v>
          </cell>
          <cell r="AJ33">
            <v>559.9</v>
          </cell>
          <cell r="AK33">
            <v>0</v>
          </cell>
          <cell r="AL33">
            <v>444.5</v>
          </cell>
          <cell r="AM33">
            <v>518.4</v>
          </cell>
          <cell r="AN33">
            <v>756</v>
          </cell>
          <cell r="AO33">
            <v>571</v>
          </cell>
          <cell r="AQ33">
            <v>434.3</v>
          </cell>
          <cell r="AR33">
            <v>549.29999999999995</v>
          </cell>
          <cell r="AS33">
            <v>690.59999999999991</v>
          </cell>
          <cell r="AT33">
            <v>422.5</v>
          </cell>
          <cell r="AU33">
            <v>390</v>
          </cell>
          <cell r="AV33">
            <v>439.4</v>
          </cell>
          <cell r="AW33">
            <v>600.19999999999993</v>
          </cell>
          <cell r="AX33">
            <v>464.6</v>
          </cell>
          <cell r="AY33">
            <v>511.2</v>
          </cell>
          <cell r="AZ33">
            <v>744.40000000000009</v>
          </cell>
          <cell r="BA33">
            <v>928.39999999999986</v>
          </cell>
          <cell r="BB33">
            <v>716.3</v>
          </cell>
          <cell r="BC33">
            <v>667.21678562204852</v>
          </cell>
          <cell r="BG33">
            <v>627.62344145672603</v>
          </cell>
          <cell r="BK33">
            <v>694.31772868113217</v>
          </cell>
        </row>
        <row r="35">
          <cell r="A35" t="str">
            <v>Long term debt</v>
          </cell>
          <cell r="B35">
            <v>445</v>
          </cell>
          <cell r="C35">
            <v>475</v>
          </cell>
          <cell r="D35">
            <v>441</v>
          </cell>
          <cell r="E35">
            <v>386</v>
          </cell>
          <cell r="F35">
            <v>391</v>
          </cell>
          <cell r="G35">
            <v>323</v>
          </cell>
          <cell r="H35">
            <v>526</v>
          </cell>
          <cell r="I35">
            <v>518</v>
          </cell>
          <cell r="J35">
            <v>686</v>
          </cell>
          <cell r="K35">
            <v>678</v>
          </cell>
          <cell r="L35">
            <v>677</v>
          </cell>
          <cell r="M35">
            <v>668</v>
          </cell>
          <cell r="N35">
            <v>665</v>
          </cell>
          <cell r="O35">
            <v>497</v>
          </cell>
          <cell r="P35">
            <v>496</v>
          </cell>
          <cell r="Q35">
            <v>487</v>
          </cell>
          <cell r="R35">
            <v>484.7</v>
          </cell>
          <cell r="S35">
            <v>445.4</v>
          </cell>
          <cell r="T35">
            <v>443</v>
          </cell>
          <cell r="U35">
            <v>531.79999999999995</v>
          </cell>
          <cell r="V35">
            <v>528.4</v>
          </cell>
          <cell r="W35">
            <v>518.29999999999995</v>
          </cell>
          <cell r="X35">
            <v>709.8</v>
          </cell>
          <cell r="Y35">
            <v>708.7</v>
          </cell>
          <cell r="Z35">
            <v>708.7</v>
          </cell>
          <cell r="AA35">
            <v>642.5</v>
          </cell>
          <cell r="AB35">
            <v>587.4</v>
          </cell>
          <cell r="AC35">
            <v>0</v>
          </cell>
          <cell r="AD35">
            <v>587.4</v>
          </cell>
          <cell r="AE35">
            <v>1071</v>
          </cell>
          <cell r="AF35">
            <v>0</v>
          </cell>
          <cell r="AG35">
            <v>587.4</v>
          </cell>
          <cell r="AI35">
            <v>1702.1</v>
          </cell>
          <cell r="AJ35">
            <v>283.29999999999995</v>
          </cell>
          <cell r="AL35">
            <v>1635.3</v>
          </cell>
          <cell r="AM35">
            <v>1631.1</v>
          </cell>
          <cell r="AN35">
            <v>1626.2</v>
          </cell>
          <cell r="AO35">
            <v>1623.1</v>
          </cell>
          <cell r="AQ35">
            <v>1369.5</v>
          </cell>
          <cell r="AR35">
            <v>1367.6</v>
          </cell>
          <cell r="AS35">
            <v>1365.8</v>
          </cell>
          <cell r="AT35">
            <v>1363.9</v>
          </cell>
          <cell r="AU35">
            <v>1304.4000000000001</v>
          </cell>
          <cell r="AV35">
            <v>1301.2</v>
          </cell>
          <cell r="AW35">
            <v>1305.3</v>
          </cell>
          <cell r="AX35">
            <v>1305</v>
          </cell>
          <cell r="AY35">
            <v>1242.5</v>
          </cell>
          <cell r="AZ35">
            <v>1875</v>
          </cell>
          <cell r="BA35">
            <v>1966.6</v>
          </cell>
          <cell r="BB35">
            <v>1959.3</v>
          </cell>
          <cell r="BC35">
            <v>1991.0944999999999</v>
          </cell>
          <cell r="BG35">
            <v>1593.0944999999999</v>
          </cell>
          <cell r="BK35">
            <v>1493.5944999999999</v>
          </cell>
        </row>
        <row r="36">
          <cell r="A36" t="str">
            <v>Other long-term liabilities</v>
          </cell>
          <cell r="B36">
            <v>230</v>
          </cell>
          <cell r="C36">
            <v>238</v>
          </cell>
          <cell r="D36">
            <v>268</v>
          </cell>
          <cell r="E36">
            <v>258</v>
          </cell>
          <cell r="F36">
            <v>262</v>
          </cell>
          <cell r="G36">
            <v>250</v>
          </cell>
          <cell r="H36">
            <v>203</v>
          </cell>
          <cell r="I36">
            <v>205</v>
          </cell>
          <cell r="J36">
            <v>216</v>
          </cell>
          <cell r="K36">
            <v>212</v>
          </cell>
          <cell r="L36">
            <v>194</v>
          </cell>
          <cell r="M36">
            <v>193</v>
          </cell>
          <cell r="N36">
            <v>188</v>
          </cell>
          <cell r="O36">
            <v>186</v>
          </cell>
          <cell r="P36">
            <v>180</v>
          </cell>
          <cell r="Q36">
            <v>180</v>
          </cell>
          <cell r="R36">
            <v>175.9</v>
          </cell>
          <cell r="S36">
            <v>172.8</v>
          </cell>
          <cell r="T36">
            <v>159.1</v>
          </cell>
          <cell r="U36">
            <v>163.80000000000001</v>
          </cell>
          <cell r="V36">
            <v>157.9</v>
          </cell>
          <cell r="W36">
            <v>157.80000000000001</v>
          </cell>
          <cell r="X36">
            <v>157.9</v>
          </cell>
          <cell r="Y36">
            <v>166</v>
          </cell>
          <cell r="Z36">
            <v>162.6</v>
          </cell>
          <cell r="AA36">
            <v>159.6</v>
          </cell>
          <cell r="AB36">
            <v>189.3</v>
          </cell>
          <cell r="AC36">
            <v>20.6</v>
          </cell>
          <cell r="AD36">
            <v>189.3</v>
          </cell>
          <cell r="AE36">
            <v>-25.5</v>
          </cell>
          <cell r="AF36">
            <v>22.7</v>
          </cell>
          <cell r="AG36">
            <v>196.8</v>
          </cell>
          <cell r="AI36">
            <v>270.2</v>
          </cell>
          <cell r="AJ36">
            <v>196.8</v>
          </cell>
          <cell r="AK36">
            <v>10</v>
          </cell>
          <cell r="AL36">
            <v>313</v>
          </cell>
          <cell r="AM36">
            <v>316.60000000000002</v>
          </cell>
          <cell r="AN36">
            <v>313.7</v>
          </cell>
          <cell r="AO36">
            <v>181.2</v>
          </cell>
          <cell r="AQ36">
            <v>300.8</v>
          </cell>
          <cell r="AR36">
            <v>301.39999999999998</v>
          </cell>
          <cell r="AS36">
            <v>297.10000000000002</v>
          </cell>
          <cell r="AT36">
            <v>304.89999999999998</v>
          </cell>
          <cell r="AU36">
            <v>325</v>
          </cell>
          <cell r="AV36">
            <v>332.9</v>
          </cell>
          <cell r="AY36">
            <v>327.10000000000002</v>
          </cell>
          <cell r="AZ36">
            <v>335.7</v>
          </cell>
          <cell r="BA36">
            <v>329.6</v>
          </cell>
          <cell r="BB36">
            <v>325.8</v>
          </cell>
          <cell r="BC36">
            <v>327.10000000000002</v>
          </cell>
          <cell r="BG36">
            <v>327.10000000000002</v>
          </cell>
          <cell r="BK36">
            <v>327.10000000000002</v>
          </cell>
        </row>
        <row r="37">
          <cell r="A37" t="str">
            <v>Deferred income taxes</v>
          </cell>
          <cell r="AC37">
            <v>116.9</v>
          </cell>
          <cell r="AD37">
            <v>0</v>
          </cell>
          <cell r="AE37">
            <v>89</v>
          </cell>
          <cell r="AF37">
            <v>113.1</v>
          </cell>
          <cell r="AI37">
            <v>193</v>
          </cell>
          <cell r="AL37">
            <v>202.7</v>
          </cell>
          <cell r="AM37">
            <v>199.7</v>
          </cell>
          <cell r="AN37">
            <v>204.4</v>
          </cell>
          <cell r="AO37">
            <v>321.7</v>
          </cell>
          <cell r="AQ37">
            <v>226.2</v>
          </cell>
          <cell r="AR37">
            <v>224.5</v>
          </cell>
          <cell r="AS37">
            <v>224</v>
          </cell>
          <cell r="AT37">
            <v>244.7</v>
          </cell>
          <cell r="AU37">
            <v>250.6</v>
          </cell>
          <cell r="AV37">
            <v>251.8</v>
          </cell>
          <cell r="AY37">
            <v>228.1</v>
          </cell>
          <cell r="AZ37">
            <v>344.8</v>
          </cell>
          <cell r="BA37">
            <v>312.2</v>
          </cell>
          <cell r="BB37">
            <v>332.3</v>
          </cell>
          <cell r="BC37">
            <v>228.1</v>
          </cell>
          <cell r="BG37">
            <v>228.1</v>
          </cell>
          <cell r="BK37">
            <v>228.1</v>
          </cell>
        </row>
        <row r="38">
          <cell r="A38" t="str">
            <v>Minority interest</v>
          </cell>
          <cell r="B38">
            <v>16</v>
          </cell>
          <cell r="C38">
            <v>26</v>
          </cell>
          <cell r="D38">
            <v>30</v>
          </cell>
          <cell r="E38">
            <v>31</v>
          </cell>
          <cell r="F38">
            <v>31</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I38">
            <v>0</v>
          </cell>
          <cell r="AJ38">
            <v>0</v>
          </cell>
          <cell r="AL38">
            <v>0</v>
          </cell>
          <cell r="AM38">
            <v>0</v>
          </cell>
          <cell r="AN38">
            <v>0</v>
          </cell>
          <cell r="AO38">
            <v>0</v>
          </cell>
          <cell r="AQ38">
            <v>0</v>
          </cell>
          <cell r="AR38">
            <v>0</v>
          </cell>
          <cell r="AS38">
            <v>0</v>
          </cell>
          <cell r="AT38">
            <v>0</v>
          </cell>
          <cell r="AU38">
            <v>0</v>
          </cell>
          <cell r="AY38">
            <v>0</v>
          </cell>
          <cell r="BC38">
            <v>0</v>
          </cell>
          <cell r="BG38">
            <v>0</v>
          </cell>
          <cell r="BK38">
            <v>0</v>
          </cell>
        </row>
        <row r="39">
          <cell r="A39" t="str">
            <v>Redeemable preferred stock</v>
          </cell>
          <cell r="B39">
            <v>217</v>
          </cell>
          <cell r="C39">
            <v>216</v>
          </cell>
          <cell r="D39">
            <v>216</v>
          </cell>
          <cell r="E39">
            <v>215</v>
          </cell>
          <cell r="F39">
            <v>215</v>
          </cell>
          <cell r="G39">
            <v>213</v>
          </cell>
          <cell r="H39">
            <v>32</v>
          </cell>
          <cell r="I39">
            <v>32</v>
          </cell>
          <cell r="J39">
            <v>32</v>
          </cell>
          <cell r="K39">
            <v>32</v>
          </cell>
          <cell r="L39">
            <v>33</v>
          </cell>
          <cell r="M39">
            <v>33</v>
          </cell>
          <cell r="N39">
            <v>33</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v>0</v>
          </cell>
          <cell r="AJ39">
            <v>0</v>
          </cell>
          <cell r="AL39">
            <v>0</v>
          </cell>
          <cell r="AM39">
            <v>0</v>
          </cell>
          <cell r="AN39">
            <v>0</v>
          </cell>
          <cell r="AO39">
            <v>0</v>
          </cell>
          <cell r="AQ39">
            <v>0</v>
          </cell>
          <cell r="AR39">
            <v>0</v>
          </cell>
          <cell r="AS39">
            <v>0</v>
          </cell>
          <cell r="AT39">
            <v>0</v>
          </cell>
          <cell r="AU39">
            <v>0</v>
          </cell>
          <cell r="AY39">
            <v>0</v>
          </cell>
          <cell r="BC39">
            <v>0</v>
          </cell>
          <cell r="BG39">
            <v>0</v>
          </cell>
          <cell r="BK39">
            <v>0</v>
          </cell>
        </row>
        <row r="40">
          <cell r="A40" t="str">
            <v>Redeemable common stock</v>
          </cell>
          <cell r="B40">
            <v>2</v>
          </cell>
          <cell r="C40">
            <v>2</v>
          </cell>
          <cell r="D40">
            <v>2</v>
          </cell>
          <cell r="E40">
            <v>2</v>
          </cell>
          <cell r="F40">
            <v>2</v>
          </cell>
          <cell r="G40">
            <v>2</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I40">
            <v>0</v>
          </cell>
          <cell r="AJ40">
            <v>0</v>
          </cell>
          <cell r="AL40">
            <v>0</v>
          </cell>
          <cell r="AM40">
            <v>0</v>
          </cell>
          <cell r="AN40">
            <v>0</v>
          </cell>
          <cell r="AO40">
            <v>0</v>
          </cell>
          <cell r="AQ40">
            <v>0</v>
          </cell>
          <cell r="AR40">
            <v>0</v>
          </cell>
          <cell r="AS40">
            <v>0</v>
          </cell>
          <cell r="AT40">
            <v>0</v>
          </cell>
          <cell r="AU40">
            <v>0</v>
          </cell>
          <cell r="AY40">
            <v>0</v>
          </cell>
          <cell r="BC40">
            <v>0</v>
          </cell>
          <cell r="BG40">
            <v>0</v>
          </cell>
          <cell r="BK40">
            <v>0</v>
          </cell>
        </row>
        <row r="41">
          <cell r="A41" t="str">
            <v>Total liabilities</v>
          </cell>
          <cell r="B41">
            <v>1348</v>
          </cell>
          <cell r="C41">
            <v>1410</v>
          </cell>
          <cell r="D41">
            <v>1451</v>
          </cell>
          <cell r="E41">
            <v>1320</v>
          </cell>
          <cell r="F41">
            <v>1353</v>
          </cell>
          <cell r="G41">
            <v>1040</v>
          </cell>
          <cell r="H41">
            <v>1065</v>
          </cell>
          <cell r="I41">
            <v>1354</v>
          </cell>
          <cell r="J41">
            <v>1421</v>
          </cell>
          <cell r="K41">
            <v>1294</v>
          </cell>
          <cell r="L41">
            <v>1195</v>
          </cell>
          <cell r="M41">
            <v>1562</v>
          </cell>
          <cell r="N41">
            <v>1417</v>
          </cell>
          <cell r="O41">
            <v>1098</v>
          </cell>
          <cell r="P41">
            <v>990</v>
          </cell>
          <cell r="Q41">
            <v>1373</v>
          </cell>
          <cell r="R41">
            <v>1219.9000000000001</v>
          </cell>
          <cell r="S41">
            <v>1102.5</v>
          </cell>
          <cell r="T41">
            <v>1030.0999999999999</v>
          </cell>
          <cell r="U41">
            <v>1403.8999999999999</v>
          </cell>
          <cell r="V41">
            <v>1255.5999999999999</v>
          </cell>
          <cell r="W41">
            <v>1155.5</v>
          </cell>
          <cell r="X41">
            <v>1099.2</v>
          </cell>
          <cell r="Y41">
            <v>1411.9</v>
          </cell>
          <cell r="Z41">
            <v>1229.1999999999998</v>
          </cell>
          <cell r="AA41">
            <v>1094</v>
          </cell>
          <cell r="AB41">
            <v>1038.3</v>
          </cell>
          <cell r="AC41">
            <v>223.5</v>
          </cell>
          <cell r="AD41">
            <v>1038.3</v>
          </cell>
          <cell r="AE41">
            <v>1125.5</v>
          </cell>
          <cell r="AF41">
            <v>242.7</v>
          </cell>
          <cell r="AG41">
            <v>1375.4999999999998</v>
          </cell>
          <cell r="AH41">
            <v>0</v>
          </cell>
          <cell r="AI41">
            <v>2640.7</v>
          </cell>
          <cell r="AJ41">
            <v>1040</v>
          </cell>
          <cell r="AK41">
            <v>10</v>
          </cell>
          <cell r="AL41">
            <v>2595.5</v>
          </cell>
          <cell r="AM41">
            <v>2665.7999999999997</v>
          </cell>
          <cell r="AN41">
            <v>2900.2999999999997</v>
          </cell>
          <cell r="AO41">
            <v>2696.9999999999995</v>
          </cell>
          <cell r="AQ41">
            <v>2330.7999999999997</v>
          </cell>
          <cell r="AR41">
            <v>2442.7999999999997</v>
          </cell>
          <cell r="AS41">
            <v>2577.4999999999995</v>
          </cell>
          <cell r="AT41">
            <v>2336</v>
          </cell>
          <cell r="AU41">
            <v>2270</v>
          </cell>
          <cell r="AV41">
            <v>2325.3000000000002</v>
          </cell>
          <cell r="AW41">
            <v>1905.5</v>
          </cell>
          <cell r="AX41">
            <v>1769.6</v>
          </cell>
          <cell r="AY41">
            <v>2308.9</v>
          </cell>
          <cell r="AZ41">
            <v>3299.9</v>
          </cell>
          <cell r="BA41">
            <v>3536.7999999999997</v>
          </cell>
          <cell r="BB41">
            <v>3333.7000000000003</v>
          </cell>
          <cell r="BC41">
            <v>3213.5112856220485</v>
          </cell>
          <cell r="BG41">
            <v>2775.9179414567257</v>
          </cell>
          <cell r="BK41">
            <v>2743.1122286811319</v>
          </cell>
        </row>
        <row r="43">
          <cell r="A43" t="str">
            <v>Shareholders' equity</v>
          </cell>
        </row>
        <row r="44">
          <cell r="A44" t="str">
            <v>Common stock</v>
          </cell>
          <cell r="O44">
            <v>1</v>
          </cell>
          <cell r="P44">
            <v>1</v>
          </cell>
          <cell r="Q44">
            <v>1</v>
          </cell>
          <cell r="R44">
            <v>0.5</v>
          </cell>
          <cell r="S44">
            <v>0.5</v>
          </cell>
          <cell r="T44">
            <v>0.5</v>
          </cell>
          <cell r="U44">
            <v>0.5</v>
          </cell>
          <cell r="V44">
            <v>0.5</v>
          </cell>
          <cell r="W44">
            <v>0.5</v>
          </cell>
          <cell r="X44">
            <v>0.5</v>
          </cell>
          <cell r="Y44">
            <v>0.5</v>
          </cell>
          <cell r="AA44">
            <v>0.5</v>
          </cell>
          <cell r="AB44">
            <v>0.5</v>
          </cell>
          <cell r="AD44">
            <v>0.5</v>
          </cell>
          <cell r="AE44">
            <v>1.6</v>
          </cell>
          <cell r="AF44">
            <v>0</v>
          </cell>
          <cell r="AG44">
            <v>0.5</v>
          </cell>
          <cell r="AI44">
            <v>2.1</v>
          </cell>
          <cell r="AJ44">
            <v>0.5</v>
          </cell>
          <cell r="AL44">
            <v>2.1</v>
          </cell>
          <cell r="AM44">
            <v>2.1</v>
          </cell>
          <cell r="AN44">
            <v>2.1</v>
          </cell>
          <cell r="AO44">
            <v>2.1</v>
          </cell>
          <cell r="AQ44">
            <v>2.1</v>
          </cell>
          <cell r="AR44">
            <v>2.1</v>
          </cell>
          <cell r="AS44">
            <v>2.1</v>
          </cell>
          <cell r="AT44">
            <v>2.1</v>
          </cell>
          <cell r="AU44">
            <v>2.1</v>
          </cell>
          <cell r="AV44">
            <v>2.1</v>
          </cell>
          <cell r="AY44">
            <v>2.1</v>
          </cell>
          <cell r="AZ44">
            <v>2.1</v>
          </cell>
          <cell r="BA44">
            <v>2.1</v>
          </cell>
          <cell r="BB44">
            <v>2.1</v>
          </cell>
          <cell r="BC44">
            <v>2.1</v>
          </cell>
          <cell r="BG44">
            <v>2.1</v>
          </cell>
          <cell r="BK44">
            <v>2.1</v>
          </cell>
        </row>
        <row r="45">
          <cell r="A45" t="str">
            <v>Paid-in capital</v>
          </cell>
          <cell r="B45">
            <v>3</v>
          </cell>
          <cell r="C45">
            <v>3</v>
          </cell>
          <cell r="D45">
            <v>3</v>
          </cell>
          <cell r="E45">
            <v>3</v>
          </cell>
          <cell r="F45">
            <v>3</v>
          </cell>
          <cell r="G45">
            <v>3</v>
          </cell>
          <cell r="H45">
            <v>129</v>
          </cell>
          <cell r="I45">
            <v>129</v>
          </cell>
          <cell r="J45">
            <v>170</v>
          </cell>
          <cell r="K45">
            <v>173</v>
          </cell>
          <cell r="L45">
            <v>172</v>
          </cell>
          <cell r="M45">
            <v>172</v>
          </cell>
          <cell r="N45">
            <v>172</v>
          </cell>
          <cell r="O45">
            <v>399</v>
          </cell>
          <cell r="P45">
            <v>399</v>
          </cell>
          <cell r="Q45">
            <v>399</v>
          </cell>
          <cell r="R45">
            <v>399.3</v>
          </cell>
          <cell r="S45">
            <v>399.6</v>
          </cell>
          <cell r="T45">
            <v>400.1</v>
          </cell>
          <cell r="U45">
            <v>400.2</v>
          </cell>
          <cell r="V45">
            <v>400.3</v>
          </cell>
          <cell r="W45">
            <v>400.4</v>
          </cell>
          <cell r="X45">
            <v>400.6</v>
          </cell>
          <cell r="Y45">
            <v>400.7</v>
          </cell>
          <cell r="AA45">
            <v>400.8</v>
          </cell>
          <cell r="AB45">
            <v>401.1</v>
          </cell>
          <cell r="AD45">
            <v>401.1</v>
          </cell>
          <cell r="AE45">
            <v>636.9</v>
          </cell>
          <cell r="AF45">
            <v>0</v>
          </cell>
          <cell r="AG45">
            <v>401.4</v>
          </cell>
          <cell r="AI45">
            <v>942.8</v>
          </cell>
          <cell r="AJ45">
            <v>401.4</v>
          </cell>
          <cell r="AL45">
            <v>937</v>
          </cell>
          <cell r="AM45">
            <v>937.8</v>
          </cell>
          <cell r="AN45">
            <v>939.2</v>
          </cell>
          <cell r="AO45">
            <v>938.5</v>
          </cell>
          <cell r="AQ45">
            <v>943.6</v>
          </cell>
          <cell r="AR45">
            <v>946.9</v>
          </cell>
          <cell r="AS45">
            <v>953.6</v>
          </cell>
          <cell r="AT45">
            <v>958.2</v>
          </cell>
          <cell r="AU45">
            <v>961.6</v>
          </cell>
          <cell r="AV45">
            <v>839.1</v>
          </cell>
          <cell r="AY45">
            <v>989.5</v>
          </cell>
          <cell r="AZ45">
            <v>996</v>
          </cell>
          <cell r="BA45">
            <v>1006.9</v>
          </cell>
          <cell r="BB45">
            <v>1013.1</v>
          </cell>
          <cell r="BC45">
            <v>995.8</v>
          </cell>
          <cell r="BG45">
            <v>1002.0999999999999</v>
          </cell>
          <cell r="BK45">
            <v>1008.3999999999999</v>
          </cell>
        </row>
        <row r="46">
          <cell r="A46" t="str">
            <v>Notes receivable from stockholders</v>
          </cell>
          <cell r="B46">
            <v>-1</v>
          </cell>
          <cell r="C46">
            <v>-1</v>
          </cell>
          <cell r="D46">
            <v>-1</v>
          </cell>
          <cell r="E46">
            <v>-1</v>
          </cell>
          <cell r="F46">
            <v>-369</v>
          </cell>
          <cell r="G46">
            <v>-281</v>
          </cell>
          <cell r="H46">
            <v>0</v>
          </cell>
          <cell r="I46">
            <v>0</v>
          </cell>
          <cell r="J46">
            <v>0</v>
          </cell>
          <cell r="K46">
            <v>0</v>
          </cell>
          <cell r="L46">
            <v>0</v>
          </cell>
          <cell r="M46">
            <v>0</v>
          </cell>
          <cell r="N46">
            <v>0</v>
          </cell>
          <cell r="O46">
            <v>0</v>
          </cell>
          <cell r="P46">
            <v>0</v>
          </cell>
          <cell r="Q46">
            <v>0</v>
          </cell>
          <cell r="R46">
            <v>0</v>
          </cell>
          <cell r="S46">
            <v>0</v>
          </cell>
          <cell r="T46">
            <v>-0.4</v>
          </cell>
          <cell r="U46">
            <v>-0.4</v>
          </cell>
          <cell r="V46">
            <v>-0.4</v>
          </cell>
          <cell r="W46">
            <v>-0.4</v>
          </cell>
          <cell r="X46">
            <v>-0.4</v>
          </cell>
          <cell r="Y46">
            <v>-0.4</v>
          </cell>
          <cell r="AA46">
            <v>-0.4</v>
          </cell>
          <cell r="AB46">
            <v>-0.4</v>
          </cell>
          <cell r="AD46">
            <v>-0.4</v>
          </cell>
          <cell r="AE46">
            <v>0</v>
          </cell>
          <cell r="AF46">
            <v>0</v>
          </cell>
          <cell r="AG46">
            <v>-0.4</v>
          </cell>
          <cell r="AI46">
            <v>-0.4</v>
          </cell>
          <cell r="AJ46">
            <v>-0.4</v>
          </cell>
          <cell r="AL46">
            <v>-0.4</v>
          </cell>
          <cell r="AM46">
            <v>-0.4</v>
          </cell>
          <cell r="AN46">
            <v>-0.4</v>
          </cell>
          <cell r="AO46">
            <v>0</v>
          </cell>
          <cell r="AQ46">
            <v>0</v>
          </cell>
          <cell r="AR46">
            <v>0</v>
          </cell>
          <cell r="AS46">
            <v>0</v>
          </cell>
          <cell r="AT46">
            <v>0</v>
          </cell>
          <cell r="AU46">
            <v>0</v>
          </cell>
          <cell r="AY46">
            <v>0</v>
          </cell>
          <cell r="BC46">
            <v>0</v>
          </cell>
          <cell r="BG46">
            <v>0</v>
          </cell>
          <cell r="BK46">
            <v>0</v>
          </cell>
        </row>
        <row r="47">
          <cell r="A47" t="str">
            <v>Accumulated other comprehensive inc</v>
          </cell>
          <cell r="AD47">
            <v>-32.200000000000003</v>
          </cell>
          <cell r="AE47">
            <v>32.200000000000003</v>
          </cell>
          <cell r="AF47">
            <v>0</v>
          </cell>
          <cell r="AI47">
            <v>-5.2</v>
          </cell>
          <cell r="AL47">
            <v>-9.6</v>
          </cell>
          <cell r="AM47">
            <v>-5.9</v>
          </cell>
          <cell r="AN47">
            <v>1.1000000000000001</v>
          </cell>
          <cell r="AO47">
            <v>0.2</v>
          </cell>
          <cell r="AQ47">
            <v>-1.7</v>
          </cell>
          <cell r="AR47">
            <v>-1.3</v>
          </cell>
          <cell r="AS47">
            <v>-1.9</v>
          </cell>
          <cell r="AT47">
            <v>-0.3</v>
          </cell>
          <cell r="AU47">
            <v>-5.9</v>
          </cell>
          <cell r="AV47">
            <v>-4.8</v>
          </cell>
          <cell r="AY47">
            <v>-7.9</v>
          </cell>
          <cell r="AZ47">
            <v>-8.1999999999999993</v>
          </cell>
          <cell r="BA47">
            <v>-7</v>
          </cell>
          <cell r="BB47">
            <v>-7.4</v>
          </cell>
          <cell r="BC47">
            <v>-7.9</v>
          </cell>
          <cell r="BG47">
            <v>-7.9</v>
          </cell>
          <cell r="BK47">
            <v>-7.9</v>
          </cell>
        </row>
        <row r="48">
          <cell r="A48" t="str">
            <v>H.J. Heinz Company investment</v>
          </cell>
          <cell r="AC48">
            <v>1558.7</v>
          </cell>
          <cell r="AE48">
            <v>-1558.7</v>
          </cell>
          <cell r="AF48">
            <v>1592.6</v>
          </cell>
          <cell r="AI48">
            <v>0</v>
          </cell>
          <cell r="AL48">
            <v>0</v>
          </cell>
          <cell r="AM48">
            <v>0</v>
          </cell>
          <cell r="AN48">
            <v>0</v>
          </cell>
          <cell r="AO48">
            <v>0</v>
          </cell>
          <cell r="AQ48">
            <v>0</v>
          </cell>
          <cell r="AR48">
            <v>0</v>
          </cell>
          <cell r="AS48">
            <v>0</v>
          </cell>
          <cell r="AT48">
            <v>0</v>
          </cell>
          <cell r="AU48">
            <v>0</v>
          </cell>
          <cell r="AY48">
            <v>0</v>
          </cell>
          <cell r="BC48">
            <v>0</v>
          </cell>
          <cell r="BG48">
            <v>0</v>
          </cell>
          <cell r="BK48">
            <v>0</v>
          </cell>
        </row>
        <row r="49">
          <cell r="A49" t="str">
            <v>Cumulative translation adjustment</v>
          </cell>
          <cell r="B49">
            <v>-7</v>
          </cell>
          <cell r="C49">
            <v>-8</v>
          </cell>
          <cell r="D49">
            <v>-10</v>
          </cell>
          <cell r="E49">
            <v>-12</v>
          </cell>
          <cell r="F49">
            <v>-26</v>
          </cell>
          <cell r="G49">
            <v>-26</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AA49">
            <v>0</v>
          </cell>
          <cell r="AB49">
            <v>-32.200000000000003</v>
          </cell>
          <cell r="AE49">
            <v>0</v>
          </cell>
          <cell r="AF49">
            <v>0</v>
          </cell>
          <cell r="AG49">
            <v>-35</v>
          </cell>
          <cell r="AI49">
            <v>0</v>
          </cell>
          <cell r="AJ49">
            <v>-35</v>
          </cell>
          <cell r="AL49">
            <v>0</v>
          </cell>
          <cell r="AM49">
            <v>0</v>
          </cell>
          <cell r="AN49">
            <v>0</v>
          </cell>
          <cell r="AO49">
            <v>0</v>
          </cell>
          <cell r="AQ49">
            <v>0</v>
          </cell>
          <cell r="AR49">
            <v>0</v>
          </cell>
          <cell r="AS49">
            <v>0</v>
          </cell>
          <cell r="AT49">
            <v>0</v>
          </cell>
          <cell r="AU49">
            <v>0</v>
          </cell>
          <cell r="AY49">
            <v>0</v>
          </cell>
          <cell r="BC49">
            <v>0</v>
          </cell>
          <cell r="BG49">
            <v>0</v>
          </cell>
          <cell r="BK49">
            <v>0</v>
          </cell>
        </row>
        <row r="50">
          <cell r="A50" t="str">
            <v>Treasury Stock</v>
          </cell>
          <cell r="AY50">
            <v>-126.5</v>
          </cell>
          <cell r="AZ50">
            <v>-126.5</v>
          </cell>
          <cell r="BA50">
            <v>-133.1</v>
          </cell>
          <cell r="BB50">
            <v>-133.1</v>
          </cell>
          <cell r="BC50">
            <v>-126.5</v>
          </cell>
          <cell r="BD50">
            <v>-126.5</v>
          </cell>
          <cell r="BE50">
            <v>-133.1</v>
          </cell>
          <cell r="BF50">
            <v>-133.1</v>
          </cell>
          <cell r="BG50">
            <v>-126.5</v>
          </cell>
          <cell r="BH50">
            <v>-126.5</v>
          </cell>
          <cell r="BI50">
            <v>-133.1</v>
          </cell>
          <cell r="BJ50">
            <v>-133.1</v>
          </cell>
          <cell r="BK50">
            <v>-126.5</v>
          </cell>
        </row>
        <row r="51">
          <cell r="A51" t="str">
            <v>Retained earnings</v>
          </cell>
          <cell r="B51">
            <v>-131</v>
          </cell>
          <cell r="C51">
            <v>-189</v>
          </cell>
          <cell r="D51">
            <v>-377</v>
          </cell>
          <cell r="E51">
            <v>-374</v>
          </cell>
          <cell r="F51">
            <v>-1</v>
          </cell>
          <cell r="G51">
            <v>0</v>
          </cell>
          <cell r="H51">
            <v>-527</v>
          </cell>
          <cell r="I51">
            <v>-527</v>
          </cell>
          <cell r="J51">
            <v>-538</v>
          </cell>
          <cell r="K51">
            <v>-539</v>
          </cell>
          <cell r="L51">
            <v>-522</v>
          </cell>
          <cell r="M51">
            <v>-533</v>
          </cell>
          <cell r="N51">
            <v>-523</v>
          </cell>
          <cell r="O51">
            <v>-539</v>
          </cell>
          <cell r="P51">
            <v>-518</v>
          </cell>
          <cell r="Q51">
            <v>-511</v>
          </cell>
          <cell r="R51">
            <v>-488.6</v>
          </cell>
          <cell r="S51">
            <v>-479.3</v>
          </cell>
          <cell r="T51">
            <v>-389.6</v>
          </cell>
          <cell r="U51">
            <v>-383.2</v>
          </cell>
          <cell r="V51">
            <v>-374.7</v>
          </cell>
          <cell r="W51">
            <v>-364</v>
          </cell>
          <cell r="X51">
            <v>-375.8</v>
          </cell>
          <cell r="Y51">
            <v>-381.1</v>
          </cell>
          <cell r="AA51">
            <v>-350.6</v>
          </cell>
          <cell r="AB51">
            <v>-337.3</v>
          </cell>
          <cell r="AD51">
            <v>-337.3</v>
          </cell>
          <cell r="AE51">
            <v>337.3</v>
          </cell>
          <cell r="AF51">
            <v>0</v>
          </cell>
          <cell r="AG51">
            <v>-336.9</v>
          </cell>
          <cell r="AI51">
            <v>-3.2</v>
          </cell>
          <cell r="AJ51">
            <v>-203.80000000000018</v>
          </cell>
          <cell r="AL51">
            <v>20.3</v>
          </cell>
          <cell r="AM51">
            <v>34.6</v>
          </cell>
          <cell r="AN51">
            <v>74.8</v>
          </cell>
          <cell r="AO51">
            <v>128.30000000000001</v>
          </cell>
          <cell r="AQ51">
            <v>184.9</v>
          </cell>
          <cell r="AR51">
            <v>193.4</v>
          </cell>
          <cell r="AS51">
            <v>235</v>
          </cell>
          <cell r="AT51">
            <v>283.5</v>
          </cell>
          <cell r="AU51">
            <v>302.8</v>
          </cell>
          <cell r="AV51">
            <v>319</v>
          </cell>
          <cell r="AY51">
            <v>456.8</v>
          </cell>
          <cell r="AZ51">
            <v>455</v>
          </cell>
          <cell r="BA51">
            <v>470.2</v>
          </cell>
          <cell r="BB51">
            <v>508.5</v>
          </cell>
          <cell r="BC51">
            <v>575.52624978820438</v>
          </cell>
          <cell r="BG51">
            <v>711.81896368058324</v>
          </cell>
          <cell r="BK51">
            <v>863.36272410148786</v>
          </cell>
        </row>
        <row r="52">
          <cell r="A52" t="str">
            <v>Total shareholders' equity</v>
          </cell>
          <cell r="B52">
            <v>-136</v>
          </cell>
          <cell r="C52">
            <v>-195</v>
          </cell>
          <cell r="D52">
            <v>-385</v>
          </cell>
          <cell r="E52">
            <v>-384</v>
          </cell>
          <cell r="F52">
            <v>-393</v>
          </cell>
          <cell r="G52">
            <v>-304</v>
          </cell>
          <cell r="H52">
            <v>-398</v>
          </cell>
          <cell r="I52">
            <v>-398</v>
          </cell>
          <cell r="J52">
            <v>-368</v>
          </cell>
          <cell r="K52">
            <v>-366</v>
          </cell>
          <cell r="L52">
            <v>-350</v>
          </cell>
          <cell r="M52">
            <v>-361</v>
          </cell>
          <cell r="N52">
            <v>-351</v>
          </cell>
          <cell r="O52">
            <v>-139</v>
          </cell>
          <cell r="P52">
            <v>-118</v>
          </cell>
          <cell r="Q52">
            <v>-111</v>
          </cell>
          <cell r="R52">
            <v>-88.800000000000011</v>
          </cell>
          <cell r="S52">
            <v>-79.199999999999989</v>
          </cell>
          <cell r="T52">
            <v>10.600000000000023</v>
          </cell>
          <cell r="U52">
            <v>17.100000000000023</v>
          </cell>
          <cell r="V52">
            <v>25.700000000000045</v>
          </cell>
          <cell r="W52">
            <v>36.5</v>
          </cell>
          <cell r="X52">
            <v>24.900000000000034</v>
          </cell>
          <cell r="Y52">
            <v>19.699999999999989</v>
          </cell>
          <cell r="Z52">
            <v>38.6</v>
          </cell>
          <cell r="AA52">
            <v>50.300000000000011</v>
          </cell>
          <cell r="AB52">
            <v>31.700000000000045</v>
          </cell>
          <cell r="AC52">
            <v>1558.7</v>
          </cell>
          <cell r="AD52">
            <v>31.700000000000045</v>
          </cell>
          <cell r="AE52">
            <v>-550.70000000000005</v>
          </cell>
          <cell r="AF52">
            <v>1592.6</v>
          </cell>
          <cell r="AG52">
            <v>29.600000000000023</v>
          </cell>
          <cell r="AH52">
            <v>0</v>
          </cell>
          <cell r="AI52">
            <v>936.09999999999991</v>
          </cell>
          <cell r="AJ52">
            <v>162.69999999999982</v>
          </cell>
          <cell r="AK52">
            <v>0</v>
          </cell>
          <cell r="AL52">
            <v>949.4</v>
          </cell>
          <cell r="AM52">
            <v>968.2</v>
          </cell>
          <cell r="AN52">
            <v>1016.8000000000001</v>
          </cell>
          <cell r="AO52">
            <v>1069.1000000000001</v>
          </cell>
          <cell r="AQ52">
            <v>1128.9000000000001</v>
          </cell>
          <cell r="AR52">
            <v>1141.1000000000001</v>
          </cell>
          <cell r="AS52">
            <v>1188.8000000000002</v>
          </cell>
          <cell r="AT52">
            <v>1243.5</v>
          </cell>
          <cell r="AU52">
            <v>1260.6000000000001</v>
          </cell>
          <cell r="AV52">
            <v>1155.4000000000001</v>
          </cell>
          <cell r="AW52">
            <v>1197.9000000000001</v>
          </cell>
          <cell r="AX52">
            <v>1246.5</v>
          </cell>
          <cell r="AY52">
            <v>1314</v>
          </cell>
          <cell r="AZ52">
            <v>1318.4</v>
          </cell>
          <cell r="BA52">
            <v>1339.1000000000001</v>
          </cell>
          <cell r="BB52">
            <v>1383.2000000000003</v>
          </cell>
          <cell r="BC52">
            <v>1439.0262497882045</v>
          </cell>
          <cell r="BD52">
            <v>-126.5</v>
          </cell>
          <cell r="BE52">
            <v>-133.1</v>
          </cell>
          <cell r="BF52">
            <v>-133.1</v>
          </cell>
          <cell r="BG52">
            <v>1581.6189636805832</v>
          </cell>
          <cell r="BH52">
            <v>-126.5</v>
          </cell>
          <cell r="BI52">
            <v>-133.1</v>
          </cell>
          <cell r="BJ52">
            <v>-133.1</v>
          </cell>
          <cell r="BK52">
            <v>1739.4627241014878</v>
          </cell>
        </row>
        <row r="54">
          <cell r="A54" t="str">
            <v>Total liabilities &amp; equity</v>
          </cell>
          <cell r="B54">
            <v>1212</v>
          </cell>
          <cell r="C54">
            <v>1215</v>
          </cell>
          <cell r="D54">
            <v>1066</v>
          </cell>
          <cell r="E54">
            <v>936</v>
          </cell>
          <cell r="F54">
            <v>960</v>
          </cell>
          <cell r="G54">
            <v>736</v>
          </cell>
          <cell r="H54">
            <v>667</v>
          </cell>
          <cell r="I54">
            <v>956</v>
          </cell>
          <cell r="J54">
            <v>1053</v>
          </cell>
          <cell r="K54">
            <v>928</v>
          </cell>
          <cell r="L54">
            <v>845</v>
          </cell>
          <cell r="M54">
            <v>1201</v>
          </cell>
          <cell r="N54">
            <v>1066</v>
          </cell>
          <cell r="O54">
            <v>959</v>
          </cell>
          <cell r="P54">
            <v>872</v>
          </cell>
          <cell r="Q54">
            <v>1262</v>
          </cell>
          <cell r="R54">
            <v>1131.1000000000001</v>
          </cell>
          <cell r="S54">
            <v>1023.3</v>
          </cell>
          <cell r="T54">
            <v>1040.6999999999998</v>
          </cell>
          <cell r="U54">
            <v>1421</v>
          </cell>
          <cell r="V54">
            <v>1281.3</v>
          </cell>
          <cell r="W54">
            <v>1192</v>
          </cell>
          <cell r="X54">
            <v>1124.1000000000001</v>
          </cell>
          <cell r="Y54">
            <v>1431.6000000000001</v>
          </cell>
          <cell r="Z54">
            <v>1267.7999999999997</v>
          </cell>
          <cell r="AA54">
            <v>1144.3</v>
          </cell>
          <cell r="AB54">
            <v>1070</v>
          </cell>
          <cell r="AC54">
            <v>1782.2</v>
          </cell>
          <cell r="AD54">
            <v>1070</v>
          </cell>
          <cell r="AE54">
            <v>574.79999999999995</v>
          </cell>
          <cell r="AF54">
            <v>1835.3</v>
          </cell>
          <cell r="AG54">
            <v>1405.1</v>
          </cell>
          <cell r="AH54">
            <v>0</v>
          </cell>
          <cell r="AI54">
            <v>3576.7999999999997</v>
          </cell>
          <cell r="AJ54">
            <v>1202.6999999999998</v>
          </cell>
          <cell r="AK54">
            <v>10</v>
          </cell>
          <cell r="AL54">
            <v>3544.9</v>
          </cell>
          <cell r="AM54">
            <v>3634</v>
          </cell>
          <cell r="AN54">
            <v>3917.1</v>
          </cell>
          <cell r="AO54">
            <v>3766.0999999999995</v>
          </cell>
          <cell r="AQ54">
            <v>3459.7</v>
          </cell>
          <cell r="AR54">
            <v>3583.8999999999996</v>
          </cell>
          <cell r="AS54">
            <v>3766.2999999999997</v>
          </cell>
          <cell r="AT54">
            <v>3579.5</v>
          </cell>
          <cell r="AU54">
            <v>3530.6000000000004</v>
          </cell>
          <cell r="AV54">
            <v>3480.7000000000003</v>
          </cell>
          <cell r="AW54">
            <v>3103.4</v>
          </cell>
          <cell r="AX54">
            <v>3016.1</v>
          </cell>
          <cell r="AY54">
            <v>3622.9</v>
          </cell>
          <cell r="AZ54">
            <v>4618.3</v>
          </cell>
          <cell r="BA54">
            <v>4875.8999999999996</v>
          </cell>
          <cell r="BB54">
            <v>4716.9000000000005</v>
          </cell>
          <cell r="BC54">
            <v>4652.5375354102525</v>
          </cell>
          <cell r="BG54">
            <v>4357.5369051373091</v>
          </cell>
          <cell r="BK54">
            <v>4482.5749527826192</v>
          </cell>
        </row>
        <row r="55">
          <cell r="A55" t="str">
            <v>check</v>
          </cell>
          <cell r="B55">
            <v>0</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F55">
            <v>0</v>
          </cell>
          <cell r="AG55">
            <v>0</v>
          </cell>
          <cell r="AH55">
            <v>0</v>
          </cell>
          <cell r="AI55">
            <v>0</v>
          </cell>
          <cell r="AJ55">
            <v>0</v>
          </cell>
          <cell r="AL55">
            <v>0</v>
          </cell>
          <cell r="AQ55">
            <v>0</v>
          </cell>
          <cell r="AT55">
            <v>0</v>
          </cell>
          <cell r="AU55">
            <v>0</v>
          </cell>
          <cell r="AV55">
            <v>0</v>
          </cell>
          <cell r="AY55">
            <v>-1.6069930070898408E-2</v>
          </cell>
          <cell r="AZ55">
            <v>0</v>
          </cell>
          <cell r="BA55">
            <v>0</v>
          </cell>
          <cell r="BB55">
            <v>0</v>
          </cell>
          <cell r="BC55">
            <v>6.6839300699293744</v>
          </cell>
          <cell r="BG55">
            <v>6.6839300699293744</v>
          </cell>
          <cell r="BK55">
            <v>6.6839300699302839</v>
          </cell>
        </row>
        <row r="56">
          <cell r="AV56">
            <v>0</v>
          </cell>
          <cell r="AY56">
            <v>-1.6069930070898408E-2</v>
          </cell>
          <cell r="BC56">
            <v>6.7000000000002728</v>
          </cell>
          <cell r="BG56">
            <v>0</v>
          </cell>
          <cell r="BK56">
            <v>9.0949470177292824E-13</v>
          </cell>
          <cell r="BL56">
            <v>2227.5846361600002</v>
          </cell>
          <cell r="BM56">
            <v>1306.9000000000001</v>
          </cell>
          <cell r="BN56">
            <v>41.7</v>
          </cell>
          <cell r="BO56">
            <v>3492.7846361600004</v>
          </cell>
        </row>
        <row r="57">
          <cell r="A57" t="str">
            <v>Ratios</v>
          </cell>
        </row>
        <row r="58">
          <cell r="AC58" t="str">
            <v>HNZ</v>
          </cell>
          <cell r="AD58" t="str">
            <v>DLM</v>
          </cell>
          <cell r="AF58" t="str">
            <v xml:space="preserve">Proforma </v>
          </cell>
          <cell r="AL58" t="str">
            <v>Proforma</v>
          </cell>
        </row>
        <row r="59">
          <cell r="B59">
            <v>1991</v>
          </cell>
          <cell r="C59">
            <v>1992</v>
          </cell>
          <cell r="D59">
            <v>1993</v>
          </cell>
          <cell r="E59">
            <v>1994</v>
          </cell>
          <cell r="F59">
            <v>1995</v>
          </cell>
          <cell r="G59">
            <v>1996</v>
          </cell>
          <cell r="H59">
            <v>1997</v>
          </cell>
          <cell r="I59" t="str">
            <v>1Q98</v>
          </cell>
          <cell r="J59" t="str">
            <v>2Q98</v>
          </cell>
          <cell r="K59" t="str">
            <v>3Q98</v>
          </cell>
          <cell r="L59">
            <v>1998</v>
          </cell>
          <cell r="M59">
            <v>36068</v>
          </cell>
          <cell r="N59">
            <v>36160</v>
          </cell>
          <cell r="O59">
            <v>36250</v>
          </cell>
          <cell r="P59">
            <v>1999</v>
          </cell>
          <cell r="Q59">
            <v>36433</v>
          </cell>
          <cell r="R59">
            <v>36525</v>
          </cell>
          <cell r="S59">
            <v>36616</v>
          </cell>
          <cell r="T59">
            <v>2000</v>
          </cell>
          <cell r="U59" t="str">
            <v>1Q01</v>
          </cell>
          <cell r="V59" t="str">
            <v>2Q01</v>
          </cell>
          <cell r="W59" t="str">
            <v>3Q01</v>
          </cell>
          <cell r="X59">
            <v>2001</v>
          </cell>
          <cell r="Y59" t="str">
            <v>1Q02</v>
          </cell>
          <cell r="Z59" t="str">
            <v>2Q02</v>
          </cell>
          <cell r="AA59" t="str">
            <v>3Q02</v>
          </cell>
          <cell r="AB59">
            <v>2002</v>
          </cell>
          <cell r="AC59">
            <v>37468</v>
          </cell>
          <cell r="AD59">
            <v>37437</v>
          </cell>
          <cell r="AE59" t="str">
            <v>Adj</v>
          </cell>
          <cell r="AF59">
            <v>2002</v>
          </cell>
          <cell r="AG59" t="str">
            <v>1Q03</v>
          </cell>
          <cell r="AH59" t="str">
            <v>2Q03</v>
          </cell>
          <cell r="AI59" t="str">
            <v>3Q03</v>
          </cell>
          <cell r="AJ59" t="str">
            <v>2003E</v>
          </cell>
          <cell r="AL59">
            <v>2003</v>
          </cell>
          <cell r="AM59" t="str">
            <v>1Q04</v>
          </cell>
          <cell r="AN59" t="str">
            <v>2Q04</v>
          </cell>
          <cell r="AO59" t="str">
            <v>3Q04</v>
          </cell>
          <cell r="AQ59">
            <v>2004</v>
          </cell>
          <cell r="AR59" t="str">
            <v>1Q05</v>
          </cell>
          <cell r="AS59" t="str">
            <v>2Q05</v>
          </cell>
          <cell r="AT59" t="str">
            <v>3Q05</v>
          </cell>
          <cell r="AU59" t="str">
            <v>2005</v>
          </cell>
          <cell r="AV59" t="str">
            <v>1Q06</v>
          </cell>
          <cell r="AW59" t="str">
            <v>2Q06</v>
          </cell>
          <cell r="AX59" t="str">
            <v>3Q06</v>
          </cell>
          <cell r="AY59" t="str">
            <v>2006</v>
          </cell>
          <cell r="AZ59" t="str">
            <v>1Q07</v>
          </cell>
          <cell r="BA59" t="str">
            <v>2Q07</v>
          </cell>
          <cell r="BB59" t="str">
            <v>3Q07</v>
          </cell>
          <cell r="BC59" t="str">
            <v>2007E</v>
          </cell>
          <cell r="BG59" t="str">
            <v>2008E</v>
          </cell>
          <cell r="BK59" t="str">
            <v>2009E</v>
          </cell>
        </row>
        <row r="60">
          <cell r="A60" t="str">
            <v>Quick</v>
          </cell>
          <cell r="B60">
            <v>0.34931506849315069</v>
          </cell>
          <cell r="C60">
            <v>0.29139072847682118</v>
          </cell>
          <cell r="D60">
            <v>0.29959514170040485</v>
          </cell>
          <cell r="E60">
            <v>0.34112149532710279</v>
          </cell>
          <cell r="F60">
            <v>0.3915929203539823</v>
          </cell>
          <cell r="G60">
            <v>0.56349206349206349</v>
          </cell>
          <cell r="H60">
            <v>0.24342105263157895</v>
          </cell>
          <cell r="I60">
            <v>0.14858096828046743</v>
          </cell>
          <cell r="J60">
            <v>0.20944558521560575</v>
          </cell>
          <cell r="K60">
            <v>0.30376344086021506</v>
          </cell>
          <cell r="L60">
            <v>0.41580756013745707</v>
          </cell>
          <cell r="M60">
            <v>0.20808383233532934</v>
          </cell>
          <cell r="N60">
            <v>0.25988700564971751</v>
          </cell>
          <cell r="O60">
            <v>0.39036144578313253</v>
          </cell>
          <cell r="P60">
            <v>0.46178343949044587</v>
          </cell>
          <cell r="Q60">
            <v>0.25070821529745041</v>
          </cell>
          <cell r="R60">
            <v>0.30359377793670667</v>
          </cell>
          <cell r="S60">
            <v>0.31798472021474294</v>
          </cell>
          <cell r="T60">
            <v>0.26705607476635512</v>
          </cell>
          <cell r="U60">
            <v>0.19158548637582942</v>
          </cell>
          <cell r="V60">
            <v>0.26067099947303707</v>
          </cell>
          <cell r="W60">
            <v>0.31122236128493952</v>
          </cell>
          <cell r="X60">
            <v>0.64017278617710593</v>
          </cell>
          <cell r="Y60">
            <v>0.27103499627699179</v>
          </cell>
          <cell r="Z60">
            <v>0.40905280804694044</v>
          </cell>
          <cell r="AA60">
            <v>0.50907845152449471</v>
          </cell>
          <cell r="AB60">
            <v>0.51146788990825698</v>
          </cell>
          <cell r="AF60">
            <v>1.834424695977549</v>
          </cell>
          <cell r="AG60">
            <v>0.23490613901572807</v>
          </cell>
          <cell r="AI60">
            <v>0.56310475389145975</v>
          </cell>
          <cell r="AJ60">
            <v>-0.39810680478656935</v>
          </cell>
          <cell r="AL60">
            <v>0.59640044994375707</v>
          </cell>
          <cell r="AM60">
            <v>0.39621913580246915</v>
          </cell>
          <cell r="AN60">
            <v>0.34246031746031752</v>
          </cell>
          <cell r="AO60">
            <v>0.50017513134851144</v>
          </cell>
          <cell r="AQ60">
            <v>0.59544093944278154</v>
          </cell>
          <cell r="AR60">
            <v>0.35153832150009112</v>
          </cell>
          <cell r="AS60">
            <v>0.36446568201563867</v>
          </cell>
          <cell r="AT60">
            <v>0.55999999999999994</v>
          </cell>
          <cell r="AU60">
            <v>0.91923076923076918</v>
          </cell>
          <cell r="AV60">
            <v>0.48133818843878018</v>
          </cell>
          <cell r="AW60">
            <v>0.40503165611462849</v>
          </cell>
          <cell r="AX60">
            <v>0.67326732673267309</v>
          </cell>
          <cell r="AY60">
            <v>1.3647964203245875</v>
          </cell>
          <cell r="AZ60">
            <v>0.27041912950026864</v>
          </cell>
          <cell r="BA60">
            <v>0.26992675570874625</v>
          </cell>
          <cell r="BB60">
            <v>0.38028758899902276</v>
          </cell>
          <cell r="BC60">
            <v>1.2145729156116869</v>
          </cell>
          <cell r="BG60">
            <v>0.82571532681748294</v>
          </cell>
          <cell r="BK60">
            <v>0.9145541519237379</v>
          </cell>
        </row>
        <row r="61">
          <cell r="A61" t="str">
            <v>Current</v>
          </cell>
          <cell r="B61">
            <v>1.2808219178082192</v>
          </cell>
          <cell r="C61">
            <v>1.2980132450331126</v>
          </cell>
          <cell r="D61">
            <v>1.1862348178137652</v>
          </cell>
          <cell r="E61">
            <v>1.205607476635514</v>
          </cell>
          <cell r="F61">
            <v>1.2190265486725664</v>
          </cell>
          <cell r="G61">
            <v>1.8214285714285714</v>
          </cell>
          <cell r="H61">
            <v>1.388157894736842</v>
          </cell>
          <cell r="I61">
            <v>1.1953255425709517</v>
          </cell>
          <cell r="J61">
            <v>1.459958932238193</v>
          </cell>
          <cell r="K61">
            <v>1.586021505376344</v>
          </cell>
          <cell r="L61">
            <v>1.7216494845360826</v>
          </cell>
          <cell r="M61">
            <v>1.2559880239520957</v>
          </cell>
          <cell r="N61">
            <v>1.3389830508474576</v>
          </cell>
          <cell r="O61">
            <v>1.4506024096385541</v>
          </cell>
          <cell r="P61">
            <v>1.5987261146496816</v>
          </cell>
          <cell r="Q61">
            <v>1.2648725212464589</v>
          </cell>
          <cell r="R61">
            <v>1.3452529948149474</v>
          </cell>
          <cell r="S61">
            <v>1.3268635143506091</v>
          </cell>
          <cell r="T61">
            <v>1.3499999999999999</v>
          </cell>
          <cell r="U61">
            <v>1.3379923761118169</v>
          </cell>
          <cell r="V61">
            <v>1.4336904971017039</v>
          </cell>
          <cell r="W61">
            <v>1.4899874843554446</v>
          </cell>
          <cell r="X61">
            <v>2.6889848812095032</v>
          </cell>
          <cell r="Y61">
            <v>1.7282204020848844</v>
          </cell>
          <cell r="Z61">
            <v>2.1383067896060357</v>
          </cell>
          <cell r="AA61">
            <v>2.2055498458376155</v>
          </cell>
          <cell r="AB61">
            <v>2.2515290519877684</v>
          </cell>
          <cell r="AF61">
            <v>5.4134705332086064</v>
          </cell>
          <cell r="AG61">
            <v>1.5741586335193642</v>
          </cell>
          <cell r="AI61">
            <v>2.6939419436264198</v>
          </cell>
          <cell r="AJ61">
            <v>1.0557242364707979</v>
          </cell>
          <cell r="AL61">
            <v>2.7455568053993251</v>
          </cell>
          <cell r="AM61">
            <v>2.4087577160493834</v>
          </cell>
          <cell r="AN61">
            <v>2.0326719576719579</v>
          </cell>
          <cell r="AO61">
            <v>2.635201401050788</v>
          </cell>
          <cell r="AQ61">
            <v>2.8222426893852171</v>
          </cell>
          <cell r="AR61">
            <v>2.4802475878390675</v>
          </cell>
          <cell r="AS61">
            <v>2.2387778743121927</v>
          </cell>
          <cell r="AT61">
            <v>3.2452071005917165</v>
          </cell>
          <cell r="AU61">
            <v>3.3805128205128203</v>
          </cell>
          <cell r="AV61">
            <v>2.9167045971779699</v>
          </cell>
          <cell r="AW61">
            <v>2.3058980339886705</v>
          </cell>
          <cell r="AX61">
            <v>2.8786052518295304</v>
          </cell>
          <cell r="AY61">
            <v>3.1633097223590165</v>
          </cell>
          <cell r="AZ61">
            <v>1.6555615260612571</v>
          </cell>
          <cell r="BA61">
            <v>1.6519819043515727</v>
          </cell>
          <cell r="BB61">
            <v>1.9294988133463633</v>
          </cell>
          <cell r="BC61">
            <v>2.8054403186177748</v>
          </cell>
          <cell r="BG61">
            <v>2.5532886162904767</v>
          </cell>
          <cell r="BK61">
            <v>2.5252866913795482</v>
          </cell>
        </row>
        <row r="62">
          <cell r="A62" t="str">
            <v>A/R turnover days (YTD)</v>
          </cell>
          <cell r="B62">
            <v>35.874564459930312</v>
          </cell>
          <cell r="C62">
            <v>31.194968553459116</v>
          </cell>
          <cell r="D62">
            <v>32.180064308681672</v>
          </cell>
          <cell r="E62">
            <v>33.382254836557706</v>
          </cell>
          <cell r="F62">
            <v>39.842829076620824</v>
          </cell>
          <cell r="G62">
            <v>29.23465869914962</v>
          </cell>
          <cell r="H62">
            <v>20.40413997042878</v>
          </cell>
          <cell r="I62">
            <v>30.119521912350596</v>
          </cell>
          <cell r="J62">
            <v>26.12903225806452</v>
          </cell>
          <cell r="K62">
            <v>31.71336206896552</v>
          </cell>
          <cell r="L62">
            <v>31.249524099596439</v>
          </cell>
          <cell r="M62">
            <v>42.446573323507742</v>
          </cell>
          <cell r="N62">
            <v>38.121019108280258</v>
          </cell>
          <cell r="O62">
            <v>43.803642453422654</v>
          </cell>
          <cell r="P62">
            <v>39.096560950657114</v>
          </cell>
          <cell r="Q62">
            <v>54.110829409634185</v>
          </cell>
          <cell r="R62">
            <v>44.062500000000007</v>
          </cell>
          <cell r="S62">
            <v>42.018927444794954</v>
          </cell>
          <cell r="T62">
            <v>32.360882449785976</v>
          </cell>
          <cell r="U62">
            <v>43.802281368821291</v>
          </cell>
          <cell r="V62">
            <v>40.827430779137153</v>
          </cell>
          <cell r="W62">
            <v>39.878934624697337</v>
          </cell>
          <cell r="X62">
            <v>37.85658974756079</v>
          </cell>
          <cell r="Y62">
            <v>46.21710526315789</v>
          </cell>
          <cell r="Z62">
            <v>37.683862234922536</v>
          </cell>
          <cell r="AA62">
            <v>14.695529290853033</v>
          </cell>
          <cell r="AB62">
            <v>13.211942360217247</v>
          </cell>
          <cell r="AF62">
            <v>22.106551973126546</v>
          </cell>
          <cell r="AG62">
            <v>42.613277133825086</v>
          </cell>
          <cell r="AI62">
            <v>29.667721518987346</v>
          </cell>
          <cell r="AJ62">
            <v>26.67910696434522</v>
          </cell>
          <cell r="AL62">
            <v>26.67910696434522</v>
          </cell>
          <cell r="AM62">
            <v>28.473744478979228</v>
          </cell>
          <cell r="AN62">
            <v>31.473376577090317</v>
          </cell>
          <cell r="AO62">
            <v>32.361201735825119</v>
          </cell>
          <cell r="AQ62">
            <v>25.568999294555944</v>
          </cell>
          <cell r="AR62">
            <v>27.000000000000004</v>
          </cell>
          <cell r="AS62">
            <v>29.445878038842867</v>
          </cell>
          <cell r="AT62">
            <v>26.376451433223366</v>
          </cell>
          <cell r="AU62">
            <v>24.061114778836174</v>
          </cell>
          <cell r="AV62">
            <v>24.784301005514109</v>
          </cell>
          <cell r="AW62">
            <v>28.45935593701234</v>
          </cell>
          <cell r="AX62">
            <v>26.709094869785559</v>
          </cell>
          <cell r="AY62">
            <v>28.488846211379133</v>
          </cell>
          <cell r="AZ62">
            <v>25.260347129506005</v>
          </cell>
          <cell r="BA62">
            <v>26.249043123245723</v>
          </cell>
          <cell r="BB62">
            <v>27.43858089542589</v>
          </cell>
          <cell r="BC62">
            <v>24</v>
          </cell>
          <cell r="BG62">
            <v>24</v>
          </cell>
          <cell r="BK62">
            <v>24</v>
          </cell>
        </row>
        <row r="63">
          <cell r="A63" t="str">
            <v>Inventory turnover days (YTD)</v>
          </cell>
          <cell r="B63">
            <v>125.12</v>
          </cell>
          <cell r="C63">
            <v>137.9261862917399</v>
          </cell>
          <cell r="D63">
            <v>118.68441660140955</v>
          </cell>
          <cell r="E63">
            <v>102.6072874493927</v>
          </cell>
          <cell r="F63">
            <v>113.38582677165354</v>
          </cell>
          <cell r="G63">
            <v>111.20821054770856</v>
          </cell>
          <cell r="H63">
            <v>148.95642621750275</v>
          </cell>
          <cell r="I63">
            <v>328.4210526315789</v>
          </cell>
          <cell r="J63">
            <v>261.50121065375305</v>
          </cell>
          <cell r="K63">
            <v>204.69155844155844</v>
          </cell>
          <cell r="L63">
            <v>146.6933867735471</v>
          </cell>
          <cell r="M63">
            <v>289.95815899581595</v>
          </cell>
          <cell r="N63">
            <v>204.83383685800604</v>
          </cell>
          <cell r="O63">
            <v>156.30822464732501</v>
          </cell>
          <cell r="P63">
            <v>124.16289592760181</v>
          </cell>
          <cell r="Q63">
            <v>300.85106382978722</v>
          </cell>
          <cell r="R63">
            <v>207.1814516129032</v>
          </cell>
          <cell r="S63">
            <v>178.46314035818412</v>
          </cell>
          <cell r="T63">
            <v>166.33134166214015</v>
          </cell>
          <cell r="U63">
            <v>343.53228962818008</v>
          </cell>
          <cell r="V63">
            <v>238.92745790895862</v>
          </cell>
          <cell r="W63">
            <v>195.75182877269035</v>
          </cell>
          <cell r="X63">
            <v>156.4051638530288</v>
          </cell>
          <cell r="Y63">
            <v>308.01369863013696</v>
          </cell>
          <cell r="Z63">
            <v>205.13467048710604</v>
          </cell>
          <cell r="AA63">
            <v>78.323639257944052</v>
          </cell>
          <cell r="AB63">
            <v>62.882502477487172</v>
          </cell>
          <cell r="AF63">
            <v>51.280106855099312</v>
          </cell>
          <cell r="AG63">
            <v>292.25511536787116</v>
          </cell>
          <cell r="AI63">
            <v>152.69809610154124</v>
          </cell>
          <cell r="AJ63">
            <v>126.79660628296263</v>
          </cell>
          <cell r="AL63">
            <v>126.79660628296263</v>
          </cell>
          <cell r="AM63">
            <v>177.24047306176084</v>
          </cell>
          <cell r="AN63">
            <v>198.22213652140377</v>
          </cell>
          <cell r="AO63">
            <v>167.27065069761699</v>
          </cell>
          <cell r="AQ63">
            <v>129.96931170539239</v>
          </cell>
          <cell r="AR63">
            <v>194.40525876460768</v>
          </cell>
          <cell r="AS63">
            <v>191.22349102773245</v>
          </cell>
          <cell r="AT63">
            <v>155.93766233766235</v>
          </cell>
          <cell r="AU63">
            <v>124.87849995795847</v>
          </cell>
          <cell r="AV63">
            <v>184.35826012427685</v>
          </cell>
          <cell r="AW63">
            <v>196.08708106559726</v>
          </cell>
          <cell r="AX63">
            <v>164.12078785002373</v>
          </cell>
          <cell r="AY63">
            <v>120.61554649480472</v>
          </cell>
          <cell r="AZ63">
            <v>164.28316381863522</v>
          </cell>
          <cell r="BA63">
            <v>182.76205402510374</v>
          </cell>
          <cell r="BB63">
            <v>150.86893546448235</v>
          </cell>
          <cell r="BC63">
            <v>126.99999999999999</v>
          </cell>
          <cell r="BG63">
            <v>127.00000000000001</v>
          </cell>
          <cell r="BK63">
            <v>127.00000000000001</v>
          </cell>
        </row>
        <row r="64">
          <cell r="A64" t="str">
            <v>A/P turnover days (YTD)</v>
          </cell>
          <cell r="B64">
            <v>95.68</v>
          </cell>
          <cell r="C64">
            <v>86.994727592267139</v>
          </cell>
          <cell r="D64">
            <v>87.674236491777606</v>
          </cell>
          <cell r="E64">
            <v>71.417004048582996</v>
          </cell>
          <cell r="F64">
            <v>84.094488188976385</v>
          </cell>
          <cell r="G64">
            <v>73.894929377095821</v>
          </cell>
          <cell r="H64">
            <v>96.667887220798235</v>
          </cell>
          <cell r="I64">
            <v>185.26315789473682</v>
          </cell>
          <cell r="J64">
            <v>138.15980629539951</v>
          </cell>
          <cell r="K64">
            <v>122.72727272727272</v>
          </cell>
          <cell r="L64">
            <v>103.80761523046093</v>
          </cell>
          <cell r="M64">
            <v>180.75313807531381</v>
          </cell>
          <cell r="N64">
            <v>120.7250755287009</v>
          </cell>
          <cell r="O64">
            <v>109.95475113122171</v>
          </cell>
          <cell r="P64">
            <v>96.289592760180994</v>
          </cell>
          <cell r="Q64">
            <v>188.93617021276594</v>
          </cell>
          <cell r="R64">
            <v>121.86290322580645</v>
          </cell>
          <cell r="S64">
            <v>104.13161182840484</v>
          </cell>
          <cell r="T64">
            <v>93.431830526887552</v>
          </cell>
          <cell r="U64">
            <v>175.68493150684932</v>
          </cell>
          <cell r="V64">
            <v>115.27333194762004</v>
          </cell>
          <cell r="W64">
            <v>99.52180980764021</v>
          </cell>
          <cell r="X64">
            <v>81.151936444885791</v>
          </cell>
          <cell r="Y64">
            <v>167.75342465753425</v>
          </cell>
          <cell r="Z64">
            <v>112.71060171919771</v>
          </cell>
          <cell r="AA64">
            <v>47.642196779526117</v>
          </cell>
          <cell r="AB64">
            <v>40.096514283252183</v>
          </cell>
          <cell r="AF64">
            <v>16.581498556594426</v>
          </cell>
          <cell r="AG64">
            <v>181.72398781018723</v>
          </cell>
          <cell r="AI64">
            <v>71.575702629193117</v>
          </cell>
          <cell r="AJ64">
            <v>71.389130933272185</v>
          </cell>
          <cell r="AL64">
            <v>71.389130933272185</v>
          </cell>
          <cell r="AM64">
            <v>92.089356110381075</v>
          </cell>
          <cell r="AN64">
            <v>105.34130350944852</v>
          </cell>
          <cell r="AO64">
            <v>85.343869613532519</v>
          </cell>
          <cell r="AQ64">
            <v>67.423060061376589</v>
          </cell>
          <cell r="AR64">
            <v>85.361018363939905</v>
          </cell>
          <cell r="AS64">
            <v>88.466557911908637</v>
          </cell>
          <cell r="AT64">
            <v>62.540259740259742</v>
          </cell>
          <cell r="AU64">
            <v>58.617674262171029</v>
          </cell>
          <cell r="AV64">
            <v>83.636168845082494</v>
          </cell>
          <cell r="AW64">
            <v>96.402177026639947</v>
          </cell>
          <cell r="AX64">
            <v>74.131466540104427</v>
          </cell>
          <cell r="AY64">
            <v>71.166644745495205</v>
          </cell>
          <cell r="AZ64">
            <v>85.658890131213127</v>
          </cell>
          <cell r="BA64">
            <v>95.937183580440148</v>
          </cell>
          <cell r="BB64">
            <v>75.209558764643546</v>
          </cell>
          <cell r="BC64">
            <v>65</v>
          </cell>
          <cell r="BG64">
            <v>65</v>
          </cell>
          <cell r="BK64">
            <v>65</v>
          </cell>
        </row>
        <row r="65">
          <cell r="A65" t="str">
            <v>Cash cycle</v>
          </cell>
          <cell r="B65">
            <v>65.314564459930295</v>
          </cell>
          <cell r="C65">
            <v>82.126427252931876</v>
          </cell>
          <cell r="D65">
            <v>63.190244418313625</v>
          </cell>
          <cell r="E65">
            <v>64.572538237367397</v>
          </cell>
          <cell r="F65">
            <v>69.134167659297987</v>
          </cell>
          <cell r="G65">
            <v>66.547939869762359</v>
          </cell>
          <cell r="H65">
            <v>72.692678967133304</v>
          </cell>
          <cell r="I65">
            <v>173.27741664919267</v>
          </cell>
          <cell r="J65">
            <v>149.47043661641806</v>
          </cell>
          <cell r="K65">
            <v>113.67764778325125</v>
          </cell>
          <cell r="L65">
            <v>74.135295642682621</v>
          </cell>
          <cell r="M65">
            <v>151.65159424400986</v>
          </cell>
          <cell r="N65">
            <v>122.22978043758539</v>
          </cell>
          <cell r="O65">
            <v>90.157115969525933</v>
          </cell>
          <cell r="P65">
            <v>66.969864118077936</v>
          </cell>
          <cell r="Q65">
            <v>166.02572302665544</v>
          </cell>
          <cell r="R65">
            <v>129.38104838709677</v>
          </cell>
          <cell r="S65">
            <v>116.35045597457425</v>
          </cell>
          <cell r="T65">
            <v>105.26039358503857</v>
          </cell>
          <cell r="U65">
            <v>211.64963949015205</v>
          </cell>
          <cell r="V65">
            <v>164.48155674047575</v>
          </cell>
          <cell r="W65">
            <v>136.10895358974747</v>
          </cell>
          <cell r="X65">
            <v>113.10981715570381</v>
          </cell>
          <cell r="Y65">
            <v>186.47737923576057</v>
          </cell>
          <cell r="Z65">
            <v>130.10793100283087</v>
          </cell>
          <cell r="AA65">
            <v>45.376971769270966</v>
          </cell>
          <cell r="AB65">
            <v>35.997930554452232</v>
          </cell>
          <cell r="AF65">
            <v>56.805160271631436</v>
          </cell>
          <cell r="AG65">
            <v>153.14440469150901</v>
          </cell>
          <cell r="AI65">
            <v>110.79011499133547</v>
          </cell>
          <cell r="AJ65">
            <v>82.086582314035667</v>
          </cell>
          <cell r="AL65">
            <v>82.086582314035667</v>
          </cell>
          <cell r="AM65">
            <v>113.62486143035899</v>
          </cell>
          <cell r="AN65">
            <v>124.35420958904555</v>
          </cell>
          <cell r="AO65">
            <v>114.28798281990959</v>
          </cell>
          <cell r="AQ65">
            <v>88.115250938571734</v>
          </cell>
          <cell r="AR65">
            <v>136.04424040066777</v>
          </cell>
          <cell r="AS65">
            <v>132.20281115466668</v>
          </cell>
          <cell r="AT65">
            <v>119.77385403062597</v>
          </cell>
          <cell r="AU65">
            <v>90.321940474623631</v>
          </cell>
          <cell r="AV65">
            <v>125.50639228470848</v>
          </cell>
          <cell r="AW65">
            <v>128.14425997596965</v>
          </cell>
          <cell r="AX65">
            <v>116.69841617970486</v>
          </cell>
          <cell r="AY65">
            <v>77.937747960688654</v>
          </cell>
          <cell r="AZ65">
            <v>103.88462081692811</v>
          </cell>
          <cell r="BA65">
            <v>113.0739135679093</v>
          </cell>
          <cell r="BB65">
            <v>103.0979575952647</v>
          </cell>
          <cell r="BC65">
            <v>86</v>
          </cell>
          <cell r="BG65">
            <v>86</v>
          </cell>
          <cell r="BK65">
            <v>86</v>
          </cell>
        </row>
        <row r="67">
          <cell r="A67" t="str">
            <v>Debt/total cap.</v>
          </cell>
          <cell r="B67">
            <v>1.2977777777777777</v>
          </cell>
          <cell r="C67">
            <v>1.4195652173913043</v>
          </cell>
          <cell r="D67">
            <v>2.5892116182572615</v>
          </cell>
          <cell r="E67">
            <v>3.0427807486631018</v>
          </cell>
          <cell r="F67">
            <v>3.1135135135135137</v>
          </cell>
          <cell r="G67">
            <v>5.253521126760563</v>
          </cell>
          <cell r="H67">
            <v>2.8773584905660377</v>
          </cell>
          <cell r="I67">
            <v>2.084468664850136</v>
          </cell>
          <cell r="J67">
            <v>1.7540983606557377</v>
          </cell>
          <cell r="K67">
            <v>1.9059405940594059</v>
          </cell>
          <cell r="L67">
            <v>1.9749303621169916</v>
          </cell>
          <cell r="M67">
            <v>1.6648250460405156</v>
          </cell>
          <cell r="N67">
            <v>1.685546875</v>
          </cell>
          <cell r="O67">
            <v>1.2976445396145611</v>
          </cell>
          <cell r="P67">
            <v>1.2769953051643192</v>
          </cell>
          <cell r="Q67">
            <v>1.1739811912225706</v>
          </cell>
          <cell r="R67">
            <v>1.1433645463351629</v>
          </cell>
          <cell r="S67">
            <v>1.1382922996333158</v>
          </cell>
          <cell r="T67">
            <v>0.98350707950832428</v>
          </cell>
          <cell r="U67">
            <v>0.98007457469121417</v>
          </cell>
          <cell r="V67">
            <v>0.96847786091009436</v>
          </cell>
          <cell r="W67">
            <v>0.95210602283164936</v>
          </cell>
          <cell r="X67">
            <v>0.96631493506493493</v>
          </cell>
          <cell r="Y67">
            <v>0.97702355959878695</v>
          </cell>
          <cell r="Z67">
            <v>0.9503473115513249</v>
          </cell>
          <cell r="AA67">
            <v>0.92778176597272077</v>
          </cell>
          <cell r="AB67">
            <v>0.94905175184828028</v>
          </cell>
          <cell r="AF67">
            <v>0</v>
          </cell>
          <cell r="AG67">
            <v>0.96024177300201474</v>
          </cell>
          <cell r="AI67">
            <v>0.65005607476635507</v>
          </cell>
          <cell r="AJ67">
            <v>0.71630340017436811</v>
          </cell>
          <cell r="AL67">
            <v>0.63439617991373998</v>
          </cell>
          <cell r="AM67">
            <v>0.63471043199396338</v>
          </cell>
          <cell r="AN67">
            <v>0.6358166189111748</v>
          </cell>
          <cell r="AO67">
            <v>0.61140593195696424</v>
          </cell>
          <cell r="AQ67">
            <v>0.549431251247256</v>
          </cell>
          <cell r="AR67">
            <v>0.56170539658152485</v>
          </cell>
          <cell r="AS67">
            <v>0.56017610714417843</v>
          </cell>
          <cell r="AT67">
            <v>0.52693448984250169</v>
          </cell>
          <cell r="AU67">
            <v>0.50905479612104221</v>
          </cell>
          <cell r="AV67">
            <v>0.53076391991227712</v>
          </cell>
          <cell r="AW67">
            <v>0.52884955752212381</v>
          </cell>
          <cell r="AX67">
            <v>0.51180824814945358</v>
          </cell>
          <cell r="AY67">
            <v>0.49785998165698558</v>
          </cell>
          <cell r="AZ67">
            <v>0.61847436045838633</v>
          </cell>
          <cell r="BA67">
            <v>0.63011352650332841</v>
          </cell>
          <cell r="BB67">
            <v>0.61115484088609018</v>
          </cell>
          <cell r="BC67">
            <v>0.60518659843611911</v>
          </cell>
          <cell r="BG67">
            <v>0.52652078051374029</v>
          </cell>
          <cell r="BK67">
            <v>0.49599237636875504</v>
          </cell>
        </row>
        <row r="68">
          <cell r="A68" t="str">
            <v>Total debt</v>
          </cell>
          <cell r="B68">
            <v>584</v>
          </cell>
          <cell r="C68">
            <v>653</v>
          </cell>
          <cell r="D68">
            <v>624</v>
          </cell>
          <cell r="E68">
            <v>569</v>
          </cell>
          <cell r="F68">
            <v>576</v>
          </cell>
          <cell r="G68">
            <v>373</v>
          </cell>
          <cell r="H68">
            <v>610</v>
          </cell>
          <cell r="I68">
            <v>765</v>
          </cell>
          <cell r="J68">
            <v>856</v>
          </cell>
          <cell r="K68">
            <v>770</v>
          </cell>
          <cell r="L68">
            <v>709</v>
          </cell>
          <cell r="M68">
            <v>904</v>
          </cell>
          <cell r="N68">
            <v>863</v>
          </cell>
          <cell r="O68">
            <v>606</v>
          </cell>
          <cell r="P68">
            <v>544</v>
          </cell>
          <cell r="Q68">
            <v>749</v>
          </cell>
          <cell r="R68">
            <v>708.2</v>
          </cell>
          <cell r="S68">
            <v>651.9</v>
          </cell>
          <cell r="T68">
            <v>632.1</v>
          </cell>
          <cell r="U68">
            <v>841.09999999999991</v>
          </cell>
          <cell r="V68">
            <v>789.59999999999991</v>
          </cell>
          <cell r="W68">
            <v>725.59999999999991</v>
          </cell>
          <cell r="X68">
            <v>714.3</v>
          </cell>
          <cell r="Y68">
            <v>837.7</v>
          </cell>
          <cell r="Z68">
            <v>738.80000000000007</v>
          </cell>
          <cell r="AA68">
            <v>646.20000000000005</v>
          </cell>
          <cell r="AB68">
            <v>590.5</v>
          </cell>
          <cell r="AF68">
            <v>0</v>
          </cell>
          <cell r="AG68">
            <v>714.9</v>
          </cell>
          <cell r="AI68">
            <v>1738.8999999999999</v>
          </cell>
          <cell r="AJ68">
            <v>410.79999999999995</v>
          </cell>
          <cell r="AL68">
            <v>1647.3999999999999</v>
          </cell>
          <cell r="AM68">
            <v>1682.3</v>
          </cell>
          <cell r="AN68">
            <v>1775.2</v>
          </cell>
          <cell r="AO68">
            <v>1682.1</v>
          </cell>
          <cell r="AQ68">
            <v>1376.6</v>
          </cell>
          <cell r="AR68">
            <v>1462.3999999999999</v>
          </cell>
          <cell r="AS68">
            <v>1514.1</v>
          </cell>
          <cell r="AT68">
            <v>1385.1000000000001</v>
          </cell>
          <cell r="AU68">
            <v>1307.1000000000001</v>
          </cell>
          <cell r="AV68">
            <v>1306.9000000000001</v>
          </cell>
          <cell r="AW68">
            <v>1344.6</v>
          </cell>
          <cell r="AX68">
            <v>1306.8</v>
          </cell>
          <cell r="AY68">
            <v>1302.8</v>
          </cell>
          <cell r="AZ68">
            <v>2137.1999999999998</v>
          </cell>
          <cell r="BA68">
            <v>2281.1999999999998</v>
          </cell>
          <cell r="BB68">
            <v>2174</v>
          </cell>
          <cell r="BC68">
            <v>2205.7999999999997</v>
          </cell>
          <cell r="BG68">
            <v>1758.8</v>
          </cell>
          <cell r="BK68">
            <v>1711.8</v>
          </cell>
        </row>
        <row r="70">
          <cell r="A70" t="str">
            <v>YTD Sales</v>
          </cell>
          <cell r="B70">
            <v>1435</v>
          </cell>
          <cell r="C70">
            <v>1431</v>
          </cell>
          <cell r="D70">
            <v>1555</v>
          </cell>
          <cell r="E70">
            <v>1499</v>
          </cell>
          <cell r="F70">
            <v>1527</v>
          </cell>
          <cell r="G70">
            <v>1305.3</v>
          </cell>
          <cell r="H70">
            <v>1217.4000000000001</v>
          </cell>
          <cell r="I70">
            <v>251</v>
          </cell>
          <cell r="J70">
            <v>620</v>
          </cell>
          <cell r="K70">
            <v>928</v>
          </cell>
          <cell r="L70">
            <v>1313.3</v>
          </cell>
          <cell r="M70">
            <v>271.39999999999998</v>
          </cell>
          <cell r="N70">
            <v>628</v>
          </cell>
          <cell r="O70">
            <v>955.4</v>
          </cell>
          <cell r="P70">
            <v>1270.7</v>
          </cell>
          <cell r="Q70">
            <v>276.10000000000002</v>
          </cell>
          <cell r="R70">
            <v>652.79999999999995</v>
          </cell>
          <cell r="S70">
            <v>951</v>
          </cell>
          <cell r="T70">
            <v>1214.8</v>
          </cell>
          <cell r="U70">
            <v>263</v>
          </cell>
          <cell r="V70">
            <v>621.20000000000005</v>
          </cell>
          <cell r="W70">
            <v>949.90000000000009</v>
          </cell>
          <cell r="X70">
            <v>1291.4000000000001</v>
          </cell>
          <cell r="Y70">
            <v>273.60000000000002</v>
          </cell>
          <cell r="Z70">
            <v>664.90000000000009</v>
          </cell>
          <cell r="AA70">
            <v>2335.1999999999998</v>
          </cell>
          <cell r="AB70">
            <v>3185.3</v>
          </cell>
          <cell r="AF70">
            <v>3185.3</v>
          </cell>
          <cell r="AG70">
            <v>284.7</v>
          </cell>
          <cell r="AI70">
            <v>2275.1999999999998</v>
          </cell>
          <cell r="AJ70">
            <v>3001</v>
          </cell>
          <cell r="AL70">
            <v>3001</v>
          </cell>
          <cell r="AM70">
            <v>611.29999999999995</v>
          </cell>
          <cell r="AN70">
            <v>1402.8999999999999</v>
          </cell>
          <cell r="AO70">
            <v>2213.4839300699296</v>
          </cell>
          <cell r="AQ70">
            <v>3129.8839300699292</v>
          </cell>
          <cell r="AR70">
            <v>626</v>
          </cell>
          <cell r="AS70">
            <v>1472.6</v>
          </cell>
          <cell r="AT70">
            <v>2333.8999999999996</v>
          </cell>
          <cell r="AU70">
            <v>3180.9</v>
          </cell>
          <cell r="AV70">
            <v>616.6</v>
          </cell>
          <cell r="AW70">
            <v>1409.8000000000002</v>
          </cell>
          <cell r="AX70">
            <v>2205.7655000000004</v>
          </cell>
          <cell r="AY70">
            <v>3004.9654999999998</v>
          </cell>
          <cell r="AZ70">
            <v>674.1</v>
          </cell>
          <cell r="BA70">
            <v>1567.6</v>
          </cell>
          <cell r="BB70">
            <v>2474.8000000000002</v>
          </cell>
          <cell r="BC70">
            <v>3433.1730837499999</v>
          </cell>
          <cell r="BG70">
            <v>3519.0024108437497</v>
          </cell>
          <cell r="BK70">
            <v>3642.1674952232806</v>
          </cell>
        </row>
        <row r="71">
          <cell r="A71" t="str">
            <v>YTD COGS</v>
          </cell>
          <cell r="B71">
            <v>1125</v>
          </cell>
          <cell r="C71">
            <v>1138</v>
          </cell>
          <cell r="D71">
            <v>1277</v>
          </cell>
          <cell r="E71">
            <v>1235</v>
          </cell>
          <cell r="F71">
            <v>1143</v>
          </cell>
          <cell r="G71">
            <v>984.1</v>
          </cell>
          <cell r="H71">
            <v>819.3</v>
          </cell>
          <cell r="I71">
            <v>171</v>
          </cell>
          <cell r="J71">
            <v>413</v>
          </cell>
          <cell r="K71">
            <v>616</v>
          </cell>
          <cell r="L71">
            <v>898.2</v>
          </cell>
          <cell r="M71">
            <v>215.1</v>
          </cell>
          <cell r="N71">
            <v>496.5</v>
          </cell>
          <cell r="O71">
            <v>751.4</v>
          </cell>
          <cell r="P71">
            <v>994.5</v>
          </cell>
          <cell r="Q71">
            <v>211.5</v>
          </cell>
          <cell r="R71">
            <v>496</v>
          </cell>
          <cell r="S71">
            <v>720.3</v>
          </cell>
          <cell r="T71">
            <v>920.5</v>
          </cell>
          <cell r="U71">
            <v>204.4</v>
          </cell>
          <cell r="V71">
            <v>481.1</v>
          </cell>
          <cell r="W71">
            <v>738.2</v>
          </cell>
          <cell r="X71">
            <v>1007</v>
          </cell>
          <cell r="Y71">
            <v>219</v>
          </cell>
          <cell r="Z71">
            <v>523.5</v>
          </cell>
          <cell r="AA71">
            <v>1633.3</v>
          </cell>
          <cell r="AB71">
            <v>2320.9</v>
          </cell>
          <cell r="AF71">
            <v>2320.9</v>
          </cell>
          <cell r="AG71">
            <v>229.7</v>
          </cell>
          <cell r="AI71">
            <v>1654.5</v>
          </cell>
          <cell r="AJ71">
            <v>2180.5</v>
          </cell>
          <cell r="AL71">
            <v>2180.5</v>
          </cell>
          <cell r="AM71">
            <v>456.6</v>
          </cell>
          <cell r="AN71">
            <v>1037.2</v>
          </cell>
          <cell r="AO71">
            <v>1619.8000000000002</v>
          </cell>
          <cell r="AQ71">
            <v>2281</v>
          </cell>
          <cell r="AR71">
            <v>479.2</v>
          </cell>
          <cell r="AS71">
            <v>1103.4000000000001</v>
          </cell>
          <cell r="AT71">
            <v>1732.5</v>
          </cell>
          <cell r="AU71">
            <v>2378.6</v>
          </cell>
          <cell r="AV71">
            <v>466.7</v>
          </cell>
          <cell r="AW71">
            <v>1047.3</v>
          </cell>
          <cell r="AX71">
            <v>1685.6</v>
          </cell>
          <cell r="AY71">
            <v>2280.8999999999996</v>
          </cell>
          <cell r="AZ71">
            <v>506.63743055183784</v>
          </cell>
          <cell r="BA71">
            <v>1151.6285539835847</v>
          </cell>
          <cell r="BB71">
            <v>1800.7285539835846</v>
          </cell>
          <cell r="BC71">
            <v>2506.2163511374997</v>
          </cell>
          <cell r="BG71">
            <v>2558.3147526834059</v>
          </cell>
          <cell r="BK71">
            <v>2636.9292665416551</v>
          </cell>
        </row>
        <row r="72">
          <cell r="A72" t="str">
            <v>Number of Days</v>
          </cell>
          <cell r="B72">
            <v>360</v>
          </cell>
          <cell r="C72">
            <v>360</v>
          </cell>
          <cell r="D72">
            <v>360</v>
          </cell>
          <cell r="E72">
            <v>360</v>
          </cell>
          <cell r="F72">
            <v>360</v>
          </cell>
          <cell r="G72">
            <v>360</v>
          </cell>
          <cell r="H72">
            <v>360</v>
          </cell>
          <cell r="I72">
            <v>90</v>
          </cell>
          <cell r="J72">
            <v>180</v>
          </cell>
          <cell r="K72">
            <v>270</v>
          </cell>
          <cell r="L72">
            <v>360</v>
          </cell>
          <cell r="M72">
            <v>90</v>
          </cell>
          <cell r="N72">
            <v>180</v>
          </cell>
          <cell r="O72">
            <v>270</v>
          </cell>
          <cell r="P72">
            <v>360</v>
          </cell>
          <cell r="Q72">
            <v>90</v>
          </cell>
          <cell r="R72">
            <v>180</v>
          </cell>
          <cell r="S72">
            <v>270</v>
          </cell>
          <cell r="T72">
            <v>360</v>
          </cell>
          <cell r="U72">
            <v>90</v>
          </cell>
          <cell r="V72">
            <v>180</v>
          </cell>
          <cell r="W72">
            <v>270</v>
          </cell>
          <cell r="X72">
            <v>360</v>
          </cell>
          <cell r="Y72">
            <v>90</v>
          </cell>
          <cell r="Z72">
            <v>180</v>
          </cell>
          <cell r="AA72">
            <v>270</v>
          </cell>
          <cell r="AB72">
            <v>360</v>
          </cell>
          <cell r="AF72">
            <v>360</v>
          </cell>
          <cell r="AG72">
            <v>90</v>
          </cell>
          <cell r="AI72">
            <v>270</v>
          </cell>
          <cell r="AJ72">
            <v>360</v>
          </cell>
          <cell r="AL72">
            <v>360</v>
          </cell>
          <cell r="AM72">
            <v>90</v>
          </cell>
          <cell r="AN72">
            <v>180</v>
          </cell>
          <cell r="AO72">
            <v>270</v>
          </cell>
          <cell r="AQ72">
            <v>360</v>
          </cell>
          <cell r="AR72">
            <v>90</v>
          </cell>
          <cell r="AS72">
            <v>180</v>
          </cell>
          <cell r="AT72">
            <v>270</v>
          </cell>
          <cell r="AU72">
            <v>360</v>
          </cell>
          <cell r="AV72">
            <v>90</v>
          </cell>
          <cell r="AW72">
            <v>180</v>
          </cell>
          <cell r="AX72">
            <v>270</v>
          </cell>
          <cell r="AY72">
            <v>360</v>
          </cell>
          <cell r="AZ72">
            <v>90</v>
          </cell>
          <cell r="BA72">
            <v>180</v>
          </cell>
          <cell r="BB72">
            <v>270</v>
          </cell>
          <cell r="BC72">
            <v>360</v>
          </cell>
          <cell r="BG72">
            <v>360</v>
          </cell>
          <cell r="BK72">
            <v>360</v>
          </cell>
        </row>
        <row r="74">
          <cell r="A74" t="str">
            <v>Long-term debt</v>
          </cell>
          <cell r="B74">
            <v>445</v>
          </cell>
          <cell r="C74">
            <v>475</v>
          </cell>
          <cell r="D74">
            <v>441</v>
          </cell>
          <cell r="E74">
            <v>386</v>
          </cell>
          <cell r="F74">
            <v>391</v>
          </cell>
          <cell r="G74">
            <v>323</v>
          </cell>
          <cell r="H74">
            <v>526</v>
          </cell>
          <cell r="I74">
            <v>518</v>
          </cell>
          <cell r="J74">
            <v>686</v>
          </cell>
          <cell r="K74">
            <v>678</v>
          </cell>
          <cell r="L74">
            <v>677</v>
          </cell>
          <cell r="M74">
            <v>668</v>
          </cell>
          <cell r="N74">
            <v>665</v>
          </cell>
          <cell r="O74">
            <v>497</v>
          </cell>
          <cell r="P74">
            <v>496</v>
          </cell>
          <cell r="Q74">
            <v>487</v>
          </cell>
          <cell r="R74">
            <v>484.7</v>
          </cell>
          <cell r="S74">
            <v>445.4</v>
          </cell>
          <cell r="T74">
            <v>443</v>
          </cell>
          <cell r="U74">
            <v>531.79999999999995</v>
          </cell>
          <cell r="V74">
            <v>528.4</v>
          </cell>
          <cell r="W74">
            <v>518.29999999999995</v>
          </cell>
          <cell r="X74">
            <v>709.8</v>
          </cell>
          <cell r="Y74">
            <v>708.7</v>
          </cell>
          <cell r="Z74">
            <v>708.7</v>
          </cell>
          <cell r="AA74">
            <v>642.5</v>
          </cell>
          <cell r="AB74">
            <v>587.4</v>
          </cell>
          <cell r="AF74">
            <v>0</v>
          </cell>
          <cell r="AG74">
            <v>587.4</v>
          </cell>
          <cell r="AI74">
            <v>1702.1</v>
          </cell>
          <cell r="AJ74">
            <v>283.29999999999995</v>
          </cell>
          <cell r="AL74">
            <v>1635.3</v>
          </cell>
          <cell r="AM74">
            <v>1631.1</v>
          </cell>
          <cell r="AN74">
            <v>1626.2</v>
          </cell>
          <cell r="AO74">
            <v>1623.1</v>
          </cell>
          <cell r="AQ74">
            <v>1369.5</v>
          </cell>
          <cell r="AR74">
            <v>1367.6</v>
          </cell>
          <cell r="AS74">
            <v>1365.8</v>
          </cell>
          <cell r="AT74">
            <v>1363.9</v>
          </cell>
          <cell r="AU74">
            <v>1304.4000000000001</v>
          </cell>
          <cell r="AV74">
            <v>1301.2</v>
          </cell>
          <cell r="AW74">
            <v>1305.3</v>
          </cell>
          <cell r="AX74">
            <v>1305</v>
          </cell>
          <cell r="AY74">
            <v>1242.5</v>
          </cell>
          <cell r="AZ74">
            <v>1875</v>
          </cell>
          <cell r="BA74">
            <v>1966.6</v>
          </cell>
          <cell r="BB74">
            <v>1959.3</v>
          </cell>
          <cell r="BC74">
            <v>1991.0944999999999</v>
          </cell>
          <cell r="BG74">
            <v>1593.0944999999999</v>
          </cell>
          <cell r="BK74">
            <v>1493.5944999999999</v>
          </cell>
          <cell r="BN74">
            <v>2003</v>
          </cell>
          <cell r="BO74">
            <v>2004</v>
          </cell>
          <cell r="BP74">
            <v>2005</v>
          </cell>
          <cell r="BQ74" t="str">
            <v>2006E</v>
          </cell>
        </row>
        <row r="75">
          <cell r="A75" t="str">
            <v>Other</v>
          </cell>
          <cell r="B75">
            <v>141</v>
          </cell>
          <cell r="C75">
            <v>180</v>
          </cell>
          <cell r="D75">
            <v>185</v>
          </cell>
          <cell r="E75">
            <v>185</v>
          </cell>
          <cell r="F75">
            <v>187</v>
          </cell>
          <cell r="G75">
            <v>52</v>
          </cell>
          <cell r="H75">
            <v>84</v>
          </cell>
          <cell r="I75">
            <v>247</v>
          </cell>
          <cell r="J75">
            <v>170</v>
          </cell>
          <cell r="K75">
            <v>92</v>
          </cell>
          <cell r="L75">
            <v>32</v>
          </cell>
          <cell r="M75">
            <v>236</v>
          </cell>
          <cell r="N75">
            <v>198</v>
          </cell>
          <cell r="O75">
            <v>109</v>
          </cell>
          <cell r="P75">
            <v>48</v>
          </cell>
          <cell r="Q75">
            <v>262</v>
          </cell>
          <cell r="R75">
            <v>223.5</v>
          </cell>
          <cell r="S75">
            <v>206.5</v>
          </cell>
          <cell r="T75">
            <v>189.1</v>
          </cell>
          <cell r="U75">
            <v>309.3</v>
          </cell>
          <cell r="V75">
            <v>261.2</v>
          </cell>
          <cell r="W75">
            <v>207.3</v>
          </cell>
          <cell r="X75">
            <v>4.5</v>
          </cell>
          <cell r="Y75">
            <v>129</v>
          </cell>
          <cell r="Z75">
            <v>30.099999999999998</v>
          </cell>
          <cell r="AA75">
            <v>3.7</v>
          </cell>
          <cell r="AB75">
            <v>3.1</v>
          </cell>
          <cell r="AF75">
            <v>0</v>
          </cell>
          <cell r="AG75">
            <v>127.5</v>
          </cell>
          <cell r="AI75">
            <v>36.799999999999997</v>
          </cell>
          <cell r="AJ75">
            <v>127.5</v>
          </cell>
          <cell r="AL75">
            <v>12.1</v>
          </cell>
          <cell r="AM75">
            <v>51.2</v>
          </cell>
          <cell r="AN75">
            <v>149</v>
          </cell>
          <cell r="AO75">
            <v>59</v>
          </cell>
          <cell r="AQ75">
            <v>7.1</v>
          </cell>
          <cell r="AR75">
            <v>94.8</v>
          </cell>
          <cell r="AS75">
            <v>148.30000000000001</v>
          </cell>
          <cell r="AT75">
            <v>21.2</v>
          </cell>
          <cell r="AU75">
            <v>2.7</v>
          </cell>
          <cell r="AV75">
            <v>5.7</v>
          </cell>
          <cell r="AW75">
            <v>39.299999999999997</v>
          </cell>
          <cell r="AX75">
            <v>1.8</v>
          </cell>
          <cell r="AY75">
            <v>60.300000000000004</v>
          </cell>
          <cell r="AZ75">
            <v>262.2</v>
          </cell>
          <cell r="BA75">
            <v>314.60000000000002</v>
          </cell>
          <cell r="BB75">
            <v>214.70000000000002</v>
          </cell>
          <cell r="BC75">
            <v>214.70549999999997</v>
          </cell>
          <cell r="BG75">
            <v>165.70549999999997</v>
          </cell>
          <cell r="BK75">
            <v>218.20549999999997</v>
          </cell>
        </row>
        <row r="76">
          <cell r="A76" t="str">
            <v>Shareholders' Equity</v>
          </cell>
          <cell r="B76">
            <v>-136</v>
          </cell>
          <cell r="C76">
            <v>-195</v>
          </cell>
          <cell r="D76">
            <v>-385</v>
          </cell>
          <cell r="E76">
            <v>-384</v>
          </cell>
          <cell r="F76">
            <v>-393</v>
          </cell>
          <cell r="G76">
            <v>-304</v>
          </cell>
          <cell r="H76">
            <v>-398</v>
          </cell>
          <cell r="I76">
            <v>-398</v>
          </cell>
          <cell r="J76">
            <v>-368</v>
          </cell>
          <cell r="K76">
            <v>-366</v>
          </cell>
          <cell r="L76">
            <v>-350</v>
          </cell>
          <cell r="M76">
            <v>-361</v>
          </cell>
          <cell r="N76">
            <v>-351</v>
          </cell>
          <cell r="O76">
            <v>-139</v>
          </cell>
          <cell r="P76">
            <v>-118</v>
          </cell>
          <cell r="Q76">
            <v>-111</v>
          </cell>
          <cell r="R76">
            <v>-88.800000000000011</v>
          </cell>
          <cell r="S76">
            <v>-79.199999999999989</v>
          </cell>
          <cell r="T76">
            <v>10.600000000000023</v>
          </cell>
          <cell r="U76">
            <v>17.100000000000023</v>
          </cell>
          <cell r="V76">
            <v>25.700000000000045</v>
          </cell>
          <cell r="W76">
            <v>36.5</v>
          </cell>
          <cell r="X76">
            <v>24.900000000000034</v>
          </cell>
          <cell r="Y76">
            <v>19.699999999999989</v>
          </cell>
          <cell r="Z76">
            <v>38.6</v>
          </cell>
          <cell r="AA76">
            <v>50.300000000000011</v>
          </cell>
          <cell r="AB76">
            <v>31.700000000000045</v>
          </cell>
          <cell r="AF76">
            <v>1592.6</v>
          </cell>
          <cell r="AG76">
            <v>29.600000000000023</v>
          </cell>
          <cell r="AI76">
            <v>936.09999999999991</v>
          </cell>
          <cell r="AJ76">
            <v>162.69999999999982</v>
          </cell>
          <cell r="AL76">
            <v>949.4</v>
          </cell>
          <cell r="AM76">
            <v>968.2</v>
          </cell>
          <cell r="AN76">
            <v>1016.8000000000001</v>
          </cell>
          <cell r="AO76">
            <v>1069.1000000000001</v>
          </cell>
          <cell r="AQ76">
            <v>1128.9000000000001</v>
          </cell>
          <cell r="AR76">
            <v>1141.1000000000001</v>
          </cell>
          <cell r="AS76">
            <v>1188.8000000000002</v>
          </cell>
          <cell r="AT76">
            <v>1243.5</v>
          </cell>
          <cell r="AU76">
            <v>1260.6000000000001</v>
          </cell>
          <cell r="AV76">
            <v>1155.4000000000001</v>
          </cell>
          <cell r="AW76">
            <v>1197.9000000000001</v>
          </cell>
          <cell r="AX76">
            <v>1246.5</v>
          </cell>
          <cell r="AY76">
            <v>1314</v>
          </cell>
          <cell r="AZ76">
            <v>1318.4</v>
          </cell>
          <cell r="BA76">
            <v>1339.1000000000001</v>
          </cell>
          <cell r="BB76">
            <v>1383.2000000000003</v>
          </cell>
          <cell r="BC76">
            <v>1439.0262497882045</v>
          </cell>
          <cell r="BG76">
            <v>1581.6189636805832</v>
          </cell>
          <cell r="BK76">
            <v>1739.4627241014878</v>
          </cell>
          <cell r="BM76" t="str">
            <v>Total Debt</v>
          </cell>
          <cell r="BN76">
            <v>1647.3999999999999</v>
          </cell>
          <cell r="BO76">
            <v>1376.6</v>
          </cell>
          <cell r="BP76">
            <v>1307.1000000000001</v>
          </cell>
          <cell r="BQ76">
            <v>1302.8</v>
          </cell>
        </row>
        <row r="77">
          <cell r="A77" t="str">
            <v>Total capital</v>
          </cell>
          <cell r="B77">
            <v>450</v>
          </cell>
          <cell r="C77">
            <v>460</v>
          </cell>
          <cell r="D77">
            <v>241</v>
          </cell>
          <cell r="E77">
            <v>187</v>
          </cell>
          <cell r="F77">
            <v>185</v>
          </cell>
          <cell r="G77">
            <v>71</v>
          </cell>
          <cell r="H77">
            <v>212</v>
          </cell>
          <cell r="I77">
            <v>367</v>
          </cell>
          <cell r="J77">
            <v>488</v>
          </cell>
          <cell r="K77">
            <v>404</v>
          </cell>
          <cell r="L77">
            <v>359</v>
          </cell>
          <cell r="M77">
            <v>543</v>
          </cell>
          <cell r="N77">
            <v>512</v>
          </cell>
          <cell r="O77">
            <v>467</v>
          </cell>
          <cell r="P77">
            <v>426</v>
          </cell>
          <cell r="Q77">
            <v>638</v>
          </cell>
          <cell r="R77">
            <v>619.40000000000009</v>
          </cell>
          <cell r="S77">
            <v>572.70000000000005</v>
          </cell>
          <cell r="T77">
            <v>642.70000000000005</v>
          </cell>
          <cell r="U77">
            <v>858.19999999999993</v>
          </cell>
          <cell r="V77">
            <v>815.3</v>
          </cell>
          <cell r="W77">
            <v>762.09999999999991</v>
          </cell>
          <cell r="X77">
            <v>739.2</v>
          </cell>
          <cell r="Y77">
            <v>857.40000000000009</v>
          </cell>
          <cell r="Z77">
            <v>777.40000000000009</v>
          </cell>
          <cell r="AA77">
            <v>696.5</v>
          </cell>
          <cell r="AB77">
            <v>622.20000000000005</v>
          </cell>
          <cell r="AF77">
            <v>1592.6</v>
          </cell>
          <cell r="AG77">
            <v>744.5</v>
          </cell>
          <cell r="AI77">
            <v>2675</v>
          </cell>
          <cell r="AJ77">
            <v>573.49999999999977</v>
          </cell>
          <cell r="AL77">
            <v>2596.7999999999997</v>
          </cell>
          <cell r="AM77">
            <v>2650.5</v>
          </cell>
          <cell r="AN77">
            <v>2792</v>
          </cell>
          <cell r="AO77">
            <v>2751.2</v>
          </cell>
          <cell r="AQ77">
            <v>2505.5</v>
          </cell>
          <cell r="AR77">
            <v>2603.5</v>
          </cell>
          <cell r="AS77">
            <v>2702.9</v>
          </cell>
          <cell r="AT77">
            <v>2628.6000000000004</v>
          </cell>
          <cell r="AU77">
            <v>2567.7000000000003</v>
          </cell>
          <cell r="AV77">
            <v>2462.3000000000002</v>
          </cell>
          <cell r="AW77">
            <v>2542.5</v>
          </cell>
          <cell r="AX77">
            <v>2553.3000000000002</v>
          </cell>
          <cell r="AY77">
            <v>2616.8000000000002</v>
          </cell>
          <cell r="AZ77">
            <v>3455.6</v>
          </cell>
          <cell r="BA77">
            <v>3620.3</v>
          </cell>
          <cell r="BB77">
            <v>3557.2000000000003</v>
          </cell>
          <cell r="BC77">
            <v>3644.8262497882042</v>
          </cell>
          <cell r="BG77">
            <v>3340.4189636805831</v>
          </cell>
          <cell r="BK77">
            <v>3451.2627241014879</v>
          </cell>
          <cell r="BM77" t="str">
            <v>EBITDA</v>
          </cell>
          <cell r="BN77">
            <v>449.8</v>
          </cell>
          <cell r="BO77">
            <v>512.5</v>
          </cell>
          <cell r="BP77">
            <v>444.15105999999997</v>
          </cell>
          <cell r="BQ77">
            <v>400.47975442759616</v>
          </cell>
        </row>
        <row r="78">
          <cell r="A78" t="str">
            <v>EBIT/Interest</v>
          </cell>
          <cell r="AF78">
            <v>2.7829993089149974</v>
          </cell>
          <cell r="AL78">
            <v>3.0824980724749427</v>
          </cell>
          <cell r="AQ78">
            <v>3.2790697674418605</v>
          </cell>
          <cell r="AU78">
            <v>3.6316824708305853</v>
          </cell>
          <cell r="AY78">
            <v>3.497502884666623</v>
          </cell>
          <cell r="BC78">
            <v>2.4764431771483322</v>
          </cell>
          <cell r="BG78">
            <v>3.4202490111303807</v>
          </cell>
          <cell r="BK78">
            <v>3.705815699736994</v>
          </cell>
          <cell r="BM78" t="str">
            <v>Interest Expense</v>
          </cell>
          <cell r="BN78">
            <v>129.69999999999999</v>
          </cell>
          <cell r="BO78">
            <v>128.52000000000001</v>
          </cell>
          <cell r="BP78">
            <v>97.515400000000014</v>
          </cell>
          <cell r="BQ78">
            <v>95.52234</v>
          </cell>
        </row>
        <row r="79">
          <cell r="A79" t="str">
            <v>EBITDA/Interest</v>
          </cell>
          <cell r="AF79">
            <v>3.1865929509329654</v>
          </cell>
          <cell r="AL79">
            <v>3.4680030840400931</v>
          </cell>
          <cell r="AQ79">
            <v>3.9728682170542635</v>
          </cell>
          <cell r="AU79">
            <v>4.5610371392717548</v>
          </cell>
          <cell r="AY79">
            <v>4.5405867848933807</v>
          </cell>
          <cell r="BC79">
            <v>3.0730465370258586</v>
          </cell>
          <cell r="BG79">
            <v>4.2655475435679282</v>
          </cell>
          <cell r="BK79">
            <v>4.5685041019001416</v>
          </cell>
        </row>
        <row r="80">
          <cell r="A80" t="str">
            <v>Total Debt/EBITDA</v>
          </cell>
          <cell r="AF80">
            <v>0</v>
          </cell>
          <cell r="AL80">
            <v>3.6625166740773674</v>
          </cell>
          <cell r="AQ80">
            <v>2.6860487804878046</v>
          </cell>
          <cell r="AU80">
            <v>2.9429176640938337</v>
          </cell>
          <cell r="AY80">
            <v>3.2530982792428196</v>
          </cell>
          <cell r="BC80">
            <v>4.5022729792457179</v>
          </cell>
          <cell r="BG80">
            <v>3.643234672770078</v>
          </cell>
          <cell r="BK80">
            <v>3.3738398384281432</v>
          </cell>
          <cell r="BM80" t="str">
            <v>Financial Ratios</v>
          </cell>
        </row>
        <row r="81">
          <cell r="A81" t="str">
            <v>Total Net Debt/EBITDA</v>
          </cell>
          <cell r="AF81">
            <v>-1.0843634786380392E-3</v>
          </cell>
          <cell r="AL81">
            <v>3.1311219512195119</v>
          </cell>
          <cell r="AQ81">
            <v>2.6152195121951221</v>
          </cell>
          <cell r="AU81">
            <v>2.6144258217012926</v>
          </cell>
          <cell r="AY81">
            <v>2.1047657481084077</v>
          </cell>
          <cell r="BC81">
            <v>3.315358803365021</v>
          </cell>
          <cell r="BG81">
            <v>3.0556975533634989</v>
          </cell>
          <cell r="BK81">
            <v>2.6008800933973424</v>
          </cell>
          <cell r="BM81" t="str">
            <v>Debt/ EBITDA</v>
          </cell>
          <cell r="BN81">
            <v>3.6625166740773674</v>
          </cell>
          <cell r="BO81">
            <v>2.6860487804878046</v>
          </cell>
          <cell r="BP81">
            <v>2.9429176640938337</v>
          </cell>
          <cell r="BQ81">
            <v>3.2530982792428196</v>
          </cell>
        </row>
        <row r="82">
          <cell r="A82" t="str">
            <v>Total Debt/Equity Market Cap</v>
          </cell>
          <cell r="AF82">
            <v>0</v>
          </cell>
          <cell r="AL82">
            <v>0.73933837674660385</v>
          </cell>
          <cell r="AQ82">
            <v>0.61544991852019315</v>
          </cell>
          <cell r="AU82">
            <v>0.58123142818619911</v>
          </cell>
          <cell r="AY82">
            <v>0.60380872440742872</v>
          </cell>
          <cell r="BC82">
            <v>1.0215670219206867</v>
          </cell>
          <cell r="BG82">
            <v>0.80768570742950674</v>
          </cell>
          <cell r="BK82">
            <v>0.78610211165444033</v>
          </cell>
          <cell r="BM82" t="str">
            <v>EBITDA/ Interest Expense</v>
          </cell>
          <cell r="BN82">
            <v>3.4680030840400931</v>
          </cell>
          <cell r="BO82">
            <v>3.9728682170542635</v>
          </cell>
          <cell r="BP82">
            <v>4.5610371392717548</v>
          </cell>
          <cell r="BQ82">
            <v>4.5405867848933807</v>
          </cell>
        </row>
        <row r="83">
          <cell r="A83" t="str">
            <v>Operating CF/Total Debt</v>
          </cell>
          <cell r="AL83">
            <v>0.29798470316862941</v>
          </cell>
          <cell r="AQ83">
            <v>0.19830301472463252</v>
          </cell>
          <cell r="AU83">
            <v>0.20962435926860987</v>
          </cell>
          <cell r="AY83">
            <v>0.20003070310101323</v>
          </cell>
          <cell r="BC83">
            <v>5.2110007932088857E-2</v>
          </cell>
          <cell r="BG83">
            <v>0.14046456409511435</v>
          </cell>
          <cell r="BK83">
            <v>0.14886475040470398</v>
          </cell>
          <cell r="BM83" t="str">
            <v>as of 2005 year-end</v>
          </cell>
        </row>
        <row r="84">
          <cell r="BM84" t="str">
            <v>Total Debt</v>
          </cell>
          <cell r="BN84">
            <v>1307.1000000000001</v>
          </cell>
        </row>
        <row r="85">
          <cell r="A85" t="str">
            <v>Goodwill, net</v>
          </cell>
          <cell r="T85">
            <v>0</v>
          </cell>
          <cell r="X85">
            <v>0</v>
          </cell>
          <cell r="AF85">
            <v>0</v>
          </cell>
          <cell r="AL85">
            <v>795.8</v>
          </cell>
          <cell r="AQ85">
            <v>770.9</v>
          </cell>
          <cell r="AU85">
            <v>769.1</v>
          </cell>
          <cell r="AY85">
            <v>758.7</v>
          </cell>
          <cell r="BC85">
            <v>1558.7</v>
          </cell>
          <cell r="BG85">
            <v>1558.7</v>
          </cell>
          <cell r="BK85">
            <v>1558.7</v>
          </cell>
          <cell r="BM85" t="str">
            <v>Cash</v>
          </cell>
          <cell r="BN85">
            <v>8.6</v>
          </cell>
        </row>
        <row r="86">
          <cell r="A86" t="str">
            <v>Unrecorded goodwill due to poolings</v>
          </cell>
          <cell r="T86">
            <v>0</v>
          </cell>
          <cell r="X86">
            <v>0</v>
          </cell>
          <cell r="AF86">
            <v>0</v>
          </cell>
          <cell r="AL86">
            <v>0</v>
          </cell>
          <cell r="AQ86">
            <v>0</v>
          </cell>
          <cell r="AU86">
            <v>0</v>
          </cell>
          <cell r="AY86">
            <v>0</v>
          </cell>
          <cell r="BC86">
            <v>0</v>
          </cell>
          <cell r="BG86">
            <v>0</v>
          </cell>
          <cell r="BK86">
            <v>0</v>
          </cell>
          <cell r="BM86" t="str">
            <v>Net Debt</v>
          </cell>
          <cell r="BN86">
            <v>1298.5000000000002</v>
          </cell>
        </row>
        <row r="87">
          <cell r="A87" t="str">
            <v>Non-impairment write-offs</v>
          </cell>
          <cell r="T87">
            <v>0</v>
          </cell>
          <cell r="X87">
            <v>0</v>
          </cell>
          <cell r="AF87">
            <v>0</v>
          </cell>
          <cell r="AL87">
            <v>0</v>
          </cell>
          <cell r="AQ87">
            <v>0</v>
          </cell>
          <cell r="AU87">
            <v>0</v>
          </cell>
          <cell r="AY87">
            <v>0</v>
          </cell>
          <cell r="BC87">
            <v>0</v>
          </cell>
          <cell r="BG87">
            <v>0</v>
          </cell>
          <cell r="BK87">
            <v>0</v>
          </cell>
          <cell r="BM87" t="str">
            <v>Equity</v>
          </cell>
          <cell r="BN87">
            <v>2350.7767466100004</v>
          </cell>
          <cell r="BP87">
            <v>125</v>
          </cell>
          <cell r="BQ87">
            <v>5.3173913762869889E-2</v>
          </cell>
        </row>
        <row r="88">
          <cell r="A88" t="str">
            <v>Cumulative goodwill amortization</v>
          </cell>
          <cell r="T88">
            <v>0</v>
          </cell>
          <cell r="X88">
            <v>0</v>
          </cell>
          <cell r="AF88">
            <v>0</v>
          </cell>
          <cell r="AL88">
            <v>0</v>
          </cell>
          <cell r="AQ88">
            <v>0</v>
          </cell>
          <cell r="AU88">
            <v>0</v>
          </cell>
          <cell r="AY88">
            <v>0</v>
          </cell>
          <cell r="BC88">
            <v>0</v>
          </cell>
          <cell r="BG88">
            <v>0</v>
          </cell>
          <cell r="BK88">
            <v>0</v>
          </cell>
          <cell r="BM88" t="str">
            <v>EV</v>
          </cell>
          <cell r="BN88">
            <v>3649.2767466100004</v>
          </cell>
        </row>
        <row r="89">
          <cell r="A89" t="str">
            <v>Adj for write-offs, amort, etc.</v>
          </cell>
          <cell r="T89">
            <v>0</v>
          </cell>
          <cell r="X89">
            <v>0</v>
          </cell>
          <cell r="AF89">
            <v>0</v>
          </cell>
          <cell r="AL89">
            <v>0</v>
          </cell>
          <cell r="AQ89">
            <v>0</v>
          </cell>
          <cell r="AU89">
            <v>0</v>
          </cell>
          <cell r="AY89">
            <v>0</v>
          </cell>
          <cell r="BC89">
            <v>0</v>
          </cell>
          <cell r="BG89">
            <v>0</v>
          </cell>
          <cell r="BK89">
            <v>0</v>
          </cell>
          <cell r="BM89" t="str">
            <v>EBITDA</v>
          </cell>
          <cell r="BN89">
            <v>415.03685628506406</v>
          </cell>
        </row>
        <row r="90">
          <cell r="A90" t="str">
            <v>Gross Goodwill</v>
          </cell>
          <cell r="T90">
            <v>0</v>
          </cell>
          <cell r="X90">
            <v>0</v>
          </cell>
          <cell r="AF90">
            <v>0</v>
          </cell>
          <cell r="AL90">
            <v>795.8</v>
          </cell>
          <cell r="AQ90">
            <v>770.9</v>
          </cell>
          <cell r="AU90">
            <v>769.1</v>
          </cell>
          <cell r="AY90">
            <v>758.7</v>
          </cell>
          <cell r="BC90">
            <v>1558.7</v>
          </cell>
          <cell r="BG90">
            <v>1558.7</v>
          </cell>
          <cell r="BK90">
            <v>1558.7</v>
          </cell>
          <cell r="BM90" t="str">
            <v>EV/EBITDA</v>
          </cell>
          <cell r="BN90">
            <v>8.7926570649030023</v>
          </cell>
        </row>
        <row r="92">
          <cell r="A92" t="str">
            <v>Current price</v>
          </cell>
          <cell r="AF92">
            <v>10.59</v>
          </cell>
          <cell r="BM92" t="str">
            <v>EPS</v>
          </cell>
          <cell r="BN92">
            <v>0.82506823839504573</v>
          </cell>
          <cell r="BO92">
            <v>0.88915300657620011</v>
          </cell>
          <cell r="BP92">
            <v>0.74818673391097312</v>
          </cell>
          <cell r="BQ92">
            <v>0.67445376475082008</v>
          </cell>
        </row>
        <row r="93">
          <cell r="BM93" t="str">
            <v>P/E</v>
          </cell>
          <cell r="BN93">
            <v>13.417072049135944</v>
          </cell>
          <cell r="BO93">
            <v>12.450050686581472</v>
          </cell>
          <cell r="BP93">
            <v>14.795771561110334</v>
          </cell>
          <cell r="BQ93">
            <v>16.413282241948579</v>
          </cell>
        </row>
        <row r="94">
          <cell r="A94" t="str">
            <v>Adjustment for restatement</v>
          </cell>
        </row>
        <row r="95">
          <cell r="BN95" t="str">
            <v>Pre acquisitons</v>
          </cell>
          <cell r="BO95" t="str">
            <v>Post acquisitions</v>
          </cell>
        </row>
        <row r="96">
          <cell r="BM96" t="str">
            <v>EBITDA/ Interest</v>
          </cell>
          <cell r="BN96">
            <v>5.0999999999999996</v>
          </cell>
          <cell r="BO96">
            <v>3.0730465370258586</v>
          </cell>
        </row>
        <row r="97">
          <cell r="BM97" t="str">
            <v>Total Debt/ EBITDA</v>
          </cell>
          <cell r="BN97">
            <v>2.5</v>
          </cell>
          <cell r="BO97">
            <v>4.5022729792457179</v>
          </cell>
        </row>
      </sheetData>
      <sheetData sheetId="15"/>
      <sheetData sheetId="16" refreshError="1"/>
      <sheetData sheetId="17" refreshError="1"/>
      <sheetData sheetId="18" refreshError="1">
        <row r="1">
          <cell r="A1" t="str">
            <v>Del Monte</v>
          </cell>
        </row>
        <row r="3">
          <cell r="A3" t="str">
            <v>LBO / Recapitalization Summary</v>
          </cell>
        </row>
        <row r="4">
          <cell r="A4" t="str">
            <v>($ In Millions)</v>
          </cell>
        </row>
        <row r="5">
          <cell r="L5" t="str">
            <v>Agg. Consid. Paid ($ In Millions)</v>
          </cell>
          <cell r="O5">
            <v>3116.8460910200829</v>
          </cell>
        </row>
        <row r="6">
          <cell r="B6" t="str">
            <v>Sources</v>
          </cell>
          <cell r="H6" t="str">
            <v>Uses</v>
          </cell>
          <cell r="L6" t="str">
            <v>Current Share Price (03/15/06)</v>
          </cell>
          <cell r="O6">
            <v>11.07</v>
          </cell>
        </row>
        <row r="7">
          <cell r="D7" t="str">
            <v>Amount</v>
          </cell>
          <cell r="E7" t="str">
            <v>Percent</v>
          </cell>
          <cell r="F7" t="str">
            <v>Rate</v>
          </cell>
          <cell r="I7" t="str">
            <v>Amount</v>
          </cell>
          <cell r="J7" t="str">
            <v xml:space="preserve">Percent </v>
          </cell>
          <cell r="K7" t="str">
            <v>Rate</v>
          </cell>
          <cell r="L7" t="str">
            <v>Price Paid Per Share</v>
          </cell>
          <cell r="O7">
            <v>14.634540000000001</v>
          </cell>
        </row>
        <row r="8">
          <cell r="L8" t="str">
            <v>Premium to Current Price</v>
          </cell>
          <cell r="O8">
            <v>0.32200000000000001</v>
          </cell>
        </row>
        <row r="9">
          <cell r="B9" t="str">
            <v>Cash</v>
          </cell>
          <cell r="D9">
            <v>10</v>
          </cell>
          <cell r="E9">
            <v>3.1766053920774446E-3</v>
          </cell>
          <cell r="F9">
            <v>0.03</v>
          </cell>
          <cell r="H9" t="str">
            <v>Purchase Equity</v>
          </cell>
          <cell r="I9">
            <v>3116.8460910200829</v>
          </cell>
          <cell r="J9">
            <v>0.99009900990099009</v>
          </cell>
          <cell r="L9" t="str">
            <v>Aggregate Consideration Multiples</v>
          </cell>
        </row>
        <row r="10">
          <cell r="B10" t="str">
            <v>Equity Stakes</v>
          </cell>
          <cell r="D10">
            <v>0</v>
          </cell>
          <cell r="E10">
            <v>0</v>
          </cell>
          <cell r="H10" t="str">
            <v>Fees &amp; Other</v>
          </cell>
          <cell r="I10">
            <v>31.168460910200828</v>
          </cell>
          <cell r="J10">
            <v>9.9009900990099011E-3</v>
          </cell>
          <cell r="K10">
            <v>0.01</v>
          </cell>
          <cell r="L10" t="str">
            <v xml:space="preserve">   2005 EBITDA</v>
          </cell>
          <cell r="O10">
            <v>9.6769916321264304</v>
          </cell>
        </row>
        <row r="11">
          <cell r="B11" t="str">
            <v>New Debt</v>
          </cell>
          <cell r="D11">
            <v>2193.6101863511985</v>
          </cell>
          <cell r="E11">
            <v>0.69682339460792253</v>
          </cell>
          <cell r="F11">
            <v>7.4999999999999997E-2</v>
          </cell>
          <cell r="L11" t="str">
            <v xml:space="preserve">   2006 EBITDA</v>
          </cell>
          <cell r="O11">
            <v>10.732243124657478</v>
          </cell>
        </row>
        <row r="12">
          <cell r="B12" t="str">
            <v>New Equity</v>
          </cell>
          <cell r="D12">
            <v>944.40436557908504</v>
          </cell>
          <cell r="E12">
            <v>0.3</v>
          </cell>
          <cell r="L12" t="str">
            <v xml:space="preserve">   2005 Sales</v>
          </cell>
          <cell r="O12">
            <v>0.97986296048919574</v>
          </cell>
        </row>
        <row r="13">
          <cell r="L13" t="str">
            <v xml:space="preserve">   2006 Sales</v>
          </cell>
          <cell r="O13">
            <v>1.0372319053313868</v>
          </cell>
        </row>
        <row r="14">
          <cell r="F14">
            <v>7.4999999999999997E-2</v>
          </cell>
        </row>
        <row r="15">
          <cell r="L15" t="str">
            <v>Exit EBITDA</v>
          </cell>
          <cell r="M15" t="str">
            <v>Aggregate</v>
          </cell>
          <cell r="N15" t="str">
            <v>Equity</v>
          </cell>
          <cell r="O15" t="str">
            <v>5-Year</v>
          </cell>
        </row>
        <row r="16">
          <cell r="L16" t="str">
            <v>Multiple (x)</v>
          </cell>
          <cell r="M16" t="str">
            <v>Value</v>
          </cell>
          <cell r="N16" t="str">
            <v>Value</v>
          </cell>
          <cell r="O16" t="str">
            <v>Returns</v>
          </cell>
        </row>
        <row r="17">
          <cell r="B17" t="str">
            <v>Total Sources</v>
          </cell>
          <cell r="D17">
            <v>3148.0145519302837</v>
          </cell>
          <cell r="E17">
            <v>1</v>
          </cell>
          <cell r="H17" t="str">
            <v>Total Uses</v>
          </cell>
          <cell r="I17">
            <v>3148.0145519302837</v>
          </cell>
          <cell r="J17">
            <v>1</v>
          </cell>
          <cell r="L17">
            <v>7.5</v>
          </cell>
          <cell r="M17">
            <v>3969.5011449711405</v>
          </cell>
          <cell r="N17">
            <v>1045.6127920805029</v>
          </cell>
          <cell r="O17">
            <v>2.0569488680455671E-2</v>
          </cell>
        </row>
        <row r="18">
          <cell r="L18">
            <v>9.75</v>
          </cell>
          <cell r="M18">
            <v>5160.3514884624828</v>
          </cell>
          <cell r="N18">
            <v>2236.4631355718452</v>
          </cell>
          <cell r="O18">
            <v>0.18817593376475486</v>
          </cell>
        </row>
        <row r="19">
          <cell r="L19">
            <v>12</v>
          </cell>
          <cell r="M19">
            <v>6351.2018319538256</v>
          </cell>
          <cell r="N19">
            <v>3427.313479063188</v>
          </cell>
          <cell r="O19">
            <v>0.29407416975943323</v>
          </cell>
        </row>
        <row r="21">
          <cell r="E21" t="str">
            <v>PF</v>
          </cell>
          <cell r="F21" t="str">
            <v>Projected</v>
          </cell>
        </row>
        <row r="22">
          <cell r="E22">
            <v>2005</v>
          </cell>
          <cell r="F22">
            <v>2006</v>
          </cell>
          <cell r="G22">
            <v>2007</v>
          </cell>
          <cell r="H22">
            <v>2008</v>
          </cell>
          <cell r="I22">
            <v>2009</v>
          </cell>
          <cell r="J22">
            <v>2010</v>
          </cell>
          <cell r="K22">
            <v>2011</v>
          </cell>
          <cell r="L22">
            <v>2012</v>
          </cell>
          <cell r="M22">
            <v>2013</v>
          </cell>
          <cell r="N22">
            <v>2014</v>
          </cell>
          <cell r="O22">
            <v>2015</v>
          </cell>
        </row>
        <row r="23">
          <cell r="B23" t="str">
            <v>FINANCIALS</v>
          </cell>
        </row>
        <row r="24">
          <cell r="B24" t="str">
            <v>Sales</v>
          </cell>
          <cell r="E24">
            <v>3180.9</v>
          </cell>
          <cell r="F24">
            <v>3004.9654999999998</v>
          </cell>
          <cell r="G24">
            <v>3433.1730837499999</v>
          </cell>
          <cell r="H24">
            <v>3519.0024108437497</v>
          </cell>
          <cell r="I24">
            <v>3642.1674952232806</v>
          </cell>
          <cell r="J24">
            <v>3667.6626676898431</v>
          </cell>
          <cell r="K24">
            <v>3693.3363063636716</v>
          </cell>
        </row>
        <row r="25">
          <cell r="B25" t="str">
            <v>EBITDA</v>
          </cell>
          <cell r="E25">
            <v>444.15105999999997</v>
          </cell>
          <cell r="F25">
            <v>400.47975442759616</v>
          </cell>
          <cell r="G25">
            <v>489.93031079371497</v>
          </cell>
          <cell r="H25">
            <v>482.75781221161998</v>
          </cell>
          <cell r="I25">
            <v>499.56492696023071</v>
          </cell>
          <cell r="J25">
            <v>529.26681932948543</v>
          </cell>
          <cell r="K25">
            <v>559.97033664686376</v>
          </cell>
        </row>
        <row r="26">
          <cell r="B26" t="str">
            <v>Cost Savings/Synergies</v>
          </cell>
          <cell r="E26">
            <v>0</v>
          </cell>
          <cell r="F26">
            <v>0</v>
          </cell>
          <cell r="G26">
            <v>0</v>
          </cell>
          <cell r="H26">
            <v>0</v>
          </cell>
          <cell r="I26">
            <v>0</v>
          </cell>
          <cell r="J26">
            <v>0</v>
          </cell>
          <cell r="K26">
            <v>0</v>
          </cell>
        </row>
        <row r="27">
          <cell r="B27" t="str">
            <v>EBIT</v>
          </cell>
          <cell r="E27">
            <v>353.65105999999997</v>
          </cell>
          <cell r="F27">
            <v>308.47975442759616</v>
          </cell>
          <cell r="G27">
            <v>394.81490463124999</v>
          </cell>
          <cell r="H27">
            <v>387.09026519281247</v>
          </cell>
          <cell r="I27">
            <v>411.56492696023071</v>
          </cell>
          <cell r="J27">
            <v>440.26681932948543</v>
          </cell>
          <cell r="K27">
            <v>470.97033664686376</v>
          </cell>
        </row>
        <row r="28">
          <cell r="B28" t="str">
            <v>Existing Interest Expense (Income)</v>
          </cell>
          <cell r="E28">
            <v>97.379400000000018</v>
          </cell>
          <cell r="F28">
            <v>97.379400000000018</v>
          </cell>
          <cell r="G28">
            <v>97.379400000000018</v>
          </cell>
          <cell r="H28">
            <v>97.379400000000018</v>
          </cell>
          <cell r="I28">
            <v>97.379400000000018</v>
          </cell>
          <cell r="J28">
            <v>97.379400000000018</v>
          </cell>
          <cell r="K28">
            <v>97.379400000000018</v>
          </cell>
        </row>
        <row r="29">
          <cell r="B29" t="str">
            <v>New Interest</v>
          </cell>
          <cell r="E29">
            <v>162.62076397633987</v>
          </cell>
          <cell r="F29">
            <v>156.60599731123969</v>
          </cell>
          <cell r="G29">
            <v>151.61200970532914</v>
          </cell>
          <cell r="H29">
            <v>152.11158835003161</v>
          </cell>
          <cell r="I29">
            <v>144.12270777253514</v>
          </cell>
          <cell r="J29">
            <v>135.97314043537398</v>
          </cell>
          <cell r="K29">
            <v>124.50162646679782</v>
          </cell>
        </row>
        <row r="30">
          <cell r="B30" t="str">
            <v>Total Gross Interest</v>
          </cell>
          <cell r="E30">
            <v>260.00016397633988</v>
          </cell>
          <cell r="F30">
            <v>253.98539731123969</v>
          </cell>
          <cell r="G30">
            <v>248.99140970532915</v>
          </cell>
          <cell r="H30">
            <v>249.49098835003161</v>
          </cell>
          <cell r="I30">
            <v>241.50210777253517</v>
          </cell>
          <cell r="J30">
            <v>233.35254043537401</v>
          </cell>
          <cell r="K30">
            <v>221.88102646679783</v>
          </cell>
        </row>
        <row r="31">
          <cell r="B31" t="str">
            <v>Pretax Income</v>
          </cell>
          <cell r="E31">
            <v>93.650896023660096</v>
          </cell>
          <cell r="F31">
            <v>54.494357116356468</v>
          </cell>
          <cell r="G31">
            <v>145.82349492592084</v>
          </cell>
          <cell r="H31">
            <v>137.59927684278085</v>
          </cell>
          <cell r="I31">
            <v>170.06281918769554</v>
          </cell>
          <cell r="J31">
            <v>206.91427889411142</v>
          </cell>
          <cell r="K31">
            <v>249.08931018006592</v>
          </cell>
        </row>
        <row r="32">
          <cell r="B32" t="str">
            <v>Tax</v>
          </cell>
          <cell r="E32">
            <v>35.58734048899084</v>
          </cell>
          <cell r="F32">
            <v>20.707855704215458</v>
          </cell>
          <cell r="G32">
            <v>55.412928071849919</v>
          </cell>
          <cell r="H32">
            <v>52.287725200256723</v>
          </cell>
          <cell r="I32">
            <v>64.623871291324306</v>
          </cell>
          <cell r="J32">
            <v>78.627425979762336</v>
          </cell>
          <cell r="K32">
            <v>94.653937868425047</v>
          </cell>
        </row>
        <row r="33">
          <cell r="B33" t="str">
            <v>Net Income</v>
          </cell>
          <cell r="E33">
            <v>58.063555534669256</v>
          </cell>
          <cell r="F33">
            <v>33.786501412141007</v>
          </cell>
          <cell r="G33">
            <v>90.410566854070922</v>
          </cell>
          <cell r="H33">
            <v>85.311551642524137</v>
          </cell>
          <cell r="I33">
            <v>105.43894789637123</v>
          </cell>
          <cell r="J33">
            <v>128.28685291434908</v>
          </cell>
          <cell r="K33">
            <v>154.43537231164089</v>
          </cell>
        </row>
        <row r="35">
          <cell r="B35" t="str">
            <v>D&amp;A</v>
          </cell>
          <cell r="E35">
            <v>90.5</v>
          </cell>
          <cell r="F35">
            <v>92</v>
          </cell>
          <cell r="G35">
            <v>95.115406162464978</v>
          </cell>
          <cell r="H35">
            <v>95.667547018807511</v>
          </cell>
          <cell r="I35">
            <v>88</v>
          </cell>
          <cell r="J35">
            <v>89</v>
          </cell>
          <cell r="K35">
            <v>89</v>
          </cell>
        </row>
        <row r="36">
          <cell r="B36" t="str">
            <v>Chg. in Working Cap.</v>
          </cell>
          <cell r="E36">
            <v>-8.5999999999999979</v>
          </cell>
          <cell r="F36">
            <v>13.900000000000002</v>
          </cell>
          <cell r="G36">
            <v>-131.52035494590265</v>
          </cell>
          <cell r="H36">
            <v>-19.12735762804499</v>
          </cell>
          <cell r="I36">
            <v>-28.111383400889338</v>
          </cell>
          <cell r="J36">
            <v>-5</v>
          </cell>
          <cell r="K36">
            <v>-5</v>
          </cell>
        </row>
        <row r="37">
          <cell r="B37" t="str">
            <v>Capital Expenditures</v>
          </cell>
          <cell r="E37">
            <v>-73.099999999999994</v>
          </cell>
          <cell r="F37">
            <v>-69.099999999999994</v>
          </cell>
          <cell r="G37">
            <v>-70</v>
          </cell>
          <cell r="H37">
            <v>-70</v>
          </cell>
          <cell r="I37">
            <v>-70</v>
          </cell>
          <cell r="J37">
            <v>-70</v>
          </cell>
          <cell r="K37">
            <v>-70</v>
          </cell>
        </row>
        <row r="38">
          <cell r="B38" t="str">
            <v>Other</v>
          </cell>
          <cell r="E38">
            <v>0</v>
          </cell>
          <cell r="F38">
            <v>0</v>
          </cell>
          <cell r="G38">
            <v>0</v>
          </cell>
          <cell r="H38">
            <v>0</v>
          </cell>
          <cell r="I38">
            <v>0</v>
          </cell>
          <cell r="J38">
            <v>0</v>
          </cell>
          <cell r="K38">
            <v>0</v>
          </cell>
        </row>
        <row r="39">
          <cell r="B39" t="str">
            <v>Free Cash Flow</v>
          </cell>
          <cell r="E39">
            <v>66.863555534669274</v>
          </cell>
          <cell r="F39">
            <v>70.586501412141018</v>
          </cell>
          <cell r="G39">
            <v>-15.994381929366767</v>
          </cell>
          <cell r="H39">
            <v>91.851741033286658</v>
          </cell>
          <cell r="I39">
            <v>95.327564495481909</v>
          </cell>
          <cell r="J39">
            <v>142.28685291434908</v>
          </cell>
          <cell r="K39">
            <v>168.43537231164089</v>
          </cell>
        </row>
        <row r="41">
          <cell r="B41" t="str">
            <v>Cash</v>
          </cell>
          <cell r="E41">
            <v>125.9</v>
          </cell>
          <cell r="F41">
            <v>125.9</v>
          </cell>
          <cell r="G41">
            <v>125.9</v>
          </cell>
          <cell r="H41">
            <v>125.9</v>
          </cell>
          <cell r="I41">
            <v>125.9</v>
          </cell>
          <cell r="J41">
            <v>125.9</v>
          </cell>
          <cell r="K41">
            <v>125.9</v>
          </cell>
          <cell r="L41" t="str">
            <v>NA</v>
          </cell>
          <cell r="M41" t="str">
            <v>NA</v>
          </cell>
          <cell r="N41" t="str">
            <v>NA</v>
          </cell>
          <cell r="O41" t="str">
            <v>NA</v>
          </cell>
        </row>
        <row r="42">
          <cell r="B42" t="str">
            <v>Working Capital</v>
          </cell>
          <cell r="E42">
            <v>928.39999999999986</v>
          </cell>
          <cell r="F42">
            <v>914.49999999999989</v>
          </cell>
          <cell r="G42">
            <v>1046.0203549459025</v>
          </cell>
          <cell r="H42">
            <v>1065.1477125739475</v>
          </cell>
          <cell r="I42">
            <v>1093.2590959748368</v>
          </cell>
          <cell r="J42">
            <v>1098.2590959748368</v>
          </cell>
          <cell r="K42">
            <v>1103.2590959748368</v>
          </cell>
          <cell r="L42" t="str">
            <v>NA</v>
          </cell>
          <cell r="M42" t="str">
            <v>NA</v>
          </cell>
          <cell r="N42" t="str">
            <v>NA</v>
          </cell>
          <cell r="O42" t="str">
            <v>NA</v>
          </cell>
        </row>
        <row r="43">
          <cell r="B43" t="str">
            <v>Existing Debt</v>
          </cell>
          <cell r="E43">
            <v>1307.1000000000001</v>
          </cell>
          <cell r="F43">
            <v>1307.1000000000001</v>
          </cell>
          <cell r="G43">
            <v>1307.1000000000001</v>
          </cell>
          <cell r="H43">
            <v>1307.1000000000001</v>
          </cell>
          <cell r="I43">
            <v>1307.1000000000001</v>
          </cell>
          <cell r="J43">
            <v>1307.1000000000001</v>
          </cell>
          <cell r="K43">
            <v>1307.1000000000001</v>
          </cell>
          <cell r="L43" t="str">
            <v>NA</v>
          </cell>
          <cell r="M43" t="str">
            <v>NA</v>
          </cell>
          <cell r="N43" t="str">
            <v>NA</v>
          </cell>
          <cell r="O43" t="str">
            <v>NA</v>
          </cell>
        </row>
        <row r="44">
          <cell r="B44" t="str">
            <v>New Debt</v>
          </cell>
          <cell r="E44">
            <v>2126.7466308165294</v>
          </cell>
          <cell r="F44">
            <v>2056.1601294043885</v>
          </cell>
          <cell r="G44">
            <v>2072.1545113337552</v>
          </cell>
          <cell r="H44">
            <v>1980.3027703004686</v>
          </cell>
          <cell r="I44">
            <v>1884.9752058049867</v>
          </cell>
          <cell r="J44">
            <v>1742.6883528906376</v>
          </cell>
          <cell r="K44">
            <v>1574.2529805789968</v>
          </cell>
          <cell r="L44" t="str">
            <v>NA</v>
          </cell>
          <cell r="M44" t="str">
            <v>NA</v>
          </cell>
          <cell r="N44" t="str">
            <v>NA</v>
          </cell>
          <cell r="O44" t="str">
            <v>NA</v>
          </cell>
        </row>
        <row r="45">
          <cell r="B45" t="str">
            <v>Total Debt</v>
          </cell>
          <cell r="E45">
            <v>3433.8466308165298</v>
          </cell>
          <cell r="F45">
            <v>3363.2601294043889</v>
          </cell>
          <cell r="G45">
            <v>3379.2545113337555</v>
          </cell>
          <cell r="H45">
            <v>3287.4027703004685</v>
          </cell>
          <cell r="I45">
            <v>3192.0752058049866</v>
          </cell>
          <cell r="J45">
            <v>3049.7883528906377</v>
          </cell>
          <cell r="K45">
            <v>2881.3529805789967</v>
          </cell>
          <cell r="L45" t="str">
            <v>NA</v>
          </cell>
          <cell r="M45" t="str">
            <v>NA</v>
          </cell>
          <cell r="N45" t="str">
            <v>NA</v>
          </cell>
          <cell r="O45" t="str">
            <v>NA</v>
          </cell>
        </row>
        <row r="46">
          <cell r="B46" t="str">
            <v>Net Debt</v>
          </cell>
          <cell r="E46">
            <v>3307.9466308165297</v>
          </cell>
          <cell r="F46">
            <v>3237.3601294043888</v>
          </cell>
          <cell r="G46">
            <v>3253.3545113337555</v>
          </cell>
          <cell r="H46">
            <v>3161.5027703004685</v>
          </cell>
          <cell r="I46">
            <v>3066.1752058049865</v>
          </cell>
          <cell r="J46">
            <v>2923.8883528906376</v>
          </cell>
          <cell r="K46">
            <v>2755.4529805789966</v>
          </cell>
          <cell r="L46" t="str">
            <v>NA</v>
          </cell>
          <cell r="M46" t="str">
            <v>NA</v>
          </cell>
          <cell r="N46" t="str">
            <v>NA</v>
          </cell>
          <cell r="O46" t="str">
            <v>NA</v>
          </cell>
        </row>
        <row r="47">
          <cell r="B47" t="str">
            <v>Equity</v>
          </cell>
          <cell r="E47">
            <v>944.40436557908504</v>
          </cell>
          <cell r="F47">
            <v>978.19086699122602</v>
          </cell>
          <cell r="G47">
            <v>1068.6014338452969</v>
          </cell>
          <cell r="H47">
            <v>1153.9129854878211</v>
          </cell>
          <cell r="I47">
            <v>1259.3519333841923</v>
          </cell>
          <cell r="J47">
            <v>1387.6387862985414</v>
          </cell>
          <cell r="K47">
            <v>1542.0741586101822</v>
          </cell>
          <cell r="L47" t="str">
            <v>NA</v>
          </cell>
          <cell r="M47" t="str">
            <v>NA</v>
          </cell>
          <cell r="N47" t="str">
            <v>NA</v>
          </cell>
          <cell r="O47" t="str">
            <v>NA</v>
          </cell>
        </row>
        <row r="48">
          <cell r="B48" t="str">
            <v>Total Capitalization</v>
          </cell>
          <cell r="E48">
            <v>4378.2509963956145</v>
          </cell>
          <cell r="F48">
            <v>4341.4509963956152</v>
          </cell>
          <cell r="G48">
            <v>4447.8559451790525</v>
          </cell>
          <cell r="H48">
            <v>4441.3157557882896</v>
          </cell>
          <cell r="I48">
            <v>4451.4271391891789</v>
          </cell>
          <cell r="J48">
            <v>4437.4271391891789</v>
          </cell>
          <cell r="K48">
            <v>4423.4271391891789</v>
          </cell>
          <cell r="L48" t="str">
            <v>NA</v>
          </cell>
          <cell r="M48" t="str">
            <v>NA</v>
          </cell>
          <cell r="N48" t="str">
            <v>NA</v>
          </cell>
          <cell r="O48" t="str">
            <v>NA</v>
          </cell>
        </row>
        <row r="50">
          <cell r="B50" t="str">
            <v>CREDIT STATISTICS</v>
          </cell>
        </row>
        <row r="51">
          <cell r="B51" t="str">
            <v>EBIT Margin</v>
          </cell>
          <cell r="E51">
            <v>11.117955924423905</v>
          </cell>
          <cell r="F51">
            <v>10.265667090939852</v>
          </cell>
          <cell r="G51">
            <v>11.5</v>
          </cell>
          <cell r="H51">
            <v>11</v>
          </cell>
          <cell r="I51">
            <v>11.3</v>
          </cell>
          <cell r="J51">
            <v>12.004016160155672</v>
          </cell>
          <cell r="K51">
            <v>12.751894156927305</v>
          </cell>
          <cell r="L51" t="str">
            <v>NM</v>
          </cell>
          <cell r="M51" t="str">
            <v>NM</v>
          </cell>
          <cell r="N51" t="str">
            <v>NM</v>
          </cell>
          <cell r="O51" t="str">
            <v>NM</v>
          </cell>
        </row>
        <row r="52">
          <cell r="B52" t="str">
            <v>EBITDA / Interest</v>
          </cell>
          <cell r="E52">
            <v>1.7082722303222004</v>
          </cell>
          <cell r="F52">
            <v>1.5767825972169527</v>
          </cell>
          <cell r="G52">
            <v>1.9676594922432338</v>
          </cell>
          <cell r="H52">
            <v>1.9349709398494144</v>
          </cell>
          <cell r="I52">
            <v>2.0685737758891882</v>
          </cell>
          <cell r="J52">
            <v>2.268099667318872</v>
          </cell>
          <cell r="K52">
            <v>2.5237414192811003</v>
          </cell>
          <cell r="L52" t="str">
            <v>NM</v>
          </cell>
          <cell r="M52" t="str">
            <v>NM</v>
          </cell>
          <cell r="N52" t="str">
            <v>NM</v>
          </cell>
          <cell r="O52" t="str">
            <v>NM</v>
          </cell>
        </row>
        <row r="53">
          <cell r="B53" t="str">
            <v>(EBITDA - Capex) / Interest</v>
          </cell>
          <cell r="E53">
            <v>1.4271185614858528</v>
          </cell>
          <cell r="F53">
            <v>1.3047197119821641</v>
          </cell>
          <cell r="G53">
            <v>1.6865252953533008</v>
          </cell>
          <cell r="H53">
            <v>1.6543996836973036</v>
          </cell>
          <cell r="I53">
            <v>1.778721233211046</v>
          </cell>
          <cell r="J53">
            <v>1.9681243601317355</v>
          </cell>
          <cell r="K53">
            <v>2.2082570305766214</v>
          </cell>
          <cell r="L53" t="str">
            <v>NM</v>
          </cell>
          <cell r="M53" t="str">
            <v>NM</v>
          </cell>
          <cell r="N53" t="str">
            <v>NM</v>
          </cell>
          <cell r="O53" t="str">
            <v>NM</v>
          </cell>
        </row>
        <row r="54">
          <cell r="B54" t="str">
            <v>(EBITDA - Capex - W/C)/ Interest</v>
          </cell>
          <cell r="E54">
            <v>1.3940416592698117</v>
          </cell>
          <cell r="F54">
            <v>1.3594472677674543</v>
          </cell>
          <cell r="G54">
            <v>1.158312875890511</v>
          </cell>
          <cell r="H54">
            <v>1.5777341586034288</v>
          </cell>
          <cell r="I54">
            <v>1.6623190052546477</v>
          </cell>
          <cell r="J54">
            <v>1.9466975524755115</v>
          </cell>
          <cell r="K54">
            <v>2.1857224313834447</v>
          </cell>
          <cell r="L54" t="str">
            <v>NM</v>
          </cell>
          <cell r="M54" t="str">
            <v>NM</v>
          </cell>
          <cell r="N54" t="str">
            <v>NM</v>
          </cell>
          <cell r="O54" t="str">
            <v>NM</v>
          </cell>
        </row>
        <row r="55">
          <cell r="B55" t="str">
            <v>EBIT / Interest</v>
          </cell>
          <cell r="E55">
            <v>1.3601955267696768</v>
          </cell>
          <cell r="F55">
            <v>1.2145570481344556</v>
          </cell>
          <cell r="G55">
            <v>1.5856567304811713</v>
          </cell>
          <cell r="H55">
            <v>1.5515200278485868</v>
          </cell>
          <cell r="I55">
            <v>1.7041877222366666</v>
          </cell>
          <cell r="J55">
            <v>1.8867024910380843</v>
          </cell>
          <cell r="K55">
            <v>2.1226255536425489</v>
          </cell>
          <cell r="L55" t="str">
            <v>NM</v>
          </cell>
          <cell r="M55" t="str">
            <v>NM</v>
          </cell>
          <cell r="N55" t="str">
            <v>NM</v>
          </cell>
          <cell r="O55" t="str">
            <v>NM</v>
          </cell>
        </row>
        <row r="56">
          <cell r="B56" t="str">
            <v>Free Cash Flow / Debt (%)</v>
          </cell>
          <cell r="E56">
            <v>1.9471910869464162</v>
          </cell>
          <cell r="F56">
            <v>2.098752362180246</v>
          </cell>
          <cell r="G56">
            <v>-0.47331095884381774</v>
          </cell>
          <cell r="H56">
            <v>2.7940519446873679</v>
          </cell>
          <cell r="I56">
            <v>2.9863821604867837</v>
          </cell>
          <cell r="J56">
            <v>4.6654664668611296</v>
          </cell>
          <cell r="K56">
            <v>5.8457042037867382</v>
          </cell>
          <cell r="L56" t="str">
            <v>NM</v>
          </cell>
          <cell r="M56" t="str">
            <v>NM</v>
          </cell>
          <cell r="N56" t="str">
            <v>NM</v>
          </cell>
          <cell r="O56" t="str">
            <v>NM</v>
          </cell>
        </row>
        <row r="57">
          <cell r="B57" t="str">
            <v>Net Debt / EBITDA (x)</v>
          </cell>
          <cell r="E57">
            <v>7.4477963214058969</v>
          </cell>
          <cell r="F57">
            <v>8.083704840539399</v>
          </cell>
          <cell r="G57">
            <v>6.6404434256438147</v>
          </cell>
          <cell r="H57">
            <v>6.5488381344196736</v>
          </cell>
          <cell r="I57">
            <v>6.1376910994575846</v>
          </cell>
          <cell r="J57">
            <v>5.5244127273930319</v>
          </cell>
          <cell r="K57">
            <v>4.9207124025154902</v>
          </cell>
          <cell r="L57" t="str">
            <v>NM</v>
          </cell>
          <cell r="M57" t="str">
            <v>NM</v>
          </cell>
          <cell r="N57" t="str">
            <v>NM</v>
          </cell>
          <cell r="O57" t="str">
            <v>NM</v>
          </cell>
        </row>
        <row r="58">
          <cell r="B58" t="str">
            <v>Net Debt / Book Cap (%)</v>
          </cell>
          <cell r="E58">
            <v>75.554065619805471</v>
          </cell>
          <cell r="F58">
            <v>74.568620769694931</v>
          </cell>
          <cell r="G58">
            <v>73.144331818120264</v>
          </cell>
          <cell r="H58">
            <v>71.183922606271281</v>
          </cell>
          <cell r="I58">
            <v>68.880723191247966</v>
          </cell>
          <cell r="J58">
            <v>65.891523650457046</v>
          </cell>
          <cell r="K58">
            <v>62.292265564118132</v>
          </cell>
          <cell r="L58" t="str">
            <v>NM</v>
          </cell>
          <cell r="M58" t="str">
            <v>NM</v>
          </cell>
          <cell r="N58" t="str">
            <v>NM</v>
          </cell>
          <cell r="O58" t="str">
            <v>NM</v>
          </cell>
        </row>
      </sheetData>
      <sheetData sheetId="19"/>
      <sheetData sheetId="20"/>
      <sheetData sheetId="21"/>
      <sheetData sheetId="22"/>
      <sheetData sheetId="23"/>
      <sheetData sheetId="24"/>
      <sheetData sheetId="25"/>
      <sheetData sheetId="26"/>
      <sheetData sheetId="27"/>
      <sheetData sheetId="28"/>
      <sheetData sheetId="29"/>
      <sheetData sheetId="30" refreshError="1">
        <row r="2">
          <cell r="B2" t="str">
            <v>Historical Calculations</v>
          </cell>
        </row>
        <row r="51">
          <cell r="B51" t="str">
            <v>ASSUMPTIONS</v>
          </cell>
        </row>
        <row r="61">
          <cell r="B61" t="str">
            <v>Income Statement</v>
          </cell>
          <cell r="L61" t="str">
            <v>Balance Sheet</v>
          </cell>
        </row>
      </sheetData>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Drivers"/>
      <sheetName val="__FDSCACHE__"/>
      <sheetName val="Acquiror"/>
      <sheetName val="Target"/>
      <sheetName val="New FYE Target"/>
      <sheetName val="Switches"/>
      <sheetName val="Sources &amp; Uses"/>
      <sheetName val="Combined  PF BS"/>
      <sheetName val="Combined"/>
      <sheetName val="LIBOR"/>
      <sheetName val="5-Year DCF"/>
      <sheetName val="10-Year DCF"/>
      <sheetName val="LBO Summary"/>
      <sheetName val="LBO Financials"/>
      <sheetName val="LBO PF BS"/>
      <sheetName val="Break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kery"/>
      <sheetName val="Frozen"/>
      <sheetName val="Dairy"/>
      <sheetName val="Deli"/>
      <sheetName val="Edible"/>
      <sheetName val="Top 50 Categories by PL Share"/>
      <sheetName val="Top 50 Categories by PL Growth"/>
      <sheetName val="Packaged Food"/>
      <sheetName val="Switches"/>
      <sheetName val="P&amp;L"/>
      <sheetName val="Inputs"/>
    </sheetNames>
    <sheetDataSet>
      <sheetData sheetId="0" refreshError="1"/>
      <sheetData sheetId="1"/>
      <sheetData sheetId="2"/>
      <sheetData sheetId="3"/>
      <sheetData sheetId="4"/>
      <sheetData sheetId="5"/>
      <sheetData sheetId="6"/>
      <sheetData sheetId="7"/>
      <sheetData sheetId="8" refreshError="1"/>
      <sheetData sheetId="9" refreshError="1"/>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3 Book-Cash-OC (CORE)"/>
      <sheetName val="Bakery"/>
      <sheetName val="P&amp;L"/>
    </sheetNames>
    <sheetDataSet>
      <sheetData sheetId="0" refreshError="1"/>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 Convert"/>
      <sheetName val="Sheet16"/>
      <sheetName val="Sheet15"/>
      <sheetName val="Sheet14"/>
      <sheetName val="Forward PE Data"/>
      <sheetName val="Abs_PE_v_Returns"/>
      <sheetName val="MO_PE_MSA"/>
      <sheetName val="MO_Price_MSA"/>
      <sheetName val="EV-EBITDA from 2007"/>
      <sheetName val="EV-EBITDA from 2007 (2)"/>
      <sheetName val="US Tobacco EV-EBITDA post-spin"/>
      <sheetName val="US Tobacco EV-EBITDA post-s (6)"/>
      <sheetName val="US Tobacco PE"/>
      <sheetName val="US Tobacco PE Rel to SP500"/>
      <sheetName val="US Tobacco PE Rel to SP Staples"/>
      <sheetName val="MO PE Rel to SP Staples"/>
      <sheetName val="EV-EBITDA Chart"/>
      <sheetName val="EV-EBITDA US Only"/>
      <sheetName val="EV-EBITDA US Only (2)"/>
      <sheetName val="EV-EBITDA US Only 2005"/>
      <sheetName val="LO EV-EBITDA vs MO 2005"/>
      <sheetName val="LO EV-EBITDA vs RAI 2005"/>
      <sheetName val="LO EV-EBITDA vs MO"/>
      <sheetName val="LO EV-EBITDA vs RAI"/>
      <sheetName val="NTM PE"/>
      <sheetName val="NTM PE (2)"/>
      <sheetName val="NTM PE US Only"/>
      <sheetName val="NTM PE US Only 2005"/>
      <sheetName val="LO PE vs MO 2005"/>
      <sheetName val="LO PE vs RAI 2005"/>
      <sheetName val="LO PE vs MO"/>
      <sheetName val="LO PE vs RAI"/>
      <sheetName val="MO NTM PE"/>
      <sheetName val="RAI NTM PE"/>
      <sheetName val="LO NTM PE"/>
      <sheetName val="PM NTM PE"/>
      <sheetName val="Industry PE"/>
      <sheetName val="Industry Relative PE"/>
      <sheetName val="Industry Relative PE2"/>
      <sheetName val="Industry Relative PE Staples"/>
      <sheetName val="Industry Rel PE Staples 10yr"/>
      <sheetName val="Tobacco v Staples NTM PE"/>
      <sheetName val="PM v US Tobacco"/>
      <sheetName val="PM v US Tobacco 2"/>
      <sheetName val="NTM PE US Only 2005 (2)"/>
      <sheetName val="NTM PE US Only 2005 (3)"/>
      <sheetName val="NTM PE US Only 2005 (4)"/>
      <sheetName val="PM v S&amp;P"/>
      <sheetName val="PM v Staples1"/>
      <sheetName val="PM v Staples1 (2)"/>
      <sheetName val="IMT vs. BAT"/>
      <sheetName val="Dividend Yields"/>
      <sheetName val="US Tobacco EV-EBITDA post-s (2)"/>
      <sheetName val="US Tobacco EV-EBITDA post-s (3)"/>
      <sheetName val="US Tobacco EV-EBITDA post-s (4)"/>
      <sheetName val="US Tobacco EV-EBITDA post-s (5)"/>
      <sheetName val="Div Yield Chart"/>
      <sheetName val="Div Yield Chart (3)"/>
      <sheetName val="Div Yield Chart (2)"/>
      <sheetName val="Div Yield Chart (4)"/>
      <sheetName val="Total Returns"/>
      <sheetName val="Total Returns (5)"/>
      <sheetName val="Total Returns (6)"/>
      <sheetName val="Total Returns (4)"/>
      <sheetName val="Total Returns (3)"/>
      <sheetName val="Total Returns from 6-22-09"/>
      <sheetName val="Total Returns (2)"/>
      <sheetName val="Total Returns from 6-22-09 (2)"/>
      <sheetName val="Total Returns from 6-22-09  (4)"/>
      <sheetName val="Total Returns from 6-22-09 (3)"/>
      <sheetName val="Total return chart 1"/>
      <sheetName val="Total return chart 2"/>
      <sheetName val="Total return chart 3"/>
      <sheetName val="Total return chart 4"/>
      <sheetName val="Total return chart 4 (2)"/>
      <sheetName val="USD-EUR correlation"/>
      <sheetName val="USD-EUR correlation chart"/>
      <sheetName val="USD-EUR correlation chart2"/>
      <sheetName val="USD-EUR correlation chart3"/>
      <sheetName val="Total return chart (5)"/>
      <sheetName val="REQUEST_TABLE"/>
      <sheetName val="NA_ANNUAL"/>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sheetData sheetId="16" refreshError="1"/>
      <sheetData sheetId="17" refreshError="1"/>
      <sheetData sheetId="18"/>
      <sheetData sheetId="19"/>
      <sheetData sheetId="20"/>
      <sheetData sheetId="21"/>
      <sheetData sheetId="22"/>
      <sheetData sheetId="23" refreshError="1"/>
      <sheetData sheetId="24"/>
      <sheetData sheetId="25"/>
      <sheetData sheetId="26" refreshError="1"/>
      <sheetData sheetId="27"/>
      <sheetData sheetId="28"/>
      <sheetData sheetId="29"/>
      <sheetData sheetId="30"/>
      <sheetData sheetId="31"/>
      <sheetData sheetId="32"/>
      <sheetData sheetId="33" refreshError="1"/>
      <sheetData sheetId="34"/>
      <sheetData sheetId="35"/>
      <sheetData sheetId="36" refreshError="1"/>
      <sheetData sheetId="37"/>
      <sheetData sheetId="38" refreshError="1"/>
      <sheetData sheetId="39"/>
      <sheetData sheetId="40"/>
      <sheetData sheetId="41"/>
      <sheetData sheetId="42"/>
      <sheetData sheetId="43" refreshError="1"/>
      <sheetData sheetId="44"/>
      <sheetData sheetId="45" refreshError="1"/>
      <sheetData sheetId="46" refreshError="1"/>
      <sheetData sheetId="47"/>
      <sheetData sheetId="48" refreshError="1"/>
      <sheetData sheetId="49"/>
      <sheetData sheetId="50"/>
      <sheetData sheetId="51"/>
      <sheetData sheetId="52" refreshError="1"/>
      <sheetData sheetId="53" refreshError="1"/>
      <sheetData sheetId="54"/>
      <sheetData sheetId="55" refreshError="1"/>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 sheetId="71" refreshError="1"/>
      <sheetData sheetId="72" refreshError="1"/>
      <sheetData sheetId="73" refreshError="1"/>
      <sheetData sheetId="74"/>
      <sheetData sheetId="75"/>
      <sheetData sheetId="76"/>
      <sheetData sheetId="77"/>
      <sheetData sheetId="78"/>
      <sheetData sheetId="79"/>
      <sheetData sheetId="80"/>
      <sheetData sheetId="8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0 Variance"/>
      <sheetName val="3Q10 Variance"/>
      <sheetName val="MW Valuation"/>
      <sheetName val="Sheet1 (2)"/>
      <sheetName val="MWA RR"/>
      <sheetName val="Volumes"/>
      <sheetName val="mwareTaxoPres"/>
      <sheetName val="Sheet1"/>
      <sheetName val="Valuation"/>
      <sheetName val="Cigarette Unit Analysis"/>
      <sheetName val="Per Unit Analysis"/>
      <sheetName val="__FDSCACHE__"/>
      <sheetName val="Sheet2"/>
      <sheetName val="IS Quarterly"/>
      <sheetName val="IS Annual"/>
      <sheetName val="MW-Cache"/>
      <sheetName val="BS"/>
      <sheetName val="CFS"/>
      <sheetName val="Pension"/>
      <sheetName val="OPEB"/>
      <sheetName val="OLD &gt;&gt;&gt;"/>
      <sheetName val="WaterFall"/>
      <sheetName val="mwareValPrintout"/>
      <sheetName val="Quarterly"/>
      <sheetName val="mwarePreview"/>
      <sheetName val="2Q10 Variance"/>
      <sheetName val="FY09 Variance"/>
      <sheetName val="4Q09 Variance"/>
      <sheetName val="3Q09 Variance"/>
      <sheetName val="2Q09 Variance"/>
      <sheetName val="mwareDates"/>
      <sheetName val="mwareSettings"/>
      <sheetName val="1Q11 Preview"/>
      <sheetName val="2Q11 Preview"/>
      <sheetName val="ｾｸﾞﾒﾝﾄ"/>
      <sheetName val="単独"/>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1">
          <cell r="A1" t="str">
            <v>Lorillard (LO)</v>
          </cell>
          <cell r="AY1" t="str">
            <v>Morgan Stanley Research</v>
          </cell>
          <cell r="HK1" t="str">
            <v>ElementName</v>
          </cell>
          <cell r="HL1" t="str">
            <v>ScaleOverride</v>
          </cell>
          <cell r="HM1" t="str">
            <v>UnitOverride</v>
          </cell>
          <cell r="HN1" t="str">
            <v>ReverseSign</v>
          </cell>
          <cell r="HO1" t="str">
            <v>IsDrivingAssumption</v>
          </cell>
          <cell r="HP1" t="str">
            <v>SegmentID</v>
          </cell>
        </row>
        <row r="2">
          <cell r="A2" t="str">
            <v>Quarterly Income Statement</v>
          </cell>
          <cell r="AY2" t="str">
            <v>David Adelman 212.761.6382</v>
          </cell>
        </row>
        <row r="3">
          <cell r="AY3" t="str">
            <v>David.Adelman@morganstanley.com</v>
          </cell>
        </row>
        <row r="5">
          <cell r="G5" t="str">
            <v>2003-Q1</v>
          </cell>
          <cell r="H5" t="str">
            <v>2003-Q2</v>
          </cell>
          <cell r="I5" t="str">
            <v>2003-Q3</v>
          </cell>
          <cell r="J5" t="str">
            <v>2003-Q4</v>
          </cell>
          <cell r="L5" t="str">
            <v>2004-Q1</v>
          </cell>
          <cell r="M5" t="str">
            <v>2004-Q2</v>
          </cell>
          <cell r="N5" t="str">
            <v>2004-Q3</v>
          </cell>
          <cell r="O5" t="str">
            <v>2004-Q4</v>
          </cell>
          <cell r="Q5" t="str">
            <v>2005-Q1</v>
          </cell>
          <cell r="R5" t="str">
            <v>2005-Q2</v>
          </cell>
          <cell r="S5" t="str">
            <v>2005-Q3</v>
          </cell>
          <cell r="T5" t="str">
            <v>2005-Q4</v>
          </cell>
          <cell r="V5" t="str">
            <v>2006-Q1</v>
          </cell>
          <cell r="W5" t="str">
            <v>2006-Q2</v>
          </cell>
          <cell r="X5" t="str">
            <v>2006-Q3</v>
          </cell>
          <cell r="Y5" t="str">
            <v>2006-Q4</v>
          </cell>
          <cell r="AA5" t="str">
            <v>2007-Q1</v>
          </cell>
          <cell r="AB5" t="str">
            <v>2007-Q2</v>
          </cell>
          <cell r="AC5" t="str">
            <v>2007-Q3</v>
          </cell>
          <cell r="AD5" t="str">
            <v>2007-Q4</v>
          </cell>
          <cell r="AF5" t="str">
            <v>2008-Q1</v>
          </cell>
          <cell r="AG5" t="str">
            <v>2008-Q2</v>
          </cell>
          <cell r="AH5" t="str">
            <v>2008-Q3</v>
          </cell>
          <cell r="AI5" t="str">
            <v>2008-Q4</v>
          </cell>
          <cell r="AK5" t="str">
            <v>2009-Q1</v>
          </cell>
          <cell r="AL5" t="str">
            <v>2009-Q2</v>
          </cell>
          <cell r="AM5" t="str">
            <v>2009-Q3</v>
          </cell>
          <cell r="AN5" t="str">
            <v>2009-Q4</v>
          </cell>
          <cell r="AP5" t="str">
            <v>2010-Q1</v>
          </cell>
          <cell r="AQ5" t="str">
            <v>2010-Q2</v>
          </cell>
          <cell r="AR5" t="str">
            <v>2010-Q3</v>
          </cell>
          <cell r="AS5" t="str">
            <v>2010-Q4</v>
          </cell>
          <cell r="AU5" t="str">
            <v>2010-Q1</v>
          </cell>
          <cell r="AV5" t="str">
            <v>2010-Q2</v>
          </cell>
          <cell r="AW5" t="str">
            <v>2010-Q3</v>
          </cell>
          <cell r="AX5" t="str">
            <v>2010-Q4</v>
          </cell>
        </row>
        <row r="7">
          <cell r="A7" t="str">
            <v>$ millions, except per share</v>
          </cell>
          <cell r="B7" t="str">
            <v>1Q02</v>
          </cell>
          <cell r="C7" t="str">
            <v>2Q02</v>
          </cell>
          <cell r="D7" t="str">
            <v>3Q02</v>
          </cell>
          <cell r="E7" t="str">
            <v>4Q02</v>
          </cell>
          <cell r="F7">
            <v>2002</v>
          </cell>
          <cell r="G7" t="str">
            <v>1Q03</v>
          </cell>
          <cell r="H7" t="str">
            <v>2Q03</v>
          </cell>
          <cell r="I7" t="str">
            <v>3Q03</v>
          </cell>
          <cell r="J7" t="str">
            <v>4Q03</v>
          </cell>
          <cell r="K7">
            <v>2003</v>
          </cell>
          <cell r="L7" t="str">
            <v>1Q04</v>
          </cell>
          <cell r="M7" t="str">
            <v>2Q04</v>
          </cell>
          <cell r="N7" t="str">
            <v>3Q04</v>
          </cell>
          <cell r="O7" t="str">
            <v>4Q04</v>
          </cell>
          <cell r="P7">
            <v>2004</v>
          </cell>
          <cell r="Q7" t="str">
            <v>1Q05</v>
          </cell>
          <cell r="R7" t="str">
            <v>2Q05</v>
          </cell>
          <cell r="S7" t="str">
            <v>3Q05</v>
          </cell>
          <cell r="T7" t="str">
            <v>4Q05</v>
          </cell>
          <cell r="U7">
            <v>2005</v>
          </cell>
          <cell r="V7" t="str">
            <v>1Q06</v>
          </cell>
          <cell r="W7" t="str">
            <v>2Q06</v>
          </cell>
          <cell r="X7" t="str">
            <v>3Q06</v>
          </cell>
          <cell r="Y7" t="str">
            <v>4Q06</v>
          </cell>
          <cell r="Z7">
            <v>2006</v>
          </cell>
          <cell r="AA7" t="str">
            <v>1Q07</v>
          </cell>
          <cell r="AB7" t="str">
            <v>2Q07</v>
          </cell>
          <cell r="AC7" t="str">
            <v>3Q07</v>
          </cell>
          <cell r="AD7" t="str">
            <v>4Q07</v>
          </cell>
          <cell r="AE7">
            <v>2007</v>
          </cell>
          <cell r="AF7" t="str">
            <v>1Q08</v>
          </cell>
          <cell r="AG7" t="str">
            <v>2Q08</v>
          </cell>
          <cell r="AH7" t="str">
            <v>3Q08</v>
          </cell>
          <cell r="AI7" t="str">
            <v>4Q08</v>
          </cell>
          <cell r="AJ7">
            <v>2008</v>
          </cell>
          <cell r="AK7" t="str">
            <v>1Q09</v>
          </cell>
          <cell r="AL7" t="str">
            <v>2Q09</v>
          </cell>
          <cell r="AM7" t="str">
            <v>3Q09</v>
          </cell>
          <cell r="AN7" t="str">
            <v>4Q09</v>
          </cell>
          <cell r="AO7">
            <v>2009</v>
          </cell>
          <cell r="AP7" t="str">
            <v>1Q10</v>
          </cell>
          <cell r="AQ7" t="str">
            <v>2Q10</v>
          </cell>
          <cell r="AR7" t="str">
            <v>3Q10E</v>
          </cell>
          <cell r="AS7" t="str">
            <v>4Q10E</v>
          </cell>
          <cell r="AT7" t="str">
            <v>2010E</v>
          </cell>
          <cell r="AU7" t="str">
            <v>1Q11E</v>
          </cell>
          <cell r="AV7" t="str">
            <v>2Q11E</v>
          </cell>
          <cell r="AW7" t="str">
            <v>3Q11E</v>
          </cell>
          <cell r="AX7" t="str">
            <v>4Q11E</v>
          </cell>
          <cell r="AY7" t="str">
            <v>2011E</v>
          </cell>
        </row>
        <row r="9">
          <cell r="A9" t="str">
            <v>Gross Sales</v>
          </cell>
          <cell r="B9">
            <v>973.1</v>
          </cell>
          <cell r="C9">
            <v>1026.9000000000001</v>
          </cell>
          <cell r="D9">
            <v>963.4</v>
          </cell>
          <cell r="E9">
            <v>834.3</v>
          </cell>
          <cell r="F9">
            <v>3797.7</v>
          </cell>
          <cell r="G9">
            <v>844</v>
          </cell>
          <cell r="H9">
            <v>780.9</v>
          </cell>
          <cell r="I9">
            <v>842.8</v>
          </cell>
          <cell r="J9">
            <v>787.7</v>
          </cell>
          <cell r="K9">
            <v>3255.3999999999996</v>
          </cell>
          <cell r="L9">
            <v>767.9</v>
          </cell>
          <cell r="M9">
            <v>868.1</v>
          </cell>
          <cell r="N9">
            <v>879.3</v>
          </cell>
          <cell r="O9">
            <v>832.5</v>
          </cell>
          <cell r="P9">
            <v>3347.8</v>
          </cell>
          <cell r="Q9">
            <v>795.1</v>
          </cell>
          <cell r="R9">
            <v>928.3</v>
          </cell>
          <cell r="S9">
            <v>928.4</v>
          </cell>
          <cell r="T9">
            <v>916</v>
          </cell>
          <cell r="U9">
            <v>3567.8</v>
          </cell>
          <cell r="V9">
            <v>854.8</v>
          </cell>
          <cell r="W9">
            <v>977.3</v>
          </cell>
          <cell r="X9">
            <v>986</v>
          </cell>
          <cell r="Y9">
            <v>936.7</v>
          </cell>
          <cell r="Z9">
            <v>3754.8</v>
          </cell>
          <cell r="AA9">
            <v>913</v>
          </cell>
          <cell r="AB9">
            <v>1055.4000000000001</v>
          </cell>
          <cell r="AC9">
            <v>1043.8</v>
          </cell>
          <cell r="AD9">
            <v>957</v>
          </cell>
          <cell r="AE9">
            <v>3969.2</v>
          </cell>
          <cell r="AF9">
            <v>921</v>
          </cell>
          <cell r="AG9">
            <v>1070</v>
          </cell>
          <cell r="AH9">
            <v>1125</v>
          </cell>
          <cell r="AI9">
            <v>1088</v>
          </cell>
          <cell r="AJ9">
            <v>4204</v>
          </cell>
          <cell r="AK9">
            <v>917</v>
          </cell>
          <cell r="AL9">
            <v>1519</v>
          </cell>
          <cell r="AM9">
            <v>1419</v>
          </cell>
          <cell r="AN9">
            <v>1378</v>
          </cell>
          <cell r="AO9">
            <v>5233</v>
          </cell>
          <cell r="AP9">
            <v>1360</v>
          </cell>
          <cell r="AQ9">
            <v>1520</v>
          </cell>
          <cell r="AR9">
            <v>1567</v>
          </cell>
          <cell r="AS9">
            <v>1441.9886566415444</v>
          </cell>
          <cell r="AT9">
            <v>5888.9886566415444</v>
          </cell>
          <cell r="AU9">
            <v>1360</v>
          </cell>
          <cell r="AV9">
            <v>1520</v>
          </cell>
          <cell r="AW9">
            <v>1567</v>
          </cell>
          <cell r="AX9">
            <v>1622.4384427765208</v>
          </cell>
          <cell r="AY9">
            <v>6069.4384427765208</v>
          </cell>
          <cell r="HK9" t="str">
            <v>mstag:revenueNetOfDiscountsAndAllowances</v>
          </cell>
          <cell r="HL9">
            <v>6</v>
          </cell>
          <cell r="HM9" t="str">
            <v>ISO4217:USD</v>
          </cell>
          <cell r="HN9" t="b">
            <v>0</v>
          </cell>
          <cell r="HO9" t="b">
            <v>0</v>
          </cell>
        </row>
        <row r="10">
          <cell r="A10" t="str">
            <v>Excise Taxes</v>
          </cell>
          <cell r="B10">
            <v>180.4</v>
          </cell>
          <cell r="C10">
            <v>176.1</v>
          </cell>
          <cell r="D10">
            <v>161.5</v>
          </cell>
          <cell r="E10">
            <v>149.6</v>
          </cell>
          <cell r="F10">
            <v>667.6</v>
          </cell>
          <cell r="G10">
            <v>156.9</v>
          </cell>
          <cell r="H10">
            <v>163.4</v>
          </cell>
          <cell r="I10">
            <v>173.1</v>
          </cell>
          <cell r="J10">
            <v>158</v>
          </cell>
          <cell r="K10">
            <v>651.4</v>
          </cell>
          <cell r="L10">
            <v>156.1</v>
          </cell>
          <cell r="M10">
            <v>169.5</v>
          </cell>
          <cell r="N10">
            <v>167.9</v>
          </cell>
          <cell r="O10">
            <v>164.5</v>
          </cell>
          <cell r="P10">
            <v>658</v>
          </cell>
          <cell r="Q10">
            <v>156.19999999999999</v>
          </cell>
          <cell r="R10">
            <v>179</v>
          </cell>
          <cell r="S10">
            <v>176.2</v>
          </cell>
          <cell r="T10">
            <v>164.7</v>
          </cell>
          <cell r="U10">
            <v>676.09999999999991</v>
          </cell>
          <cell r="V10">
            <v>163.9</v>
          </cell>
          <cell r="W10">
            <v>176.7</v>
          </cell>
          <cell r="X10">
            <v>185.8</v>
          </cell>
          <cell r="Y10">
            <v>172.1</v>
          </cell>
          <cell r="Z10">
            <v>698.50000000000011</v>
          </cell>
          <cell r="AA10">
            <v>161.69999999999999</v>
          </cell>
          <cell r="AB10">
            <v>180</v>
          </cell>
          <cell r="AC10">
            <v>180.7</v>
          </cell>
          <cell r="AD10">
            <v>165</v>
          </cell>
          <cell r="AE10">
            <v>687.4</v>
          </cell>
          <cell r="AF10">
            <v>163</v>
          </cell>
          <cell r="AG10">
            <v>184</v>
          </cell>
          <cell r="AH10">
            <v>189</v>
          </cell>
          <cell r="AI10">
            <v>176</v>
          </cell>
          <cell r="AJ10">
            <v>712</v>
          </cell>
          <cell r="AK10">
            <v>150</v>
          </cell>
          <cell r="AL10">
            <v>486</v>
          </cell>
          <cell r="AM10">
            <v>466</v>
          </cell>
          <cell r="AN10">
            <v>446</v>
          </cell>
          <cell r="AO10">
            <v>1548</v>
          </cell>
          <cell r="AP10">
            <v>437</v>
          </cell>
          <cell r="AQ10">
            <v>482</v>
          </cell>
          <cell r="AR10">
            <v>494</v>
          </cell>
          <cell r="AS10">
            <v>457.04057704505976</v>
          </cell>
          <cell r="AT10">
            <v>1870.0405770450598</v>
          </cell>
          <cell r="AU10">
            <v>437</v>
          </cell>
          <cell r="AV10">
            <v>482</v>
          </cell>
          <cell r="AW10">
            <v>494</v>
          </cell>
          <cell r="AX10">
            <v>466.41703414722156</v>
          </cell>
          <cell r="AY10">
            <v>1879.4170341472216</v>
          </cell>
          <cell r="HK10" t="str">
            <v>mstag:exciseOrOtherSalesTax</v>
          </cell>
          <cell r="HL10">
            <v>6</v>
          </cell>
          <cell r="HM10" t="str">
            <v>ISO4217:USD</v>
          </cell>
          <cell r="HN10" t="b">
            <v>0</v>
          </cell>
          <cell r="HO10" t="b">
            <v>0</v>
          </cell>
        </row>
        <row r="11">
          <cell r="A11" t="str">
            <v>Net Sales</v>
          </cell>
          <cell r="B11">
            <v>792.7</v>
          </cell>
          <cell r="C11">
            <v>850.80000000000007</v>
          </cell>
          <cell r="D11">
            <v>801.9</v>
          </cell>
          <cell r="E11">
            <v>684.69999999999993</v>
          </cell>
          <cell r="F11">
            <v>3130.1</v>
          </cell>
          <cell r="G11">
            <v>687.1</v>
          </cell>
          <cell r="H11">
            <v>617.5</v>
          </cell>
          <cell r="I11">
            <v>669.69999999999993</v>
          </cell>
          <cell r="J11">
            <v>629.70000000000005</v>
          </cell>
          <cell r="K11">
            <v>2603.9999999999995</v>
          </cell>
          <cell r="L11">
            <v>611.79999999999995</v>
          </cell>
          <cell r="M11">
            <v>698.6</v>
          </cell>
          <cell r="N11">
            <v>711.4</v>
          </cell>
          <cell r="O11">
            <v>668</v>
          </cell>
          <cell r="P11">
            <v>2689.8</v>
          </cell>
          <cell r="Q11">
            <v>638.90000000000009</v>
          </cell>
          <cell r="R11">
            <v>749.3</v>
          </cell>
          <cell r="S11">
            <v>752.2</v>
          </cell>
          <cell r="T11">
            <v>751.3</v>
          </cell>
          <cell r="U11">
            <v>2891.7000000000003</v>
          </cell>
          <cell r="V11">
            <v>690.9</v>
          </cell>
          <cell r="W11">
            <v>800.59999999999991</v>
          </cell>
          <cell r="X11">
            <v>800.2</v>
          </cell>
          <cell r="Y11">
            <v>764.6</v>
          </cell>
          <cell r="Z11">
            <v>3056.3</v>
          </cell>
          <cell r="AA11">
            <v>751.3</v>
          </cell>
          <cell r="AB11">
            <v>875.40000000000009</v>
          </cell>
          <cell r="AC11">
            <v>863.09999999999991</v>
          </cell>
          <cell r="AD11">
            <v>792</v>
          </cell>
          <cell r="AE11">
            <v>3281.7999999999997</v>
          </cell>
          <cell r="AF11">
            <v>758</v>
          </cell>
          <cell r="AG11">
            <v>886</v>
          </cell>
          <cell r="AH11">
            <v>936</v>
          </cell>
          <cell r="AI11">
            <v>912</v>
          </cell>
          <cell r="AJ11">
            <v>3492</v>
          </cell>
          <cell r="AK11">
            <v>767</v>
          </cell>
          <cell r="AL11">
            <v>1033</v>
          </cell>
          <cell r="AM11">
            <v>953</v>
          </cell>
          <cell r="AN11">
            <v>932</v>
          </cell>
          <cell r="AO11">
            <v>3685</v>
          </cell>
          <cell r="AP11">
            <v>923</v>
          </cell>
          <cell r="AQ11">
            <v>1038</v>
          </cell>
          <cell r="AR11">
            <v>1073</v>
          </cell>
          <cell r="AS11">
            <v>984.9480795964846</v>
          </cell>
          <cell r="AT11">
            <v>4018.9480795964846</v>
          </cell>
          <cell r="AU11">
            <v>923</v>
          </cell>
          <cell r="AV11">
            <v>1038</v>
          </cell>
          <cell r="AW11">
            <v>1073</v>
          </cell>
          <cell r="AX11">
            <v>1156.021408629299</v>
          </cell>
          <cell r="AY11">
            <v>4190.021408629299</v>
          </cell>
          <cell r="BA11">
            <v>9.4890510948905105E-2</v>
          </cell>
          <cell r="BB11">
            <v>8.9444444444444438E-2</v>
          </cell>
        </row>
        <row r="13">
          <cell r="A13" t="str">
            <v>COGS</v>
          </cell>
          <cell r="B13">
            <v>123.6</v>
          </cell>
          <cell r="C13">
            <v>119.6</v>
          </cell>
          <cell r="D13">
            <v>122.4</v>
          </cell>
          <cell r="E13">
            <v>76.900000000000006</v>
          </cell>
          <cell r="F13">
            <v>442.5</v>
          </cell>
          <cell r="G13">
            <v>112.1</v>
          </cell>
          <cell r="H13">
            <v>111.4</v>
          </cell>
          <cell r="I13">
            <v>126.3</v>
          </cell>
          <cell r="J13">
            <v>106.7</v>
          </cell>
          <cell r="K13">
            <v>456.5</v>
          </cell>
          <cell r="L13">
            <v>110.10000000000005</v>
          </cell>
          <cell r="M13">
            <v>128.5</v>
          </cell>
          <cell r="N13">
            <v>123.29999999999998</v>
          </cell>
          <cell r="O13">
            <v>99.799999999999983</v>
          </cell>
          <cell r="P13">
            <v>461.70000000000005</v>
          </cell>
          <cell r="Q13">
            <v>131.80000000000001</v>
          </cell>
          <cell r="R13">
            <v>159.79999999999998</v>
          </cell>
          <cell r="S13">
            <v>143.79999999999998</v>
          </cell>
          <cell r="T13">
            <v>126.5</v>
          </cell>
          <cell r="U13">
            <v>561.9</v>
          </cell>
          <cell r="V13">
            <v>130.79999999999998</v>
          </cell>
          <cell r="W13">
            <v>139.40000000000003</v>
          </cell>
          <cell r="X13">
            <v>145.10000000000002</v>
          </cell>
          <cell r="Y13">
            <v>134.29999999999998</v>
          </cell>
          <cell r="Z13">
            <v>549.6</v>
          </cell>
          <cell r="AA13">
            <v>133.49999999999997</v>
          </cell>
          <cell r="AB13">
            <v>158.30000000000001</v>
          </cell>
          <cell r="AC13">
            <v>156.09999999999997</v>
          </cell>
          <cell r="AD13">
            <v>123</v>
          </cell>
          <cell r="AE13">
            <v>570.89999999999986</v>
          </cell>
          <cell r="AF13">
            <v>135</v>
          </cell>
          <cell r="AG13">
            <v>150</v>
          </cell>
          <cell r="AH13">
            <v>160</v>
          </cell>
          <cell r="AI13">
            <v>155</v>
          </cell>
          <cell r="AJ13">
            <v>600</v>
          </cell>
          <cell r="AK13">
            <v>137</v>
          </cell>
          <cell r="AL13">
            <v>172</v>
          </cell>
          <cell r="AM13">
            <v>171</v>
          </cell>
          <cell r="AN13">
            <v>171</v>
          </cell>
          <cell r="AO13">
            <v>651</v>
          </cell>
          <cell r="AP13">
            <v>169</v>
          </cell>
          <cell r="AQ13">
            <v>185</v>
          </cell>
          <cell r="AR13">
            <v>183</v>
          </cell>
          <cell r="AS13">
            <v>179.28134345156343</v>
          </cell>
          <cell r="AT13">
            <v>716.28134345156343</v>
          </cell>
          <cell r="AU13">
            <v>169</v>
          </cell>
          <cell r="AV13">
            <v>185</v>
          </cell>
          <cell r="AW13">
            <v>183</v>
          </cell>
          <cell r="AX13">
            <v>197.27026244368665</v>
          </cell>
          <cell r="AY13">
            <v>734.27026244368665</v>
          </cell>
          <cell r="HK13" t="str">
            <v>mstag:costOfSalesWithDepreciation</v>
          </cell>
          <cell r="HL13">
            <v>6</v>
          </cell>
          <cell r="HM13" t="str">
            <v>ISO4217:USD</v>
          </cell>
          <cell r="HN13" t="b">
            <v>0</v>
          </cell>
          <cell r="HO13" t="b">
            <v>0</v>
          </cell>
        </row>
        <row r="15">
          <cell r="A15" t="str">
            <v>Gross Profit</v>
          </cell>
          <cell r="B15">
            <v>669.1</v>
          </cell>
          <cell r="C15">
            <v>731.2</v>
          </cell>
          <cell r="D15">
            <v>679.5</v>
          </cell>
          <cell r="E15">
            <v>607.79999999999995</v>
          </cell>
          <cell r="F15">
            <v>2687.6000000000004</v>
          </cell>
          <cell r="G15">
            <v>575</v>
          </cell>
          <cell r="H15">
            <v>506.1</v>
          </cell>
          <cell r="I15">
            <v>543.4</v>
          </cell>
          <cell r="J15">
            <v>523</v>
          </cell>
          <cell r="K15">
            <v>2147.4999999999995</v>
          </cell>
          <cell r="L15">
            <v>501.69999999999993</v>
          </cell>
          <cell r="M15">
            <v>570.1</v>
          </cell>
          <cell r="N15">
            <v>588.1</v>
          </cell>
          <cell r="O15">
            <v>568.20000000000005</v>
          </cell>
          <cell r="P15">
            <v>2228.1000000000004</v>
          </cell>
          <cell r="Q15">
            <v>507.10000000000008</v>
          </cell>
          <cell r="R15">
            <v>589.5</v>
          </cell>
          <cell r="S15">
            <v>608.40000000000009</v>
          </cell>
          <cell r="T15">
            <v>624.79999999999995</v>
          </cell>
          <cell r="U15">
            <v>2329.8000000000002</v>
          </cell>
          <cell r="V15">
            <v>560.1</v>
          </cell>
          <cell r="W15">
            <v>661.19999999999982</v>
          </cell>
          <cell r="X15">
            <v>655.1</v>
          </cell>
          <cell r="Y15">
            <v>630.30000000000007</v>
          </cell>
          <cell r="Z15">
            <v>2506.7000000000003</v>
          </cell>
          <cell r="AA15">
            <v>617.79999999999995</v>
          </cell>
          <cell r="AB15">
            <v>717.10000000000014</v>
          </cell>
          <cell r="AC15">
            <v>707</v>
          </cell>
          <cell r="AD15">
            <v>669</v>
          </cell>
          <cell r="AE15">
            <v>2710.8999999999996</v>
          </cell>
          <cell r="AF15">
            <v>623</v>
          </cell>
          <cell r="AG15">
            <v>736</v>
          </cell>
          <cell r="AH15">
            <v>776</v>
          </cell>
          <cell r="AI15">
            <v>757</v>
          </cell>
          <cell r="AJ15">
            <v>2892</v>
          </cell>
          <cell r="AK15">
            <v>630</v>
          </cell>
          <cell r="AL15">
            <v>861</v>
          </cell>
          <cell r="AM15">
            <v>782</v>
          </cell>
          <cell r="AN15">
            <v>761</v>
          </cell>
          <cell r="AO15">
            <v>3034</v>
          </cell>
          <cell r="AP15">
            <v>754</v>
          </cell>
          <cell r="AQ15">
            <v>853</v>
          </cell>
          <cell r="AR15">
            <v>890</v>
          </cell>
          <cell r="AS15">
            <v>805.66673614492117</v>
          </cell>
          <cell r="AT15">
            <v>3302.6667361449213</v>
          </cell>
          <cell r="AU15">
            <v>754</v>
          </cell>
          <cell r="AV15">
            <v>853</v>
          </cell>
          <cell r="AW15">
            <v>890</v>
          </cell>
          <cell r="AX15">
            <v>958.75114618561236</v>
          </cell>
          <cell r="AY15">
            <v>3455.7511461856125</v>
          </cell>
        </row>
        <row r="16">
          <cell r="A16" t="str">
            <v>Margin % (Net Sales)</v>
          </cell>
          <cell r="B16">
            <v>0.84407720449098023</v>
          </cell>
          <cell r="C16">
            <v>0.85942642219087917</v>
          </cell>
          <cell r="D16">
            <v>0.84736251402918072</v>
          </cell>
          <cell r="E16">
            <v>0.88768803855703227</v>
          </cell>
          <cell r="F16">
            <v>0.85863071467365271</v>
          </cell>
          <cell r="G16">
            <v>0.83685053121816322</v>
          </cell>
          <cell r="H16">
            <v>0.81959514170040493</v>
          </cell>
          <cell r="I16">
            <v>0.81140809317604901</v>
          </cell>
          <cell r="J16">
            <v>0.83055423217405111</v>
          </cell>
          <cell r="K16">
            <v>0.82469278033794158</v>
          </cell>
          <cell r="L16">
            <v>0.82003922850604771</v>
          </cell>
          <cell r="M16">
            <v>0.8160606928141998</v>
          </cell>
          <cell r="N16">
            <v>0.82667978633680073</v>
          </cell>
          <cell r="O16">
            <v>0.85059880239520969</v>
          </cell>
          <cell r="P16">
            <v>0.82835155030113772</v>
          </cell>
          <cell r="Q16">
            <v>0.79370793551416496</v>
          </cell>
          <cell r="R16">
            <v>0.78673428533297751</v>
          </cell>
          <cell r="S16">
            <v>0.80882743951076852</v>
          </cell>
          <cell r="T16">
            <v>0.83162518301610544</v>
          </cell>
          <cell r="U16">
            <v>0.80568523705778605</v>
          </cell>
          <cell r="V16">
            <v>0.81068171949630918</v>
          </cell>
          <cell r="W16">
            <v>0.8258805895578315</v>
          </cell>
          <cell r="X16">
            <v>0.8186703324168958</v>
          </cell>
          <cell r="Y16">
            <v>0.82435260266806176</v>
          </cell>
          <cell r="Z16">
            <v>0.82017472106795808</v>
          </cell>
          <cell r="AA16">
            <v>0.82230799946758948</v>
          </cell>
          <cell r="AB16">
            <v>0.81916838016906568</v>
          </cell>
          <cell r="AC16">
            <v>0.81914030819140315</v>
          </cell>
          <cell r="AD16">
            <v>0.84469696969696972</v>
          </cell>
          <cell r="AE16">
            <v>0.82604058748247911</v>
          </cell>
          <cell r="AF16">
            <v>0.82189973614775724</v>
          </cell>
          <cell r="AG16">
            <v>0.83069977426636565</v>
          </cell>
          <cell r="AH16">
            <v>0.82905982905982911</v>
          </cell>
          <cell r="AI16">
            <v>0.83004385964912286</v>
          </cell>
          <cell r="AJ16">
            <v>0.82817869415807566</v>
          </cell>
          <cell r="AK16">
            <v>0.82138200782268578</v>
          </cell>
          <cell r="AL16">
            <v>0.83349467570183933</v>
          </cell>
          <cell r="AM16">
            <v>0.82056663168940192</v>
          </cell>
          <cell r="AN16">
            <v>0.8165236051502146</v>
          </cell>
          <cell r="AO16">
            <v>0.82333785617367705</v>
          </cell>
          <cell r="AP16">
            <v>0.81690140845070425</v>
          </cell>
          <cell r="AQ16">
            <v>0.82177263969171488</v>
          </cell>
          <cell r="AR16">
            <v>0.8294501397949674</v>
          </cell>
          <cell r="AS16">
            <v>0.81797888927809093</v>
          </cell>
          <cell r="AT16">
            <v>0.82177392460280796</v>
          </cell>
          <cell r="AU16">
            <v>0.81690140845070425</v>
          </cell>
          <cell r="AV16">
            <v>0.82177263969171488</v>
          </cell>
          <cell r="AW16">
            <v>0.8294501397949674</v>
          </cell>
          <cell r="AX16">
            <v>0.82935414433406462</v>
          </cell>
          <cell r="AY16">
            <v>0.82475739600483522</v>
          </cell>
        </row>
        <row r="18">
          <cell r="A18" t="str">
            <v>SG&amp;A</v>
          </cell>
          <cell r="B18">
            <v>111.8</v>
          </cell>
          <cell r="C18">
            <v>111.6</v>
          </cell>
          <cell r="D18">
            <v>93.3</v>
          </cell>
          <cell r="E18">
            <v>92.6</v>
          </cell>
          <cell r="F18">
            <v>409.29999999999995</v>
          </cell>
          <cell r="G18">
            <v>106.69999999999999</v>
          </cell>
          <cell r="H18">
            <v>94.1</v>
          </cell>
          <cell r="I18">
            <v>98</v>
          </cell>
          <cell r="J18">
            <v>107.8</v>
          </cell>
          <cell r="K18">
            <v>406.59999999999997</v>
          </cell>
          <cell r="L18">
            <v>100</v>
          </cell>
          <cell r="M18">
            <v>103.3</v>
          </cell>
          <cell r="N18">
            <v>85.1</v>
          </cell>
          <cell r="O18">
            <v>92.7</v>
          </cell>
          <cell r="P18">
            <v>381.09999999999997</v>
          </cell>
          <cell r="Q18">
            <v>90</v>
          </cell>
          <cell r="R18">
            <v>97.2</v>
          </cell>
          <cell r="S18">
            <v>95.3</v>
          </cell>
          <cell r="T18">
            <v>87</v>
          </cell>
          <cell r="U18">
            <v>369.5</v>
          </cell>
          <cell r="V18">
            <v>92.9</v>
          </cell>
          <cell r="W18">
            <v>108.9</v>
          </cell>
          <cell r="X18">
            <v>83.6</v>
          </cell>
          <cell r="Y18">
            <v>68.900000000000006</v>
          </cell>
          <cell r="Z18">
            <v>354.29999999999995</v>
          </cell>
          <cell r="AA18">
            <v>81.900000000000006</v>
          </cell>
          <cell r="AB18">
            <v>82.9</v>
          </cell>
          <cell r="AC18">
            <v>81.7</v>
          </cell>
          <cell r="AD18">
            <v>76</v>
          </cell>
          <cell r="AE18">
            <v>322.5</v>
          </cell>
          <cell r="AF18">
            <v>100</v>
          </cell>
          <cell r="AG18">
            <v>91</v>
          </cell>
          <cell r="AH18">
            <v>90</v>
          </cell>
          <cell r="AI18">
            <v>80</v>
          </cell>
          <cell r="AJ18">
            <v>361</v>
          </cell>
          <cell r="AK18">
            <v>89</v>
          </cell>
          <cell r="AL18">
            <v>98</v>
          </cell>
          <cell r="AM18">
            <v>96</v>
          </cell>
          <cell r="AN18">
            <v>83</v>
          </cell>
          <cell r="AO18">
            <v>366</v>
          </cell>
          <cell r="AP18">
            <v>96</v>
          </cell>
          <cell r="AQ18">
            <v>97</v>
          </cell>
          <cell r="AR18">
            <v>101</v>
          </cell>
          <cell r="AS18">
            <v>84.608674194335435</v>
          </cell>
          <cell r="AT18">
            <v>378.60867419433544</v>
          </cell>
          <cell r="AU18">
            <v>96</v>
          </cell>
          <cell r="AV18">
            <v>97</v>
          </cell>
          <cell r="AW18">
            <v>101</v>
          </cell>
          <cell r="AX18">
            <v>94.497680690655557</v>
          </cell>
          <cell r="AY18">
            <v>388.49768069065556</v>
          </cell>
          <cell r="HK18" t="str">
            <v>mstag:sellingGeneralAndAdministrativeExpenses</v>
          </cell>
          <cell r="HL18">
            <v>6</v>
          </cell>
          <cell r="HM18" t="str">
            <v>ISO4217:USD</v>
          </cell>
          <cell r="HN18" t="b">
            <v>0</v>
          </cell>
          <cell r="HO18" t="b">
            <v>0</v>
          </cell>
        </row>
        <row r="19">
          <cell r="A19" t="str">
            <v>% of sales</v>
          </cell>
          <cell r="B19">
            <v>0.14103696228081239</v>
          </cell>
          <cell r="C19">
            <v>0.1311706629055007</v>
          </cell>
          <cell r="D19">
            <v>0.11634867190422746</v>
          </cell>
          <cell r="E19">
            <v>0.13524171169855412</v>
          </cell>
          <cell r="F19">
            <v>0.13076259544423499</v>
          </cell>
          <cell r="G19">
            <v>0.15529035074952699</v>
          </cell>
          <cell r="H19">
            <v>0.15238866396761133</v>
          </cell>
          <cell r="I19">
            <v>0.14633417948335076</v>
          </cell>
          <cell r="J19">
            <v>0.17119263141178337</v>
          </cell>
          <cell r="K19">
            <v>0.15614439324116744</v>
          </cell>
          <cell r="L19">
            <v>0.16345210853220007</v>
          </cell>
          <cell r="M19">
            <v>0.14786716289722301</v>
          </cell>
          <cell r="N19">
            <v>0.11962327804329491</v>
          </cell>
          <cell r="O19">
            <v>0.13877245508982036</v>
          </cell>
          <cell r="P19">
            <v>0.14168339653505835</v>
          </cell>
          <cell r="Q19">
            <v>0.14086711535451554</v>
          </cell>
          <cell r="R19">
            <v>0.12972107300146804</v>
          </cell>
          <cell r="S19">
            <v>0.12669502791810688</v>
          </cell>
          <cell r="T19">
            <v>0.11579928124584055</v>
          </cell>
          <cell r="U19">
            <v>0.12777950686447417</v>
          </cell>
          <cell r="V19">
            <v>0.13446229555652051</v>
          </cell>
          <cell r="W19">
            <v>0.13602298276292782</v>
          </cell>
          <cell r="X19">
            <v>0.10447388152961758</v>
          </cell>
          <cell r="Y19">
            <v>9.0112477112215539E-2</v>
          </cell>
          <cell r="Z19">
            <v>0.11592448385302488</v>
          </cell>
          <cell r="AA19">
            <v>0.10901104751763611</v>
          </cell>
          <cell r="AB19">
            <v>9.4699565912725603E-2</v>
          </cell>
          <cell r="AC19">
            <v>9.4658788089445042E-2</v>
          </cell>
          <cell r="AD19">
            <v>9.5959595959595953E-2</v>
          </cell>
          <cell r="AE19">
            <v>9.826924248887807E-2</v>
          </cell>
          <cell r="AF19">
            <v>0.13192612137203166</v>
          </cell>
          <cell r="AG19">
            <v>0.10270880361173815</v>
          </cell>
          <cell r="AH19">
            <v>9.6153846153846159E-2</v>
          </cell>
          <cell r="AI19">
            <v>8.771929824561403E-2</v>
          </cell>
          <cell r="AJ19">
            <v>0.10337915234822451</v>
          </cell>
          <cell r="AK19">
            <v>0.11603650586701435</v>
          </cell>
          <cell r="AL19">
            <v>9.4869312681510165E-2</v>
          </cell>
          <cell r="AM19">
            <v>0.10073452256033578</v>
          </cell>
          <cell r="AN19">
            <v>8.9055793991416304E-2</v>
          </cell>
          <cell r="AO19">
            <v>9.9321573948439615E-2</v>
          </cell>
          <cell r="AP19">
            <v>0.10400866738894908</v>
          </cell>
          <cell r="AQ19">
            <v>9.3448940269749523E-2</v>
          </cell>
          <cell r="AR19">
            <v>9.4128611369990678E-2</v>
          </cell>
          <cell r="AS19">
            <v>8.5901659130091484E-2</v>
          </cell>
          <cell r="AT19">
            <v>9.4205913262842889E-2</v>
          </cell>
          <cell r="AU19">
            <v>0.10400866738894908</v>
          </cell>
          <cell r="AV19">
            <v>9.3448940269749523E-2</v>
          </cell>
          <cell r="AW19">
            <v>9.4128611369990678E-2</v>
          </cell>
          <cell r="AX19">
            <v>8.1743884659283242E-2</v>
          </cell>
          <cell r="AY19">
            <v>9.2719736441095324E-2</v>
          </cell>
        </row>
        <row r="21">
          <cell r="A21" t="str">
            <v>MSA</v>
          </cell>
          <cell r="B21">
            <v>296.2</v>
          </cell>
          <cell r="C21">
            <v>291.89999999999998</v>
          </cell>
          <cell r="D21">
            <v>255.2</v>
          </cell>
          <cell r="E21">
            <v>219</v>
          </cell>
          <cell r="F21">
            <v>1062.3</v>
          </cell>
          <cell r="G21">
            <v>197.5</v>
          </cell>
          <cell r="H21">
            <v>180.1</v>
          </cell>
          <cell r="I21">
            <v>214.6</v>
          </cell>
          <cell r="J21">
            <v>193</v>
          </cell>
          <cell r="K21">
            <v>785.2</v>
          </cell>
          <cell r="L21">
            <v>201.1</v>
          </cell>
          <cell r="M21">
            <v>234.3</v>
          </cell>
          <cell r="N21">
            <v>213.6</v>
          </cell>
          <cell r="O21">
            <v>196.9</v>
          </cell>
          <cell r="P21">
            <v>845.9</v>
          </cell>
          <cell r="Q21">
            <v>198.7</v>
          </cell>
          <cell r="R21">
            <v>235.6</v>
          </cell>
          <cell r="S21">
            <v>223.9</v>
          </cell>
          <cell r="T21">
            <v>218.2</v>
          </cell>
          <cell r="U21">
            <v>876.39999999999986</v>
          </cell>
          <cell r="V21">
            <v>217</v>
          </cell>
          <cell r="W21">
            <v>236.5</v>
          </cell>
          <cell r="X21">
            <v>242.8</v>
          </cell>
          <cell r="Y21">
            <v>215.1</v>
          </cell>
          <cell r="Z21">
            <v>911.4</v>
          </cell>
          <cell r="AA21">
            <v>249.1</v>
          </cell>
          <cell r="AB21">
            <v>275.2</v>
          </cell>
          <cell r="AC21">
            <v>277.10000000000002</v>
          </cell>
          <cell r="AD21">
            <v>247</v>
          </cell>
          <cell r="AE21">
            <v>1048.4000000000001</v>
          </cell>
          <cell r="AF21">
            <v>257</v>
          </cell>
          <cell r="AG21">
            <v>293</v>
          </cell>
          <cell r="AH21">
            <v>304</v>
          </cell>
          <cell r="AI21">
            <v>263</v>
          </cell>
          <cell r="AJ21">
            <v>1117</v>
          </cell>
          <cell r="AK21">
            <v>247</v>
          </cell>
          <cell r="AL21">
            <v>307</v>
          </cell>
          <cell r="AM21">
            <v>294</v>
          </cell>
          <cell r="AN21">
            <v>280</v>
          </cell>
          <cell r="AO21">
            <v>1128</v>
          </cell>
          <cell r="AP21">
            <v>276</v>
          </cell>
          <cell r="AQ21">
            <v>311</v>
          </cell>
          <cell r="AR21">
            <v>324</v>
          </cell>
          <cell r="AS21">
            <v>297.11212977725495</v>
          </cell>
          <cell r="AT21">
            <v>1208.1121297772549</v>
          </cell>
          <cell r="AU21">
            <v>276</v>
          </cell>
          <cell r="AV21">
            <v>311</v>
          </cell>
          <cell r="AW21">
            <v>324</v>
          </cell>
          <cell r="AX21">
            <v>351.73643763874497</v>
          </cell>
          <cell r="AY21">
            <v>1262.736437638745</v>
          </cell>
          <cell r="HK21" t="str">
            <v>mstag:otherOperatingExpense</v>
          </cell>
          <cell r="HL21">
            <v>6</v>
          </cell>
          <cell r="HM21" t="str">
            <v>ISO4217:USD</v>
          </cell>
          <cell r="HN21" t="b">
            <v>0</v>
          </cell>
          <cell r="HO21" t="b">
            <v>0</v>
          </cell>
        </row>
        <row r="23">
          <cell r="A23" t="str">
            <v>Operating Income</v>
          </cell>
          <cell r="B23">
            <v>261.10000000000014</v>
          </cell>
          <cell r="C23">
            <v>327.70000000000016</v>
          </cell>
          <cell r="D23">
            <v>331</v>
          </cell>
          <cell r="E23">
            <v>296.19999999999993</v>
          </cell>
          <cell r="F23">
            <v>1216.0000000000002</v>
          </cell>
          <cell r="G23">
            <v>270.80000000000007</v>
          </cell>
          <cell r="H23">
            <v>231.89999999999998</v>
          </cell>
          <cell r="I23">
            <v>230.79999999999995</v>
          </cell>
          <cell r="J23">
            <v>222.20000000000005</v>
          </cell>
          <cell r="K23">
            <v>955.69999999999959</v>
          </cell>
          <cell r="L23">
            <v>200.59999999999991</v>
          </cell>
          <cell r="M23">
            <v>232.5</v>
          </cell>
          <cell r="N23">
            <v>289.39999999999998</v>
          </cell>
          <cell r="O23">
            <v>278.60000000000002</v>
          </cell>
          <cell r="P23">
            <v>1001.1000000000004</v>
          </cell>
          <cell r="Q23">
            <v>218.40000000000009</v>
          </cell>
          <cell r="R23">
            <v>256.70000000000005</v>
          </cell>
          <cell r="S23">
            <v>289.20000000000016</v>
          </cell>
          <cell r="T23">
            <v>319.59999999999997</v>
          </cell>
          <cell r="U23">
            <v>1083.9000000000003</v>
          </cell>
          <cell r="V23">
            <v>250.20000000000005</v>
          </cell>
          <cell r="W23">
            <v>315.79999999999984</v>
          </cell>
          <cell r="X23">
            <v>328.7</v>
          </cell>
          <cell r="Y23">
            <v>346.30000000000007</v>
          </cell>
          <cell r="Z23">
            <v>1241.0000000000005</v>
          </cell>
          <cell r="AA23">
            <v>286.79999999999995</v>
          </cell>
          <cell r="AB23">
            <v>359.00000000000017</v>
          </cell>
          <cell r="AC23">
            <v>348.19999999999993</v>
          </cell>
          <cell r="AD23">
            <v>346</v>
          </cell>
          <cell r="AE23">
            <v>1339.9999999999995</v>
          </cell>
          <cell r="AF23">
            <v>266</v>
          </cell>
          <cell r="AG23">
            <v>352</v>
          </cell>
          <cell r="AH23">
            <v>382</v>
          </cell>
          <cell r="AI23">
            <v>414</v>
          </cell>
          <cell r="AJ23">
            <v>1414</v>
          </cell>
          <cell r="AK23">
            <v>294</v>
          </cell>
          <cell r="AL23">
            <v>456</v>
          </cell>
          <cell r="AM23">
            <v>392</v>
          </cell>
          <cell r="AN23">
            <v>398</v>
          </cell>
          <cell r="AO23">
            <v>1540</v>
          </cell>
          <cell r="AP23">
            <v>382</v>
          </cell>
          <cell r="AQ23">
            <v>445</v>
          </cell>
          <cell r="AR23">
            <v>465</v>
          </cell>
          <cell r="AS23">
            <v>423.94593217333079</v>
          </cell>
          <cell r="AT23">
            <v>1715.9459321733309</v>
          </cell>
          <cell r="AU23">
            <v>382</v>
          </cell>
          <cell r="AV23">
            <v>445</v>
          </cell>
          <cell r="AW23">
            <v>465</v>
          </cell>
          <cell r="AX23">
            <v>512.51702785621183</v>
          </cell>
          <cell r="AY23">
            <v>1804.5170278562118</v>
          </cell>
          <cell r="BA23">
            <v>0.21359223300970864</v>
          </cell>
          <cell r="BB23">
            <v>0.10266666666666668</v>
          </cell>
        </row>
        <row r="24">
          <cell r="A24" t="str">
            <v>Operating Margin (Net Sales)</v>
          </cell>
          <cell r="B24">
            <v>0.32938059795635188</v>
          </cell>
          <cell r="C24">
            <v>0.38516690173953944</v>
          </cell>
          <cell r="D24">
            <v>0.41276967202893128</v>
          </cell>
          <cell r="E24">
            <v>0.43259821819775079</v>
          </cell>
          <cell r="F24">
            <v>0.3884859908629118</v>
          </cell>
          <cell r="G24">
            <v>0.39412021539804987</v>
          </cell>
          <cell r="H24">
            <v>0.37554655870445341</v>
          </cell>
          <cell r="I24">
            <v>0.34463192474242194</v>
          </cell>
          <cell r="J24">
            <v>0.35286644433857395</v>
          </cell>
          <cell r="K24">
            <v>0.36701228878648223</v>
          </cell>
          <cell r="L24">
            <v>0.32788492971559319</v>
          </cell>
          <cell r="M24">
            <v>0.3328084740910392</v>
          </cell>
          <cell r="N24">
            <v>0.40680348608377842</v>
          </cell>
          <cell r="O24">
            <v>0.41706586826347308</v>
          </cell>
          <cell r="P24">
            <v>0.37218380548739693</v>
          </cell>
          <cell r="Q24">
            <v>0.3418375332602912</v>
          </cell>
          <cell r="R24">
            <v>0.34258641398638739</v>
          </cell>
          <cell r="S24">
            <v>0.38447221483647986</v>
          </cell>
          <cell r="T24">
            <v>0.42539598030081188</v>
          </cell>
          <cell r="U24">
            <v>0.37483141404710041</v>
          </cell>
          <cell r="V24">
            <v>0.36213634389926191</v>
          </cell>
          <cell r="W24">
            <v>0.39445415938046452</v>
          </cell>
          <cell r="X24">
            <v>0.41077230692326916</v>
          </cell>
          <cell r="Y24">
            <v>0.45291655767721695</v>
          </cell>
          <cell r="Z24">
            <v>0.4060465268461867</v>
          </cell>
          <cell r="AA24">
            <v>0.38173832024490878</v>
          </cell>
          <cell r="AB24">
            <v>0.41009824080420393</v>
          </cell>
          <cell r="AC24">
            <v>0.40342949832000924</v>
          </cell>
          <cell r="AD24">
            <v>0.43686868686868685</v>
          </cell>
          <cell r="AE24">
            <v>0.40831251142665598</v>
          </cell>
          <cell r="AF24">
            <v>0.35092348284960423</v>
          </cell>
          <cell r="AG24">
            <v>0.39729119638826182</v>
          </cell>
          <cell r="AH24">
            <v>0.40811965811965811</v>
          </cell>
          <cell r="AI24">
            <v>0.45394736842105265</v>
          </cell>
          <cell r="AJ24">
            <v>0.40492554410080184</v>
          </cell>
          <cell r="AK24">
            <v>0.3833116036505867</v>
          </cell>
          <cell r="AL24">
            <v>0.44143272023233299</v>
          </cell>
          <cell r="AM24">
            <v>0.41133263378803775</v>
          </cell>
          <cell r="AN24">
            <v>0.42703862660944208</v>
          </cell>
          <cell r="AO24">
            <v>0.41791044776119401</v>
          </cell>
          <cell r="AP24">
            <v>0.41386782231852653</v>
          </cell>
          <cell r="AQ24">
            <v>0.42870905587668595</v>
          </cell>
          <cell r="AR24">
            <v>0.43336439888164024</v>
          </cell>
          <cell r="AS24">
            <v>0.43042464974094247</v>
          </cell>
          <cell r="AT24">
            <v>0.42696394633334439</v>
          </cell>
          <cell r="AU24">
            <v>0.41386782231852653</v>
          </cell>
          <cell r="AV24">
            <v>0.42870905587668595</v>
          </cell>
          <cell r="AW24">
            <v>0.43336439888164024</v>
          </cell>
          <cell r="AX24">
            <v>0.4433456197527571</v>
          </cell>
          <cell r="AY24">
            <v>0.43067012119313536</v>
          </cell>
        </row>
        <row r="26">
          <cell r="A26" t="str">
            <v>Investment Income</v>
          </cell>
          <cell r="B26">
            <v>14.2</v>
          </cell>
          <cell r="C26">
            <v>18.2</v>
          </cell>
          <cell r="D26">
            <v>37.1</v>
          </cell>
          <cell r="E26">
            <v>13.5</v>
          </cell>
          <cell r="F26">
            <v>83</v>
          </cell>
          <cell r="G26">
            <v>8.8000000000000007</v>
          </cell>
          <cell r="H26">
            <v>8.9</v>
          </cell>
          <cell r="I26">
            <v>2.9</v>
          </cell>
          <cell r="J26">
            <v>11.5</v>
          </cell>
          <cell r="K26">
            <v>32.1</v>
          </cell>
          <cell r="L26">
            <v>8.5</v>
          </cell>
          <cell r="M26">
            <v>6.5</v>
          </cell>
          <cell r="N26">
            <v>8.1</v>
          </cell>
          <cell r="O26">
            <v>16.899999999999999</v>
          </cell>
          <cell r="P26">
            <v>40</v>
          </cell>
          <cell r="Q26">
            <v>12.2</v>
          </cell>
          <cell r="R26">
            <v>18.3</v>
          </cell>
          <cell r="S26">
            <v>20.5</v>
          </cell>
          <cell r="T26">
            <v>21.5</v>
          </cell>
          <cell r="U26">
            <v>72.5</v>
          </cell>
          <cell r="V26">
            <v>26</v>
          </cell>
          <cell r="W26">
            <v>21.3</v>
          </cell>
          <cell r="X26">
            <v>29.7</v>
          </cell>
          <cell r="Y26">
            <v>34.4</v>
          </cell>
          <cell r="Z26">
            <v>111.4</v>
          </cell>
          <cell r="AA26">
            <v>34.299999999999997</v>
          </cell>
          <cell r="AB26">
            <v>26.4</v>
          </cell>
          <cell r="AC26">
            <v>36</v>
          </cell>
          <cell r="AD26">
            <v>21</v>
          </cell>
          <cell r="AE26">
            <v>117.69999999999999</v>
          </cell>
          <cell r="AF26">
            <v>16</v>
          </cell>
          <cell r="AG26">
            <v>7.5</v>
          </cell>
          <cell r="AH26">
            <v>4</v>
          </cell>
          <cell r="AI26">
            <v>1</v>
          </cell>
          <cell r="AJ26">
            <v>28.5</v>
          </cell>
          <cell r="AK26">
            <v>1</v>
          </cell>
          <cell r="AL26">
            <v>1</v>
          </cell>
          <cell r="AM26">
            <v>1</v>
          </cell>
          <cell r="AN26">
            <v>1</v>
          </cell>
          <cell r="AO26">
            <v>5</v>
          </cell>
          <cell r="AP26">
            <v>1</v>
          </cell>
          <cell r="AQ26">
            <v>1</v>
          </cell>
          <cell r="AR26">
            <v>1</v>
          </cell>
          <cell r="AS26">
            <v>0.64047001031608852</v>
          </cell>
          <cell r="AT26">
            <v>3.6404700103160885</v>
          </cell>
          <cell r="AU26">
            <v>0.64047001031608852</v>
          </cell>
          <cell r="AV26">
            <v>1</v>
          </cell>
          <cell r="AW26">
            <v>1</v>
          </cell>
          <cell r="AX26">
            <v>13.95748759297358</v>
          </cell>
          <cell r="AY26">
            <v>16.597957603289668</v>
          </cell>
          <cell r="HK26" t="str">
            <v>mstag:interestAndDividendIncome</v>
          </cell>
          <cell r="HL26">
            <v>6</v>
          </cell>
          <cell r="HM26" t="str">
            <v>ISO4217:USD</v>
          </cell>
          <cell r="HN26" t="b">
            <v>0</v>
          </cell>
          <cell r="HO26" t="b">
            <v>0</v>
          </cell>
        </row>
        <row r="27">
          <cell r="A27" t="str">
            <v>Interest Expense</v>
          </cell>
          <cell r="B27">
            <v>50</v>
          </cell>
          <cell r="C27">
            <v>50</v>
          </cell>
          <cell r="D27">
            <v>50</v>
          </cell>
          <cell r="E27">
            <v>49.4</v>
          </cell>
          <cell r="F27">
            <v>199.4</v>
          </cell>
          <cell r="G27">
            <v>48.2</v>
          </cell>
          <cell r="H27">
            <v>47.3</v>
          </cell>
          <cell r="I27">
            <v>45.2</v>
          </cell>
          <cell r="J27">
            <v>42.1</v>
          </cell>
          <cell r="K27">
            <v>182.79999999999998</v>
          </cell>
          <cell r="L27">
            <v>40.299999999999997</v>
          </cell>
          <cell r="M27">
            <v>39.799999999999997</v>
          </cell>
          <cell r="N27">
            <v>39.299999999999997</v>
          </cell>
          <cell r="O27">
            <v>38.1</v>
          </cell>
          <cell r="P27">
            <v>157.5</v>
          </cell>
          <cell r="Q27">
            <v>36.6</v>
          </cell>
          <cell r="R27">
            <v>35.6</v>
          </cell>
          <cell r="S27">
            <v>34.799999999999997</v>
          </cell>
          <cell r="T27">
            <v>33.9</v>
          </cell>
          <cell r="U27">
            <v>140.9</v>
          </cell>
          <cell r="V27">
            <v>31.5</v>
          </cell>
          <cell r="W27">
            <v>29.8</v>
          </cell>
          <cell r="X27">
            <v>28.3</v>
          </cell>
          <cell r="Y27">
            <v>26</v>
          </cell>
          <cell r="Z27">
            <v>115.6</v>
          </cell>
          <cell r="AA27">
            <v>23.2</v>
          </cell>
          <cell r="AB27">
            <v>23</v>
          </cell>
          <cell r="AC27">
            <v>19.3</v>
          </cell>
          <cell r="AD27">
            <v>8</v>
          </cell>
          <cell r="AE27">
            <v>73.5</v>
          </cell>
          <cell r="AF27">
            <v>7</v>
          </cell>
          <cell r="AG27">
            <v>2.5</v>
          </cell>
          <cell r="AH27">
            <v>0</v>
          </cell>
          <cell r="AI27">
            <v>0</v>
          </cell>
          <cell r="AJ27">
            <v>9.5</v>
          </cell>
          <cell r="AK27">
            <v>0</v>
          </cell>
          <cell r="AL27">
            <v>1.8</v>
          </cell>
          <cell r="AM27">
            <v>15</v>
          </cell>
          <cell r="AN27">
            <v>9</v>
          </cell>
          <cell r="AO27">
            <v>25.8</v>
          </cell>
          <cell r="AP27">
            <v>10</v>
          </cell>
          <cell r="AQ27">
            <v>28</v>
          </cell>
          <cell r="AR27">
            <v>29</v>
          </cell>
          <cell r="AS27">
            <v>29.116250000000008</v>
          </cell>
          <cell r="AT27">
            <v>96.116250000000008</v>
          </cell>
          <cell r="AU27">
            <v>10</v>
          </cell>
          <cell r="AV27">
            <v>28</v>
          </cell>
          <cell r="AW27">
            <v>29</v>
          </cell>
          <cell r="AX27">
            <v>40.975000000000009</v>
          </cell>
          <cell r="AY27">
            <v>107.97500000000001</v>
          </cell>
          <cell r="HK27" t="str">
            <v>mstag:interestExpense</v>
          </cell>
          <cell r="HL27">
            <v>6</v>
          </cell>
          <cell r="HM27" t="str">
            <v>ISO4217:USD</v>
          </cell>
          <cell r="HN27" t="b">
            <v>0</v>
          </cell>
          <cell r="HO27" t="b">
            <v>0</v>
          </cell>
        </row>
        <row r="28">
          <cell r="A28" t="str">
            <v>Net Interest Expense</v>
          </cell>
          <cell r="B28">
            <v>35.799999999999997</v>
          </cell>
          <cell r="C28">
            <v>31.8</v>
          </cell>
          <cell r="D28">
            <v>12.899999999999999</v>
          </cell>
          <cell r="E28">
            <v>35.9</v>
          </cell>
          <cell r="F28">
            <v>116.4</v>
          </cell>
          <cell r="G28">
            <v>39.400000000000006</v>
          </cell>
          <cell r="H28">
            <v>38.4</v>
          </cell>
          <cell r="I28">
            <v>42.3</v>
          </cell>
          <cell r="J28">
            <v>30.5</v>
          </cell>
          <cell r="K28">
            <v>150.69999999999999</v>
          </cell>
          <cell r="L28">
            <v>31.799999999999997</v>
          </cell>
          <cell r="M28">
            <v>33.299999999999997</v>
          </cell>
          <cell r="N28">
            <v>31.199999999999996</v>
          </cell>
          <cell r="O28">
            <v>21.200000000000003</v>
          </cell>
          <cell r="P28">
            <v>117.5</v>
          </cell>
          <cell r="Q28">
            <v>24.400000000000002</v>
          </cell>
          <cell r="R28">
            <v>17.3</v>
          </cell>
          <cell r="S28">
            <v>14.299999999999997</v>
          </cell>
          <cell r="T28">
            <v>12.399999999999999</v>
          </cell>
          <cell r="U28">
            <v>68.400000000000006</v>
          </cell>
          <cell r="V28">
            <v>5.5</v>
          </cell>
          <cell r="W28">
            <v>8.5</v>
          </cell>
          <cell r="X28">
            <v>-1.3999999999999986</v>
          </cell>
          <cell r="Y28">
            <v>-8.3999999999999986</v>
          </cell>
          <cell r="Z28">
            <v>4.1999999999999886</v>
          </cell>
          <cell r="AA28">
            <v>-11.099999999999998</v>
          </cell>
          <cell r="AB28">
            <v>-3.3999999999999986</v>
          </cell>
          <cell r="AC28">
            <v>-16.7</v>
          </cell>
          <cell r="AD28">
            <v>-13</v>
          </cell>
          <cell r="AE28">
            <v>-44.199999999999989</v>
          </cell>
          <cell r="AF28">
            <v>-9</v>
          </cell>
          <cell r="AG28">
            <v>-5</v>
          </cell>
          <cell r="AH28">
            <v>-4</v>
          </cell>
          <cell r="AI28">
            <v>-1</v>
          </cell>
          <cell r="AJ28">
            <v>-19</v>
          </cell>
          <cell r="AK28">
            <v>-1</v>
          </cell>
          <cell r="AL28">
            <v>0.8</v>
          </cell>
          <cell r="AM28">
            <v>14</v>
          </cell>
          <cell r="AN28">
            <v>8</v>
          </cell>
          <cell r="AO28">
            <v>20.8</v>
          </cell>
          <cell r="AP28">
            <v>9</v>
          </cell>
          <cell r="AQ28">
            <v>27</v>
          </cell>
          <cell r="AR28">
            <v>28</v>
          </cell>
          <cell r="AS28">
            <v>28.475779989683918</v>
          </cell>
          <cell r="AT28">
            <v>92.475779989683915</v>
          </cell>
          <cell r="AU28">
            <v>9.3595299896839119</v>
          </cell>
          <cell r="AV28">
            <v>27</v>
          </cell>
          <cell r="AW28">
            <v>28</v>
          </cell>
          <cell r="AX28">
            <v>27.01751240702643</v>
          </cell>
          <cell r="AY28">
            <v>91.377042396710337</v>
          </cell>
        </row>
        <row r="30">
          <cell r="A30" t="str">
            <v>Pre-tax income</v>
          </cell>
          <cell r="B30">
            <v>225.30000000000013</v>
          </cell>
          <cell r="C30">
            <v>295.90000000000015</v>
          </cell>
          <cell r="D30">
            <v>318.10000000000002</v>
          </cell>
          <cell r="E30">
            <v>260.29999999999995</v>
          </cell>
          <cell r="F30">
            <v>1099.6000000000004</v>
          </cell>
          <cell r="G30">
            <v>231.40000000000006</v>
          </cell>
          <cell r="H30">
            <v>193.49999999999997</v>
          </cell>
          <cell r="I30">
            <v>188.49999999999994</v>
          </cell>
          <cell r="J30">
            <v>191.70000000000005</v>
          </cell>
          <cell r="K30">
            <v>804.99999999999955</v>
          </cell>
          <cell r="L30">
            <v>168.7999999999999</v>
          </cell>
          <cell r="M30">
            <v>199.2</v>
          </cell>
          <cell r="N30">
            <v>258.2</v>
          </cell>
          <cell r="O30">
            <v>257.40000000000003</v>
          </cell>
          <cell r="P30">
            <v>883.60000000000036</v>
          </cell>
          <cell r="Q30">
            <v>194.00000000000009</v>
          </cell>
          <cell r="R30">
            <v>239.40000000000003</v>
          </cell>
          <cell r="S30">
            <v>274.90000000000015</v>
          </cell>
          <cell r="T30">
            <v>307.2</v>
          </cell>
          <cell r="U30">
            <v>1015.5000000000003</v>
          </cell>
          <cell r="V30">
            <v>244.70000000000005</v>
          </cell>
          <cell r="W30">
            <v>307.29999999999984</v>
          </cell>
          <cell r="X30">
            <v>330.09999999999997</v>
          </cell>
          <cell r="Y30">
            <v>354.70000000000005</v>
          </cell>
          <cell r="Z30">
            <v>1236.8000000000004</v>
          </cell>
          <cell r="AA30">
            <v>297.89999999999998</v>
          </cell>
          <cell r="AB30">
            <v>362.40000000000015</v>
          </cell>
          <cell r="AC30">
            <v>364.89999999999992</v>
          </cell>
          <cell r="AD30">
            <v>359</v>
          </cell>
          <cell r="AE30">
            <v>1384.1999999999996</v>
          </cell>
          <cell r="AF30">
            <v>275</v>
          </cell>
          <cell r="AG30">
            <v>357</v>
          </cell>
          <cell r="AH30">
            <v>386</v>
          </cell>
          <cell r="AI30">
            <v>415</v>
          </cell>
          <cell r="AJ30">
            <v>1433</v>
          </cell>
          <cell r="AK30">
            <v>295</v>
          </cell>
          <cell r="AL30">
            <v>455.2</v>
          </cell>
          <cell r="AM30">
            <v>378</v>
          </cell>
          <cell r="AN30">
            <v>390</v>
          </cell>
          <cell r="AO30">
            <v>1519.2</v>
          </cell>
          <cell r="AP30">
            <v>373</v>
          </cell>
          <cell r="AQ30">
            <v>418</v>
          </cell>
          <cell r="AR30">
            <v>437</v>
          </cell>
          <cell r="AS30">
            <v>395.47015218364686</v>
          </cell>
          <cell r="AT30">
            <v>1623.4701521836469</v>
          </cell>
          <cell r="AU30">
            <v>372.64047001031611</v>
          </cell>
          <cell r="AV30">
            <v>418</v>
          </cell>
          <cell r="AW30">
            <v>437</v>
          </cell>
          <cell r="AX30">
            <v>485.49951544918542</v>
          </cell>
          <cell r="AY30">
            <v>1713.1399854595015</v>
          </cell>
        </row>
        <row r="31">
          <cell r="A31" t="str">
            <v>EBT Margin % (Net Sales)</v>
          </cell>
          <cell r="B31">
            <v>0.28421849375551927</v>
          </cell>
          <cell r="C31">
            <v>0.3477903149976494</v>
          </cell>
          <cell r="D31">
            <v>0.39668287816435971</v>
          </cell>
          <cell r="E31">
            <v>0.38016649627574117</v>
          </cell>
          <cell r="F31">
            <v>0.35129868055333707</v>
          </cell>
          <cell r="G31">
            <v>0.3367777616067531</v>
          </cell>
          <cell r="H31">
            <v>0.31336032388663965</v>
          </cell>
          <cell r="I31">
            <v>0.28146931461848584</v>
          </cell>
          <cell r="J31">
            <v>0.30443068127679851</v>
          </cell>
          <cell r="K31">
            <v>0.30913978494623645</v>
          </cell>
          <cell r="L31">
            <v>0.27590715920235359</v>
          </cell>
          <cell r="M31">
            <v>0.28514171199541938</v>
          </cell>
          <cell r="N31">
            <v>0.36294630306438008</v>
          </cell>
          <cell r="O31">
            <v>0.38532934131736535</v>
          </cell>
          <cell r="P31">
            <v>0.32850026024239731</v>
          </cell>
          <cell r="Q31">
            <v>0.30364689309751142</v>
          </cell>
          <cell r="R31">
            <v>0.31949819831843063</v>
          </cell>
          <cell r="S31">
            <v>0.36546131348045752</v>
          </cell>
          <cell r="T31">
            <v>0.40889125515772662</v>
          </cell>
          <cell r="U31">
            <v>0.35117750804025322</v>
          </cell>
          <cell r="V31">
            <v>0.35417571283832688</v>
          </cell>
          <cell r="W31">
            <v>0.38383712215838106</v>
          </cell>
          <cell r="X31">
            <v>0.41252186953261677</v>
          </cell>
          <cell r="Y31">
            <v>0.46390269421919961</v>
          </cell>
          <cell r="Z31">
            <v>0.40467231619932609</v>
          </cell>
          <cell r="AA31">
            <v>0.3965127113004126</v>
          </cell>
          <cell r="AB31">
            <v>0.41398217957505151</v>
          </cell>
          <cell r="AC31">
            <v>0.42277835708492639</v>
          </cell>
          <cell r="AD31">
            <v>0.45328282828282829</v>
          </cell>
          <cell r="AE31">
            <v>0.42178073008714723</v>
          </cell>
          <cell r="AF31">
            <v>0.36279683377308708</v>
          </cell>
          <cell r="AG31">
            <v>0.40293453724604966</v>
          </cell>
          <cell r="AH31">
            <v>0.41239316239316237</v>
          </cell>
          <cell r="AI31">
            <v>0.45504385964912281</v>
          </cell>
          <cell r="AJ31">
            <v>0.41036655211912942</v>
          </cell>
          <cell r="AK31">
            <v>0.38461538461538464</v>
          </cell>
          <cell r="AL31">
            <v>0.44065827686350434</v>
          </cell>
          <cell r="AM31">
            <v>0.39664218258132217</v>
          </cell>
          <cell r="AN31">
            <v>0.41845493562231761</v>
          </cell>
          <cell r="AO31">
            <v>0.4122659430122117</v>
          </cell>
          <cell r="AP31">
            <v>0.40411700975081255</v>
          </cell>
          <cell r="AQ31">
            <v>0.40269749518304432</v>
          </cell>
          <cell r="AR31">
            <v>0.40726933830382106</v>
          </cell>
          <cell r="AS31">
            <v>0.40151370450477331</v>
          </cell>
          <cell r="AT31">
            <v>0.40395399991000841</v>
          </cell>
          <cell r="AU31">
            <v>0.40372748646838147</v>
          </cell>
          <cell r="AV31">
            <v>0.40269749518304432</v>
          </cell>
          <cell r="AW31">
            <v>0.40726933830382106</v>
          </cell>
          <cell r="AX31">
            <v>0.41997450205082698</v>
          </cell>
          <cell r="AY31">
            <v>0.40886186928098034</v>
          </cell>
        </row>
        <row r="33">
          <cell r="A33" t="str">
            <v>Taxes</v>
          </cell>
          <cell r="B33">
            <v>87.4</v>
          </cell>
          <cell r="C33">
            <v>117.17640000000006</v>
          </cell>
          <cell r="D33">
            <v>126.44475000000001</v>
          </cell>
          <cell r="E33">
            <v>99.955199999999991</v>
          </cell>
          <cell r="F33">
            <v>430.97635000000008</v>
          </cell>
          <cell r="G33">
            <v>90.01460000000003</v>
          </cell>
          <cell r="H33">
            <v>68.111999999999981</v>
          </cell>
          <cell r="I33">
            <v>72.082399999999978</v>
          </cell>
          <cell r="J33">
            <v>72.5</v>
          </cell>
          <cell r="K33">
            <v>302.70899999999995</v>
          </cell>
          <cell r="L33">
            <v>65.8</v>
          </cell>
          <cell r="M33">
            <v>77.8</v>
          </cell>
          <cell r="N33">
            <v>98.3</v>
          </cell>
          <cell r="O33">
            <v>95.7</v>
          </cell>
          <cell r="P33">
            <v>337.59999999999997</v>
          </cell>
          <cell r="Q33">
            <v>75.500000000000028</v>
          </cell>
          <cell r="R33">
            <v>97.300000000000011</v>
          </cell>
          <cell r="S33">
            <v>102.90000000000006</v>
          </cell>
          <cell r="T33">
            <v>116.7</v>
          </cell>
          <cell r="U33">
            <v>392.40000000000009</v>
          </cell>
          <cell r="V33">
            <v>94.6</v>
          </cell>
          <cell r="W33">
            <v>120.1</v>
          </cell>
          <cell r="X33">
            <v>127.2</v>
          </cell>
          <cell r="Y33">
            <v>134.69999999999999</v>
          </cell>
          <cell r="Z33">
            <v>476.59999999999997</v>
          </cell>
          <cell r="AA33">
            <v>109.32929999999999</v>
          </cell>
          <cell r="AB33">
            <v>135.30000000000001</v>
          </cell>
          <cell r="AC33">
            <v>131.30000000000001</v>
          </cell>
          <cell r="AD33">
            <v>106.59726962457337</v>
          </cell>
          <cell r="AE33">
            <v>482.52656962457337</v>
          </cell>
          <cell r="AF33">
            <v>100.95335641047694</v>
          </cell>
          <cell r="AG33">
            <v>140</v>
          </cell>
          <cell r="AH33">
            <v>149</v>
          </cell>
          <cell r="AI33">
            <v>157</v>
          </cell>
          <cell r="AJ33">
            <v>546.953356410477</v>
          </cell>
          <cell r="AK33">
            <v>111</v>
          </cell>
          <cell r="AL33">
            <v>169.07428571428571</v>
          </cell>
          <cell r="AM33">
            <v>143</v>
          </cell>
          <cell r="AN33">
            <v>148</v>
          </cell>
          <cell r="AO33">
            <v>571.07428571428568</v>
          </cell>
          <cell r="AP33">
            <v>141</v>
          </cell>
          <cell r="AQ33">
            <v>155</v>
          </cell>
          <cell r="AR33">
            <v>163.001</v>
          </cell>
          <cell r="AS33">
            <v>146.55336676450031</v>
          </cell>
          <cell r="AT33">
            <v>605.55436676450029</v>
          </cell>
          <cell r="AU33">
            <v>140.86409188057524</v>
          </cell>
          <cell r="AV33">
            <v>155</v>
          </cell>
          <cell r="AW33">
            <v>163.001</v>
          </cell>
          <cell r="AX33">
            <v>183.56240266673774</v>
          </cell>
          <cell r="AY33">
            <v>642.42749454731302</v>
          </cell>
          <cell r="HK33" t="str">
            <v>mstag:taxExpenseIncome</v>
          </cell>
          <cell r="HL33">
            <v>6</v>
          </cell>
          <cell r="HM33" t="str">
            <v>ISO4217:USD</v>
          </cell>
          <cell r="HN33" t="b">
            <v>0</v>
          </cell>
          <cell r="HO33" t="b">
            <v>0</v>
          </cell>
        </row>
        <row r="34">
          <cell r="A34" t="str">
            <v>Effective Tax Rate</v>
          </cell>
          <cell r="B34">
            <v>0.38792720816688842</v>
          </cell>
          <cell r="C34">
            <v>0.39600000000000002</v>
          </cell>
          <cell r="D34">
            <v>0.39750000000000002</v>
          </cell>
          <cell r="E34">
            <v>0.38400000000000001</v>
          </cell>
          <cell r="F34">
            <v>0.39193920516551467</v>
          </cell>
          <cell r="G34">
            <v>0.38900000000000001</v>
          </cell>
          <cell r="H34">
            <v>0.35199999999999992</v>
          </cell>
          <cell r="I34">
            <v>0.38240000000000002</v>
          </cell>
          <cell r="J34">
            <v>0.37819509650495559</v>
          </cell>
          <cell r="K34">
            <v>0.37603602484472065</v>
          </cell>
          <cell r="L34">
            <v>0.38981042654028458</v>
          </cell>
          <cell r="M34">
            <v>0.39056224899598396</v>
          </cell>
          <cell r="N34">
            <v>0.38071262587141752</v>
          </cell>
          <cell r="O34">
            <v>0.37179487179487175</v>
          </cell>
          <cell r="P34">
            <v>0.38207333635128998</v>
          </cell>
          <cell r="Q34">
            <v>0.38917525773195877</v>
          </cell>
          <cell r="R34">
            <v>0.4064327485380117</v>
          </cell>
          <cell r="S34">
            <v>0.37431793379410699</v>
          </cell>
          <cell r="T34">
            <v>0.3798828125</v>
          </cell>
          <cell r="U34">
            <v>0.38641063515509599</v>
          </cell>
          <cell r="V34">
            <v>0.38659583163056793</v>
          </cell>
          <cell r="W34">
            <v>0.39082329970712676</v>
          </cell>
          <cell r="X34">
            <v>0.3853377764313845</v>
          </cell>
          <cell r="Y34">
            <v>0.37975754158443747</v>
          </cell>
          <cell r="Z34">
            <v>0.38534928848641642</v>
          </cell>
          <cell r="AA34">
            <v>0.36699999999999999</v>
          </cell>
          <cell r="AB34">
            <v>0.37334437086092703</v>
          </cell>
          <cell r="AC34">
            <v>0.35982460948204997</v>
          </cell>
          <cell r="AD34">
            <v>0.29692832764505117</v>
          </cell>
          <cell r="AE34">
            <v>0.34859599019258308</v>
          </cell>
          <cell r="AF34">
            <v>0.36710311421991615</v>
          </cell>
          <cell r="AG34">
            <v>0.39215686274509803</v>
          </cell>
          <cell r="AH34">
            <v>0.3860103626943005</v>
          </cell>
          <cell r="AI34">
            <v>0.37831325301204821</v>
          </cell>
          <cell r="AJ34">
            <v>0.38168412868839985</v>
          </cell>
          <cell r="AK34">
            <v>0.37627118644067797</v>
          </cell>
          <cell r="AL34">
            <v>0.37142857142857144</v>
          </cell>
          <cell r="AM34">
            <v>0.37830687830687831</v>
          </cell>
          <cell r="AN34">
            <v>0.37948717948717947</v>
          </cell>
          <cell r="AO34">
            <v>0.37590461144963511</v>
          </cell>
          <cell r="AP34">
            <v>0.37801608579088469</v>
          </cell>
          <cell r="AQ34">
            <v>0.37081339712918659</v>
          </cell>
          <cell r="AR34">
            <v>0.373</v>
          </cell>
          <cell r="AS34">
            <v>0.37058009550223764</v>
          </cell>
          <cell r="AT34">
            <v>0.373</v>
          </cell>
          <cell r="AU34">
            <v>0.37801608579088469</v>
          </cell>
          <cell r="AV34">
            <v>0.37081339712918659</v>
          </cell>
          <cell r="AW34">
            <v>0.373</v>
          </cell>
          <cell r="AX34">
            <v>0.3780897752223405</v>
          </cell>
          <cell r="AY34">
            <v>0.37499999999999994</v>
          </cell>
        </row>
        <row r="35">
          <cell r="A35" t="str">
            <v>Statutory Tax Rate</v>
          </cell>
          <cell r="B35">
            <v>0.35</v>
          </cell>
          <cell r="C35">
            <v>0.35</v>
          </cell>
          <cell r="D35">
            <v>0.35</v>
          </cell>
          <cell r="E35">
            <v>0.35</v>
          </cell>
          <cell r="F35">
            <v>0.35</v>
          </cell>
          <cell r="G35">
            <v>0.35</v>
          </cell>
          <cell r="H35">
            <v>0.35</v>
          </cell>
          <cell r="I35">
            <v>0.35</v>
          </cell>
          <cell r="J35">
            <v>0.35</v>
          </cell>
          <cell r="K35">
            <v>0.35</v>
          </cell>
          <cell r="L35">
            <v>0.35</v>
          </cell>
          <cell r="M35">
            <v>0.35</v>
          </cell>
          <cell r="N35">
            <v>0.35</v>
          </cell>
          <cell r="O35">
            <v>0.35</v>
          </cell>
          <cell r="P35">
            <v>0.35</v>
          </cell>
          <cell r="Q35">
            <v>0.35</v>
          </cell>
          <cell r="R35">
            <v>0.35</v>
          </cell>
          <cell r="S35">
            <v>0.35</v>
          </cell>
          <cell r="T35">
            <v>0.35</v>
          </cell>
          <cell r="U35">
            <v>0.35</v>
          </cell>
          <cell r="V35">
            <v>0.35</v>
          </cell>
          <cell r="W35">
            <v>0.35</v>
          </cell>
          <cell r="X35">
            <v>0.35</v>
          </cell>
          <cell r="Y35">
            <v>0.35</v>
          </cell>
          <cell r="Z35">
            <v>0.35</v>
          </cell>
          <cell r="AA35">
            <v>0.35</v>
          </cell>
          <cell r="AB35">
            <v>0.35</v>
          </cell>
          <cell r="AC35">
            <v>0.35</v>
          </cell>
          <cell r="AD35">
            <v>0.35</v>
          </cell>
          <cell r="AE35">
            <v>0.35</v>
          </cell>
          <cell r="AF35">
            <v>0.35</v>
          </cell>
          <cell r="AG35">
            <v>0.35</v>
          </cell>
          <cell r="AH35">
            <v>0.35</v>
          </cell>
          <cell r="AI35">
            <v>0.35</v>
          </cell>
          <cell r="AJ35">
            <v>0.35</v>
          </cell>
          <cell r="AK35">
            <v>0.35</v>
          </cell>
          <cell r="AL35">
            <v>0.35</v>
          </cell>
          <cell r="AM35">
            <v>0.35</v>
          </cell>
          <cell r="AN35">
            <v>0.35</v>
          </cell>
          <cell r="AO35">
            <v>0.35</v>
          </cell>
          <cell r="AP35">
            <v>0.35</v>
          </cell>
          <cell r="AQ35">
            <v>0.35</v>
          </cell>
          <cell r="AR35">
            <v>0.35</v>
          </cell>
          <cell r="AS35">
            <v>0.35</v>
          </cell>
          <cell r="AT35">
            <v>0.35</v>
          </cell>
          <cell r="AU35">
            <v>0.35</v>
          </cell>
          <cell r="AV35">
            <v>0.35</v>
          </cell>
          <cell r="AW35">
            <v>0.35</v>
          </cell>
          <cell r="AX35">
            <v>0.35</v>
          </cell>
          <cell r="AY35">
            <v>0.35</v>
          </cell>
          <cell r="HK35" t="str">
            <v>mstag:statutoryTaxRate</v>
          </cell>
          <cell r="HL35">
            <v>0</v>
          </cell>
          <cell r="HM35" t="str">
            <v>ms_eqr_gcim_Decimal:ms_eqr_gcim_decimal</v>
          </cell>
          <cell r="HN35" t="b">
            <v>0</v>
          </cell>
          <cell r="HO35" t="b">
            <v>0</v>
          </cell>
        </row>
        <row r="37">
          <cell r="A37" t="str">
            <v>Net Income</v>
          </cell>
          <cell r="B37">
            <v>137.90000000000012</v>
          </cell>
          <cell r="C37">
            <v>178.72360000000009</v>
          </cell>
          <cell r="D37">
            <v>191.65525000000002</v>
          </cell>
          <cell r="E37">
            <v>160.34479999999996</v>
          </cell>
          <cell r="F37">
            <v>668.62365000000023</v>
          </cell>
          <cell r="G37">
            <v>141.38540000000003</v>
          </cell>
          <cell r="H37">
            <v>125.38799999999999</v>
          </cell>
          <cell r="I37">
            <v>116.41759999999996</v>
          </cell>
          <cell r="J37">
            <v>119.20000000000005</v>
          </cell>
          <cell r="K37">
            <v>502.2909999999996</v>
          </cell>
          <cell r="L37">
            <v>102.9999999999999</v>
          </cell>
          <cell r="M37">
            <v>121.39999999999999</v>
          </cell>
          <cell r="N37">
            <v>159.89999999999998</v>
          </cell>
          <cell r="O37">
            <v>161.70000000000005</v>
          </cell>
          <cell r="P37">
            <v>546.00000000000045</v>
          </cell>
          <cell r="Q37">
            <v>118.50000000000006</v>
          </cell>
          <cell r="R37">
            <v>142.10000000000002</v>
          </cell>
          <cell r="S37">
            <v>172.00000000000009</v>
          </cell>
          <cell r="T37">
            <v>190.5</v>
          </cell>
          <cell r="U37">
            <v>623.10000000000025</v>
          </cell>
          <cell r="V37">
            <v>150.10000000000005</v>
          </cell>
          <cell r="W37">
            <v>187.19999999999985</v>
          </cell>
          <cell r="X37">
            <v>202.89999999999998</v>
          </cell>
          <cell r="Y37">
            <v>220.00000000000006</v>
          </cell>
          <cell r="Z37">
            <v>760.2000000000005</v>
          </cell>
          <cell r="AA37">
            <v>188.57069999999999</v>
          </cell>
          <cell r="AB37">
            <v>227.10000000000014</v>
          </cell>
          <cell r="AC37">
            <v>233.59999999999991</v>
          </cell>
          <cell r="AD37">
            <v>252.40273037542664</v>
          </cell>
          <cell r="AE37">
            <v>901.67343037542628</v>
          </cell>
          <cell r="AF37">
            <v>174.04664358952306</v>
          </cell>
          <cell r="AG37">
            <v>217</v>
          </cell>
          <cell r="AH37">
            <v>237</v>
          </cell>
          <cell r="AI37">
            <v>258</v>
          </cell>
          <cell r="AJ37">
            <v>886.046643589523</v>
          </cell>
          <cell r="AK37">
            <v>184</v>
          </cell>
          <cell r="AL37">
            <v>286.12571428571425</v>
          </cell>
          <cell r="AM37">
            <v>235</v>
          </cell>
          <cell r="AN37">
            <v>242</v>
          </cell>
          <cell r="AO37">
            <v>948.12571428571437</v>
          </cell>
          <cell r="AP37">
            <v>232</v>
          </cell>
          <cell r="AQ37">
            <v>263</v>
          </cell>
          <cell r="AR37">
            <v>273.99900000000002</v>
          </cell>
          <cell r="AS37">
            <v>248.91678541914655</v>
          </cell>
          <cell r="AT37">
            <v>1017.9157854191466</v>
          </cell>
          <cell r="AU37">
            <v>231.77637812974086</v>
          </cell>
          <cell r="AV37">
            <v>263</v>
          </cell>
          <cell r="AW37">
            <v>273.99900000000002</v>
          </cell>
          <cell r="AX37">
            <v>301.93711278244768</v>
          </cell>
          <cell r="AY37">
            <v>1070.7124909121885</v>
          </cell>
        </row>
        <row r="39">
          <cell r="A39" t="str">
            <v>EPS</v>
          </cell>
          <cell r="B39">
            <v>0.7950000007482021</v>
          </cell>
          <cell r="C39">
            <v>1.0286250359712235</v>
          </cell>
          <cell r="D39">
            <v>1.1037505759041697</v>
          </cell>
          <cell r="E39">
            <v>0.92364516129032237</v>
          </cell>
          <cell r="F39">
            <v>3.8496338198462747</v>
          </cell>
          <cell r="G39">
            <v>0.81443202764976985</v>
          </cell>
          <cell r="H39">
            <v>0.72228110599078343</v>
          </cell>
          <cell r="I39">
            <v>0.67060829493087537</v>
          </cell>
          <cell r="J39">
            <v>0.68663594470046108</v>
          </cell>
          <cell r="K39">
            <v>2.8933813364055276</v>
          </cell>
          <cell r="L39">
            <v>0.59331797235022987</v>
          </cell>
          <cell r="M39">
            <v>0.69930875576036866</v>
          </cell>
          <cell r="N39">
            <v>0.92108294930875567</v>
          </cell>
          <cell r="O39">
            <v>0.93145161290322609</v>
          </cell>
          <cell r="P39">
            <v>3.1451612903225832</v>
          </cell>
          <cell r="Q39">
            <v>0.68260368663594506</v>
          </cell>
          <cell r="R39">
            <v>0.81854838709677435</v>
          </cell>
          <cell r="S39">
            <v>0.99078341013824933</v>
          </cell>
          <cell r="T39">
            <v>1.1100104882880784</v>
          </cell>
          <cell r="U39">
            <v>3.6226744186046527</v>
          </cell>
          <cell r="V39">
            <v>0.86463133640553025</v>
          </cell>
          <cell r="W39">
            <v>1.088372093023255</v>
          </cell>
          <cell r="X39">
            <v>1.1681059297639609</v>
          </cell>
          <cell r="Y39">
            <v>1.2645073043287318</v>
          </cell>
          <cell r="Z39">
            <v>4.3747279390532405</v>
          </cell>
          <cell r="AA39">
            <v>1.0851690473254754</v>
          </cell>
          <cell r="AB39">
            <v>1.3014326647564478</v>
          </cell>
          <cell r="AC39">
            <v>1.3442994561468509</v>
          </cell>
          <cell r="AD39">
            <v>1.4514245565004407</v>
          </cell>
          <cell r="AE39">
            <v>5.1824659702942224</v>
          </cell>
          <cell r="AF39">
            <v>1.0015873643903284</v>
          </cell>
          <cell r="AG39">
            <v>1.247648039706899</v>
          </cell>
          <cell r="AH39">
            <v>1.3739926952287089</v>
          </cell>
          <cell r="AI39">
            <v>1.5330679184740628</v>
          </cell>
          <cell r="AJ39">
            <v>5.1451521026045119</v>
          </cell>
          <cell r="AK39">
            <v>1.0940658817933167</v>
          </cell>
          <cell r="AL39">
            <v>1.7052608277353494</v>
          </cell>
          <cell r="AM39">
            <v>1.4353774737356462</v>
          </cell>
          <cell r="AN39">
            <v>1.5230662722638304</v>
          </cell>
          <cell r="AO39">
            <v>5.759480708818578</v>
          </cell>
          <cell r="AP39">
            <v>1.499482936918304</v>
          </cell>
          <cell r="AQ39">
            <v>1.727762449086848</v>
          </cell>
          <cell r="AR39">
            <v>1.8080968721129738</v>
          </cell>
          <cell r="AS39">
            <v>1.6679859334508269</v>
          </cell>
          <cell r="AT39">
            <v>6.6978068747261315</v>
          </cell>
          <cell r="AU39">
            <v>1.4980376042511689</v>
          </cell>
          <cell r="AV39">
            <v>1.727762449086848</v>
          </cell>
          <cell r="AW39">
            <v>1.8080968721129738</v>
          </cell>
          <cell r="AX39">
            <v>2.1351746555076665</v>
          </cell>
          <cell r="AY39" t="e">
            <v>#NAME?</v>
          </cell>
          <cell r="BA39">
            <v>0.24456813387757781</v>
          </cell>
          <cell r="BB39">
            <v>0.15286485675998018</v>
          </cell>
        </row>
        <row r="41">
          <cell r="A41" t="str">
            <v>Basic Shares Outstanding</v>
          </cell>
          <cell r="B41">
            <v>173.75</v>
          </cell>
          <cell r="C41">
            <v>173.75</v>
          </cell>
          <cell r="D41">
            <v>173.75</v>
          </cell>
          <cell r="E41">
            <v>173.75</v>
          </cell>
          <cell r="F41">
            <v>173.75</v>
          </cell>
          <cell r="G41">
            <v>173.6</v>
          </cell>
          <cell r="H41">
            <v>173.6</v>
          </cell>
          <cell r="I41">
            <v>173.6</v>
          </cell>
          <cell r="J41">
            <v>173.6</v>
          </cell>
          <cell r="K41">
            <v>173.6</v>
          </cell>
          <cell r="L41">
            <v>173.6</v>
          </cell>
          <cell r="M41">
            <v>173.6</v>
          </cell>
          <cell r="N41">
            <v>173.6</v>
          </cell>
          <cell r="O41">
            <v>173.6</v>
          </cell>
          <cell r="P41">
            <v>173.6</v>
          </cell>
          <cell r="Q41">
            <v>173.6</v>
          </cell>
          <cell r="R41">
            <v>173.6</v>
          </cell>
          <cell r="S41">
            <v>173.6</v>
          </cell>
          <cell r="T41">
            <v>171.62</v>
          </cell>
          <cell r="U41">
            <v>172</v>
          </cell>
          <cell r="V41">
            <v>173.6</v>
          </cell>
          <cell r="W41">
            <v>173.6</v>
          </cell>
          <cell r="X41">
            <v>173.6</v>
          </cell>
          <cell r="Y41">
            <v>173.6</v>
          </cell>
          <cell r="Z41">
            <v>173.77080599999999</v>
          </cell>
          <cell r="AA41">
            <v>173.77080599999999</v>
          </cell>
          <cell r="AB41">
            <v>173.77080599999999</v>
          </cell>
          <cell r="AC41">
            <v>173.77080599999999</v>
          </cell>
          <cell r="AD41">
            <v>173.77080599999999</v>
          </cell>
          <cell r="AE41">
            <v>173.98540299999999</v>
          </cell>
          <cell r="AF41">
            <v>173.77080599999999</v>
          </cell>
          <cell r="AG41">
            <v>173.927256</v>
          </cell>
          <cell r="AH41">
            <v>172.37</v>
          </cell>
          <cell r="AI41">
            <v>168.19</v>
          </cell>
          <cell r="AJ41">
            <v>172.09</v>
          </cell>
          <cell r="AK41">
            <v>168.07</v>
          </cell>
          <cell r="AL41">
            <v>167.66</v>
          </cell>
          <cell r="AM41">
            <v>163.58000000000001</v>
          </cell>
          <cell r="AN41">
            <v>158.72</v>
          </cell>
          <cell r="AO41">
            <v>164.48</v>
          </cell>
          <cell r="AP41">
            <v>154.55000000000001</v>
          </cell>
          <cell r="AQ41">
            <v>152.04</v>
          </cell>
          <cell r="AR41">
            <v>151.33000000000001</v>
          </cell>
          <cell r="AS41">
            <v>149.12194520242321</v>
          </cell>
          <cell r="AT41">
            <v>151.867476278124</v>
          </cell>
          <cell r="AU41">
            <v>154.55000000000001</v>
          </cell>
          <cell r="AV41">
            <v>152.04</v>
          </cell>
          <cell r="AW41">
            <v>151.33000000000001</v>
          </cell>
          <cell r="AX41">
            <v>141.30096701555689</v>
          </cell>
          <cell r="AY41" t="e">
            <v>#NAME?</v>
          </cell>
          <cell r="HK41" t="str">
            <v>mstag:averageBasicSharesOutstanding</v>
          </cell>
          <cell r="HL41">
            <v>6</v>
          </cell>
          <cell r="HM41" t="str">
            <v>ms_eqr_gcim_Decimal:ms_eqr_gcim_decimal</v>
          </cell>
          <cell r="HN41" t="b">
            <v>0</v>
          </cell>
          <cell r="HO41" t="b">
            <v>0</v>
          </cell>
        </row>
        <row r="42">
          <cell r="A42" t="str">
            <v>Diluted Shares Outstanding</v>
          </cell>
          <cell r="B42">
            <v>173.75</v>
          </cell>
          <cell r="C42">
            <v>173.75</v>
          </cell>
          <cell r="D42">
            <v>173.64</v>
          </cell>
          <cell r="E42">
            <v>173.6</v>
          </cell>
          <cell r="F42">
            <v>173.685</v>
          </cell>
          <cell r="G42">
            <v>173.6</v>
          </cell>
          <cell r="H42">
            <v>173.6</v>
          </cell>
          <cell r="I42">
            <v>173.6</v>
          </cell>
          <cell r="J42">
            <v>173.6</v>
          </cell>
          <cell r="K42">
            <v>173.6</v>
          </cell>
          <cell r="L42">
            <v>173.6</v>
          </cell>
          <cell r="M42">
            <v>173.6</v>
          </cell>
          <cell r="N42">
            <v>173.6</v>
          </cell>
          <cell r="O42">
            <v>173.6</v>
          </cell>
          <cell r="P42">
            <v>173.6</v>
          </cell>
          <cell r="Q42">
            <v>173.6</v>
          </cell>
          <cell r="R42">
            <v>173.6</v>
          </cell>
          <cell r="S42">
            <v>173.6</v>
          </cell>
          <cell r="T42">
            <v>171.62</v>
          </cell>
          <cell r="U42">
            <v>172</v>
          </cell>
          <cell r="V42">
            <v>173.6</v>
          </cell>
          <cell r="W42">
            <v>172</v>
          </cell>
          <cell r="X42">
            <v>173.7</v>
          </cell>
          <cell r="Y42">
            <v>173.980806</v>
          </cell>
          <cell r="Z42">
            <v>173.77080599999999</v>
          </cell>
          <cell r="AA42">
            <v>173.77080599999999</v>
          </cell>
          <cell r="AB42">
            <v>174.5</v>
          </cell>
          <cell r="AC42">
            <v>173.77080599999999</v>
          </cell>
          <cell r="AD42">
            <v>173.9</v>
          </cell>
          <cell r="AE42">
            <v>173.98540299999999</v>
          </cell>
          <cell r="AF42">
            <v>173.77080599999999</v>
          </cell>
          <cell r="AG42">
            <v>173.927256</v>
          </cell>
          <cell r="AH42">
            <v>172.49</v>
          </cell>
          <cell r="AI42">
            <v>168.29</v>
          </cell>
          <cell r="AJ42">
            <v>172.21</v>
          </cell>
          <cell r="AK42">
            <v>168.18</v>
          </cell>
          <cell r="AL42">
            <v>167.79</v>
          </cell>
          <cell r="AM42">
            <v>163.72</v>
          </cell>
          <cell r="AN42">
            <v>158.88999999999999</v>
          </cell>
          <cell r="AO42">
            <v>164.62</v>
          </cell>
          <cell r="AP42">
            <v>154.72</v>
          </cell>
          <cell r="AQ42">
            <v>152.22</v>
          </cell>
          <cell r="AR42">
            <v>151.54</v>
          </cell>
          <cell r="AS42">
            <v>149.23194520242322</v>
          </cell>
          <cell r="AT42">
            <v>151.97747627812402</v>
          </cell>
          <cell r="AU42">
            <v>154.72</v>
          </cell>
          <cell r="AV42">
            <v>152.22</v>
          </cell>
          <cell r="AW42">
            <v>151.54</v>
          </cell>
          <cell r="AX42">
            <v>141.41096701555691</v>
          </cell>
          <cell r="AY42" t="e">
            <v>#NAME?</v>
          </cell>
          <cell r="HK42" t="str">
            <v>mstag:averageDilutedSharesOutstanding</v>
          </cell>
          <cell r="HL42">
            <v>6</v>
          </cell>
          <cell r="HM42" t="str">
            <v>ms_eqr_gcim_Decimal:ms_eqr_gcim_decimal</v>
          </cell>
          <cell r="HN42" t="b">
            <v>0</v>
          </cell>
          <cell r="HO42" t="b">
            <v>0</v>
          </cell>
        </row>
        <row r="43">
          <cell r="A43" t="str">
            <v>Period End Basic Shares Outstanding</v>
          </cell>
          <cell r="L43">
            <v>173.6</v>
          </cell>
          <cell r="M43">
            <v>173.6</v>
          </cell>
          <cell r="N43">
            <v>173.6</v>
          </cell>
          <cell r="O43">
            <v>173.6</v>
          </cell>
          <cell r="P43">
            <v>173.6</v>
          </cell>
          <cell r="Q43">
            <v>173.6</v>
          </cell>
          <cell r="R43">
            <v>173.6</v>
          </cell>
          <cell r="S43">
            <v>173.6</v>
          </cell>
          <cell r="T43">
            <v>171.62</v>
          </cell>
          <cell r="U43">
            <v>172</v>
          </cell>
          <cell r="V43">
            <v>173.6</v>
          </cell>
          <cell r="W43">
            <v>173.6</v>
          </cell>
          <cell r="X43">
            <v>173.6</v>
          </cell>
          <cell r="Y43">
            <v>173.6</v>
          </cell>
          <cell r="Z43">
            <v>173.77080599999999</v>
          </cell>
          <cell r="AA43">
            <v>173.77080599999999</v>
          </cell>
          <cell r="AB43">
            <v>173.77080599999999</v>
          </cell>
          <cell r="AC43">
            <v>173.77080599999999</v>
          </cell>
          <cell r="AD43">
            <v>173.77080599999999</v>
          </cell>
          <cell r="AE43">
            <v>173.98540299999999</v>
          </cell>
          <cell r="AF43">
            <v>173.77080599999999</v>
          </cell>
          <cell r="AG43">
            <v>173.927256</v>
          </cell>
          <cell r="AH43">
            <v>170.03299789880614</v>
          </cell>
          <cell r="AI43">
            <v>168.06387282790971</v>
          </cell>
          <cell r="AJ43">
            <v>168.06387282790971</v>
          </cell>
          <cell r="AK43">
            <v>168.06387282790971</v>
          </cell>
          <cell r="AL43">
            <v>165.90634364215532</v>
          </cell>
          <cell r="AM43">
            <v>163.72</v>
          </cell>
          <cell r="AN43">
            <v>155.77796537155714</v>
          </cell>
          <cell r="AO43">
            <v>155.77796537155714</v>
          </cell>
          <cell r="AP43">
            <v>153.17796537155715</v>
          </cell>
          <cell r="AQ43">
            <v>151.4089747368017</v>
          </cell>
          <cell r="AR43">
            <v>150.28690322015558</v>
          </cell>
          <cell r="AS43">
            <v>147.95698718469083</v>
          </cell>
          <cell r="AT43">
            <v>147.95698718469083</v>
          </cell>
          <cell r="AU43">
            <v>145.35698718469084</v>
          </cell>
          <cell r="AV43">
            <v>143.58799654993538</v>
          </cell>
          <cell r="AW43">
            <v>142.46592503328927</v>
          </cell>
          <cell r="AX43">
            <v>140.13600899782452</v>
          </cell>
          <cell r="AY43">
            <v>140.13600899782452</v>
          </cell>
        </row>
        <row r="46">
          <cell r="A46" t="str">
            <v>YoY % Growth</v>
          </cell>
          <cell r="G46" t="str">
            <v>1Q03</v>
          </cell>
          <cell r="H46" t="str">
            <v>2Q03</v>
          </cell>
          <cell r="I46" t="str">
            <v>3Q03</v>
          </cell>
          <cell r="J46" t="str">
            <v>4Q03</v>
          </cell>
          <cell r="K46">
            <v>2003</v>
          </cell>
          <cell r="L46" t="str">
            <v>1Q04</v>
          </cell>
          <cell r="M46" t="str">
            <v>2Q04</v>
          </cell>
          <cell r="N46" t="str">
            <v>3Q04</v>
          </cell>
          <cell r="O46" t="str">
            <v>4Q04</v>
          </cell>
          <cell r="P46">
            <v>2004</v>
          </cell>
          <cell r="Q46" t="str">
            <v>1Q05E</v>
          </cell>
          <cell r="R46" t="str">
            <v>2Q05E</v>
          </cell>
          <cell r="S46" t="str">
            <v>3Q05E</v>
          </cell>
          <cell r="T46" t="str">
            <v>4Q05E</v>
          </cell>
          <cell r="U46" t="str">
            <v>2005E</v>
          </cell>
          <cell r="V46" t="str">
            <v>1Q06</v>
          </cell>
          <cell r="W46" t="str">
            <v>2Q06</v>
          </cell>
          <cell r="X46" t="str">
            <v>3Q06</v>
          </cell>
          <cell r="Y46" t="str">
            <v>4Q06</v>
          </cell>
          <cell r="Z46">
            <v>2006</v>
          </cell>
          <cell r="AA46" t="str">
            <v>1Q07</v>
          </cell>
          <cell r="AB46" t="str">
            <v>2Q07</v>
          </cell>
          <cell r="AC46" t="str">
            <v>3Q07</v>
          </cell>
          <cell r="AD46" t="str">
            <v>4Q07</v>
          </cell>
          <cell r="AE46">
            <v>2007</v>
          </cell>
          <cell r="AF46" t="str">
            <v>1Q08</v>
          </cell>
          <cell r="AG46" t="str">
            <v>2Q08</v>
          </cell>
          <cell r="AH46" t="str">
            <v>3Q08</v>
          </cell>
          <cell r="AI46" t="str">
            <v>4Q08</v>
          </cell>
          <cell r="AJ46">
            <v>2008</v>
          </cell>
          <cell r="AK46" t="str">
            <v>1Q09</v>
          </cell>
          <cell r="AL46" t="str">
            <v>2Q09</v>
          </cell>
          <cell r="AM46" t="str">
            <v>3Q09</v>
          </cell>
          <cell r="AN46" t="str">
            <v>4Q09</v>
          </cell>
          <cell r="AO46">
            <v>2009</v>
          </cell>
          <cell r="AP46" t="str">
            <v>1Q10</v>
          </cell>
          <cell r="AQ46" t="str">
            <v>2Q10</v>
          </cell>
          <cell r="AR46" t="str">
            <v>3Q10E</v>
          </cell>
          <cell r="AS46" t="str">
            <v>4Q10E</v>
          </cell>
          <cell r="AT46" t="str">
            <v>2010E</v>
          </cell>
          <cell r="AU46" t="str">
            <v>1Q11E</v>
          </cell>
          <cell r="AV46" t="str">
            <v>2Q11E</v>
          </cell>
          <cell r="AW46" t="str">
            <v>3Q11E</v>
          </cell>
          <cell r="AX46" t="str">
            <v>4Q11E</v>
          </cell>
          <cell r="AY46" t="str">
            <v>2011E</v>
          </cell>
        </row>
        <row r="47">
          <cell r="A47" t="str">
            <v>Volume</v>
          </cell>
          <cell r="U47">
            <v>1.9881085405389687E-2</v>
          </cell>
          <cell r="Z47">
            <v>2.6629503167501678E-2</v>
          </cell>
          <cell r="AA47">
            <v>-9.5487636441274892E-3</v>
          </cell>
          <cell r="AB47">
            <v>3.6305689285319742E-2</v>
          </cell>
          <cell r="AC47">
            <v>-1.627581941057854E-2</v>
          </cell>
          <cell r="AD47">
            <v>-4.3052728495183823E-2</v>
          </cell>
          <cell r="AE47">
            <v>-7.9902328375115461E-3</v>
          </cell>
          <cell r="AF47">
            <v>3.3349421240711496E-3</v>
          </cell>
          <cell r="AG47">
            <v>-1.0329910050823621E-3</v>
          </cell>
          <cell r="AH47">
            <v>4.5118594641716525E-2</v>
          </cell>
          <cell r="AI47">
            <v>8.2535368098198836E-2</v>
          </cell>
          <cell r="AJ47">
            <v>3.2032269922957823E-2</v>
          </cell>
          <cell r="AK47">
            <v>-8.1986181471364494E-2</v>
          </cell>
          <cell r="AL47">
            <v>2.0736764523295204E-2</v>
          </cell>
          <cell r="AM47">
            <v>-6.1247754985529368E-2</v>
          </cell>
          <cell r="AN47">
            <v>-3.5975984406743655E-2</v>
          </cell>
          <cell r="AO47">
            <v>-3.8692630392518912E-2</v>
          </cell>
          <cell r="AP47">
            <v>0.12651575196325937</v>
          </cell>
          <cell r="AQ47">
            <v>-6.0016018764541545E-3</v>
          </cell>
          <cell r="AR47">
            <v>5.8489587606731508E-2</v>
          </cell>
          <cell r="AS47">
            <v>1.5074955453117989E-2</v>
          </cell>
          <cell r="AT47">
            <v>4.489891867951501E-2</v>
          </cell>
          <cell r="AU47">
            <v>-1</v>
          </cell>
          <cell r="AV47">
            <v>-0.98682394673295815</v>
          </cell>
          <cell r="AW47">
            <v>-1.0006105204138076</v>
          </cell>
          <cell r="AX47">
            <v>-0.9935160496170764</v>
          </cell>
          <cell r="AY47">
            <v>-0.99959427484233832</v>
          </cell>
        </row>
        <row r="48">
          <cell r="A48" t="str">
            <v>Gross Sales</v>
          </cell>
          <cell r="G48">
            <v>-0.13266879046346725</v>
          </cell>
          <cell r="H48">
            <v>-0.23955594507741751</v>
          </cell>
          <cell r="I48">
            <v>-0.12518164832883538</v>
          </cell>
          <cell r="J48">
            <v>-5.585520795876775E-2</v>
          </cell>
          <cell r="K48">
            <v>-0.14279695605234755</v>
          </cell>
          <cell r="L48">
            <v>-9.0165876777251186E-2</v>
          </cell>
          <cell r="M48">
            <v>0.11166602637981815</v>
          </cell>
          <cell r="N48">
            <v>4.3308020882771636E-2</v>
          </cell>
          <cell r="O48">
            <v>5.687444458550206E-2</v>
          </cell>
          <cell r="P48">
            <v>2.8383608773115521E-2</v>
          </cell>
          <cell r="Q48">
            <v>3.5421278812345358E-2</v>
          </cell>
          <cell r="R48">
            <v>6.9346849441308533E-2</v>
          </cell>
          <cell r="S48">
            <v>5.583987262595258E-2</v>
          </cell>
          <cell r="T48">
            <v>0.10030030030030024</v>
          </cell>
          <cell r="U48">
            <v>6.5714797777645106E-2</v>
          </cell>
          <cell r="V48">
            <v>7.5084894981763295E-2</v>
          </cell>
          <cell r="W48">
            <v>5.2784660131423022E-2</v>
          </cell>
          <cell r="X48">
            <v>6.2042223179664013E-2</v>
          </cell>
          <cell r="Y48">
            <v>2.2598253275109226E-2</v>
          </cell>
          <cell r="Z48">
            <v>5.2413251863893784E-2</v>
          </cell>
          <cell r="AA48">
            <v>6.8086102012166583E-2</v>
          </cell>
          <cell r="AB48">
            <v>7.9914048910263213E-2</v>
          </cell>
          <cell r="AC48">
            <v>5.862068965517242E-2</v>
          </cell>
          <cell r="AD48">
            <v>2.1671826625387025E-2</v>
          </cell>
          <cell r="AE48">
            <v>5.7100245019708007E-2</v>
          </cell>
          <cell r="AF48">
            <v>8.7623220153341119E-3</v>
          </cell>
          <cell r="AG48">
            <v>1.3833617585749414E-2</v>
          </cell>
          <cell r="AH48">
            <v>7.7792680590151431E-2</v>
          </cell>
          <cell r="AI48">
            <v>0.13688610240334387</v>
          </cell>
          <cell r="AJ48">
            <v>5.9155497329436812E-2</v>
          </cell>
          <cell r="AK48">
            <v>-4.3431053203040193E-3</v>
          </cell>
          <cell r="AL48">
            <v>0.41962616822429899</v>
          </cell>
          <cell r="AM48">
            <v>0.26133333333333342</v>
          </cell>
          <cell r="AN48">
            <v>0.26654411764705888</v>
          </cell>
          <cell r="AO48">
            <v>0.24476688867745011</v>
          </cell>
          <cell r="AP48">
            <v>0.48309705561613958</v>
          </cell>
          <cell r="AQ48">
            <v>6.5832784726804761E-4</v>
          </cell>
          <cell r="AR48">
            <v>0.1042988019732205</v>
          </cell>
          <cell r="AS48">
            <v>4.6435890160772431E-2</v>
          </cell>
          <cell r="AT48">
            <v>0.12535613541783763</v>
          </cell>
          <cell r="AU48">
            <v>0</v>
          </cell>
          <cell r="AV48">
            <v>0</v>
          </cell>
          <cell r="AW48">
            <v>0</v>
          </cell>
          <cell r="AX48">
            <v>0.12513953234226682</v>
          </cell>
          <cell r="AY48">
            <v>3.0641897387842176E-2</v>
          </cell>
        </row>
        <row r="49">
          <cell r="A49" t="str">
            <v>Excise Taxes</v>
          </cell>
          <cell r="G49">
            <v>-0.13026607538802659</v>
          </cell>
          <cell r="H49">
            <v>-7.2118114707552472E-2</v>
          </cell>
          <cell r="I49">
            <v>7.1826625386996801E-2</v>
          </cell>
          <cell r="J49">
            <v>5.6149732620320858E-2</v>
          </cell>
          <cell r="K49">
            <v>-2.426602756141405E-2</v>
          </cell>
          <cell r="L49">
            <v>-5.0987890376036349E-3</v>
          </cell>
          <cell r="M49">
            <v>3.733170134638919E-2</v>
          </cell>
          <cell r="N49">
            <v>-3.00404390525707E-2</v>
          </cell>
          <cell r="O49">
            <v>4.1139240506329111E-2</v>
          </cell>
          <cell r="P49">
            <v>1.0132023334356699E-2</v>
          </cell>
          <cell r="Q49">
            <v>6.4061499039080871E-4</v>
          </cell>
          <cell r="R49">
            <v>5.6047197640118007E-2</v>
          </cell>
          <cell r="S49">
            <v>4.9434187016080822E-2</v>
          </cell>
          <cell r="T49">
            <v>1.2158054711246535E-3</v>
          </cell>
          <cell r="U49">
            <v>2.7507598784194398E-2</v>
          </cell>
          <cell r="V49">
            <v>4.929577464788748E-2</v>
          </cell>
          <cell r="W49">
            <v>-1.2849162011173254E-2</v>
          </cell>
          <cell r="X49">
            <v>5.4483541430193183E-2</v>
          </cell>
          <cell r="Y49">
            <v>4.493017607771721E-2</v>
          </cell>
          <cell r="Z49">
            <v>3.3131193610413057E-2</v>
          </cell>
          <cell r="AA49">
            <v>-1.34228187919464E-2</v>
          </cell>
          <cell r="AB49">
            <v>1.8675721561969505E-2</v>
          </cell>
          <cell r="AC49">
            <v>-2.7448869752422111E-2</v>
          </cell>
          <cell r="AD49">
            <v>-4.1255084253341012E-2</v>
          </cell>
          <cell r="AE49">
            <v>-1.5891195418754611E-2</v>
          </cell>
          <cell r="AF49">
            <v>8.0395794681509258E-3</v>
          </cell>
          <cell r="AG49">
            <v>2.2222222222222143E-2</v>
          </cell>
          <cell r="AH49">
            <v>4.5932484781405769E-2</v>
          </cell>
          <cell r="AI49">
            <v>6.6666666666666652E-2</v>
          </cell>
          <cell r="AJ49">
            <v>3.5787023567064313E-2</v>
          </cell>
          <cell r="AK49">
            <v>-7.9754601226993849E-2</v>
          </cell>
          <cell r="AL49">
            <v>1.6413043478260869</v>
          </cell>
          <cell r="AM49">
            <v>1.4656084656084656</v>
          </cell>
          <cell r="AN49">
            <v>1.5340909090909092</v>
          </cell>
          <cell r="AO49">
            <v>1.1741573033707864</v>
          </cell>
          <cell r="AP49">
            <v>1.9133333333333336</v>
          </cell>
          <cell r="AQ49">
            <v>-8.2304526748970819E-3</v>
          </cell>
          <cell r="AR49">
            <v>6.0085836909871349E-2</v>
          </cell>
          <cell r="AS49">
            <v>2.4754657051703433E-2</v>
          </cell>
          <cell r="AT49">
            <v>0.20803654847872077</v>
          </cell>
          <cell r="AU49">
            <v>0</v>
          </cell>
          <cell r="AV49">
            <v>0</v>
          </cell>
          <cell r="AW49">
            <v>0</v>
          </cell>
          <cell r="AX49">
            <v>2.05155900221905E-2</v>
          </cell>
          <cell r="AY49">
            <v>5.014039383561375E-3</v>
          </cell>
        </row>
        <row r="50">
          <cell r="A50" t="str">
            <v>Net Sales</v>
          </cell>
          <cell r="G50">
            <v>-0.13321559227955093</v>
          </cell>
          <cell r="H50">
            <v>-0.27421250587682189</v>
          </cell>
          <cell r="I50">
            <v>-0.16485846115475755</v>
          </cell>
          <cell r="J50">
            <v>-8.0327150576894879E-2</v>
          </cell>
          <cell r="K50">
            <v>-0.16807769719817267</v>
          </cell>
          <cell r="L50">
            <v>-0.10959103478387433</v>
          </cell>
          <cell r="M50">
            <v>0.13133603238866409</v>
          </cell>
          <cell r="N50">
            <v>6.2266686576078811E-2</v>
          </cell>
          <cell r="O50">
            <v>6.0822613943147363E-2</v>
          </cell>
          <cell r="P50">
            <v>3.2949308755760631E-2</v>
          </cell>
          <cell r="Q50">
            <v>4.429552141222648E-2</v>
          </cell>
          <cell r="R50">
            <v>7.2573718866304038E-2</v>
          </cell>
          <cell r="S50">
            <v>5.7351700871520972E-2</v>
          </cell>
          <cell r="T50">
            <v>0.12470059880239504</v>
          </cell>
          <cell r="U50">
            <v>7.5061342850769597E-2</v>
          </cell>
          <cell r="V50">
            <v>8.1389888871497673E-2</v>
          </cell>
          <cell r="W50">
            <v>6.8463899639663595E-2</v>
          </cell>
          <cell r="X50">
            <v>6.3812815740494466E-2</v>
          </cell>
          <cell r="Y50">
            <v>1.7702648742180305E-2</v>
          </cell>
          <cell r="Z50">
            <v>5.6921534045716982E-2</v>
          </cell>
          <cell r="AA50">
            <v>8.7422202923722603E-2</v>
          </cell>
          <cell r="AB50">
            <v>9.3429927554334435E-2</v>
          </cell>
          <cell r="AC50">
            <v>7.8605348662834196E-2</v>
          </cell>
          <cell r="AD50">
            <v>3.5835731101229396E-2</v>
          </cell>
          <cell r="AE50">
            <v>7.3782024015966785E-2</v>
          </cell>
          <cell r="AF50">
            <v>8.9178756821510774E-3</v>
          </cell>
          <cell r="AG50">
            <v>1.2108750285583669E-2</v>
          </cell>
          <cell r="AH50">
            <v>8.4462982273201259E-2</v>
          </cell>
          <cell r="AI50">
            <v>0.1515151515151516</v>
          </cell>
          <cell r="AJ50">
            <v>6.4050216344688993E-2</v>
          </cell>
          <cell r="AK50">
            <v>1.1873350923482739E-2</v>
          </cell>
          <cell r="AL50">
            <v>0.16591422121896171</v>
          </cell>
          <cell r="AM50">
            <v>1.8162393162393098E-2</v>
          </cell>
          <cell r="AN50">
            <v>2.1929824561403466E-2</v>
          </cell>
          <cell r="AO50">
            <v>5.5269186712485707E-2</v>
          </cell>
          <cell r="AP50">
            <v>0.20338983050847448</v>
          </cell>
          <cell r="AQ50">
            <v>4.8402710551791461E-3</v>
          </cell>
          <cell r="AR50">
            <v>0.12591815320041966</v>
          </cell>
          <cell r="AS50">
            <v>5.6811244202236599E-2</v>
          </cell>
          <cell r="AT50">
            <v>9.0623630826725865E-2</v>
          </cell>
          <cell r="AU50">
            <v>0</v>
          </cell>
          <cell r="AV50">
            <v>0</v>
          </cell>
          <cell r="AW50">
            <v>0</v>
          </cell>
          <cell r="AX50">
            <v>0.17368766189472651</v>
          </cell>
          <cell r="AY50">
            <v>4.2566692986486743E-2</v>
          </cell>
        </row>
        <row r="51">
          <cell r="A51" t="str">
            <v>Gross Profit</v>
          </cell>
          <cell r="G51">
            <v>-0.14063667613211783</v>
          </cell>
          <cell r="H51">
            <v>-0.30785010940919033</v>
          </cell>
          <cell r="I51">
            <v>-0.20029433406916852</v>
          </cell>
          <cell r="J51">
            <v>-0.1395195788088186</v>
          </cell>
          <cell r="K51">
            <v>-0.20095996428039919</v>
          </cell>
          <cell r="L51">
            <v>-0.12747826086956537</v>
          </cell>
          <cell r="M51">
            <v>0.12645722189290654</v>
          </cell>
          <cell r="N51">
            <v>8.225984541774034E-2</v>
          </cell>
          <cell r="O51">
            <v>8.6424474187380529E-2</v>
          </cell>
          <cell r="P51">
            <v>3.7532013969732603E-2</v>
          </cell>
          <cell r="Q51">
            <v>1.0763404424955381E-2</v>
          </cell>
          <cell r="R51">
            <v>3.4029117698649358E-2</v>
          </cell>
          <cell r="S51">
            <v>3.4517939125999098E-2</v>
          </cell>
          <cell r="T51">
            <v>9.9612812390003302E-2</v>
          </cell>
          <cell r="U51">
            <v>4.5644270903460349E-2</v>
          </cell>
          <cell r="V51">
            <v>0.10451587458095046</v>
          </cell>
          <cell r="W51">
            <v>0.12162849872773496</v>
          </cell>
          <cell r="X51">
            <v>7.6758711374095956E-2</v>
          </cell>
          <cell r="Y51">
            <v>8.8028169014087165E-3</v>
          </cell>
          <cell r="Z51">
            <v>7.5929264314533507E-2</v>
          </cell>
          <cell r="AA51">
            <v>0.10301731833601124</v>
          </cell>
          <cell r="AB51">
            <v>8.4543254688445701E-2</v>
          </cell>
          <cell r="AC51">
            <v>7.9224545870859364E-2</v>
          </cell>
          <cell r="AD51">
            <v>6.1399333650642429E-2</v>
          </cell>
          <cell r="AE51">
            <v>8.1461682690389559E-2</v>
          </cell>
          <cell r="AF51">
            <v>8.416963418582224E-3</v>
          </cell>
          <cell r="AG51">
            <v>2.6356156742434633E-2</v>
          </cell>
          <cell r="AH51">
            <v>9.7595473833097524E-2</v>
          </cell>
          <cell r="AI51">
            <v>0.13153961136023917</v>
          </cell>
          <cell r="AJ51">
            <v>6.6804382308458532E-2</v>
          </cell>
          <cell r="AK51">
            <v>1.1235955056179803E-2</v>
          </cell>
          <cell r="AL51">
            <v>0.16983695652173902</v>
          </cell>
          <cell r="AM51">
            <v>7.7319587628865705E-3</v>
          </cell>
          <cell r="AN51">
            <v>5.2840158520475189E-3</v>
          </cell>
          <cell r="AO51">
            <v>4.9100968188105165E-2</v>
          </cell>
          <cell r="AP51">
            <v>0.19682539682539679</v>
          </cell>
          <cell r="AQ51">
            <v>-9.2915214866434725E-3</v>
          </cell>
          <cell r="AR51">
            <v>0.13810741687979533</v>
          </cell>
          <cell r="AS51">
            <v>5.869479125482413E-2</v>
          </cell>
          <cell r="AT51">
            <v>8.8551989500633255E-2</v>
          </cell>
          <cell r="AU51">
            <v>0</v>
          </cell>
          <cell r="AV51">
            <v>0</v>
          </cell>
          <cell r="AW51">
            <v>0</v>
          </cell>
          <cell r="AX51">
            <v>0.19000959475277979</v>
          </cell>
          <cell r="AY51">
            <v>4.6351758221715444E-2</v>
          </cell>
        </row>
        <row r="52">
          <cell r="A52" t="str">
            <v>MSA</v>
          </cell>
          <cell r="G52">
            <v>-0.33322079675894667</v>
          </cell>
          <cell r="H52">
            <v>-0.38300787941075709</v>
          </cell>
          <cell r="I52">
            <v>-0.15909090909090906</v>
          </cell>
          <cell r="J52">
            <v>-0.11872146118721461</v>
          </cell>
          <cell r="K52">
            <v>-0.26084910100724834</v>
          </cell>
          <cell r="L52">
            <v>1.8227848101265876E-2</v>
          </cell>
          <cell r="M52">
            <v>0.30094392004441994</v>
          </cell>
          <cell r="N52">
            <v>-4.6598322460391639E-3</v>
          </cell>
          <cell r="O52">
            <v>2.0207253886010301E-2</v>
          </cell>
          <cell r="P52">
            <v>7.7305145185939894E-2</v>
          </cell>
          <cell r="Q52">
            <v>-1.1934361014420691E-2</v>
          </cell>
          <cell r="R52">
            <v>5.5484421681604168E-3</v>
          </cell>
          <cell r="S52">
            <v>4.8220973782771681E-2</v>
          </cell>
          <cell r="T52">
            <v>0.10817673946165551</v>
          </cell>
          <cell r="U52">
            <v>3.6056271426882391E-2</v>
          </cell>
          <cell r="V52">
            <v>9.2098641167589479E-2</v>
          </cell>
          <cell r="W52">
            <v>3.8200339558573937E-3</v>
          </cell>
          <cell r="X52">
            <v>8.4412684234033142E-2</v>
          </cell>
          <cell r="Y52">
            <v>-1.4207149404216302E-2</v>
          </cell>
          <cell r="Z52">
            <v>3.9936102236421966E-2</v>
          </cell>
          <cell r="AA52">
            <v>0.14792626728110592</v>
          </cell>
          <cell r="AB52">
            <v>0.16363636363636358</v>
          </cell>
          <cell r="AC52">
            <v>0.14126853377265247</v>
          </cell>
          <cell r="AD52">
            <v>0.14830311483031156</v>
          </cell>
          <cell r="AE52">
            <v>0.15031819179284622</v>
          </cell>
          <cell r="AF52">
            <v>3.1714171015656323E-2</v>
          </cell>
          <cell r="AG52">
            <v>6.4680232558139483E-2</v>
          </cell>
          <cell r="AH52">
            <v>9.7076867556838531E-2</v>
          </cell>
          <cell r="AI52">
            <v>6.4777327935222617E-2</v>
          </cell>
          <cell r="AJ52">
            <v>6.5433040824112831E-2</v>
          </cell>
          <cell r="AK52">
            <v>-3.8910505836575848E-2</v>
          </cell>
          <cell r="AL52">
            <v>4.7781569965870352E-2</v>
          </cell>
          <cell r="AM52">
            <v>-3.289473684210531E-2</v>
          </cell>
          <cell r="AN52">
            <v>6.4638783269961975E-2</v>
          </cell>
          <cell r="AO52">
            <v>9.8478066248881557E-3</v>
          </cell>
          <cell r="AP52">
            <v>0.1174089068825912</v>
          </cell>
          <cell r="AQ52">
            <v>1.3029315960912058E-2</v>
          </cell>
          <cell r="AR52">
            <v>0.1020408163265305</v>
          </cell>
          <cell r="AS52">
            <v>6.11147492044819E-2</v>
          </cell>
          <cell r="AT52">
            <v>7.1021391646502563E-2</v>
          </cell>
          <cell r="AU52">
            <v>0</v>
          </cell>
          <cell r="AV52">
            <v>0</v>
          </cell>
          <cell r="AW52">
            <v>0</v>
          </cell>
          <cell r="AX52">
            <v>0.18385081720642593</v>
          </cell>
          <cell r="AY52">
            <v>4.5214600958903839E-2</v>
          </cell>
        </row>
        <row r="53">
          <cell r="A53" t="str">
            <v>Operating Income</v>
          </cell>
          <cell r="G53">
            <v>3.7150517043278208E-2</v>
          </cell>
          <cell r="H53">
            <v>-0.29234055538602421</v>
          </cell>
          <cell r="I53">
            <v>-0.3027190332326285</v>
          </cell>
          <cell r="J53">
            <v>-0.24983119513841967</v>
          </cell>
          <cell r="K53">
            <v>-0.21406250000000049</v>
          </cell>
          <cell r="L53">
            <v>-0.25923190546528851</v>
          </cell>
          <cell r="M53">
            <v>2.5873221216041742E-3</v>
          </cell>
          <cell r="N53">
            <v>0.25389948006932417</v>
          </cell>
          <cell r="O53">
            <v>0.25382538253825371</v>
          </cell>
          <cell r="P53">
            <v>4.7504447002198136E-2</v>
          </cell>
          <cell r="Q53">
            <v>8.8733798604188285E-2</v>
          </cell>
          <cell r="R53">
            <v>0.10408602150537649</v>
          </cell>
          <cell r="S53">
            <v>-6.9108500345482771E-4</v>
          </cell>
          <cell r="T53">
            <v>0.14716439339554888</v>
          </cell>
          <cell r="U53">
            <v>8.2709020077914142E-2</v>
          </cell>
          <cell r="V53">
            <v>0.14560439560439531</v>
          </cell>
          <cell r="W53">
            <v>0.23022984028048232</v>
          </cell>
          <cell r="X53">
            <v>0.13658367911479874</v>
          </cell>
          <cell r="Y53">
            <v>8.3541927409261918E-2</v>
          </cell>
          <cell r="Z53">
            <v>0.14493957007103986</v>
          </cell>
          <cell r="AA53">
            <v>0.14628297362110265</v>
          </cell>
          <cell r="AB53">
            <v>0.13679544015199596</v>
          </cell>
          <cell r="AC53">
            <v>5.9324612108305308E-2</v>
          </cell>
          <cell r="AD53">
            <v>-8.6630089517780728E-4</v>
          </cell>
          <cell r="AE53">
            <v>7.9774375503625317E-2</v>
          </cell>
          <cell r="AF53">
            <v>-7.2524407252440581E-2</v>
          </cell>
          <cell r="AG53">
            <v>-1.9498607242340316E-2</v>
          </cell>
          <cell r="AH53">
            <v>9.7070649052269031E-2</v>
          </cell>
          <cell r="AI53">
            <v>0.19653179190751446</v>
          </cell>
          <cell r="AJ53">
            <v>5.5223880597015329E-2</v>
          </cell>
          <cell r="AK53">
            <v>0.10526315789473695</v>
          </cell>
          <cell r="AL53">
            <v>0.29545454545454541</v>
          </cell>
          <cell r="AM53">
            <v>2.6178010471204161E-2</v>
          </cell>
          <cell r="AN53">
            <v>-3.8647342995169032E-2</v>
          </cell>
          <cell r="AO53">
            <v>8.9108910891089188E-2</v>
          </cell>
          <cell r="AP53">
            <v>0.29931972789115657</v>
          </cell>
          <cell r="AQ53">
            <v>-2.4122807017543879E-2</v>
          </cell>
          <cell r="AR53">
            <v>0.18622448979591844</v>
          </cell>
          <cell r="AS53">
            <v>6.5190784355102505E-2</v>
          </cell>
          <cell r="AT53">
            <v>0.11425060530735776</v>
          </cell>
          <cell r="AU53">
            <v>0</v>
          </cell>
          <cell r="AV53">
            <v>0</v>
          </cell>
          <cell r="AW53">
            <v>0</v>
          </cell>
          <cell r="AX53">
            <v>0.20892073484188689</v>
          </cell>
          <cell r="AY53">
            <v>5.1616483959201043E-2</v>
          </cell>
        </row>
        <row r="54">
          <cell r="A54" t="str">
            <v>Pre-tax income</v>
          </cell>
          <cell r="G54">
            <v>2.7075011096315826E-2</v>
          </cell>
          <cell r="H54">
            <v>-0.34606285907401191</v>
          </cell>
          <cell r="I54">
            <v>-0.40741905061301498</v>
          </cell>
          <cell r="J54">
            <v>-0.26354206684594672</v>
          </cell>
          <cell r="K54">
            <v>-0.26791560567479145</v>
          </cell>
          <cell r="L54">
            <v>-0.27052722558340603</v>
          </cell>
          <cell r="M54">
            <v>2.9457364341085368E-2</v>
          </cell>
          <cell r="N54">
            <v>0.36976127320954943</v>
          </cell>
          <cell r="O54">
            <v>0.34272300469483552</v>
          </cell>
          <cell r="P54">
            <v>9.7639751552796028E-2</v>
          </cell>
          <cell r="Q54">
            <v>0.14928909952606761</v>
          </cell>
          <cell r="R54">
            <v>0.20180722891566294</v>
          </cell>
          <cell r="S54">
            <v>6.467854376452431E-2</v>
          </cell>
          <cell r="T54">
            <v>0.19347319347319325</v>
          </cell>
          <cell r="U54">
            <v>0.14927569035762778</v>
          </cell>
          <cell r="V54">
            <v>0.26134020618556675</v>
          </cell>
          <cell r="W54">
            <v>0.28362573099415123</v>
          </cell>
          <cell r="X54">
            <v>0.20080029101491381</v>
          </cell>
          <cell r="Y54">
            <v>0.15462239583333348</v>
          </cell>
          <cell r="Z54">
            <v>0.21792220580994592</v>
          </cell>
          <cell r="AA54">
            <v>0.21740907233346918</v>
          </cell>
          <cell r="AB54">
            <v>0.17930361210543544</v>
          </cell>
          <cell r="AC54">
            <v>0.10542259921235986</v>
          </cell>
          <cell r="AD54">
            <v>1.2122920778122159E-2</v>
          </cell>
          <cell r="AE54">
            <v>0.11917852522638994</v>
          </cell>
          <cell r="AF54">
            <v>-7.6871433366901609E-2</v>
          </cell>
          <cell r="AG54">
            <v>-1.4900662251655983E-2</v>
          </cell>
          <cell r="AH54">
            <v>5.7824061386681613E-2</v>
          </cell>
          <cell r="AI54">
            <v>0.15598885793871875</v>
          </cell>
          <cell r="AJ54">
            <v>3.5255020950730076E-2</v>
          </cell>
          <cell r="AK54">
            <v>7.2727272727272751E-2</v>
          </cell>
          <cell r="AL54">
            <v>0.27507002801120439</v>
          </cell>
          <cell r="AM54">
            <v>-2.0725388601036232E-2</v>
          </cell>
          <cell r="AN54">
            <v>-6.0240963855421659E-2</v>
          </cell>
          <cell r="AO54">
            <v>6.0153524075366338E-2</v>
          </cell>
          <cell r="AP54">
            <v>0.264406779661017</v>
          </cell>
          <cell r="AQ54">
            <v>-8.1722319859402481E-2</v>
          </cell>
          <cell r="AR54">
            <v>0.15608465608465605</v>
          </cell>
          <cell r="AS54">
            <v>1.402603124012014E-2</v>
          </cell>
          <cell r="AT54">
            <v>6.8634907967118686E-2</v>
          </cell>
          <cell r="AU54">
            <v>-9.6388737180663764E-4</v>
          </cell>
          <cell r="AV54">
            <v>0</v>
          </cell>
          <cell r="AW54">
            <v>0</v>
          </cell>
          <cell r="AX54">
            <v>0.2276514745004854</v>
          </cell>
          <cell r="AY54">
            <v>5.5233435092874483E-2</v>
          </cell>
        </row>
        <row r="55">
          <cell r="A55" t="str">
            <v>Net Income</v>
          </cell>
          <cell r="G55">
            <v>2.5274836838288017E-2</v>
          </cell>
          <cell r="H55">
            <v>-0.29842505410589348</v>
          </cell>
          <cell r="I55">
            <v>-0.39256764424663582</v>
          </cell>
          <cell r="J55">
            <v>-0.25660202264120779</v>
          </cell>
          <cell r="K55">
            <v>-0.24876872063978084</v>
          </cell>
          <cell r="L55">
            <v>-0.27149479366327867</v>
          </cell>
          <cell r="M55">
            <v>-3.1805276421986162E-2</v>
          </cell>
          <cell r="N55">
            <v>0.37350366267643409</v>
          </cell>
          <cell r="O55">
            <v>0.35654362416107377</v>
          </cell>
          <cell r="P55">
            <v>8.7019277669719175E-2</v>
          </cell>
          <cell r="Q55">
            <v>0.15048543689320559</v>
          </cell>
          <cell r="R55">
            <v>0.17051070840197724</v>
          </cell>
          <cell r="S55">
            <v>7.5672295184491034E-2</v>
          </cell>
          <cell r="T55">
            <v>0.17810760667903502</v>
          </cell>
          <cell r="U55">
            <v>0.14120879120879071</v>
          </cell>
          <cell r="V55">
            <v>0.26666666666666639</v>
          </cell>
          <cell r="W55">
            <v>0.31738212526389731</v>
          </cell>
          <cell r="X55">
            <v>0.17965116279069693</v>
          </cell>
          <cell r="Y55">
            <v>0.15485564304461974</v>
          </cell>
          <cell r="Z55">
            <v>0.22002888781897001</v>
          </cell>
          <cell r="AA55">
            <v>0.25630046635576242</v>
          </cell>
          <cell r="AB55">
            <v>0.21314102564102733</v>
          </cell>
          <cell r="AC55">
            <v>0.1513060620995561</v>
          </cell>
          <cell r="AD55">
            <v>0.14728513807012078</v>
          </cell>
          <cell r="AE55">
            <v>0.18610027673694507</v>
          </cell>
          <cell r="AF55">
            <v>-7.7021808851942208E-2</v>
          </cell>
          <cell r="AG55">
            <v>-4.447380008806745E-2</v>
          </cell>
          <cell r="AH55">
            <v>1.455479452054842E-2</v>
          </cell>
          <cell r="AI55">
            <v>2.2175947210427926E-2</v>
          </cell>
          <cell r="AJ55">
            <v>-1.7330871975895779E-2</v>
          </cell>
          <cell r="AK55">
            <v>5.7187867603762932E-2</v>
          </cell>
          <cell r="AL55">
            <v>0.31855167873601031</v>
          </cell>
          <cell r="AM55">
            <v>-8.4388185654008518E-3</v>
          </cell>
          <cell r="AN55">
            <v>-6.2015503875968991E-2</v>
          </cell>
          <cell r="AO55">
            <v>7.0062982739484969E-2</v>
          </cell>
          <cell r="AP55">
            <v>0.26086956521739135</v>
          </cell>
          <cell r="AQ55">
            <v>-8.0823613995845922E-2</v>
          </cell>
          <cell r="AR55">
            <v>0.16595319148936172</v>
          </cell>
          <cell r="AS55">
            <v>2.8581757930357554E-2</v>
          </cell>
          <cell r="AT55">
            <v>7.3608457277218431E-2</v>
          </cell>
          <cell r="AU55">
            <v>-9.6388737180663764E-4</v>
          </cell>
          <cell r="AV55">
            <v>0</v>
          </cell>
          <cell r="AW55">
            <v>0</v>
          </cell>
          <cell r="AX55">
            <v>0.2130042265893044</v>
          </cell>
          <cell r="AY55">
            <v>5.1867459223359891E-2</v>
          </cell>
        </row>
        <row r="56">
          <cell r="A56" t="str">
            <v>EPS</v>
          </cell>
          <cell r="G56">
            <v>2.4442801111043577E-2</v>
          </cell>
          <cell r="H56">
            <v>-0.29781885455586965</v>
          </cell>
          <cell r="I56">
            <v>-0.39242768287434238</v>
          </cell>
          <cell r="J56">
            <v>-0.25660202264120779</v>
          </cell>
          <cell r="K56">
            <v>-0.24840089426451806</v>
          </cell>
          <cell r="L56">
            <v>-0.27149479366327878</v>
          </cell>
          <cell r="M56">
            <v>-3.1805276421986162E-2</v>
          </cell>
          <cell r="N56">
            <v>0.37350366267643409</v>
          </cell>
          <cell r="O56">
            <v>0.35654362416107377</v>
          </cell>
          <cell r="P56">
            <v>8.7019277669719175E-2</v>
          </cell>
          <cell r="Q56">
            <v>0.15048543689320559</v>
          </cell>
          <cell r="R56">
            <v>0.17051070840197724</v>
          </cell>
          <cell r="S56">
            <v>7.5672295184491034E-2</v>
          </cell>
          <cell r="T56">
            <v>0.19169957184174602</v>
          </cell>
          <cell r="U56">
            <v>0.15182468694096563</v>
          </cell>
          <cell r="V56">
            <v>0.26666666666666639</v>
          </cell>
          <cell r="W56">
            <v>0.32963684270821281</v>
          </cell>
          <cell r="X56">
            <v>0.17897203143618312</v>
          </cell>
          <cell r="Y56">
            <v>0.13918500561100755</v>
          </cell>
          <cell r="Z56">
            <v>0.20759622134032596</v>
          </cell>
          <cell r="AA56">
            <v>0.25506560037110226</v>
          </cell>
          <cell r="AB56">
            <v>0.1957607817206688</v>
          </cell>
          <cell r="AC56">
            <v>0.15083694200447506</v>
          </cell>
          <cell r="AD56">
            <v>0.14781824630972351</v>
          </cell>
          <cell r="AE56">
            <v>0.18463731745014278</v>
          </cell>
          <cell r="AF56">
            <v>-7.7021808851942208E-2</v>
          </cell>
          <cell r="AG56">
            <v>-4.1327243818345516E-2</v>
          </cell>
          <cell r="AH56">
            <v>2.2088262363035849E-2</v>
          </cell>
          <cell r="AI56">
            <v>5.625050341608806E-2</v>
          </cell>
          <cell r="AJ56">
            <v>-7.2000217470973293E-3</v>
          </cell>
          <cell r="AK56">
            <v>9.2331952948787821E-2</v>
          </cell>
          <cell r="AL56">
            <v>0.36678035268340103</v>
          </cell>
          <cell r="AM56">
            <v>4.4676204407854803E-2</v>
          </cell>
          <cell r="AN56">
            <v>-6.5239420182945373E-3</v>
          </cell>
          <cell r="AO56">
            <v>0.11939950344773842</v>
          </cell>
          <cell r="AP56">
            <v>0.37056000179848025</v>
          </cell>
          <cell r="AQ56">
            <v>1.3195413267881984E-2</v>
          </cell>
          <cell r="AR56">
            <v>0.25966646766951529</v>
          </cell>
          <cell r="AS56">
            <v>9.5149937876040758E-2</v>
          </cell>
          <cell r="AT56">
            <v>0.16291853612268259</v>
          </cell>
          <cell r="AU56">
            <v>-9.6388737180663764E-4</v>
          </cell>
          <cell r="AV56">
            <v>0</v>
          </cell>
          <cell r="AW56">
            <v>0</v>
          </cell>
          <cell r="AX56">
            <v>0.28009152396764647</v>
          </cell>
          <cell r="AY56" t="e">
            <v>#NAME?</v>
          </cell>
        </row>
        <row r="58">
          <cell r="A58" t="str">
            <v>Per Thousand</v>
          </cell>
          <cell r="B58" t="str">
            <v>1Q02</v>
          </cell>
          <cell r="C58" t="str">
            <v>2Q02</v>
          </cell>
          <cell r="D58" t="str">
            <v>3Q02</v>
          </cell>
          <cell r="E58" t="str">
            <v>4Q02</v>
          </cell>
          <cell r="F58">
            <v>2002</v>
          </cell>
          <cell r="G58" t="str">
            <v>1Q03</v>
          </cell>
          <cell r="H58" t="str">
            <v>2Q03</v>
          </cell>
          <cell r="I58" t="str">
            <v>3Q03</v>
          </cell>
          <cell r="J58" t="str">
            <v>4Q03</v>
          </cell>
          <cell r="K58">
            <v>2003</v>
          </cell>
          <cell r="L58" t="str">
            <v>1Q04</v>
          </cell>
          <cell r="M58" t="str">
            <v>2Q04</v>
          </cell>
          <cell r="N58" t="str">
            <v>3Q04</v>
          </cell>
          <cell r="O58" t="str">
            <v>4Q04</v>
          </cell>
          <cell r="P58">
            <v>2004</v>
          </cell>
          <cell r="Q58" t="str">
            <v>1Q05</v>
          </cell>
          <cell r="R58" t="str">
            <v>2Q05</v>
          </cell>
          <cell r="S58" t="str">
            <v>3Q05</v>
          </cell>
          <cell r="T58" t="str">
            <v>4Q05</v>
          </cell>
          <cell r="U58">
            <v>2005</v>
          </cell>
          <cell r="V58" t="str">
            <v>1Q06</v>
          </cell>
          <cell r="W58" t="str">
            <v>2Q06</v>
          </cell>
          <cell r="X58" t="str">
            <v>3Q06</v>
          </cell>
          <cell r="Y58" t="str">
            <v>4Q06</v>
          </cell>
          <cell r="Z58">
            <v>2006</v>
          </cell>
          <cell r="AA58" t="str">
            <v>1Q07</v>
          </cell>
          <cell r="AB58" t="str">
            <v>2Q07</v>
          </cell>
          <cell r="AC58" t="str">
            <v>3Q07</v>
          </cell>
          <cell r="AD58" t="str">
            <v>4Q07</v>
          </cell>
          <cell r="AE58">
            <v>2007</v>
          </cell>
          <cell r="AF58" t="str">
            <v>1Q08</v>
          </cell>
          <cell r="AG58" t="str">
            <v>2Q08</v>
          </cell>
          <cell r="AH58" t="str">
            <v>3Q08</v>
          </cell>
          <cell r="AI58" t="str">
            <v>4Q08</v>
          </cell>
          <cell r="AJ58">
            <v>2008</v>
          </cell>
          <cell r="AK58" t="str">
            <v>1Q09</v>
          </cell>
          <cell r="AL58" t="str">
            <v>2Q09</v>
          </cell>
          <cell r="AM58" t="str">
            <v>3Q09</v>
          </cell>
          <cell r="AN58" t="str">
            <v>4Q09</v>
          </cell>
          <cell r="AO58">
            <v>2009</v>
          </cell>
          <cell r="AP58" t="str">
            <v>1Q10</v>
          </cell>
          <cell r="AQ58" t="str">
            <v>2Q10</v>
          </cell>
          <cell r="AR58" t="str">
            <v>3Q10E</v>
          </cell>
          <cell r="AS58" t="str">
            <v>4Q10E</v>
          </cell>
          <cell r="AT58" t="str">
            <v>2010E</v>
          </cell>
          <cell r="AU58" t="str">
            <v>1Q11E</v>
          </cell>
          <cell r="AV58" t="str">
            <v>2Q11E</v>
          </cell>
          <cell r="AW58" t="str">
            <v>3Q11E</v>
          </cell>
          <cell r="AX58" t="str">
            <v>4Q11E</v>
          </cell>
          <cell r="AY58" t="str">
            <v>2011E</v>
          </cell>
        </row>
        <row r="59">
          <cell r="A59" t="str">
            <v>Volume</v>
          </cell>
          <cell r="B59">
            <v>9.5559999999999992</v>
          </cell>
          <cell r="C59">
            <v>9.3780000000000001</v>
          </cell>
          <cell r="D59">
            <v>8.6840000000000011</v>
          </cell>
          <cell r="E59">
            <v>7.8100000000000005</v>
          </cell>
          <cell r="F59">
            <v>35.427999999999997</v>
          </cell>
          <cell r="G59">
            <v>9.0339999999999989</v>
          </cell>
          <cell r="H59">
            <v>8.5920000000000005</v>
          </cell>
          <cell r="I59">
            <v>9.2100000000000009</v>
          </cell>
          <cell r="J59">
            <v>8.3477329999999981</v>
          </cell>
          <cell r="K59">
            <v>35.183732999999997</v>
          </cell>
          <cell r="L59">
            <v>8.144228</v>
          </cell>
          <cell r="M59">
            <v>8.9319489999999995</v>
          </cell>
          <cell r="N59">
            <v>8.849456</v>
          </cell>
          <cell r="O59">
            <v>8.5819899999999993</v>
          </cell>
          <cell r="P59">
            <v>34.507622999999995</v>
          </cell>
          <cell r="Q59">
            <v>8.2139889999999998</v>
          </cell>
          <cell r="R59">
            <v>9.3954470000000008</v>
          </cell>
          <cell r="S59">
            <v>9.1005230000000008</v>
          </cell>
          <cell r="T59">
            <v>8.4837130000000016</v>
          </cell>
          <cell r="U59">
            <v>35.193671999999985</v>
          </cell>
          <cell r="V59">
            <v>8.4681119999999996</v>
          </cell>
          <cell r="W59">
            <v>9.1415699999999998</v>
          </cell>
          <cell r="X59">
            <v>9.6225569999999987</v>
          </cell>
          <cell r="Y59">
            <v>8.8986229999999988</v>
          </cell>
          <cell r="Z59">
            <v>36.130862</v>
          </cell>
          <cell r="AA59">
            <v>8.3872520000000002</v>
          </cell>
          <cell r="AB59">
            <v>9.4734610000000004</v>
          </cell>
          <cell r="AC59">
            <v>9.4659420000000001</v>
          </cell>
          <cell r="AD59">
            <v>8.5155130000000003</v>
          </cell>
          <cell r="AE59">
            <v>35.842168000000001</v>
          </cell>
          <cell r="AF59">
            <v>8.415223000000001</v>
          </cell>
          <cell r="AG59">
            <v>9.4636750000000021</v>
          </cell>
          <cell r="AH59">
            <v>9.8930319999999998</v>
          </cell>
          <cell r="AI59">
            <v>9.2183439999999983</v>
          </cell>
          <cell r="AJ59">
            <v>36.990273999999999</v>
          </cell>
          <cell r="AK59">
            <v>7.7252910000000004</v>
          </cell>
          <cell r="AL59">
            <v>9.6599209999999989</v>
          </cell>
          <cell r="AM59">
            <v>9.2871059999999979</v>
          </cell>
          <cell r="AN59">
            <v>8.8867049999999992</v>
          </cell>
          <cell r="AO59">
            <v>35.559022999999996</v>
          </cell>
          <cell r="AP59">
            <v>8.7026620000000001</v>
          </cell>
          <cell r="AQ59">
            <v>9.6019459999999999</v>
          </cell>
          <cell r="AR59">
            <v>9.8303049999999992</v>
          </cell>
          <cell r="AS59">
            <v>9.0206716819999997</v>
          </cell>
          <cell r="AT59">
            <v>37.155584681999997</v>
          </cell>
          <cell r="AU59">
            <v>0</v>
          </cell>
          <cell r="AV59">
            <v>0.12651575196325937</v>
          </cell>
          <cell r="AW59">
            <v>-6.0016018764541545E-3</v>
          </cell>
          <cell r="AX59">
            <v>5.8489587606731508E-2</v>
          </cell>
          <cell r="AY59">
            <v>1.5074955453117989E-2</v>
          </cell>
          <cell r="BA59">
            <v>-2.761277568673437E-2</v>
          </cell>
          <cell r="BB59">
            <v>5.2883795722479698E-2</v>
          </cell>
        </row>
        <row r="60">
          <cell r="A60" t="str">
            <v>Gross Revenue</v>
          </cell>
          <cell r="Q60">
            <v>96.798279130882705</v>
          </cell>
          <cell r="R60">
            <v>98.803175623256649</v>
          </cell>
          <cell r="S60">
            <v>102.01611489801189</v>
          </cell>
          <cell r="T60">
            <v>107.97159215546304</v>
          </cell>
          <cell r="U60">
            <v>101.37617921767304</v>
          </cell>
          <cell r="V60">
            <v>100.94339800890683</v>
          </cell>
          <cell r="W60">
            <v>106.90723803460456</v>
          </cell>
          <cell r="X60">
            <v>102.46756657300135</v>
          </cell>
          <cell r="Y60">
            <v>105.26347728182216</v>
          </cell>
          <cell r="Z60">
            <v>103.92223689542752</v>
          </cell>
          <cell r="AA60">
            <v>108.85567764030459</v>
          </cell>
          <cell r="AB60">
            <v>111.40595818149249</v>
          </cell>
          <cell r="AC60">
            <v>110.26900439491389</v>
          </cell>
          <cell r="AD60">
            <v>112.38312947205881</v>
          </cell>
          <cell r="AE60">
            <v>110.74106901122721</v>
          </cell>
          <cell r="AF60">
            <v>109.44451501760558</v>
          </cell>
          <cell r="AG60">
            <v>113.06389959503045</v>
          </cell>
          <cell r="AH60">
            <v>113.71640160468499</v>
          </cell>
          <cell r="AI60">
            <v>118.0255369077136</v>
          </cell>
          <cell r="AJ60">
            <v>113.6514966069189</v>
          </cell>
          <cell r="AK60">
            <v>118.70103016184115</v>
          </cell>
          <cell r="AL60">
            <v>157.24766279144521</v>
          </cell>
          <cell r="AM60">
            <v>152.79248454793134</v>
          </cell>
          <cell r="AN60">
            <v>155.0630970646601</v>
          </cell>
          <cell r="AO60">
            <v>147.16377331289448</v>
          </cell>
          <cell r="AP60">
            <v>156.27402282198253</v>
          </cell>
          <cell r="AQ60">
            <v>158.30124435192616</v>
          </cell>
          <cell r="AR60">
            <v>159.40502354708224</v>
          </cell>
          <cell r="AS60">
            <v>159.85380107768614</v>
          </cell>
          <cell r="AT60">
            <v>158.49538385798735</v>
          </cell>
          <cell r="AU60" t="e">
            <v>#DIV/0!</v>
          </cell>
          <cell r="AV60">
            <v>12014.314236866043</v>
          </cell>
          <cell r="AW60">
            <v>-261096.95915481308</v>
          </cell>
          <cell r="AX60">
            <v>27738.927716252114</v>
          </cell>
          <cell r="AY60">
            <v>402617.33851566137</v>
          </cell>
        </row>
        <row r="61">
          <cell r="A61" t="str">
            <v>Excise Taxes</v>
          </cell>
          <cell r="Q61">
            <v>19.016339077152402</v>
          </cell>
          <cell r="R61">
            <v>19.051781144633139</v>
          </cell>
          <cell r="S61">
            <v>19.36152460688248</v>
          </cell>
          <cell r="T61">
            <v>19.413669462887295</v>
          </cell>
          <cell r="U61">
            <v>19.210839948727152</v>
          </cell>
          <cell r="V61">
            <v>19.354963656597835</v>
          </cell>
          <cell r="W61">
            <v>19.329283700720993</v>
          </cell>
          <cell r="X61">
            <v>19.308797027650762</v>
          </cell>
          <cell r="Y61">
            <v>19.340070930075363</v>
          </cell>
          <cell r="Z61">
            <v>19.332503055144382</v>
          </cell>
          <cell r="AA61">
            <v>19.27925857002985</v>
          </cell>
          <cell r="AB61">
            <v>19.000447671658751</v>
          </cell>
          <cell r="AC61">
            <v>19.089489455988637</v>
          </cell>
          <cell r="AD61">
            <v>19.376401633113588</v>
          </cell>
          <cell r="AE61">
            <v>19.178527370330947</v>
          </cell>
          <cell r="AF61">
            <v>19.369659009630521</v>
          </cell>
          <cell r="AG61">
            <v>19.442764042509907</v>
          </cell>
          <cell r="AH61">
            <v>19.10435546958708</v>
          </cell>
          <cell r="AI61">
            <v>19.092366264483083</v>
          </cell>
          <cell r="AJ61">
            <v>19.248302945795967</v>
          </cell>
          <cell r="AK61">
            <v>19.41674430128263</v>
          </cell>
          <cell r="AL61">
            <v>50.310970452035797</v>
          </cell>
          <cell r="AM61">
            <v>50.177094996008456</v>
          </cell>
          <cell r="AN61">
            <v>50.18733039973759</v>
          </cell>
          <cell r="AO61">
            <v>43.533254555390911</v>
          </cell>
          <cell r="AP61">
            <v>50.214520568534084</v>
          </cell>
          <cell r="AQ61">
            <v>50.198157748439741</v>
          </cell>
          <cell r="AR61">
            <v>50.252764283509009</v>
          </cell>
          <cell r="AS61">
            <v>50.665914153271558</v>
          </cell>
          <cell r="AT61">
            <v>50.33</v>
          </cell>
          <cell r="AU61" t="e">
            <v>#DIV/0!</v>
          </cell>
          <cell r="AV61">
            <v>3809.8022777430474</v>
          </cell>
          <cell r="AW61">
            <v>-82311.357895646244</v>
          </cell>
          <cell r="AX61">
            <v>7974.360108046686</v>
          </cell>
          <cell r="AY61">
            <v>124671.48178262095</v>
          </cell>
        </row>
        <row r="62">
          <cell r="A62" t="str">
            <v>Net Revenue</v>
          </cell>
          <cell r="B62">
            <v>82.953118459606543</v>
          </cell>
          <cell r="C62">
            <v>90.722968650032001</v>
          </cell>
          <cell r="D62">
            <v>92.342238599723615</v>
          </cell>
          <cell r="E62">
            <v>87.669654289372588</v>
          </cell>
          <cell r="F62">
            <v>88.351021790674054</v>
          </cell>
          <cell r="G62">
            <v>76.05711755589995</v>
          </cell>
          <cell r="H62">
            <v>71.86918063314711</v>
          </cell>
          <cell r="I62">
            <v>72.714440825189996</v>
          </cell>
          <cell r="J62">
            <v>75.433653663815093</v>
          </cell>
          <cell r="K62">
            <v>74.011475701000791</v>
          </cell>
          <cell r="L62">
            <v>75.120686699832078</v>
          </cell>
          <cell r="M62">
            <v>78.213612728868029</v>
          </cell>
          <cell r="N62">
            <v>80.389122224010151</v>
          </cell>
          <cell r="O62">
            <v>77.83742465325642</v>
          </cell>
          <cell r="P62">
            <v>77.947994273613119</v>
          </cell>
          <cell r="Q62">
            <v>77.781940053730295</v>
          </cell>
          <cell r="R62">
            <v>79.751394478623524</v>
          </cell>
          <cell r="S62">
            <v>82.654590291129423</v>
          </cell>
          <cell r="T62">
            <v>88.557922692575744</v>
          </cell>
          <cell r="U62">
            <v>82.165339268945885</v>
          </cell>
          <cell r="V62">
            <v>81.588434352308994</v>
          </cell>
          <cell r="W62">
            <v>87.577954333883554</v>
          </cell>
          <cell r="X62">
            <v>83.158769545350594</v>
          </cell>
          <cell r="Y62">
            <v>85.923406351746792</v>
          </cell>
          <cell r="Z62">
            <v>84.589733840283145</v>
          </cell>
          <cell r="AA62">
            <v>89.576419070274738</v>
          </cell>
          <cell r="AB62">
            <v>92.405510509833746</v>
          </cell>
          <cell r="AC62">
            <v>91.179514938925237</v>
          </cell>
          <cell r="AD62">
            <v>93.006727838945224</v>
          </cell>
          <cell r="AE62">
            <v>91.562541640896271</v>
          </cell>
          <cell r="AF62">
            <v>90.074856007975058</v>
          </cell>
          <cell r="AG62">
            <v>93.621135552520542</v>
          </cell>
          <cell r="AH62">
            <v>94.612046135097913</v>
          </cell>
          <cell r="AI62">
            <v>98.933170643230511</v>
          </cell>
          <cell r="AJ62">
            <v>94.403193661122927</v>
          </cell>
          <cell r="AK62">
            <v>99.284285860558512</v>
          </cell>
          <cell r="AL62">
            <v>106.93669233940942</v>
          </cell>
          <cell r="AM62">
            <v>102.61538955192287</v>
          </cell>
          <cell r="AN62">
            <v>104.87576666492249</v>
          </cell>
          <cell r="AO62">
            <v>103.63051875750355</v>
          </cell>
          <cell r="AP62">
            <v>106.05950225344843</v>
          </cell>
          <cell r="AQ62">
            <v>108.10308660348642</v>
          </cell>
          <cell r="AR62">
            <v>109.15225926357321</v>
          </cell>
          <cell r="AS62">
            <v>109.18788692441457</v>
          </cell>
          <cell r="AT62">
            <v>108.16538385798735</v>
          </cell>
          <cell r="AU62" t="e">
            <v>#DIV/0!</v>
          </cell>
          <cell r="AV62">
            <v>8204.5119591229941</v>
          </cell>
          <cell r="AW62">
            <v>-178785.60125916684</v>
          </cell>
          <cell r="AX62">
            <v>19764.567608205423</v>
          </cell>
          <cell r="AY62">
            <v>277945.85673304042</v>
          </cell>
        </row>
        <row r="63">
          <cell r="A63" t="str">
            <v>COGS</v>
          </cell>
          <cell r="B63">
            <v>12.934282126412725</v>
          </cell>
          <cell r="C63">
            <v>12.753252292599701</v>
          </cell>
          <cell r="D63">
            <v>14.094887148779364</v>
          </cell>
          <cell r="E63">
            <v>9.8463508322663245</v>
          </cell>
          <cell r="F63">
            <v>12.490120808400137</v>
          </cell>
          <cell r="G63">
            <v>12.408678326322782</v>
          </cell>
          <cell r="H63">
            <v>12.965549348230912</v>
          </cell>
          <cell r="I63">
            <v>13.713355048859933</v>
          </cell>
          <cell r="J63">
            <v>12.781913364981849</v>
          </cell>
          <cell r="K63">
            <v>12.974746028228445</v>
          </cell>
          <cell r="L63">
            <v>13.518776733657266</v>
          </cell>
          <cell r="M63">
            <v>14.386557737846466</v>
          </cell>
          <cell r="N63">
            <v>13.933059840062484</v>
          </cell>
          <cell r="O63">
            <v>11.629004461669146</v>
          </cell>
          <cell r="P63">
            <v>13.379652374201495</v>
          </cell>
          <cell r="Q63">
            <v>16.045796993397484</v>
          </cell>
          <cell r="R63">
            <v>17.00823813917528</v>
          </cell>
          <cell r="S63">
            <v>15.80128966214359</v>
          </cell>
          <cell r="T63">
            <v>14.910924025836326</v>
          </cell>
          <cell r="U63">
            <v>15.965938422111799</v>
          </cell>
          <cell r="V63">
            <v>15.446182100567398</v>
          </cell>
          <cell r="W63">
            <v>15.249021776346956</v>
          </cell>
          <cell r="X63">
            <v>15.079152038278396</v>
          </cell>
          <cell r="Y63">
            <v>15.092222695578855</v>
          </cell>
          <cell r="Z63">
            <v>15.211372482616108</v>
          </cell>
          <cell r="AA63">
            <v>15.917013105126681</v>
          </cell>
          <cell r="AB63">
            <v>16.709838146797669</v>
          </cell>
          <cell r="AC63">
            <v>16.490698971111378</v>
          </cell>
          <cell r="AD63">
            <v>14.444226671957402</v>
          </cell>
          <cell r="AE63">
            <v>15.928165952461354</v>
          </cell>
          <cell r="AF63">
            <v>16.042355621473131</v>
          </cell>
          <cell r="AG63">
            <v>15.850079382480903</v>
          </cell>
          <cell r="AH63">
            <v>16.172999339332979</v>
          </cell>
          <cell r="AI63">
            <v>16.81429983519817</v>
          </cell>
          <cell r="AJ63">
            <v>16.220480010502222</v>
          </cell>
          <cell r="AK63">
            <v>17.733959795171469</v>
          </cell>
          <cell r="AL63">
            <v>17.805528637346001</v>
          </cell>
          <cell r="AM63">
            <v>18.412624987805678</v>
          </cell>
          <cell r="AN63">
            <v>19.242227574787282</v>
          </cell>
          <cell r="AO63">
            <v>18.307589609534549</v>
          </cell>
          <cell r="AP63">
            <v>19.419345483025769</v>
          </cell>
          <cell r="AQ63">
            <v>19.26692776651733</v>
          </cell>
          <cell r="AR63">
            <v>18.615902558465887</v>
          </cell>
          <cell r="AS63">
            <v>19.874500455360153</v>
          </cell>
          <cell r="AT63">
            <v>19.27789185883988</v>
          </cell>
          <cell r="AU63" t="e">
            <v>#DIV/0!</v>
          </cell>
          <cell r="AV63">
            <v>1462.2685090922487</v>
          </cell>
          <cell r="AW63">
            <v>-30491.85930142361</v>
          </cell>
          <cell r="AX63">
            <v>3372.7415513694441</v>
          </cell>
          <cell r="AY63">
            <v>20.461864604108236</v>
          </cell>
        </row>
        <row r="64">
          <cell r="A64" t="str">
            <v>SG&amp;A</v>
          </cell>
          <cell r="B64">
            <v>11.69945583926329</v>
          </cell>
          <cell r="C64">
            <v>11.900191938579654</v>
          </cell>
          <cell r="D64">
            <v>10.743896821741131</v>
          </cell>
          <cell r="E64">
            <v>11.856594110115235</v>
          </cell>
          <cell r="F64">
            <v>11.553008919498701</v>
          </cell>
          <cell r="G64">
            <v>11.810936462253709</v>
          </cell>
          <cell r="H64">
            <v>10.952048417132215</v>
          </cell>
          <cell r="I64">
            <v>10.640608034744842</v>
          </cell>
          <cell r="J64">
            <v>12.91368566771362</v>
          </cell>
          <cell r="K64">
            <v>11.556476966216177</v>
          </cell>
          <cell r="L64">
            <v>12.278634635474351</v>
          </cell>
          <cell r="M64">
            <v>11.565225014159845</v>
          </cell>
          <cell r="N64">
            <v>9.6164103194591846</v>
          </cell>
          <cell r="O64">
            <v>10.801690517001303</v>
          </cell>
          <cell r="P64">
            <v>11.043936581780786</v>
          </cell>
          <cell r="Q64">
            <v>10.95691752204684</v>
          </cell>
          <cell r="R64">
            <v>10.345436465130398</v>
          </cell>
          <cell r="S64">
            <v>10.471925624494327</v>
          </cell>
          <cell r="T64">
            <v>10.254943796424984</v>
          </cell>
          <cell r="U64">
            <v>10.49904653313812</v>
          </cell>
          <cell r="V64">
            <v>10.970568173873941</v>
          </cell>
          <cell r="W64">
            <v>11.912614572770323</v>
          </cell>
          <cell r="X64">
            <v>8.6879194376297288</v>
          </cell>
          <cell r="Y64">
            <v>7.742770988275379</v>
          </cell>
          <cell r="Z64">
            <v>9.8060212346995748</v>
          </cell>
          <cell r="AA64">
            <v>9.7648192757294048</v>
          </cell>
          <cell r="AB64">
            <v>8.75076173322506</v>
          </cell>
          <cell r="AC64">
            <v>8.6309423827021128</v>
          </cell>
          <cell r="AD64">
            <v>8.9248880249492899</v>
          </cell>
          <cell r="AE64">
            <v>8.9977816074072301</v>
          </cell>
          <cell r="AF64">
            <v>11.883226386276393</v>
          </cell>
          <cell r="AG64">
            <v>9.6157148253717484</v>
          </cell>
          <cell r="AH64">
            <v>9.0973121283747993</v>
          </cell>
          <cell r="AI64">
            <v>8.6783483020377652</v>
          </cell>
          <cell r="AJ64">
            <v>9.7593221396521699</v>
          </cell>
          <cell r="AK64">
            <v>11.520601618761027</v>
          </cell>
          <cell r="AL64">
            <v>10.145010502673884</v>
          </cell>
          <cell r="AM64">
            <v>10.33691227385582</v>
          </cell>
          <cell r="AN64">
            <v>9.3397946708031832</v>
          </cell>
          <cell r="AO64">
            <v>10.292746232088549</v>
          </cell>
          <cell r="AP64">
            <v>11.031107493316412</v>
          </cell>
          <cell r="AQ64">
            <v>10.102118882984762</v>
          </cell>
          <cell r="AR64">
            <v>10.274350592377349</v>
          </cell>
          <cell r="AS64">
            <v>9.3794206437160348</v>
          </cell>
          <cell r="AT64">
            <v>10.189818769767664</v>
          </cell>
          <cell r="AU64" t="e">
            <v>#DIV/0!</v>
          </cell>
          <cell r="AV64">
            <v>766.70294801053035</v>
          </cell>
          <cell r="AW64">
            <v>-16828.840379474233</v>
          </cell>
          <cell r="AX64">
            <v>1615.6325349057499</v>
          </cell>
          <cell r="AY64">
            <v>10.826241164726362</v>
          </cell>
        </row>
        <row r="65">
          <cell r="A65" t="str">
            <v>MSA</v>
          </cell>
          <cell r="B65">
            <v>30.996232733361239</v>
          </cell>
          <cell r="C65">
            <v>31.126039667306458</v>
          </cell>
          <cell r="D65">
            <v>29.387379087977884</v>
          </cell>
          <cell r="E65">
            <v>28.040973111395644</v>
          </cell>
          <cell r="F65">
            <v>29.984757818674495</v>
          </cell>
          <cell r="G65">
            <v>21.861855213637373</v>
          </cell>
          <cell r="H65">
            <v>20.961359404096832</v>
          </cell>
          <cell r="I65">
            <v>23.300760043431051</v>
          </cell>
          <cell r="J65">
            <v>23.120049479301752</v>
          </cell>
          <cell r="K65">
            <v>22.317131613066756</v>
          </cell>
          <cell r="L65">
            <v>24.69233425193892</v>
          </cell>
          <cell r="M65">
            <v>26.231676871419666</v>
          </cell>
          <cell r="N65">
            <v>24.137076900546202</v>
          </cell>
          <cell r="O65">
            <v>22.943396578182917</v>
          </cell>
          <cell r="P65">
            <v>24.513424178767693</v>
          </cell>
          <cell r="Q65">
            <v>24.190439018118965</v>
          </cell>
          <cell r="R65">
            <v>25.075975629472442</v>
          </cell>
          <cell r="S65">
            <v>24.602981608859182</v>
          </cell>
          <cell r="T65">
            <v>25.719870533102657</v>
          </cell>
          <cell r="U65">
            <v>24.902204009857233</v>
          </cell>
          <cell r="V65">
            <v>25.625546757057535</v>
          </cell>
          <cell r="W65">
            <v>25.870829627733531</v>
          </cell>
          <cell r="X65">
            <v>25.232378462398305</v>
          </cell>
          <cell r="Y65">
            <v>24.172279239158691</v>
          </cell>
          <cell r="Z65">
            <v>25.224972490277146</v>
          </cell>
          <cell r="AA65">
            <v>29.699834939977954</v>
          </cell>
          <cell r="AB65">
            <v>29.049573329113823</v>
          </cell>
          <cell r="AC65">
            <v>29.273367616239359</v>
          </cell>
          <cell r="AD65">
            <v>29.00588608108519</v>
          </cell>
          <cell r="AE65">
            <v>29.250462751025555</v>
          </cell>
          <cell r="AF65">
            <v>30.539891812730332</v>
          </cell>
          <cell r="AG65">
            <v>30.960488393779364</v>
          </cell>
          <cell r="AH65">
            <v>30.728698744732657</v>
          </cell>
          <cell r="AI65">
            <v>28.530070042949152</v>
          </cell>
          <cell r="AJ65">
            <v>30.197126952884968</v>
          </cell>
          <cell r="AK65">
            <v>31.972905616112065</v>
          </cell>
          <cell r="AL65">
            <v>31.780798207355943</v>
          </cell>
          <cell r="AM65">
            <v>31.656793838683445</v>
          </cell>
          <cell r="AN65">
            <v>31.507741058131224</v>
          </cell>
          <cell r="AO65">
            <v>31.721906420207329</v>
          </cell>
          <cell r="AP65">
            <v>31.714434043284687</v>
          </cell>
          <cell r="AQ65">
            <v>32.38926775884805</v>
          </cell>
          <cell r="AR65">
            <v>32.959302890398625</v>
          </cell>
          <cell r="AS65">
            <v>32.936807839943619</v>
          </cell>
          <cell r="AT65">
            <v>32.514954080712506</v>
          </cell>
          <cell r="AU65" t="e">
            <v>#DIV/0!</v>
          </cell>
          <cell r="AV65">
            <v>2458.1919260956179</v>
          </cell>
          <cell r="AW65">
            <v>-53985.586959897541</v>
          </cell>
          <cell r="AX65">
            <v>6013.6590465251284</v>
          </cell>
          <cell r="AY65">
            <v>39.559413253701592</v>
          </cell>
        </row>
        <row r="66">
          <cell r="A66" t="str">
            <v>Operating Income</v>
          </cell>
          <cell r="B66">
            <v>27.323147760569292</v>
          </cell>
          <cell r="C66">
            <v>34.943484751546187</v>
          </cell>
          <cell r="D66">
            <v>38.116075541225236</v>
          </cell>
          <cell r="E66">
            <v>37.92573623559538</v>
          </cell>
          <cell r="F66">
            <v>34.323134244100721</v>
          </cell>
          <cell r="G66">
            <v>29.975647553686088</v>
          </cell>
          <cell r="H66">
            <v>26.990223463687148</v>
          </cell>
          <cell r="I66">
            <v>25.059717698154174</v>
          </cell>
          <cell r="J66">
            <v>26.618005151817876</v>
          </cell>
          <cell r="K66">
            <v>27.163121093489416</v>
          </cell>
          <cell r="L66">
            <v>24.630941078761538</v>
          </cell>
          <cell r="M66">
            <v>26.03015310544205</v>
          </cell>
          <cell r="N66">
            <v>32.702575163942278</v>
          </cell>
          <cell r="O66">
            <v>32.463333096403055</v>
          </cell>
          <cell r="P66">
            <v>29.010981138863158</v>
          </cell>
          <cell r="Q66">
            <v>26.588786520167009</v>
          </cell>
          <cell r="R66">
            <v>27.321744244845405</v>
          </cell>
          <cell r="S66">
            <v>31.778393395632332</v>
          </cell>
          <cell r="T66">
            <v>37.672184337211775</v>
          </cell>
          <cell r="U66">
            <v>30.798150303838735</v>
          </cell>
          <cell r="V66">
            <v>29.546137320810125</v>
          </cell>
          <cell r="W66">
            <v>34.545488357032745</v>
          </cell>
          <cell r="X66">
            <v>34.159319607044161</v>
          </cell>
          <cell r="Y66">
            <v>38.916133428733872</v>
          </cell>
          <cell r="Z66">
            <v>34.347367632690315</v>
          </cell>
          <cell r="AA66">
            <v>34.194751749440691</v>
          </cell>
          <cell r="AB66">
            <v>37.895337300697193</v>
          </cell>
          <cell r="AC66">
            <v>36.784505968872395</v>
          </cell>
          <cell r="AD66">
            <v>40.631727060953345</v>
          </cell>
          <cell r="AE66">
            <v>37.386131330002122</v>
          </cell>
          <cell r="AF66">
            <v>31.609382187495207</v>
          </cell>
          <cell r="AG66">
            <v>37.194852950888524</v>
          </cell>
          <cell r="AH66">
            <v>38.613035922657481</v>
          </cell>
          <cell r="AI66">
            <v>44.910452463045431</v>
          </cell>
          <cell r="AJ66">
            <v>38.226264558083564</v>
          </cell>
          <cell r="AK66">
            <v>38.056818830513954</v>
          </cell>
          <cell r="AL66">
            <v>47.205354992033584</v>
          </cell>
          <cell r="AM66">
            <v>42.209058451577931</v>
          </cell>
          <cell r="AN66">
            <v>44.786003361200812</v>
          </cell>
          <cell r="AO66">
            <v>43.308276495673127</v>
          </cell>
          <cell r="AP66">
            <v>43.894615233821561</v>
          </cell>
          <cell r="AQ66">
            <v>46.344772195136279</v>
          </cell>
          <cell r="AR66">
            <v>47.302703222331353</v>
          </cell>
          <cell r="AS66">
            <v>46.997157985394772</v>
          </cell>
          <cell r="AT66">
            <v>46.182719148667303</v>
          </cell>
          <cell r="AU66" t="e">
            <v>#DIV/0!</v>
          </cell>
          <cell r="AV66">
            <v>3517.3485759245978</v>
          </cell>
          <cell r="AW66">
            <v>-77479.314618371471</v>
          </cell>
          <cell r="AX66">
            <v>8762.5344754051021</v>
          </cell>
          <cell r="AY66">
            <v>119702.97580434835</v>
          </cell>
        </row>
        <row r="68">
          <cell r="A68" t="str">
            <v>YoY % Growth Per Thousand</v>
          </cell>
          <cell r="B68" t="str">
            <v>1Q02</v>
          </cell>
          <cell r="C68" t="str">
            <v>2Q02</v>
          </cell>
          <cell r="D68" t="str">
            <v>3Q02</v>
          </cell>
          <cell r="E68" t="str">
            <v>4Q02</v>
          </cell>
          <cell r="F68">
            <v>2002</v>
          </cell>
          <cell r="G68" t="str">
            <v>1Q03</v>
          </cell>
          <cell r="H68" t="str">
            <v>2Q03</v>
          </cell>
          <cell r="I68" t="str">
            <v>3Q03</v>
          </cell>
          <cell r="J68" t="str">
            <v>4Q03</v>
          </cell>
          <cell r="K68">
            <v>2003</v>
          </cell>
          <cell r="L68" t="str">
            <v>1Q04</v>
          </cell>
          <cell r="M68" t="str">
            <v>2Q04</v>
          </cell>
          <cell r="N68" t="str">
            <v>3Q04</v>
          </cell>
          <cell r="O68" t="str">
            <v>4Q04</v>
          </cell>
          <cell r="P68">
            <v>2004</v>
          </cell>
          <cell r="Q68" t="str">
            <v>1Q05</v>
          </cell>
          <cell r="R68" t="str">
            <v>2Q05</v>
          </cell>
          <cell r="S68" t="str">
            <v>3Q05</v>
          </cell>
          <cell r="T68" t="str">
            <v>4Q05</v>
          </cell>
          <cell r="U68">
            <v>2005</v>
          </cell>
          <cell r="V68" t="str">
            <v>1Q06</v>
          </cell>
          <cell r="W68" t="str">
            <v>2Q06</v>
          </cell>
          <cell r="X68" t="str">
            <v>3Q06</v>
          </cell>
          <cell r="Y68" t="str">
            <v>4Q06</v>
          </cell>
          <cell r="Z68">
            <v>2006</v>
          </cell>
          <cell r="AA68" t="str">
            <v>1Q07</v>
          </cell>
          <cell r="AB68" t="str">
            <v>2Q07</v>
          </cell>
          <cell r="AC68" t="str">
            <v>3Q07</v>
          </cell>
          <cell r="AD68" t="str">
            <v>4Q07</v>
          </cell>
          <cell r="AE68">
            <v>2007</v>
          </cell>
          <cell r="AF68" t="str">
            <v>1Q08</v>
          </cell>
          <cell r="AG68" t="str">
            <v>2Q08</v>
          </cell>
          <cell r="AH68" t="str">
            <v>3Q08</v>
          </cell>
          <cell r="AI68" t="str">
            <v>4Q08</v>
          </cell>
          <cell r="AJ68">
            <v>2008</v>
          </cell>
          <cell r="AK68" t="str">
            <v>1Q09</v>
          </cell>
          <cell r="AL68" t="str">
            <v>2Q09</v>
          </cell>
          <cell r="AM68" t="str">
            <v>3Q09</v>
          </cell>
          <cell r="AN68" t="str">
            <v>4Q09</v>
          </cell>
          <cell r="AO68">
            <v>2009</v>
          </cell>
          <cell r="AP68" t="str">
            <v>1Q10</v>
          </cell>
          <cell r="AQ68" t="str">
            <v>2Q10</v>
          </cell>
          <cell r="AR68" t="str">
            <v>3Q10E</v>
          </cell>
          <cell r="AS68" t="str">
            <v>4Q10E</v>
          </cell>
          <cell r="AT68" t="str">
            <v>2010E</v>
          </cell>
          <cell r="AU68" t="str">
            <v>1Q11E</v>
          </cell>
          <cell r="AV68" t="str">
            <v>2Q11E</v>
          </cell>
          <cell r="AW68" t="str">
            <v>3Q11E</v>
          </cell>
          <cell r="AX68" t="str">
            <v>4Q11E</v>
          </cell>
          <cell r="AY68" t="str">
            <v>2011E</v>
          </cell>
        </row>
        <row r="69">
          <cell r="A69" t="str">
            <v>Volume</v>
          </cell>
          <cell r="B69">
            <v>8.3477329999999981</v>
          </cell>
          <cell r="C69">
            <v>35.183732999999997</v>
          </cell>
          <cell r="D69">
            <v>0</v>
          </cell>
          <cell r="E69" t="e">
            <v>#REF!</v>
          </cell>
          <cell r="F69" t="e">
            <v>#REF!</v>
          </cell>
          <cell r="G69" t="e">
            <v>#REF!</v>
          </cell>
          <cell r="H69" t="e">
            <v>#REF!</v>
          </cell>
          <cell r="I69" t="e">
            <v>#REF!</v>
          </cell>
          <cell r="J69" t="e">
            <v>#REF!</v>
          </cell>
          <cell r="K69" t="e">
            <v>#REF!</v>
          </cell>
          <cell r="L69">
            <v>8.4837130000000016</v>
          </cell>
          <cell r="M69">
            <v>35.193671999999985</v>
          </cell>
          <cell r="P69">
            <v>8.4681119999999996</v>
          </cell>
          <cell r="V69">
            <v>3.093783057172339E-2</v>
          </cell>
          <cell r="W69">
            <v>-2.7021279562324252E-2</v>
          </cell>
          <cell r="X69">
            <v>5.7363076825364567E-2</v>
          </cell>
          <cell r="Y69">
            <v>4.8906652075570767E-2</v>
          </cell>
          <cell r="Z69">
            <v>2.6629503167501678E-2</v>
          </cell>
          <cell r="AA69">
            <v>-9.5487636441274892E-3</v>
          </cell>
          <cell r="AB69">
            <v>3.6305689285319742E-2</v>
          </cell>
          <cell r="AC69">
            <v>-1.627581941057854E-2</v>
          </cell>
          <cell r="AD69">
            <v>-4.3052728495183823E-2</v>
          </cell>
          <cell r="AE69">
            <v>-7.9902328375115461E-3</v>
          </cell>
          <cell r="AF69">
            <v>3.3349421240711496E-3</v>
          </cell>
          <cell r="AG69">
            <v>-1.0329910050823621E-3</v>
          </cell>
          <cell r="AH69">
            <v>4.5118594641716525E-2</v>
          </cell>
          <cell r="AI69">
            <v>8.2535368098198836E-2</v>
          </cell>
          <cell r="AJ69">
            <v>3.2032269922957823E-2</v>
          </cell>
          <cell r="AK69">
            <v>-8.1986181471364494E-2</v>
          </cell>
          <cell r="AL69">
            <v>2.0736764523295204E-2</v>
          </cell>
          <cell r="AM69">
            <v>-6.1247754985529368E-2</v>
          </cell>
          <cell r="AN69">
            <v>-3.5975984406743655E-2</v>
          </cell>
          <cell r="AO69">
            <v>-3.8692630392518912E-2</v>
          </cell>
          <cell r="AP69">
            <v>0.12651575196325937</v>
          </cell>
          <cell r="AQ69">
            <v>-6.0016018764541545E-3</v>
          </cell>
          <cell r="AR69">
            <v>5.8489587606731508E-2</v>
          </cell>
          <cell r="AS69">
            <v>1.5074955453117989E-2</v>
          </cell>
          <cell r="AT69">
            <v>4.489891867951501E-2</v>
          </cell>
          <cell r="AU69">
            <v>-1</v>
          </cell>
          <cell r="AV69">
            <v>-0.98682394673295815</v>
          </cell>
          <cell r="AW69">
            <v>-1.0006105204138076</v>
          </cell>
          <cell r="AX69">
            <v>-0.9935160496170764</v>
          </cell>
          <cell r="AY69">
            <v>-0.99959427484233832</v>
          </cell>
        </row>
        <row r="70">
          <cell r="A70" t="str">
            <v>Gross Revenue</v>
          </cell>
          <cell r="V70">
            <v>4.2822237288117737E-2</v>
          </cell>
          <cell r="W70">
            <v>8.2022286836703096E-2</v>
          </cell>
          <cell r="X70">
            <v>4.4252976644012509E-3</v>
          </cell>
          <cell r="Y70">
            <v>-2.5081735108079095E-2</v>
          </cell>
          <cell r="Z70">
            <v>2.511495005436748E-2</v>
          </cell>
          <cell r="AA70">
            <v>7.8383329543747049E-2</v>
          </cell>
          <cell r="AB70">
            <v>4.2080594631317192E-2</v>
          </cell>
          <cell r="AC70">
            <v>7.6135679638244635E-2</v>
          </cell>
          <cell r="AD70">
            <v>6.7636490586143072E-2</v>
          </cell>
          <cell r="AE70">
            <v>6.5614755027465277E-2</v>
          </cell>
          <cell r="AF70">
            <v>5.4093400552490678E-3</v>
          </cell>
          <cell r="AG70">
            <v>1.4881981543904299E-2</v>
          </cell>
          <cell r="AH70">
            <v>3.1263519868418355E-2</v>
          </cell>
          <cell r="AI70">
            <v>5.0206890145888305E-2</v>
          </cell>
          <cell r="AJ70">
            <v>2.6281375298956355E-2</v>
          </cell>
          <cell r="AK70">
            <v>8.4577241196112318E-2</v>
          </cell>
          <cell r="AL70">
            <v>0.39078577118488833</v>
          </cell>
          <cell r="AM70">
            <v>0.34362750132639142</v>
          </cell>
          <cell r="AN70">
            <v>0.31380971548476722</v>
          </cell>
          <cell r="AO70">
            <v>0.29486876729730116</v>
          </cell>
          <cell r="AP70">
            <v>0.31653468052394351</v>
          </cell>
          <cell r="AQ70">
            <v>6.7001413043468183E-3</v>
          </cell>
          <cell r="AR70">
            <v>4.3277907409618344E-2</v>
          </cell>
          <cell r="AS70">
            <v>3.0895191078431417E-2</v>
          </cell>
          <cell r="AT70">
            <v>7.6999999999999957E-2</v>
          </cell>
          <cell r="AU70" t="e">
            <v>#DIV/0!</v>
          </cell>
          <cell r="AV70">
            <v>74.895260874617733</v>
          </cell>
          <cell r="AW70">
            <v>-1638.9468685796774</v>
          </cell>
          <cell r="AX70">
            <v>172.52685722356694</v>
          </cell>
          <cell r="AY70">
            <v>2539.2464646945714</v>
          </cell>
        </row>
        <row r="71">
          <cell r="A71" t="str">
            <v>Excise Taxes</v>
          </cell>
          <cell r="V71">
            <v>1.7807033103037329E-2</v>
          </cell>
          <cell r="W71">
            <v>1.4565701441832113E-2</v>
          </cell>
          <cell r="X71">
            <v>-2.7233175228863482E-3</v>
          </cell>
          <cell r="Y71">
            <v>-3.7910675749697198E-3</v>
          </cell>
          <cell r="Z71">
            <v>6.3330446113727401E-3</v>
          </cell>
          <cell r="AA71">
            <v>-3.9114042222537782E-3</v>
          </cell>
          <cell r="AB71">
            <v>-1.7012323589103096E-2</v>
          </cell>
          <cell r="AC71">
            <v>-1.1357909627827678E-2</v>
          </cell>
          <cell r="AD71">
            <v>1.8785196377810731E-3</v>
          </cell>
          <cell r="AE71">
            <v>-7.9646016025050059E-3</v>
          </cell>
          <cell r="AF71">
            <v>4.6889998011230283E-3</v>
          </cell>
          <cell r="AG71">
            <v>2.3279260493999754E-2</v>
          </cell>
          <cell r="AH71">
            <v>7.7875385995618274E-4</v>
          </cell>
          <cell r="AI71">
            <v>-1.4658829539593077E-2</v>
          </cell>
          <cell r="AJ71">
            <v>3.6382134101162755E-3</v>
          </cell>
          <cell r="AK71">
            <v>2.4308787071936067E-3</v>
          </cell>
          <cell r="AL71">
            <v>1.5876449635471195</v>
          </cell>
          <cell r="AM71">
            <v>1.6264741082674683</v>
          </cell>
          <cell r="AN71">
            <v>1.6286595231047643</v>
          </cell>
          <cell r="AO71">
            <v>1.261667154656823</v>
          </cell>
          <cell r="AP71">
            <v>1.5861452254494086</v>
          </cell>
          <cell r="AQ71">
            <v>-2.2423082397825533E-3</v>
          </cell>
          <cell r="AR71">
            <v>1.5080444076440713E-3</v>
          </cell>
          <cell r="AS71">
            <v>9.5359476131144927E-3</v>
          </cell>
          <cell r="AT71">
            <v>0.15612766640180853</v>
          </cell>
          <cell r="AU71" t="e">
            <v>#DIV/0!</v>
          </cell>
          <cell r="AV71">
            <v>74.895260874617733</v>
          </cell>
          <cell r="AW71">
            <v>-1638.9468685796776</v>
          </cell>
          <cell r="AX71">
            <v>156.39102395198316</v>
          </cell>
          <cell r="AY71">
            <v>2476.0809017011911</v>
          </cell>
        </row>
        <row r="72">
          <cell r="A72" t="str">
            <v>Net Revenue</v>
          </cell>
          <cell r="V72">
            <v>4.8938022064623832E-2</v>
          </cell>
          <cell r="W72">
            <v>9.8136965584443292E-2</v>
          </cell>
          <cell r="X72">
            <v>6.0998336867357228E-3</v>
          </cell>
          <cell r="Y72">
            <v>-2.9749075641425593E-2</v>
          </cell>
          <cell r="Z72">
            <v>2.9506292956470004E-2</v>
          </cell>
          <cell r="AA72">
            <v>9.7905846354063408E-2</v>
          </cell>
          <cell r="AB72">
            <v>5.5122961168349915E-2</v>
          </cell>
          <cell r="AC72">
            <v>9.6450986918469761E-2</v>
          </cell>
          <cell r="AD72">
            <v>8.2437624251083141E-2</v>
          </cell>
          <cell r="AE72">
            <v>8.2430898928925966E-2</v>
          </cell>
          <cell r="AF72">
            <v>5.5643766838824327E-3</v>
          </cell>
          <cell r="AG72">
            <v>1.3155330628874529E-2</v>
          </cell>
          <cell r="AH72">
            <v>3.7645859362948952E-2</v>
          </cell>
          <cell r="AI72">
            <v>6.3720581747030103E-2</v>
          </cell>
          <cell r="AJ72">
            <v>3.1024171777226828E-2</v>
          </cell>
          <cell r="AK72">
            <v>0.10224196030652632</v>
          </cell>
          <cell r="AL72">
            <v>0.14222810595390589</v>
          </cell>
          <cell r="AM72">
            <v>8.4591167232519915E-2</v>
          </cell>
          <cell r="AN72">
            <v>6.0066770154592275E-2</v>
          </cell>
          <cell r="AO72">
            <v>9.7743781100285032E-2</v>
          </cell>
          <cell r="AP72">
            <v>6.8240571346864343E-2</v>
          </cell>
          <cell r="AQ72">
            <v>1.0907334410297231E-2</v>
          </cell>
          <cell r="AR72">
            <v>6.3702625309848937E-2</v>
          </cell>
          <cell r="AS72">
            <v>4.1116459947027284E-2</v>
          </cell>
          <cell r="AT72">
            <v>4.3759938238806084E-2</v>
          </cell>
          <cell r="AU72" t="e">
            <v>#DIV/0!</v>
          </cell>
          <cell r="AV72">
            <v>74.895260874617719</v>
          </cell>
          <cell r="AW72">
            <v>-1638.9468685796776</v>
          </cell>
          <cell r="AX72">
            <v>180.01428798496178</v>
          </cell>
          <cell r="AY72">
            <v>2568.6377789215953</v>
          </cell>
        </row>
        <row r="73">
          <cell r="A73" t="str">
            <v>COGS</v>
          </cell>
          <cell r="G73">
            <v>-4.0636487974591406E-2</v>
          </cell>
          <cell r="H73">
            <v>1.6646503241718236E-2</v>
          </cell>
          <cell r="I73">
            <v>-2.7068829703434161E-2</v>
          </cell>
          <cell r="J73">
            <v>0.29813710507813074</v>
          </cell>
          <cell r="K73">
            <v>3.8800683136897884E-2</v>
          </cell>
          <cell r="L73">
            <v>8.9461454164671883E-2</v>
          </cell>
          <cell r="M73">
            <v>0.10959877992438827</v>
          </cell>
          <cell r="N73">
            <v>1.6021228242086183E-2</v>
          </cell>
          <cell r="O73">
            <v>-9.0198460151614368E-2</v>
          </cell>
          <cell r="P73">
            <v>3.1207265644515703E-2</v>
          </cell>
          <cell r="Q73">
            <v>0.18692669533100403</v>
          </cell>
          <cell r="R73">
            <v>0.18223125010870422</v>
          </cell>
          <cell r="S73">
            <v>0.13408611199022369</v>
          </cell>
          <cell r="T73">
            <v>0.28221844569626353</v>
          </cell>
          <cell r="U73">
            <v>0.19329994349458235</v>
          </cell>
          <cell r="V73">
            <v>-3.7368969149791376E-2</v>
          </cell>
          <cell r="W73">
            <v>-0.10343319210567148</v>
          </cell>
          <cell r="X73">
            <v>-4.5701182581019073E-2</v>
          </cell>
          <cell r="Y73">
            <v>1.2158781670967622E-2</v>
          </cell>
          <cell r="Z73">
            <v>-4.7260982696179399E-2</v>
          </cell>
          <cell r="AA73">
            <v>3.0482031190218084E-2</v>
          </cell>
          <cell r="AB73">
            <v>9.5797382407612153E-2</v>
          </cell>
          <cell r="AC73">
            <v>9.3609171739218011E-2</v>
          </cell>
          <cell r="AD73">
            <v>-4.2935758151201764E-2</v>
          </cell>
          <cell r="AE73">
            <v>4.7122208772707008E-2</v>
          </cell>
          <cell r="AF73">
            <v>7.8747510929721987E-3</v>
          </cell>
          <cell r="AG73">
            <v>-5.1452249672539918E-2</v>
          </cell>
          <cell r="AH73">
            <v>-1.9265383009837822E-2</v>
          </cell>
          <cell r="AI73">
            <v>0.16408446205307214</v>
          </cell>
          <cell r="AJ73">
            <v>1.8352022380561328E-2</v>
          </cell>
          <cell r="AK73">
            <v>0.10544612110668328</v>
          </cell>
          <cell r="AL73">
            <v>0.12337157484690309</v>
          </cell>
          <cell r="AM73">
            <v>0.13847930130225738</v>
          </cell>
          <cell r="AN73">
            <v>0.14439660071403138</v>
          </cell>
          <cell r="AO73">
            <v>0.12867125989372652</v>
          </cell>
          <cell r="AP73">
            <v>9.5037188948245532E-2</v>
          </cell>
          <cell r="AQ73">
            <v>8.2075582193394503E-2</v>
          </cell>
          <cell r="AR73">
            <v>1.1040118983297376E-2</v>
          </cell>
          <cell r="AS73">
            <v>3.2858611515504732E-2</v>
          </cell>
          <cell r="AT73">
            <v>5.2999999999999936E-2</v>
          </cell>
          <cell r="AU73" t="e">
            <v>#DIV/0!</v>
          </cell>
          <cell r="AV73">
            <v>74.895260874617733</v>
          </cell>
          <cell r="AW73">
            <v>-1638.9468685796778</v>
          </cell>
          <cell r="AX73">
            <v>168.70195346267511</v>
          </cell>
          <cell r="AY73">
            <v>6.1416090200000051E-2</v>
          </cell>
        </row>
        <row r="74">
          <cell r="A74" t="str">
            <v>SG&amp;A</v>
          </cell>
          <cell r="G74">
            <v>9.5287015500575833E-3</v>
          </cell>
          <cell r="H74">
            <v>-7.9674641076470376E-2</v>
          </cell>
          <cell r="I74">
            <v>-9.6137173234274176E-3</v>
          </cell>
          <cell r="J74">
            <v>8.9156426186213666E-2</v>
          </cell>
          <cell r="K74">
            <v>3.0018558296296405E-4</v>
          </cell>
          <cell r="L74">
            <v>3.9598737552720475E-2</v>
          </cell>
          <cell r="M74">
            <v>5.5987389178123292E-2</v>
          </cell>
          <cell r="N74">
            <v>-9.6253683242662258E-2</v>
          </cell>
          <cell r="O74">
            <v>-0.1635470465254284</v>
          </cell>
          <cell r="P74">
            <v>-4.4350919915622677E-2</v>
          </cell>
          <cell r="Q74">
            <v>-0.10764365523255504</v>
          </cell>
          <cell r="R74">
            <v>-0.1054703689323816</v>
          </cell>
          <cell r="S74">
            <v>8.8964101636134885E-2</v>
          </cell>
          <cell r="T74">
            <v>-5.0616773338929555E-2</v>
          </cell>
          <cell r="U74">
            <v>-4.9338389858338383E-2</v>
          </cell>
          <cell r="V74">
            <v>1.2458478216736957E-3</v>
          </cell>
          <cell r="W74">
            <v>0.15148496759147334</v>
          </cell>
          <cell r="X74">
            <v>-0.17036085347013197</v>
          </cell>
          <cell r="Y74">
            <v>-0.24497187483615301</v>
          </cell>
          <cell r="Z74">
            <v>-6.6008403358452705E-2</v>
          </cell>
          <cell r="AA74">
            <v>-0.10990760724827264</v>
          </cell>
          <cell r="AB74">
            <v>-0.26542056071994302</v>
          </cell>
          <cell r="AC74">
            <v>-6.5581932862812664E-3</v>
          </cell>
          <cell r="AD74">
            <v>0.15267364080171708</v>
          </cell>
          <cell r="AE74">
            <v>-8.2422789829610932E-2</v>
          </cell>
          <cell r="AF74">
            <v>0.21694278723747806</v>
          </cell>
          <cell r="AG74">
            <v>9.8843177144524175E-2</v>
          </cell>
          <cell r="AH74">
            <v>5.4034626231241223E-2</v>
          </cell>
          <cell r="AI74">
            <v>-2.7623844940387943E-2</v>
          </cell>
          <cell r="AJ74">
            <v>8.4636476575294717E-2</v>
          </cell>
          <cell r="AK74">
            <v>-3.0515682839649561E-2</v>
          </cell>
          <cell r="AL74">
            <v>5.5044860097717363E-2</v>
          </cell>
          <cell r="AM74">
            <v>0.1362600434049821</v>
          </cell>
          <cell r="AN74">
            <v>7.6218002060380874E-2</v>
          </cell>
          <cell r="AO74">
            <v>5.4657903981781164E-2</v>
          </cell>
          <cell r="AP74">
            <v>-4.2488590582586028E-2</v>
          </cell>
          <cell r="AQ74">
            <v>-4.2278536506017428E-3</v>
          </cell>
          <cell r="AR74">
            <v>-6.0522600773832425E-3</v>
          </cell>
          <cell r="AS74">
            <v>4.2427027905362902E-3</v>
          </cell>
          <cell r="AT74">
            <v>-9.9999999999998979E-3</v>
          </cell>
          <cell r="AU74" t="e">
            <v>#DIV/0!</v>
          </cell>
          <cell r="AV74">
            <v>74.895260874617733</v>
          </cell>
          <cell r="AW74">
            <v>-1638.9468685796776</v>
          </cell>
          <cell r="AX74">
            <v>171.25291372214778</v>
          </cell>
          <cell r="AY74">
            <v>6.2456694209999997E-2</v>
          </cell>
        </row>
        <row r="75">
          <cell r="A75" t="str">
            <v>MSA</v>
          </cell>
          <cell r="G75">
            <v>-0.29469315185172607</v>
          </cell>
          <cell r="H75">
            <v>-0.32656516446858475</v>
          </cell>
          <cell r="I75">
            <v>-0.20711677030895259</v>
          </cell>
          <cell r="J75">
            <v>-0.17549047290709274</v>
          </cell>
          <cell r="K75">
            <v>-0.25571746325169065</v>
          </cell>
          <cell r="L75">
            <v>0.12947112725071475</v>
          </cell>
          <cell r="M75">
            <v>0.25143013703074835</v>
          </cell>
          <cell r="N75">
            <v>3.5892256542546797E-2</v>
          </cell>
          <cell r="O75">
            <v>-7.6406800632924377E-3</v>
          </cell>
          <cell r="P75">
            <v>9.841285178490411E-2</v>
          </cell>
          <cell r="Q75">
            <v>-2.0325953338354186E-2</v>
          </cell>
          <cell r="R75">
            <v>-4.4057467146006224E-2</v>
          </cell>
          <cell r="S75">
            <v>1.9302449515021358E-2</v>
          </cell>
          <cell r="T75">
            <v>0.12101407677187237</v>
          </cell>
          <cell r="U75">
            <v>1.5859874501999771E-2</v>
          </cell>
          <cell r="V75">
            <v>5.9325411079296897E-2</v>
          </cell>
          <cell r="W75">
            <v>3.1697829428693369E-2</v>
          </cell>
          <cell r="X75">
            <v>2.5582137301297214E-2</v>
          </cell>
          <cell r="Y75">
            <v>-6.0171037484506251E-2</v>
          </cell>
          <cell r="Z75">
            <v>1.2961442300133408E-2</v>
          </cell>
          <cell r="AA75">
            <v>0.15899321960021484</v>
          </cell>
          <cell r="AB75">
            <v>0.12286980151470206</v>
          </cell>
          <cell r="AC75">
            <v>0.16015094097700699</v>
          </cell>
          <cell r="AD75">
            <v>0.19996487687831022</v>
          </cell>
          <cell r="AE75">
            <v>0.15958353422585558</v>
          </cell>
          <cell r="AF75">
            <v>2.8284900385813438E-2</v>
          </cell>
          <cell r="AG75">
            <v>6.5781174925223507E-2</v>
          </cell>
          <cell r="AH75">
            <v>4.9715193262764856E-2</v>
          </cell>
          <cell r="AI75">
            <v>-1.6404120074315465E-2</v>
          </cell>
          <cell r="AJ75">
            <v>3.2364076080342308E-2</v>
          </cell>
          <cell r="AK75">
            <v>4.6922687616869352E-2</v>
          </cell>
          <cell r="AL75">
            <v>2.6495377047779378E-2</v>
          </cell>
          <cell r="AM75">
            <v>3.0202876524664912E-2</v>
          </cell>
          <cell r="AN75">
            <v>0.10436956553907817</v>
          </cell>
          <cell r="AO75">
            <v>5.0494190049980459E-2</v>
          </cell>
          <cell r="AP75">
            <v>-8.0840814385392257E-3</v>
          </cell>
          <cell r="AQ75">
            <v>1.9145823447293653E-2</v>
          </cell>
          <cell r="AR75">
            <v>4.1144692616456924E-2</v>
          </cell>
          <cell r="AS75">
            <v>4.5356053268807539E-2</v>
          </cell>
          <cell r="AT75">
            <v>2.4999999999999911E-2</v>
          </cell>
          <cell r="AU75" t="e">
            <v>#DIV/0!</v>
          </cell>
          <cell r="AV75">
            <v>74.895260874617733</v>
          </cell>
          <cell r="AW75">
            <v>-1638.9468685796774</v>
          </cell>
          <cell r="AX75">
            <v>181.58172060111283</v>
          </cell>
          <cell r="AY75">
            <v>0.2166529023999999</v>
          </cell>
        </row>
        <row r="76">
          <cell r="A76" t="str">
            <v>Operating Income</v>
          </cell>
          <cell r="G76">
            <v>9.707885110311798E-2</v>
          </cell>
          <cell r="H76">
            <v>-0.22760355312036018</v>
          </cell>
          <cell r="I76">
            <v>-0.34254202872878892</v>
          </cell>
          <cell r="J76">
            <v>-0.2981545569355244</v>
          </cell>
          <cell r="K76">
            <v>-0.20860604103606684</v>
          </cell>
          <cell r="L76">
            <v>-0.17830161851723914</v>
          </cell>
          <cell r="M76">
            <v>-3.5571041474954157E-2</v>
          </cell>
          <cell r="N76">
            <v>0.30498577668937799</v>
          </cell>
          <cell r="O76">
            <v>0.21960052645740702</v>
          </cell>
          <cell r="P76">
            <v>6.8028266671337878E-2</v>
          </cell>
          <cell r="Q76">
            <v>7.9487236608009937E-2</v>
          </cell>
          <cell r="R76">
            <v>4.9619037359151186E-2</v>
          </cell>
          <cell r="S76">
            <v>-2.8260213872360329E-2</v>
          </cell>
          <cell r="T76">
            <v>0.16045337135717164</v>
          </cell>
          <cell r="U76">
            <v>6.1603196266309057E-2</v>
          </cell>
          <cell r="V76">
            <v>0.11122548967776447</v>
          </cell>
          <cell r="W76">
            <v>0.26439542246832182</v>
          </cell>
          <cell r="X76">
            <v>7.4922799959392217E-2</v>
          </cell>
          <cell r="Y76">
            <v>3.3020360072228527E-2</v>
          </cell>
          <cell r="Z76">
            <v>0.11524124968015359</v>
          </cell>
          <cell r="AA76">
            <v>0.15733408323924714</v>
          </cell>
          <cell r="AB76">
            <v>9.6969216617905696E-2</v>
          </cell>
          <cell r="AC76">
            <v>7.6851248561955687E-2</v>
          </cell>
          <cell r="AD76">
            <v>4.4084380462956263E-2</v>
          </cell>
          <cell r="AE76">
            <v>8.8471516356311675E-2</v>
          </cell>
          <cell r="AF76">
            <v>-7.5607203727916295E-2</v>
          </cell>
          <cell r="AG76">
            <v>-1.8484710777222246E-2</v>
          </cell>
          <cell r="AH76">
            <v>4.9709243215945831E-2</v>
          </cell>
          <cell r="AI76">
            <v>0.10530503406053571</v>
          </cell>
          <cell r="AJ76">
            <v>2.2471788286027916E-2</v>
          </cell>
          <cell r="AK76">
            <v>0.20397224484727117</v>
          </cell>
          <cell r="AL76">
            <v>0.26913675540975412</v>
          </cell>
          <cell r="AM76">
            <v>9.3129753799295667E-2</v>
          </cell>
          <cell r="AN76">
            <v>-2.7710498340451917E-3</v>
          </cell>
          <cell r="AO76">
            <v>0.13294555448564971</v>
          </cell>
          <cell r="AP76">
            <v>0.1533968571915123</v>
          </cell>
          <cell r="AQ76">
            <v>-1.8230618052603065E-2</v>
          </cell>
          <cell r="AR76">
            <v>0.12067657885799155</v>
          </cell>
          <cell r="AS76">
            <v>4.9371554911049165E-2</v>
          </cell>
          <cell r="AT76">
            <v>6.6371670396104587E-2</v>
          </cell>
          <cell r="AU76" t="e">
            <v>#DIV/0!</v>
          </cell>
          <cell r="AV76">
            <v>74.895260874617719</v>
          </cell>
          <cell r="AW76">
            <v>-1638.9468685796778</v>
          </cell>
          <cell r="AX76">
            <v>185.44817795425459</v>
          </cell>
          <cell r="AY76">
            <v>2590.9430040273542</v>
          </cell>
        </row>
        <row r="79">
          <cell r="A79" t="str">
            <v>Per Pack</v>
          </cell>
          <cell r="B79" t="str">
            <v>1Q02</v>
          </cell>
          <cell r="C79" t="str">
            <v>2Q02</v>
          </cell>
          <cell r="D79" t="str">
            <v>3Q02</v>
          </cell>
          <cell r="E79" t="str">
            <v>4Q02</v>
          </cell>
          <cell r="F79">
            <v>2002</v>
          </cell>
          <cell r="G79" t="str">
            <v>1Q03</v>
          </cell>
          <cell r="H79" t="str">
            <v>2Q03</v>
          </cell>
          <cell r="I79" t="str">
            <v>3Q03</v>
          </cell>
          <cell r="J79" t="str">
            <v>4Q03</v>
          </cell>
          <cell r="K79">
            <v>2003</v>
          </cell>
          <cell r="L79" t="str">
            <v>1Q04</v>
          </cell>
          <cell r="M79" t="str">
            <v>2Q04</v>
          </cell>
          <cell r="N79" t="str">
            <v>3Q04</v>
          </cell>
          <cell r="O79" t="str">
            <v>4Q04</v>
          </cell>
          <cell r="P79">
            <v>2004</v>
          </cell>
          <cell r="Q79" t="str">
            <v>1Q05</v>
          </cell>
          <cell r="R79" t="str">
            <v>2Q05</v>
          </cell>
          <cell r="S79" t="str">
            <v>3Q05</v>
          </cell>
          <cell r="T79" t="str">
            <v>4Q05</v>
          </cell>
          <cell r="U79">
            <v>2005</v>
          </cell>
          <cell r="V79" t="str">
            <v>1Q06</v>
          </cell>
          <cell r="W79" t="str">
            <v>2Q06</v>
          </cell>
          <cell r="X79" t="str">
            <v>3Q06</v>
          </cell>
          <cell r="Y79" t="str">
            <v>4Q06</v>
          </cell>
          <cell r="Z79">
            <v>2006</v>
          </cell>
          <cell r="AA79" t="str">
            <v>1Q07</v>
          </cell>
          <cell r="AB79" t="str">
            <v>2Q07</v>
          </cell>
          <cell r="AC79" t="str">
            <v>3Q07</v>
          </cell>
          <cell r="AD79" t="str">
            <v>4Q07</v>
          </cell>
          <cell r="AE79">
            <v>2007</v>
          </cell>
          <cell r="AF79" t="str">
            <v>1Q08</v>
          </cell>
          <cell r="AG79" t="str">
            <v>2Q08</v>
          </cell>
          <cell r="AH79" t="str">
            <v>3Q08</v>
          </cell>
          <cell r="AI79" t="str">
            <v>4Q08</v>
          </cell>
          <cell r="AJ79">
            <v>2008</v>
          </cell>
          <cell r="AK79" t="str">
            <v>1Q09</v>
          </cell>
          <cell r="AL79" t="str">
            <v>2Q09</v>
          </cell>
          <cell r="AM79" t="str">
            <v>3Q09</v>
          </cell>
          <cell r="AN79" t="str">
            <v>4Q09</v>
          </cell>
          <cell r="AO79">
            <v>2009</v>
          </cell>
          <cell r="AP79" t="str">
            <v>1Q10</v>
          </cell>
          <cell r="AQ79" t="str">
            <v>2Q10</v>
          </cell>
          <cell r="AR79" t="str">
            <v>3Q10E</v>
          </cell>
          <cell r="AS79" t="str">
            <v>4Q10E</v>
          </cell>
          <cell r="AT79" t="str">
            <v>2010E</v>
          </cell>
          <cell r="AU79" t="str">
            <v>1Q11E</v>
          </cell>
          <cell r="AV79" t="str">
            <v>2Q11E</v>
          </cell>
          <cell r="AW79" t="str">
            <v>3Q11E</v>
          </cell>
          <cell r="AX79" t="str">
            <v>4Q11E</v>
          </cell>
          <cell r="AY79" t="str">
            <v>2011E</v>
          </cell>
        </row>
        <row r="80">
          <cell r="A80" t="str">
            <v>Gross Revenue</v>
          </cell>
          <cell r="B80">
            <v>0</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1.9359655826176541</v>
          </cell>
          <cell r="R80">
            <v>1.9760635124651329</v>
          </cell>
          <cell r="S80">
            <v>2.040322297960238</v>
          </cell>
          <cell r="T80">
            <v>2.1594318431092607</v>
          </cell>
          <cell r="U80">
            <v>2.0275235843534607</v>
          </cell>
          <cell r="V80">
            <v>2.0188679601781363</v>
          </cell>
          <cell r="W80">
            <v>2.1381447606920911</v>
          </cell>
          <cell r="X80">
            <v>2.0493513314600271</v>
          </cell>
          <cell r="Y80">
            <v>2.1052695456364434</v>
          </cell>
          <cell r="Z80">
            <v>2.0784447379085504</v>
          </cell>
          <cell r="AA80">
            <v>2.1771135528060919</v>
          </cell>
          <cell r="AB80">
            <v>2.2281191636298501</v>
          </cell>
          <cell r="AC80">
            <v>2.2053800878982779</v>
          </cell>
          <cell r="AD80">
            <v>2.2476625894411764</v>
          </cell>
          <cell r="AE80">
            <v>2.214821380224544</v>
          </cell>
          <cell r="AF80">
            <v>2.1888903003521119</v>
          </cell>
          <cell r="AG80">
            <v>2.261277991900609</v>
          </cell>
          <cell r="AH80">
            <v>2.2743280320936998</v>
          </cell>
          <cell r="AI80">
            <v>2.360510738154272</v>
          </cell>
          <cell r="AJ80">
            <v>2.2730299321383778</v>
          </cell>
          <cell r="AK80">
            <v>2.374020603236823</v>
          </cell>
          <cell r="AL80">
            <v>3.1449532558289039</v>
          </cell>
          <cell r="AM80">
            <v>3.0558496909586266</v>
          </cell>
          <cell r="AN80">
            <v>3.1012619412932021</v>
          </cell>
          <cell r="AO80">
            <v>2.9432754662578895</v>
          </cell>
          <cell r="AP80">
            <v>3.1254804564396506</v>
          </cell>
          <cell r="AQ80">
            <v>3.1660248870385233</v>
          </cell>
          <cell r="AR80">
            <v>3.1881004709416447</v>
          </cell>
          <cell r="AS80">
            <v>3.1970760215537228</v>
          </cell>
          <cell r="AT80">
            <v>3.1699076771597472</v>
          </cell>
          <cell r="AU80" t="e">
            <v>#DIV/0!</v>
          </cell>
          <cell r="AV80">
            <v>240.28628473732087</v>
          </cell>
          <cell r="AW80">
            <v>-5221.9391830962613</v>
          </cell>
          <cell r="AX80">
            <v>554.77855432504225</v>
          </cell>
          <cell r="AY80">
            <v>8052.3467703132274</v>
          </cell>
        </row>
        <row r="81">
          <cell r="A81" t="str">
            <v>Excise Taxes</v>
          </cell>
          <cell r="B81">
            <v>0</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0.38032678154304805</v>
          </cell>
          <cell r="R81">
            <v>0.3810356228926628</v>
          </cell>
          <cell r="S81">
            <v>0.3872304921376496</v>
          </cell>
          <cell r="T81">
            <v>0.3882733892577459</v>
          </cell>
          <cell r="U81">
            <v>0.38421679897454303</v>
          </cell>
          <cell r="V81">
            <v>0.38709927313195669</v>
          </cell>
          <cell r="W81">
            <v>0.38658567401441984</v>
          </cell>
          <cell r="X81">
            <v>0.38617594055301524</v>
          </cell>
          <cell r="Y81">
            <v>0.38680141860150724</v>
          </cell>
          <cell r="Z81">
            <v>0.38665006110288763</v>
          </cell>
          <cell r="AA81">
            <v>0.385585171400597</v>
          </cell>
          <cell r="AB81">
            <v>0.38000895343317503</v>
          </cell>
          <cell r="AC81">
            <v>0.38178978911977274</v>
          </cell>
          <cell r="AD81">
            <v>0.38752803266227176</v>
          </cell>
          <cell r="AE81">
            <v>0.38357054740661894</v>
          </cell>
          <cell r="AF81">
            <v>0.38739318019261043</v>
          </cell>
          <cell r="AG81">
            <v>0.38885528085019816</v>
          </cell>
          <cell r="AH81">
            <v>0.38208710939174162</v>
          </cell>
          <cell r="AI81">
            <v>0.38184732528966164</v>
          </cell>
          <cell r="AJ81">
            <v>0.38496605891591934</v>
          </cell>
          <cell r="AK81">
            <v>0.38833488602565258</v>
          </cell>
          <cell r="AL81">
            <v>1.0062194090407159</v>
          </cell>
          <cell r="AM81">
            <v>1.0035418999201691</v>
          </cell>
          <cell r="AN81">
            <v>1.0037466079947519</v>
          </cell>
          <cell r="AO81">
            <v>0.8706650911078182</v>
          </cell>
          <cell r="AP81">
            <v>1.0042904113706816</v>
          </cell>
          <cell r="AQ81">
            <v>1.0039631549687948</v>
          </cell>
          <cell r="AR81">
            <v>1.0050552856701802</v>
          </cell>
          <cell r="AS81">
            <v>1.0133182830654313</v>
          </cell>
          <cell r="AT81">
            <v>1.0065999999999999</v>
          </cell>
          <cell r="AU81" t="e">
            <v>#DIV/0!</v>
          </cell>
          <cell r="AV81">
            <v>76.196045554860945</v>
          </cell>
          <cell r="AW81">
            <v>-1646.2271579129249</v>
          </cell>
          <cell r="AX81">
            <v>159.48720216093372</v>
          </cell>
          <cell r="AY81">
            <v>2493.4296356524192</v>
          </cell>
        </row>
        <row r="82">
          <cell r="A82" t="str">
            <v>Net Revenue</v>
          </cell>
          <cell r="B82">
            <v>1.6590623691921309</v>
          </cell>
          <cell r="C82">
            <v>1.81445937300064</v>
          </cell>
          <cell r="D82">
            <v>1.8468447719944723</v>
          </cell>
          <cell r="E82">
            <v>1.7533930857874518</v>
          </cell>
          <cell r="F82">
            <v>1.7670204358134811</v>
          </cell>
          <cell r="G82">
            <v>1.5211423511179989</v>
          </cell>
          <cell r="H82">
            <v>1.4373836126629422</v>
          </cell>
          <cell r="I82">
            <v>1.4542888165037999</v>
          </cell>
          <cell r="J82">
            <v>1.5086730732763018</v>
          </cell>
          <cell r="K82">
            <v>1.4802295140200159</v>
          </cell>
          <cell r="L82">
            <v>1.5024137339966415</v>
          </cell>
          <cell r="M82">
            <v>1.5642722545773606</v>
          </cell>
          <cell r="N82">
            <v>1.6077824444802031</v>
          </cell>
          <cell r="O82">
            <v>1.5567484930651283</v>
          </cell>
          <cell r="P82">
            <v>1.5589598854722624</v>
          </cell>
          <cell r="Q82">
            <v>1.5556388010746058</v>
          </cell>
          <cell r="R82">
            <v>1.5950278895724705</v>
          </cell>
          <cell r="S82">
            <v>1.6530918058225885</v>
          </cell>
          <cell r="T82">
            <v>1.7711584538515148</v>
          </cell>
          <cell r="U82">
            <v>1.6433067853789176</v>
          </cell>
          <cell r="V82">
            <v>1.6317686870461798</v>
          </cell>
          <cell r="W82">
            <v>1.7515590866776711</v>
          </cell>
          <cell r="X82">
            <v>1.6631753909070119</v>
          </cell>
          <cell r="Y82">
            <v>1.7184681270349358</v>
          </cell>
          <cell r="Z82">
            <v>1.6917946768056629</v>
          </cell>
          <cell r="AA82">
            <v>1.7915283814054948</v>
          </cell>
          <cell r="AB82">
            <v>1.8481102101966749</v>
          </cell>
          <cell r="AC82">
            <v>1.8235902987785046</v>
          </cell>
          <cell r="AD82">
            <v>1.8601345567789045</v>
          </cell>
          <cell r="AE82">
            <v>1.8312508328179253</v>
          </cell>
          <cell r="AF82">
            <v>1.8014971201595011</v>
          </cell>
          <cell r="AG82">
            <v>1.8724227110504108</v>
          </cell>
          <cell r="AH82">
            <v>1.8922409227019583</v>
          </cell>
          <cell r="AI82">
            <v>1.9786634128646101</v>
          </cell>
          <cell r="AJ82">
            <v>1.8880638732224586</v>
          </cell>
          <cell r="AK82">
            <v>1.9856857172111702</v>
          </cell>
          <cell r="AL82">
            <v>2.1387338467881882</v>
          </cell>
          <cell r="AM82">
            <v>2.0523077910384573</v>
          </cell>
          <cell r="AN82">
            <v>2.0975153332984497</v>
          </cell>
          <cell r="AO82">
            <v>2.0726103751500711</v>
          </cell>
          <cell r="AP82">
            <v>2.1211900450689685</v>
          </cell>
          <cell r="AQ82">
            <v>2.1620617320697284</v>
          </cell>
          <cell r="AR82">
            <v>2.1830451852714643</v>
          </cell>
          <cell r="AS82">
            <v>2.1837577384882914</v>
          </cell>
          <cell r="AT82">
            <v>2.163307677159747</v>
          </cell>
          <cell r="AU82" t="e">
            <v>#DIV/0!</v>
          </cell>
          <cell r="AV82">
            <v>164.09023918245987</v>
          </cell>
          <cell r="AW82">
            <v>-3575.7120251833367</v>
          </cell>
          <cell r="AX82">
            <v>395.29135216410845</v>
          </cell>
          <cell r="AY82">
            <v>5558.9171346608082</v>
          </cell>
        </row>
        <row r="83">
          <cell r="A83" t="str">
            <v>COGS</v>
          </cell>
          <cell r="B83">
            <v>0.25868564252825449</v>
          </cell>
          <cell r="C83">
            <v>0.25506504585199402</v>
          </cell>
          <cell r="D83">
            <v>0.28189774297558728</v>
          </cell>
          <cell r="E83">
            <v>0.1969270166453265</v>
          </cell>
          <cell r="F83">
            <v>0.24980241616800275</v>
          </cell>
          <cell r="G83">
            <v>0.24817356652645564</v>
          </cell>
          <cell r="H83">
            <v>0.25931098696461824</v>
          </cell>
          <cell r="I83">
            <v>0.27426710097719864</v>
          </cell>
          <cell r="J83">
            <v>0.25563826729963696</v>
          </cell>
          <cell r="K83">
            <v>0.25949492056456891</v>
          </cell>
          <cell r="L83">
            <v>0.27037553467314529</v>
          </cell>
          <cell r="M83">
            <v>0.28773115475692934</v>
          </cell>
          <cell r="N83">
            <v>0.27866119680124968</v>
          </cell>
          <cell r="O83">
            <v>0.23258008923338291</v>
          </cell>
          <cell r="P83">
            <v>0.2675930474840299</v>
          </cell>
          <cell r="Q83">
            <v>0.3209159398679497</v>
          </cell>
          <cell r="R83">
            <v>0.3401647627835056</v>
          </cell>
          <cell r="S83">
            <v>0.31602579324287183</v>
          </cell>
          <cell r="T83">
            <v>0.2982184805167265</v>
          </cell>
          <cell r="U83">
            <v>0.319318768442236</v>
          </cell>
          <cell r="V83">
            <v>0.30892364201134798</v>
          </cell>
          <cell r="W83">
            <v>0.3049804355269391</v>
          </cell>
          <cell r="X83">
            <v>0.30158304076556791</v>
          </cell>
          <cell r="Y83">
            <v>0.3018444539115771</v>
          </cell>
          <cell r="Z83">
            <v>0.30422744965232218</v>
          </cell>
          <cell r="AA83">
            <v>0.31834026210253363</v>
          </cell>
          <cell r="AB83">
            <v>0.33419676293595335</v>
          </cell>
          <cell r="AC83">
            <v>0.32981397942222757</v>
          </cell>
          <cell r="AD83">
            <v>0.28888453343914805</v>
          </cell>
          <cell r="AE83">
            <v>0.31856331904922708</v>
          </cell>
          <cell r="AF83">
            <v>0.32084711242946262</v>
          </cell>
          <cell r="AG83">
            <v>0.31700158764961806</v>
          </cell>
          <cell r="AH83">
            <v>0.32345998678665955</v>
          </cell>
          <cell r="AI83">
            <v>0.33628599670396342</v>
          </cell>
          <cell r="AJ83">
            <v>0.32440960021004445</v>
          </cell>
          <cell r="AK83">
            <v>0.35467919590342939</v>
          </cell>
          <cell r="AL83">
            <v>0.35611057274692004</v>
          </cell>
          <cell r="AM83">
            <v>0.36825249975611357</v>
          </cell>
          <cell r="AN83">
            <v>0.38484455149574565</v>
          </cell>
          <cell r="AO83">
            <v>0.36615179219069099</v>
          </cell>
          <cell r="AP83">
            <v>0.38838690966051537</v>
          </cell>
          <cell r="AQ83">
            <v>0.38533855533034661</v>
          </cell>
          <cell r="AR83">
            <v>0.37231805116931777</v>
          </cell>
          <cell r="AS83">
            <v>0.39749000910720306</v>
          </cell>
          <cell r="AT83">
            <v>0.38555783717679759</v>
          </cell>
          <cell r="AU83" t="e">
            <v>#DIV/0!</v>
          </cell>
          <cell r="AV83">
            <v>29.245370181844972</v>
          </cell>
          <cell r="AW83">
            <v>-609.83718602847216</v>
          </cell>
          <cell r="AX83">
            <v>67.454831027388877</v>
          </cell>
          <cell r="AY83">
            <v>0.40923729208216469</v>
          </cell>
        </row>
        <row r="84">
          <cell r="A84" t="str">
            <v>SG&amp;A</v>
          </cell>
          <cell r="B84">
            <v>0.23398911678526579</v>
          </cell>
          <cell r="C84">
            <v>0.23800383877159309</v>
          </cell>
          <cell r="D84">
            <v>0.21487793643482264</v>
          </cell>
          <cell r="E84">
            <v>0.23713188220230472</v>
          </cell>
          <cell r="F84">
            <v>0.23106017838997403</v>
          </cell>
          <cell r="G84">
            <v>0.23621872924507417</v>
          </cell>
          <cell r="H84">
            <v>0.2190409683426443</v>
          </cell>
          <cell r="I84">
            <v>0.21281216069489683</v>
          </cell>
          <cell r="J84">
            <v>0.25827371335427241</v>
          </cell>
          <cell r="K84">
            <v>0.23112953932432354</v>
          </cell>
          <cell r="L84">
            <v>0.24557269270948701</v>
          </cell>
          <cell r="M84">
            <v>0.23130450028319691</v>
          </cell>
          <cell r="N84">
            <v>0.19232820638918369</v>
          </cell>
          <cell r="O84">
            <v>0.21603381034002606</v>
          </cell>
          <cell r="P84">
            <v>0.22087873163561572</v>
          </cell>
          <cell r="Q84">
            <v>0.2191383504409368</v>
          </cell>
          <cell r="R84">
            <v>0.20690872930260795</v>
          </cell>
          <cell r="S84">
            <v>0.20943851248988654</v>
          </cell>
          <cell r="T84">
            <v>0.20509887592849968</v>
          </cell>
          <cell r="U84">
            <v>0.20998093066276241</v>
          </cell>
          <cell r="V84">
            <v>0.21941136347747883</v>
          </cell>
          <cell r="W84">
            <v>0.23825229145540647</v>
          </cell>
          <cell r="X84">
            <v>0.17375838875259458</v>
          </cell>
          <cell r="Y84">
            <v>0.15485541976550757</v>
          </cell>
          <cell r="Z84">
            <v>0.19612042469399149</v>
          </cell>
          <cell r="AA84">
            <v>0.19529638551458808</v>
          </cell>
          <cell r="AB84">
            <v>0.1750152346645012</v>
          </cell>
          <cell r="AC84">
            <v>0.17261884765404226</v>
          </cell>
          <cell r="AD84">
            <v>0.1784977604989858</v>
          </cell>
          <cell r="AE84">
            <v>0.17995563214814461</v>
          </cell>
          <cell r="AF84">
            <v>0.23766452772552785</v>
          </cell>
          <cell r="AG84">
            <v>0.19231429650743498</v>
          </cell>
          <cell r="AH84">
            <v>0.18194624256749597</v>
          </cell>
          <cell r="AI84">
            <v>0.1735669660407553</v>
          </cell>
          <cell r="AJ84">
            <v>0.1951864427930434</v>
          </cell>
          <cell r="AK84">
            <v>0.23041203237522054</v>
          </cell>
          <cell r="AL84">
            <v>0.20290021005347769</v>
          </cell>
          <cell r="AM84">
            <v>0.20673824547711639</v>
          </cell>
          <cell r="AN84">
            <v>0.18679589341606367</v>
          </cell>
          <cell r="AO84">
            <v>0.20585492464177096</v>
          </cell>
          <cell r="AP84">
            <v>0.22062214986632825</v>
          </cell>
          <cell r="AQ84">
            <v>0.20204237765969524</v>
          </cell>
          <cell r="AR84">
            <v>0.20548701184754697</v>
          </cell>
          <cell r="AS84">
            <v>0.18758841287432071</v>
          </cell>
          <cell r="AT84">
            <v>0.20379637539535328</v>
          </cell>
          <cell r="AU84" t="e">
            <v>#DIV/0!</v>
          </cell>
          <cell r="AV84">
            <v>15.334058960210607</v>
          </cell>
          <cell r="AW84">
            <v>-336.57680758948464</v>
          </cell>
          <cell r="AX84">
            <v>32.312650698115</v>
          </cell>
          <cell r="AY84">
            <v>0.21652482329452724</v>
          </cell>
        </row>
        <row r="85">
          <cell r="A85" t="str">
            <v>MSA</v>
          </cell>
          <cell r="B85">
            <v>0.61992465466722479</v>
          </cell>
          <cell r="C85">
            <v>0.6225207933461292</v>
          </cell>
          <cell r="D85">
            <v>0.58774758175955766</v>
          </cell>
          <cell r="E85">
            <v>0.5608194622279129</v>
          </cell>
          <cell r="F85">
            <v>0.59969515637348991</v>
          </cell>
          <cell r="G85">
            <v>0.43723710427274748</v>
          </cell>
          <cell r="H85">
            <v>0.41922718808193665</v>
          </cell>
          <cell r="I85">
            <v>0.46601520086862103</v>
          </cell>
          <cell r="J85">
            <v>0.46240098958603504</v>
          </cell>
          <cell r="K85">
            <v>0.44634263226133514</v>
          </cell>
          <cell r="L85">
            <v>0.49384668503877838</v>
          </cell>
          <cell r="M85">
            <v>0.52463353742839336</v>
          </cell>
          <cell r="N85">
            <v>0.48274153801092401</v>
          </cell>
          <cell r="O85">
            <v>0.45886793156365835</v>
          </cell>
          <cell r="P85">
            <v>0.49026848357535385</v>
          </cell>
          <cell r="Q85">
            <v>0.48380878036237929</v>
          </cell>
          <cell r="R85">
            <v>0.50151951258944882</v>
          </cell>
          <cell r="S85">
            <v>0.49205963217718363</v>
          </cell>
          <cell r="T85">
            <v>0.51439741066205313</v>
          </cell>
          <cell r="U85">
            <v>0.49804408019714463</v>
          </cell>
          <cell r="V85">
            <v>0.51251093514115065</v>
          </cell>
          <cell r="W85">
            <v>0.51741659255467065</v>
          </cell>
          <cell r="X85">
            <v>0.50464756924796605</v>
          </cell>
          <cell r="Y85">
            <v>0.48344558478317379</v>
          </cell>
          <cell r="Z85">
            <v>0.50449944980554295</v>
          </cell>
          <cell r="AA85">
            <v>0.59399669879955908</v>
          </cell>
          <cell r="AB85">
            <v>0.58099146658227641</v>
          </cell>
          <cell r="AC85">
            <v>0.58546735232478719</v>
          </cell>
          <cell r="AD85">
            <v>0.58011772162170383</v>
          </cell>
          <cell r="AE85">
            <v>0.58500925502051115</v>
          </cell>
          <cell r="AF85">
            <v>0.6107978362546066</v>
          </cell>
          <cell r="AG85">
            <v>0.61920976787558724</v>
          </cell>
          <cell r="AH85">
            <v>0.61457397489465315</v>
          </cell>
          <cell r="AI85">
            <v>0.57060140085898303</v>
          </cell>
          <cell r="AJ85">
            <v>0.60394253905769935</v>
          </cell>
          <cell r="AK85">
            <v>0.63945811232224126</v>
          </cell>
          <cell r="AL85">
            <v>0.63561596414711885</v>
          </cell>
          <cell r="AM85">
            <v>0.63313587677366889</v>
          </cell>
          <cell r="AN85">
            <v>0.63015482116262445</v>
          </cell>
          <cell r="AO85">
            <v>0.6344381284041466</v>
          </cell>
          <cell r="AP85">
            <v>0.63428868086569379</v>
          </cell>
          <cell r="AQ85">
            <v>0.64778535517696101</v>
          </cell>
          <cell r="AR85">
            <v>0.65918605780797246</v>
          </cell>
          <cell r="AS85">
            <v>0.65873615679887232</v>
          </cell>
          <cell r="AT85">
            <v>0.6502990816142501</v>
          </cell>
          <cell r="AU85" t="e">
            <v>#DIV/0!</v>
          </cell>
          <cell r="AV85">
            <v>49.163838521912361</v>
          </cell>
          <cell r="AW85">
            <v>-1079.7117391979509</v>
          </cell>
          <cell r="AX85">
            <v>120.27318093050256</v>
          </cell>
          <cell r="AY85">
            <v>0.79118826507403184</v>
          </cell>
        </row>
        <row r="86">
          <cell r="A86" t="str">
            <v>Operating Income</v>
          </cell>
          <cell r="B86">
            <v>0.54646295521138588</v>
          </cell>
          <cell r="C86">
            <v>0.69886969503092378</v>
          </cell>
          <cell r="D86">
            <v>0.76232151082450472</v>
          </cell>
          <cell r="E86">
            <v>0.75851472471190762</v>
          </cell>
          <cell r="F86">
            <v>0.68646268488201445</v>
          </cell>
          <cell r="G86">
            <v>0.59951295107372171</v>
          </cell>
          <cell r="H86">
            <v>0.53980446927374293</v>
          </cell>
          <cell r="I86">
            <v>0.50119435396308343</v>
          </cell>
          <cell r="J86">
            <v>0.5323601030363575</v>
          </cell>
          <cell r="K86">
            <v>0.54326242186978835</v>
          </cell>
          <cell r="L86">
            <v>0.49261882157523074</v>
          </cell>
          <cell r="M86">
            <v>0.520603062108841</v>
          </cell>
          <cell r="N86">
            <v>0.65405150327884554</v>
          </cell>
          <cell r="O86">
            <v>0.64926666192806115</v>
          </cell>
          <cell r="P86">
            <v>0.58021962277726313</v>
          </cell>
          <cell r="Q86">
            <v>0.53177573040334014</v>
          </cell>
          <cell r="R86">
            <v>0.54643488489690806</v>
          </cell>
          <cell r="S86">
            <v>0.63556786791264663</v>
          </cell>
          <cell r="T86">
            <v>0.75344368674423545</v>
          </cell>
          <cell r="U86">
            <v>0.61596300607677468</v>
          </cell>
          <cell r="V86">
            <v>0.59092274641620246</v>
          </cell>
          <cell r="W86">
            <v>0.69090976714065488</v>
          </cell>
          <cell r="X86">
            <v>0.68318639214088317</v>
          </cell>
          <cell r="Y86">
            <v>0.77832266857467747</v>
          </cell>
          <cell r="Z86">
            <v>0.68694735265380624</v>
          </cell>
          <cell r="AA86">
            <v>0.68389503498881377</v>
          </cell>
          <cell r="AB86">
            <v>0.75790674601394381</v>
          </cell>
          <cell r="AC86">
            <v>0.73569011937744788</v>
          </cell>
          <cell r="AD86">
            <v>0.81263454121906686</v>
          </cell>
          <cell r="AE86">
            <v>0.74772262660004241</v>
          </cell>
          <cell r="AF86">
            <v>0.6321876437499041</v>
          </cell>
          <cell r="AG86">
            <v>0.74389705901777048</v>
          </cell>
          <cell r="AH86">
            <v>0.77226071845314959</v>
          </cell>
          <cell r="AI86">
            <v>0.89820904926090861</v>
          </cell>
          <cell r="AJ86">
            <v>0.76452529116167123</v>
          </cell>
          <cell r="AK86">
            <v>0.76113637661027911</v>
          </cell>
          <cell r="AL86">
            <v>0.94410709984067165</v>
          </cell>
          <cell r="AM86">
            <v>0.8441811690315586</v>
          </cell>
          <cell r="AN86">
            <v>0.8957200672240162</v>
          </cell>
          <cell r="AO86">
            <v>0.86616552991346252</v>
          </cell>
          <cell r="AP86">
            <v>0.8778923046764312</v>
          </cell>
          <cell r="AQ86">
            <v>0.9268954439027256</v>
          </cell>
          <cell r="AR86">
            <v>0.9460540644466271</v>
          </cell>
          <cell r="AS86">
            <v>0.93994315970789544</v>
          </cell>
          <cell r="AT86">
            <v>0.92365438297334601</v>
          </cell>
          <cell r="AU86" t="e">
            <v>#DIV/0!</v>
          </cell>
          <cell r="AV86">
            <v>70.346971518491955</v>
          </cell>
          <cell r="AW86">
            <v>-1549.5862923674295</v>
          </cell>
          <cell r="AX86">
            <v>175.25068950810203</v>
          </cell>
          <cell r="AY86">
            <v>2394.0595160869671</v>
          </cell>
        </row>
        <row r="88">
          <cell r="A88" t="str">
            <v>Share Repurchases</v>
          </cell>
          <cell r="B88" t="str">
            <v>1Q02</v>
          </cell>
          <cell r="C88" t="str">
            <v>2Q02</v>
          </cell>
          <cell r="D88" t="str">
            <v>3Q02</v>
          </cell>
          <cell r="E88" t="str">
            <v>4Q02</v>
          </cell>
          <cell r="F88">
            <v>2002</v>
          </cell>
          <cell r="G88" t="str">
            <v>1Q03</v>
          </cell>
          <cell r="H88" t="str">
            <v>2Q03</v>
          </cell>
          <cell r="I88" t="str">
            <v>3Q03</v>
          </cell>
          <cell r="J88" t="str">
            <v>4Q03</v>
          </cell>
          <cell r="K88">
            <v>2003</v>
          </cell>
          <cell r="L88" t="str">
            <v>1Q04</v>
          </cell>
          <cell r="M88" t="str">
            <v>2Q04</v>
          </cell>
          <cell r="N88" t="str">
            <v>3Q04</v>
          </cell>
          <cell r="O88" t="str">
            <v>4Q04</v>
          </cell>
          <cell r="P88">
            <v>2004</v>
          </cell>
          <cell r="Q88" t="str">
            <v>1Q05</v>
          </cell>
          <cell r="R88" t="str">
            <v>2Q05</v>
          </cell>
          <cell r="S88" t="str">
            <v>3Q05</v>
          </cell>
          <cell r="T88" t="str">
            <v>4Q05</v>
          </cell>
          <cell r="U88">
            <v>2005</v>
          </cell>
          <cell r="V88" t="str">
            <v>1Q06</v>
          </cell>
          <cell r="W88" t="str">
            <v>2Q06</v>
          </cell>
          <cell r="X88" t="str">
            <v>3Q06</v>
          </cell>
          <cell r="Y88" t="str">
            <v>4Q06</v>
          </cell>
          <cell r="Z88">
            <v>2006</v>
          </cell>
          <cell r="AA88" t="str">
            <v>1Q07</v>
          </cell>
          <cell r="AB88" t="str">
            <v>2Q07</v>
          </cell>
          <cell r="AC88" t="str">
            <v>3Q07</v>
          </cell>
          <cell r="AD88" t="str">
            <v>4Q07</v>
          </cell>
          <cell r="AE88">
            <v>2007</v>
          </cell>
          <cell r="AF88" t="str">
            <v>1Q08</v>
          </cell>
          <cell r="AG88" t="str">
            <v>2Q08</v>
          </cell>
          <cell r="AH88" t="str">
            <v>3Q08</v>
          </cell>
          <cell r="AI88" t="str">
            <v>4Q08</v>
          </cell>
          <cell r="AJ88">
            <v>2008</v>
          </cell>
          <cell r="AK88" t="str">
            <v>1Q09</v>
          </cell>
          <cell r="AL88" t="str">
            <v>2Q09</v>
          </cell>
          <cell r="AM88" t="str">
            <v>3Q09</v>
          </cell>
          <cell r="AN88" t="str">
            <v>4Q09</v>
          </cell>
          <cell r="AO88">
            <v>2009</v>
          </cell>
          <cell r="AP88" t="str">
            <v>1Q10</v>
          </cell>
          <cell r="AQ88" t="str">
            <v>2Q10</v>
          </cell>
          <cell r="AR88" t="str">
            <v>3Q10E</v>
          </cell>
          <cell r="AS88" t="str">
            <v>4Q10E</v>
          </cell>
          <cell r="AT88" t="str">
            <v>2010E</v>
          </cell>
          <cell r="AU88" t="str">
            <v>1Q11E</v>
          </cell>
          <cell r="AV88" t="str">
            <v>2Q11E</v>
          </cell>
          <cell r="AW88" t="str">
            <v>3Q11E</v>
          </cell>
          <cell r="AX88" t="str">
            <v>4Q11E</v>
          </cell>
          <cell r="AY88" t="str">
            <v>2011E</v>
          </cell>
        </row>
        <row r="89">
          <cell r="A89" t="str">
            <v>Value of shares repurchased</v>
          </cell>
          <cell r="Z89">
            <v>0</v>
          </cell>
          <cell r="AA89">
            <v>0</v>
          </cell>
          <cell r="AB89">
            <v>0</v>
          </cell>
          <cell r="AC89">
            <v>0</v>
          </cell>
          <cell r="AD89">
            <v>0</v>
          </cell>
          <cell r="AE89">
            <v>0</v>
          </cell>
          <cell r="AF89">
            <v>0</v>
          </cell>
          <cell r="AG89">
            <v>0</v>
          </cell>
          <cell r="AH89">
            <v>274</v>
          </cell>
          <cell r="AI89">
            <v>126</v>
          </cell>
          <cell r="AJ89">
            <v>400</v>
          </cell>
          <cell r="AK89">
            <v>0</v>
          </cell>
          <cell r="AL89">
            <v>146</v>
          </cell>
          <cell r="AM89">
            <v>356</v>
          </cell>
          <cell r="AN89">
            <v>408</v>
          </cell>
          <cell r="AO89">
            <v>910</v>
          </cell>
          <cell r="AP89">
            <v>199.596</v>
          </cell>
          <cell r="AQ89">
            <v>136</v>
          </cell>
          <cell r="AR89">
            <v>91</v>
          </cell>
          <cell r="AS89">
            <v>198.404</v>
          </cell>
          <cell r="AT89">
            <v>625</v>
          </cell>
          <cell r="AU89">
            <v>199.596</v>
          </cell>
          <cell r="AV89">
            <v>136</v>
          </cell>
          <cell r="AW89">
            <v>91</v>
          </cell>
          <cell r="AX89">
            <v>198.404</v>
          </cell>
          <cell r="AY89">
            <v>625</v>
          </cell>
        </row>
        <row r="90">
          <cell r="A90" t="str">
            <v>Number of shares repurchased</v>
          </cell>
          <cell r="Z90">
            <v>0</v>
          </cell>
          <cell r="AA90">
            <v>0</v>
          </cell>
          <cell r="AB90">
            <v>0</v>
          </cell>
          <cell r="AC90">
            <v>0</v>
          </cell>
          <cell r="AD90">
            <v>0</v>
          </cell>
          <cell r="AE90">
            <v>0</v>
          </cell>
          <cell r="AF90">
            <v>0</v>
          </cell>
          <cell r="AG90">
            <v>0</v>
          </cell>
          <cell r="AH90">
            <v>3.8942581011938602</v>
          </cell>
          <cell r="AI90">
            <v>1.9691250708964363</v>
          </cell>
          <cell r="AJ90">
            <v>5.8633831720902965</v>
          </cell>
          <cell r="AK90">
            <v>0</v>
          </cell>
          <cell r="AL90">
            <v>2.1575291857543961</v>
          </cell>
          <cell r="AM90">
            <v>4.9362174154187466</v>
          </cell>
          <cell r="AN90">
            <v>5.1921608551794352</v>
          </cell>
          <cell r="AO90">
            <v>12.285907456352579</v>
          </cell>
          <cell r="AP90">
            <v>2.6</v>
          </cell>
          <cell r="AQ90">
            <v>1.7689906347554631</v>
          </cell>
          <cell r="AR90">
            <v>1.1220715166461159</v>
          </cell>
          <cell r="AS90">
            <v>2.3299160354647408</v>
          </cell>
          <cell r="AT90">
            <v>7.82097818686632</v>
          </cell>
          <cell r="AU90">
            <v>2.6</v>
          </cell>
          <cell r="AV90">
            <v>1.7689906347554631</v>
          </cell>
          <cell r="AW90">
            <v>1.1220715166461159</v>
          </cell>
          <cell r="AX90">
            <v>2.3299160354647408</v>
          </cell>
          <cell r="AY90">
            <v>7.82097818686632</v>
          </cell>
        </row>
        <row r="91">
          <cell r="A91" t="str">
            <v>Weighted average repurchase price</v>
          </cell>
          <cell r="Z91">
            <v>0</v>
          </cell>
          <cell r="AA91">
            <v>0</v>
          </cell>
          <cell r="AB91">
            <v>0</v>
          </cell>
          <cell r="AC91">
            <v>0</v>
          </cell>
          <cell r="AD91">
            <v>0</v>
          </cell>
          <cell r="AE91">
            <v>0</v>
          </cell>
          <cell r="AF91">
            <v>0</v>
          </cell>
          <cell r="AG91">
            <v>0</v>
          </cell>
          <cell r="AH91">
            <v>70.36</v>
          </cell>
          <cell r="AI91">
            <v>63.987809541543747</v>
          </cell>
          <cell r="AJ91">
            <v>68.22</v>
          </cell>
          <cell r="AK91">
            <v>56.35</v>
          </cell>
          <cell r="AL91">
            <v>67.67</v>
          </cell>
          <cell r="AM91">
            <v>72.12</v>
          </cell>
          <cell r="AN91">
            <v>78.58</v>
          </cell>
          <cell r="AO91">
            <v>74.068602847034583</v>
          </cell>
          <cell r="AP91">
            <v>76.7676923076923</v>
          </cell>
          <cell r="AQ91">
            <v>76.88</v>
          </cell>
          <cell r="AR91">
            <v>81.099999999999994</v>
          </cell>
          <cell r="AS91">
            <v>85.155000000000001</v>
          </cell>
          <cell r="AT91">
            <v>79.91327747845601</v>
          </cell>
          <cell r="AU91">
            <v>76.7676923076923</v>
          </cell>
          <cell r="AV91">
            <v>76.88</v>
          </cell>
          <cell r="AW91">
            <v>81.099999999999994</v>
          </cell>
          <cell r="AX91">
            <v>85.155000000000001</v>
          </cell>
          <cell r="AY91">
            <v>79.91327747845601</v>
          </cell>
        </row>
        <row r="93">
          <cell r="A93" t="str">
            <v>Beginning Basic Shares</v>
          </cell>
          <cell r="Z93">
            <v>0</v>
          </cell>
          <cell r="AA93">
            <v>0</v>
          </cell>
          <cell r="AB93">
            <v>0</v>
          </cell>
          <cell r="AC93">
            <v>0</v>
          </cell>
          <cell r="AD93">
            <v>0</v>
          </cell>
          <cell r="AE93">
            <v>0</v>
          </cell>
          <cell r="AF93">
            <v>173.9</v>
          </cell>
          <cell r="AG93">
            <v>173.77080599999999</v>
          </cell>
          <cell r="AH93">
            <v>173.927256</v>
          </cell>
          <cell r="AI93">
            <v>170.03299789880614</v>
          </cell>
          <cell r="AJ93">
            <v>173.9</v>
          </cell>
          <cell r="AK93">
            <v>168.06387282790971</v>
          </cell>
          <cell r="AL93">
            <v>168.06387282790971</v>
          </cell>
          <cell r="AM93">
            <v>165.90634364215532</v>
          </cell>
          <cell r="AN93">
            <v>160.97012622673657</v>
          </cell>
          <cell r="AO93">
            <v>168.06387282790971</v>
          </cell>
          <cell r="AP93">
            <v>155.77796537155714</v>
          </cell>
          <cell r="AQ93">
            <v>153.17796537155715</v>
          </cell>
          <cell r="AR93">
            <v>151.4089747368017</v>
          </cell>
          <cell r="AS93">
            <v>150.28690322015558</v>
          </cell>
          <cell r="AT93">
            <v>155.77796537155714</v>
          </cell>
          <cell r="AU93">
            <v>147.95698718469083</v>
          </cell>
          <cell r="AV93">
            <v>145.35698718469084</v>
          </cell>
          <cell r="AW93">
            <v>143.58799654993538</v>
          </cell>
          <cell r="AX93">
            <v>142.46592503328927</v>
          </cell>
          <cell r="AY93">
            <v>147.95698718469083</v>
          </cell>
        </row>
        <row r="94">
          <cell r="A94" t="str">
            <v>Ending Basic Shares</v>
          </cell>
          <cell r="Z94">
            <v>0</v>
          </cell>
          <cell r="AA94">
            <v>0</v>
          </cell>
          <cell r="AB94">
            <v>0</v>
          </cell>
          <cell r="AC94">
            <v>0</v>
          </cell>
          <cell r="AD94">
            <v>0</v>
          </cell>
          <cell r="AE94">
            <v>0</v>
          </cell>
          <cell r="AF94">
            <v>173.77080599999999</v>
          </cell>
          <cell r="AG94">
            <v>173.927256</v>
          </cell>
          <cell r="AH94">
            <v>170.03299789880614</v>
          </cell>
          <cell r="AI94">
            <v>168.06387282790971</v>
          </cell>
          <cell r="AJ94">
            <v>168.06387282790971</v>
          </cell>
          <cell r="AK94">
            <v>168.06387282790971</v>
          </cell>
          <cell r="AL94">
            <v>165.90634364215532</v>
          </cell>
          <cell r="AM94">
            <v>160.97012622673657</v>
          </cell>
          <cell r="AN94">
            <v>155.77796537155714</v>
          </cell>
          <cell r="AO94">
            <v>155.77796537155714</v>
          </cell>
          <cell r="AP94">
            <v>153.17796537155715</v>
          </cell>
          <cell r="AQ94">
            <v>151.4089747368017</v>
          </cell>
          <cell r="AR94">
            <v>150.28690322015558</v>
          </cell>
          <cell r="AS94">
            <v>147.95698718469083</v>
          </cell>
          <cell r="AT94">
            <v>147.95698718469083</v>
          </cell>
          <cell r="AU94">
            <v>145.35698718469084</v>
          </cell>
          <cell r="AV94">
            <v>143.58799654993538</v>
          </cell>
          <cell r="AW94">
            <v>142.46592503328927</v>
          </cell>
          <cell r="AX94">
            <v>140.13600899782452</v>
          </cell>
          <cell r="AY94">
            <v>140.13600899782452</v>
          </cell>
        </row>
        <row r="96">
          <cell r="A96" t="str">
            <v>Avg Basic Shares</v>
          </cell>
          <cell r="Z96">
            <v>0</v>
          </cell>
          <cell r="AA96">
            <v>0</v>
          </cell>
          <cell r="AB96">
            <v>0</v>
          </cell>
          <cell r="AC96">
            <v>0</v>
          </cell>
          <cell r="AD96">
            <v>0</v>
          </cell>
          <cell r="AE96">
            <v>0</v>
          </cell>
          <cell r="AF96">
            <v>173.77080599999999</v>
          </cell>
          <cell r="AG96">
            <v>173.927256</v>
          </cell>
          <cell r="AH96">
            <v>172.37</v>
          </cell>
          <cell r="AI96">
            <v>169.04843536335792</v>
          </cell>
          <cell r="AJ96">
            <v>172.09</v>
          </cell>
          <cell r="AK96">
            <v>168.07</v>
          </cell>
          <cell r="AL96">
            <v>166.9851082350325</v>
          </cell>
          <cell r="AM96">
            <v>163.43823493444594</v>
          </cell>
          <cell r="AN96">
            <v>158.37404579914687</v>
          </cell>
          <cell r="AO96">
            <v>164.48</v>
          </cell>
          <cell r="AP96">
            <v>154.47796537155716</v>
          </cell>
          <cell r="AQ96">
            <v>152.29347005417941</v>
          </cell>
          <cell r="AR96">
            <v>150.84793897847862</v>
          </cell>
          <cell r="AS96">
            <v>149.12194520242321</v>
          </cell>
          <cell r="AT96">
            <v>151.867476278124</v>
          </cell>
          <cell r="AU96">
            <v>146.65698718469082</v>
          </cell>
          <cell r="AV96">
            <v>144.47249186731312</v>
          </cell>
          <cell r="AW96">
            <v>143.02696079161234</v>
          </cell>
          <cell r="AX96">
            <v>141.30096701555689</v>
          </cell>
          <cell r="AY96" t="e">
            <v>#NAME?</v>
          </cell>
        </row>
        <row r="97">
          <cell r="A97" t="str">
            <v xml:space="preserve">   + Impact of Dilution</v>
          </cell>
          <cell r="Z97">
            <v>0</v>
          </cell>
          <cell r="AA97">
            <v>0</v>
          </cell>
          <cell r="AB97">
            <v>0</v>
          </cell>
          <cell r="AC97">
            <v>0</v>
          </cell>
          <cell r="AD97">
            <v>0</v>
          </cell>
          <cell r="AE97">
            <v>0</v>
          </cell>
          <cell r="AF97">
            <v>0</v>
          </cell>
          <cell r="AG97">
            <v>0</v>
          </cell>
          <cell r="AH97">
            <v>0.12000000000000455</v>
          </cell>
          <cell r="AI97">
            <v>0.12000000000000455</v>
          </cell>
          <cell r="AJ97">
            <v>0.12000000000000455</v>
          </cell>
          <cell r="AK97">
            <v>0.11000000000001364</v>
          </cell>
          <cell r="AL97">
            <v>0.11000000000001364</v>
          </cell>
          <cell r="AM97">
            <v>0.11000000000001364</v>
          </cell>
          <cell r="AN97">
            <v>0.11000000000001364</v>
          </cell>
          <cell r="AO97">
            <v>0.14000000000001478</v>
          </cell>
          <cell r="AP97">
            <v>0.11000000000001364</v>
          </cell>
          <cell r="AQ97">
            <v>0.11000000000001364</v>
          </cell>
          <cell r="AR97">
            <v>0.11000000000001364</v>
          </cell>
          <cell r="AS97">
            <v>0.11000000000001364</v>
          </cell>
          <cell r="AT97">
            <v>0.11000000000001364</v>
          </cell>
          <cell r="AU97">
            <v>0.11000000000001364</v>
          </cell>
          <cell r="AV97">
            <v>0.11000000000001364</v>
          </cell>
          <cell r="AW97">
            <v>0.11000000000001364</v>
          </cell>
          <cell r="AX97">
            <v>0.11000000000001364</v>
          </cell>
          <cell r="AY97">
            <v>0.11000000000001364</v>
          </cell>
        </row>
        <row r="98">
          <cell r="A98" t="str">
            <v>Avg Diluted Shares</v>
          </cell>
          <cell r="Z98">
            <v>0</v>
          </cell>
          <cell r="AA98">
            <v>0</v>
          </cell>
          <cell r="AB98">
            <v>0</v>
          </cell>
          <cell r="AC98">
            <v>0</v>
          </cell>
          <cell r="AD98">
            <v>0</v>
          </cell>
          <cell r="AE98">
            <v>0</v>
          </cell>
          <cell r="AF98">
            <v>173.77080599999999</v>
          </cell>
          <cell r="AG98">
            <v>173.927256</v>
          </cell>
          <cell r="AH98">
            <v>172.49</v>
          </cell>
          <cell r="AI98">
            <v>169.16843536335793</v>
          </cell>
          <cell r="AJ98">
            <v>172.21</v>
          </cell>
          <cell r="AK98">
            <v>168.18</v>
          </cell>
          <cell r="AL98">
            <v>167.09510823503251</v>
          </cell>
          <cell r="AM98">
            <v>163.54823493444596</v>
          </cell>
          <cell r="AN98">
            <v>158.48404579914688</v>
          </cell>
          <cell r="AO98">
            <v>164.62</v>
          </cell>
          <cell r="AP98">
            <v>154.58796537155717</v>
          </cell>
          <cell r="AQ98">
            <v>152.40347005417942</v>
          </cell>
          <cell r="AR98">
            <v>150.95793897847864</v>
          </cell>
          <cell r="AS98">
            <v>149.23194520242322</v>
          </cell>
          <cell r="AT98">
            <v>151.97747627812402</v>
          </cell>
          <cell r="AU98">
            <v>146.76698718469083</v>
          </cell>
          <cell r="AV98">
            <v>144.58249186731314</v>
          </cell>
          <cell r="AW98">
            <v>143.13696079161235</v>
          </cell>
          <cell r="AX98">
            <v>141.41096701555691</v>
          </cell>
          <cell r="AY98" t="e">
            <v>#NAME?</v>
          </cell>
        </row>
        <row r="100">
          <cell r="A100" t="str">
            <v>July 2008 - $400 MM</v>
          </cell>
          <cell r="AH100">
            <v>274</v>
          </cell>
          <cell r="AI100">
            <v>126</v>
          </cell>
        </row>
        <row r="101">
          <cell r="A101" t="str">
            <v>May 2009 - $250 MM</v>
          </cell>
          <cell r="AL101">
            <v>146</v>
          </cell>
          <cell r="AM101">
            <v>104</v>
          </cell>
        </row>
        <row r="102">
          <cell r="A102" t="str">
            <v>July 2009 - $750 MM</v>
          </cell>
          <cell r="AM102">
            <v>252</v>
          </cell>
          <cell r="AN102">
            <v>408</v>
          </cell>
          <cell r="AP102">
            <v>90</v>
          </cell>
          <cell r="AU102">
            <v>750</v>
          </cell>
        </row>
        <row r="103">
          <cell r="A103" t="str">
            <v>Feb 2009 - $250 MM</v>
          </cell>
          <cell r="AP103">
            <v>109.596</v>
          </cell>
          <cell r="AQ103">
            <v>140.404</v>
          </cell>
          <cell r="AU103">
            <v>-550.404</v>
          </cell>
          <cell r="AV103">
            <v>800.404</v>
          </cell>
        </row>
        <row r="105">
          <cell r="A105" t="str">
            <v>FDA fees</v>
          </cell>
          <cell r="AM105">
            <v>2.5</v>
          </cell>
          <cell r="AN105">
            <v>6.5</v>
          </cell>
          <cell r="AO105">
            <v>9</v>
          </cell>
          <cell r="AP105">
            <v>7</v>
          </cell>
          <cell r="AQ105">
            <v>7</v>
          </cell>
          <cell r="AR105">
            <v>7</v>
          </cell>
          <cell r="AU105">
            <v>7</v>
          </cell>
          <cell r="AV105">
            <v>7</v>
          </cell>
          <cell r="AW105">
            <v>7</v>
          </cell>
        </row>
        <row r="108">
          <cell r="A108" t="str">
            <v>Lorillard domestic unit volume</v>
          </cell>
          <cell r="Q108">
            <v>8.2139889999999998</v>
          </cell>
          <cell r="R108">
            <v>9.3954470000000008</v>
          </cell>
          <cell r="S108">
            <v>9.1005230000000008</v>
          </cell>
          <cell r="T108">
            <v>8.4837130000000016</v>
          </cell>
          <cell r="U108">
            <v>35.193671999999985</v>
          </cell>
          <cell r="V108">
            <v>8.4681119999999996</v>
          </cell>
          <cell r="W108">
            <v>9.1415699999999998</v>
          </cell>
          <cell r="X108">
            <v>9.6225569999999987</v>
          </cell>
          <cell r="Y108">
            <v>8.8986229999999988</v>
          </cell>
          <cell r="Z108">
            <v>36.130862</v>
          </cell>
          <cell r="AA108">
            <v>8.3872520000000002</v>
          </cell>
          <cell r="AB108">
            <v>9.4734610000000004</v>
          </cell>
          <cell r="AC108">
            <v>9.4659420000000001</v>
          </cell>
          <cell r="AD108">
            <v>8.5155130000000003</v>
          </cell>
          <cell r="AE108">
            <v>35.842168000000001</v>
          </cell>
          <cell r="AF108">
            <v>8.415223000000001</v>
          </cell>
          <cell r="AG108">
            <v>9.4636750000000021</v>
          </cell>
          <cell r="AH108">
            <v>9.8930319999999998</v>
          </cell>
          <cell r="AI108">
            <v>9.2183439999999983</v>
          </cell>
          <cell r="AJ108">
            <v>36.990273999999999</v>
          </cell>
          <cell r="AK108">
            <v>7.7252910000000004</v>
          </cell>
          <cell r="AL108">
            <v>9.6599209999999989</v>
          </cell>
          <cell r="AM108">
            <v>9.2871059999999979</v>
          </cell>
          <cell r="AN108">
            <v>8.8867049999999992</v>
          </cell>
          <cell r="AO108">
            <v>35.559022999999996</v>
          </cell>
          <cell r="AP108">
            <v>8.7026620000000001</v>
          </cell>
          <cell r="AQ108">
            <v>9.6019459999999999</v>
          </cell>
          <cell r="AR108">
            <v>9.8303049999999992</v>
          </cell>
          <cell r="AU108">
            <v>0</v>
          </cell>
          <cell r="AV108">
            <v>0.12651575196325937</v>
          </cell>
          <cell r="AW108">
            <v>-6.0016018764541545E-3</v>
          </cell>
        </row>
        <row r="109">
          <cell r="A109" t="str">
            <v>Industry domestic unit volume</v>
          </cell>
          <cell r="Q109">
            <v>87.941999999999993</v>
          </cell>
          <cell r="R109">
            <v>99.975999999999999</v>
          </cell>
          <cell r="S109">
            <v>99.257999999999996</v>
          </cell>
          <cell r="T109">
            <v>94.552000000000021</v>
          </cell>
          <cell r="U109">
            <v>381.72800000000001</v>
          </cell>
          <cell r="V109">
            <v>87.99</v>
          </cell>
          <cell r="W109">
            <v>97.126999999999995</v>
          </cell>
          <cell r="X109">
            <v>96.417000000000002</v>
          </cell>
          <cell r="Y109">
            <v>94.466000000000008</v>
          </cell>
          <cell r="Z109">
            <v>376</v>
          </cell>
          <cell r="AA109">
            <v>83.159000000000006</v>
          </cell>
          <cell r="AB109">
            <v>92.652000000000001</v>
          </cell>
          <cell r="AC109">
            <v>94.9</v>
          </cell>
          <cell r="AD109">
            <v>86.488999999999976</v>
          </cell>
          <cell r="AE109">
            <v>357.2</v>
          </cell>
          <cell r="AF109">
            <v>80.400000000000006</v>
          </cell>
          <cell r="AG109">
            <v>89.671000000000006</v>
          </cell>
          <cell r="AH109">
            <v>91.647999999999996</v>
          </cell>
          <cell r="AI109">
            <v>83.58099999999996</v>
          </cell>
          <cell r="AJ109">
            <v>345.3</v>
          </cell>
          <cell r="AK109">
            <v>73.8</v>
          </cell>
          <cell r="AL109">
            <v>84.391000000000005</v>
          </cell>
          <cell r="AM109">
            <v>80.123000000000005</v>
          </cell>
          <cell r="AN109">
            <v>77.385999999999967</v>
          </cell>
          <cell r="AO109">
            <v>315.7</v>
          </cell>
          <cell r="AP109">
            <v>72</v>
          </cell>
          <cell r="AQ109">
            <v>78.427999999999997</v>
          </cell>
          <cell r="AR109">
            <v>79.474000000000004</v>
          </cell>
          <cell r="AU109">
            <v>72</v>
          </cell>
          <cell r="AV109">
            <v>78.427999999999997</v>
          </cell>
          <cell r="AW109">
            <v>79.474000000000004</v>
          </cell>
        </row>
        <row r="110">
          <cell r="A110" t="str">
            <v>Lorillard share of market</v>
          </cell>
          <cell r="Q110">
            <v>9.3000000000000007</v>
          </cell>
          <cell r="R110">
            <v>9.4</v>
          </cell>
          <cell r="S110">
            <v>9.1999999999999993</v>
          </cell>
          <cell r="T110">
            <v>8.899999999999995</v>
          </cell>
          <cell r="U110">
            <v>9.1999999999999993</v>
          </cell>
          <cell r="V110">
            <v>9.6</v>
          </cell>
          <cell r="W110">
            <v>9.4</v>
          </cell>
          <cell r="X110">
            <v>10</v>
          </cell>
          <cell r="Y110">
            <v>9.3999999999999986</v>
          </cell>
          <cell r="Z110">
            <v>9.6</v>
          </cell>
          <cell r="AA110">
            <v>10.1</v>
          </cell>
          <cell r="AB110">
            <v>10.199999999999999</v>
          </cell>
          <cell r="AC110">
            <v>10</v>
          </cell>
          <cell r="AD110">
            <v>9.7000000000000028</v>
          </cell>
          <cell r="AE110">
            <v>10</v>
          </cell>
          <cell r="AF110">
            <v>10.5</v>
          </cell>
          <cell r="AG110">
            <v>10.6</v>
          </cell>
          <cell r="AH110">
            <v>10.8</v>
          </cell>
          <cell r="AI110">
            <v>10.899999999999995</v>
          </cell>
          <cell r="AJ110">
            <v>10.7</v>
          </cell>
          <cell r="AK110">
            <v>10.5</v>
          </cell>
          <cell r="AL110">
            <v>11.4</v>
          </cell>
          <cell r="AM110">
            <v>11.6</v>
          </cell>
          <cell r="AN110">
            <v>11.700000000000003</v>
          </cell>
          <cell r="AO110">
            <v>11.3</v>
          </cell>
          <cell r="AP110">
            <v>12.1</v>
          </cell>
          <cell r="AQ110">
            <v>12.2</v>
          </cell>
          <cell r="AR110">
            <v>12.4</v>
          </cell>
          <cell r="AU110">
            <v>12.1</v>
          </cell>
          <cell r="AV110">
            <v>12.2</v>
          </cell>
          <cell r="AW110">
            <v>12.4</v>
          </cell>
        </row>
        <row r="111">
          <cell r="A111" t="str">
            <v>Lorillard premium volume</v>
          </cell>
          <cell r="Q111">
            <v>95.5</v>
          </cell>
          <cell r="R111">
            <v>95.3</v>
          </cell>
          <cell r="S111">
            <v>95</v>
          </cell>
          <cell r="T111">
            <v>95</v>
          </cell>
          <cell r="U111">
            <v>95.2</v>
          </cell>
          <cell r="V111">
            <v>95.1</v>
          </cell>
          <cell r="W111">
            <v>94.8</v>
          </cell>
          <cell r="X111">
            <v>94.7</v>
          </cell>
          <cell r="Y111">
            <v>94.600000000000023</v>
          </cell>
          <cell r="Z111">
            <v>94.8</v>
          </cell>
          <cell r="AA111">
            <v>94.9</v>
          </cell>
          <cell r="AB111">
            <v>94.7</v>
          </cell>
          <cell r="AC111">
            <v>94.3</v>
          </cell>
          <cell r="AD111">
            <v>93.299999999999955</v>
          </cell>
          <cell r="AE111">
            <v>94.3</v>
          </cell>
          <cell r="AF111">
            <v>93.3</v>
          </cell>
          <cell r="AG111">
            <v>92.9</v>
          </cell>
          <cell r="AH111">
            <v>91.9</v>
          </cell>
          <cell r="AI111">
            <v>91.099999999999966</v>
          </cell>
          <cell r="AJ111">
            <v>92.3</v>
          </cell>
          <cell r="AK111">
            <v>90.3</v>
          </cell>
          <cell r="AL111">
            <v>89.5</v>
          </cell>
          <cell r="AM111">
            <v>88</v>
          </cell>
          <cell r="AN111">
            <v>87.800000000000011</v>
          </cell>
          <cell r="AO111">
            <v>88.9</v>
          </cell>
          <cell r="AP111">
            <v>87.8</v>
          </cell>
          <cell r="AQ111">
            <v>86.8</v>
          </cell>
          <cell r="AR111">
            <v>85.2</v>
          </cell>
          <cell r="AU111">
            <v>87.8</v>
          </cell>
          <cell r="AV111">
            <v>86.8</v>
          </cell>
          <cell r="AW111">
            <v>85.2</v>
          </cell>
        </row>
        <row r="112">
          <cell r="A112" t="str">
            <v>Lorillard share of premium market</v>
          </cell>
          <cell r="Q112">
            <v>12.5</v>
          </cell>
          <cell r="R112">
            <v>12.5</v>
          </cell>
          <cell r="S112">
            <v>12.3</v>
          </cell>
          <cell r="T112">
            <v>11.900000000000006</v>
          </cell>
          <cell r="U112">
            <v>12.3</v>
          </cell>
          <cell r="V112">
            <v>12.7</v>
          </cell>
          <cell r="W112">
            <v>12.4</v>
          </cell>
          <cell r="X112">
            <v>13</v>
          </cell>
          <cell r="Y112">
            <v>12.699999999999996</v>
          </cell>
          <cell r="Z112">
            <v>12.7</v>
          </cell>
          <cell r="AA112">
            <v>13.1</v>
          </cell>
          <cell r="AB112">
            <v>13.1</v>
          </cell>
          <cell r="AC112">
            <v>12.9</v>
          </cell>
          <cell r="AD112">
            <v>12.899999999999999</v>
          </cell>
          <cell r="AE112">
            <v>13</v>
          </cell>
          <cell r="AF112">
            <v>13.3</v>
          </cell>
          <cell r="AG112">
            <v>13.5</v>
          </cell>
          <cell r="AH112">
            <v>13.7</v>
          </cell>
          <cell r="AI112">
            <v>13.899999999999999</v>
          </cell>
          <cell r="AJ112">
            <v>13.6</v>
          </cell>
          <cell r="AK112">
            <v>13.5</v>
          </cell>
          <cell r="AL112">
            <v>14.3</v>
          </cell>
          <cell r="AM112">
            <v>14.5</v>
          </cell>
          <cell r="AN112">
            <v>14.5</v>
          </cell>
          <cell r="AO112">
            <v>14.2</v>
          </cell>
          <cell r="AP112">
            <v>15</v>
          </cell>
          <cell r="AQ112">
            <v>15.1</v>
          </cell>
          <cell r="AR112">
            <v>15.1</v>
          </cell>
          <cell r="AU112">
            <v>15</v>
          </cell>
          <cell r="AV112">
            <v>15.1</v>
          </cell>
          <cell r="AW112">
            <v>15.1</v>
          </cell>
        </row>
        <row r="113">
          <cell r="A113" t="str">
            <v>Newport share of domestic market</v>
          </cell>
          <cell r="Q113">
            <v>8.6</v>
          </cell>
          <cell r="R113">
            <v>8.6</v>
          </cell>
          <cell r="S113">
            <v>8.4</v>
          </cell>
          <cell r="T113">
            <v>8</v>
          </cell>
          <cell r="U113">
            <v>8.4</v>
          </cell>
          <cell r="V113">
            <v>8.8000000000000007</v>
          </cell>
          <cell r="W113">
            <v>8.6</v>
          </cell>
          <cell r="X113">
            <v>9.1</v>
          </cell>
          <cell r="Y113">
            <v>8.7000000000000028</v>
          </cell>
          <cell r="Z113">
            <v>8.8000000000000007</v>
          </cell>
          <cell r="AA113">
            <v>9.3000000000000007</v>
          </cell>
          <cell r="AB113">
            <v>9.4</v>
          </cell>
          <cell r="AC113">
            <v>9.1</v>
          </cell>
          <cell r="AD113">
            <v>8.9999999999999929</v>
          </cell>
          <cell r="AE113">
            <v>9.1999999999999993</v>
          </cell>
          <cell r="AF113">
            <v>9.5</v>
          </cell>
          <cell r="AG113">
            <v>9.6</v>
          </cell>
          <cell r="AH113">
            <v>9.6999999999999993</v>
          </cell>
          <cell r="AI113">
            <v>9.9999999999999964</v>
          </cell>
          <cell r="AJ113">
            <v>9.6999999999999993</v>
          </cell>
          <cell r="AK113">
            <v>9.3000000000000007</v>
          </cell>
          <cell r="AL113">
            <v>10</v>
          </cell>
          <cell r="AM113">
            <v>10</v>
          </cell>
          <cell r="AN113">
            <v>9.9000000000000021</v>
          </cell>
          <cell r="AO113">
            <v>9.8000000000000007</v>
          </cell>
          <cell r="AP113">
            <v>10.4</v>
          </cell>
          <cell r="AQ113">
            <v>10.4</v>
          </cell>
          <cell r="AR113">
            <v>10.4</v>
          </cell>
          <cell r="AU113">
            <v>10.4</v>
          </cell>
          <cell r="AV113">
            <v>10.4</v>
          </cell>
          <cell r="AW113">
            <v>10.4</v>
          </cell>
        </row>
        <row r="114">
          <cell r="A114" t="str">
            <v>Newport share of premium market</v>
          </cell>
          <cell r="Q114">
            <v>12</v>
          </cell>
          <cell r="R114">
            <v>12</v>
          </cell>
          <cell r="S114">
            <v>11.8</v>
          </cell>
          <cell r="T114">
            <v>11.800000000000004</v>
          </cell>
          <cell r="U114">
            <v>11.9</v>
          </cell>
          <cell r="V114">
            <v>12.2</v>
          </cell>
          <cell r="W114">
            <v>11.9</v>
          </cell>
          <cell r="X114">
            <v>12.6</v>
          </cell>
          <cell r="Y114">
            <v>12.099999999999994</v>
          </cell>
          <cell r="Z114">
            <v>12.2</v>
          </cell>
          <cell r="AA114">
            <v>12.7</v>
          </cell>
          <cell r="AB114">
            <v>12.8</v>
          </cell>
          <cell r="AC114">
            <v>12.5</v>
          </cell>
          <cell r="AD114">
            <v>12.399999999999999</v>
          </cell>
          <cell r="AE114">
            <v>12.6</v>
          </cell>
          <cell r="AF114">
            <v>13</v>
          </cell>
          <cell r="AG114">
            <v>13.2</v>
          </cell>
          <cell r="AH114">
            <v>13.4</v>
          </cell>
          <cell r="AI114">
            <v>13.600000000000001</v>
          </cell>
          <cell r="AJ114">
            <v>13.3</v>
          </cell>
          <cell r="AK114">
            <v>13.2</v>
          </cell>
          <cell r="AL114">
            <v>14</v>
          </cell>
          <cell r="AM114">
            <v>14.2</v>
          </cell>
          <cell r="AN114">
            <v>14.200000000000003</v>
          </cell>
          <cell r="AO114">
            <v>13.9</v>
          </cell>
          <cell r="AP114">
            <v>14.7</v>
          </cell>
          <cell r="AQ114">
            <v>14.8</v>
          </cell>
          <cell r="AR114">
            <v>14.9</v>
          </cell>
          <cell r="AU114">
            <v>14.7</v>
          </cell>
          <cell r="AV114">
            <v>14.8</v>
          </cell>
          <cell r="AW114">
            <v>14.9</v>
          </cell>
        </row>
        <row r="115">
          <cell r="A115" t="str">
            <v>Total menthol share</v>
          </cell>
          <cell r="Q115">
            <v>27</v>
          </cell>
          <cell r="R115">
            <v>27.1</v>
          </cell>
          <cell r="S115">
            <v>27.1</v>
          </cell>
          <cell r="T115">
            <v>25.599999999999994</v>
          </cell>
          <cell r="U115">
            <v>26.7</v>
          </cell>
          <cell r="V115">
            <v>28.1</v>
          </cell>
          <cell r="W115">
            <v>27.4</v>
          </cell>
          <cell r="X115">
            <v>27.8</v>
          </cell>
          <cell r="Y115">
            <v>26.299999999999997</v>
          </cell>
          <cell r="Z115">
            <v>27.4</v>
          </cell>
          <cell r="AA115">
            <v>28.3</v>
          </cell>
          <cell r="AB115">
            <v>28</v>
          </cell>
          <cell r="AC115">
            <v>27.8</v>
          </cell>
          <cell r="AD115">
            <v>27.5</v>
          </cell>
          <cell r="AE115">
            <v>27.9</v>
          </cell>
          <cell r="AF115">
            <v>28.4</v>
          </cell>
          <cell r="AG115">
            <v>28.4</v>
          </cell>
          <cell r="AH115">
            <v>28.1</v>
          </cell>
          <cell r="AI115">
            <v>28.699999999999989</v>
          </cell>
          <cell r="AJ115">
            <v>28.4</v>
          </cell>
          <cell r="AK115">
            <v>27.9</v>
          </cell>
          <cell r="AL115">
            <v>29.2</v>
          </cell>
          <cell r="AM115">
            <v>28.9</v>
          </cell>
          <cell r="AN115">
            <v>29.200000000000003</v>
          </cell>
          <cell r="AO115">
            <v>28.8</v>
          </cell>
          <cell r="AP115">
            <v>29.4</v>
          </cell>
          <cell r="AQ115">
            <v>29.4</v>
          </cell>
          <cell r="AR115">
            <v>29.9</v>
          </cell>
          <cell r="AU115">
            <v>29.4</v>
          </cell>
          <cell r="AV115">
            <v>29.4</v>
          </cell>
          <cell r="AW115">
            <v>29.9</v>
          </cell>
        </row>
        <row r="116">
          <cell r="A116" t="str">
            <v>Total discount segment share</v>
          </cell>
          <cell r="Q116">
            <v>28.7</v>
          </cell>
          <cell r="R116">
            <v>28.5</v>
          </cell>
          <cell r="S116">
            <v>29</v>
          </cell>
          <cell r="T116">
            <v>29.399999999999991</v>
          </cell>
          <cell r="U116">
            <v>28.9</v>
          </cell>
          <cell r="V116">
            <v>27.7</v>
          </cell>
          <cell r="W116">
            <v>27.9</v>
          </cell>
          <cell r="X116">
            <v>27.4</v>
          </cell>
          <cell r="Y116">
            <v>29.400000000000006</v>
          </cell>
          <cell r="Z116">
            <v>28.1</v>
          </cell>
          <cell r="AA116">
            <v>26.9</v>
          </cell>
          <cell r="AB116">
            <v>26.3</v>
          </cell>
          <cell r="AC116">
            <v>27.2</v>
          </cell>
          <cell r="AD116">
            <v>28.399999999999991</v>
          </cell>
          <cell r="AE116">
            <v>27.2</v>
          </cell>
          <cell r="AF116">
            <v>26.9</v>
          </cell>
          <cell r="AG116">
            <v>27.2</v>
          </cell>
          <cell r="AH116">
            <v>27.8</v>
          </cell>
          <cell r="AI116">
            <v>27.300000000000011</v>
          </cell>
          <cell r="AJ116">
            <v>27.3</v>
          </cell>
          <cell r="AK116">
            <v>29.9</v>
          </cell>
          <cell r="AL116">
            <v>28.4</v>
          </cell>
          <cell r="AM116">
            <v>29.5</v>
          </cell>
          <cell r="AN116">
            <v>30.200000000000003</v>
          </cell>
          <cell r="AO116">
            <v>29.5</v>
          </cell>
          <cell r="AP116">
            <v>29.3</v>
          </cell>
          <cell r="AQ116">
            <v>29.5</v>
          </cell>
          <cell r="AR116">
            <v>30.2</v>
          </cell>
          <cell r="AU116">
            <v>29.3</v>
          </cell>
          <cell r="AV116">
            <v>29.5</v>
          </cell>
          <cell r="AW116">
            <v>30.2</v>
          </cell>
        </row>
        <row r="117">
          <cell r="A117" t="str">
            <v>Newport share of menthol</v>
          </cell>
          <cell r="Q117">
            <v>32.6</v>
          </cell>
          <cell r="R117">
            <v>33.1</v>
          </cell>
          <cell r="S117">
            <v>32.5</v>
          </cell>
          <cell r="T117">
            <v>27.799999999999997</v>
          </cell>
          <cell r="U117">
            <v>31.5</v>
          </cell>
          <cell r="V117">
            <v>33</v>
          </cell>
          <cell r="W117">
            <v>32.700000000000003</v>
          </cell>
          <cell r="X117">
            <v>33.6</v>
          </cell>
          <cell r="Y117">
            <v>29.5</v>
          </cell>
          <cell r="Z117">
            <v>32.200000000000003</v>
          </cell>
          <cell r="AA117">
            <v>32.9</v>
          </cell>
          <cell r="AB117">
            <v>33.5</v>
          </cell>
          <cell r="AC117">
            <v>32.9</v>
          </cell>
          <cell r="AD117">
            <v>32.299999999999983</v>
          </cell>
          <cell r="AE117">
            <v>32.9</v>
          </cell>
          <cell r="AF117">
            <v>33.5</v>
          </cell>
          <cell r="AG117">
            <v>33.700000000000003</v>
          </cell>
          <cell r="AH117">
            <v>34.5</v>
          </cell>
          <cell r="AI117">
            <v>34.299999999999997</v>
          </cell>
          <cell r="AJ117">
            <v>34</v>
          </cell>
          <cell r="AK117">
            <v>33.200000000000003</v>
          </cell>
          <cell r="AL117">
            <v>34.4</v>
          </cell>
          <cell r="AM117">
            <v>34.6</v>
          </cell>
          <cell r="AN117">
            <v>34.200000000000017</v>
          </cell>
          <cell r="AO117">
            <v>34.1</v>
          </cell>
          <cell r="AP117">
            <v>35.4</v>
          </cell>
          <cell r="AQ117">
            <v>35.6</v>
          </cell>
          <cell r="AR117">
            <v>34.799999999999997</v>
          </cell>
          <cell r="AU117">
            <v>35.4</v>
          </cell>
          <cell r="AV117">
            <v>35.6</v>
          </cell>
          <cell r="AW117">
            <v>34.799999999999997</v>
          </cell>
        </row>
        <row r="118">
          <cell r="A118" t="str">
            <v>Newport share of LO total volume</v>
          </cell>
          <cell r="Q118">
            <v>91.7</v>
          </cell>
          <cell r="R118">
            <v>91.8</v>
          </cell>
          <cell r="S118">
            <v>91.5</v>
          </cell>
          <cell r="T118">
            <v>91.399999999999977</v>
          </cell>
          <cell r="U118">
            <v>91.6</v>
          </cell>
          <cell r="V118">
            <v>92</v>
          </cell>
          <cell r="W118">
            <v>91.6</v>
          </cell>
          <cell r="X118">
            <v>91.8</v>
          </cell>
          <cell r="Y118">
            <v>91.800000000000011</v>
          </cell>
          <cell r="Z118">
            <v>91.8</v>
          </cell>
          <cell r="AA118">
            <v>92.4</v>
          </cell>
          <cell r="AB118">
            <v>92.2</v>
          </cell>
          <cell r="AC118">
            <v>91.8</v>
          </cell>
          <cell r="AD118">
            <v>90.799999999999955</v>
          </cell>
          <cell r="AE118">
            <v>91.8</v>
          </cell>
          <cell r="AF118">
            <v>91.1</v>
          </cell>
          <cell r="AG118">
            <v>90.9</v>
          </cell>
          <cell r="AH118">
            <v>90.1</v>
          </cell>
          <cell r="AI118">
            <v>89.099999999999966</v>
          </cell>
          <cell r="AJ118">
            <v>90.3</v>
          </cell>
          <cell r="AK118">
            <v>88.8</v>
          </cell>
          <cell r="AL118">
            <v>88</v>
          </cell>
          <cell r="AM118">
            <v>86.6</v>
          </cell>
          <cell r="AN118">
            <v>86.600000000000023</v>
          </cell>
          <cell r="AO118">
            <v>87.5</v>
          </cell>
          <cell r="AP118">
            <v>86.5</v>
          </cell>
          <cell r="AQ118">
            <v>85.6</v>
          </cell>
          <cell r="AR118">
            <v>84.2</v>
          </cell>
          <cell r="AU118">
            <v>86.5</v>
          </cell>
          <cell r="AV118">
            <v>85.6</v>
          </cell>
          <cell r="AW118">
            <v>84.2</v>
          </cell>
        </row>
        <row r="119">
          <cell r="A119" t="str">
            <v>Newport share of LO net sales</v>
          </cell>
          <cell r="Q119">
            <v>92.9</v>
          </cell>
          <cell r="R119">
            <v>93</v>
          </cell>
          <cell r="S119">
            <v>92.8</v>
          </cell>
          <cell r="T119">
            <v>92.5</v>
          </cell>
          <cell r="U119">
            <v>92.8</v>
          </cell>
          <cell r="V119">
            <v>93.3</v>
          </cell>
          <cell r="W119">
            <v>93</v>
          </cell>
          <cell r="X119">
            <v>93.4</v>
          </cell>
          <cell r="Y119">
            <v>93.499999999999943</v>
          </cell>
          <cell r="Z119">
            <v>93.3</v>
          </cell>
          <cell r="AA119">
            <v>94</v>
          </cell>
          <cell r="AB119">
            <v>93.9</v>
          </cell>
          <cell r="AC119">
            <v>93.9</v>
          </cell>
          <cell r="AD119">
            <v>93.800000000000011</v>
          </cell>
          <cell r="AE119">
            <v>93.9</v>
          </cell>
          <cell r="AF119">
            <v>94.1</v>
          </cell>
          <cell r="AG119">
            <v>94</v>
          </cell>
          <cell r="AH119">
            <v>93.4</v>
          </cell>
          <cell r="AI119">
            <v>93.300000000000011</v>
          </cell>
          <cell r="AJ119">
            <v>93.7</v>
          </cell>
          <cell r="AK119">
            <v>93.2</v>
          </cell>
          <cell r="AL119">
            <v>91.6</v>
          </cell>
          <cell r="AM119">
            <v>90.8</v>
          </cell>
          <cell r="AN119">
            <v>90.399999999999977</v>
          </cell>
          <cell r="AO119">
            <v>91.5</v>
          </cell>
          <cell r="AP119">
            <v>90.9</v>
          </cell>
          <cell r="AQ119">
            <v>90.2</v>
          </cell>
          <cell r="AR119">
            <v>89.3</v>
          </cell>
          <cell r="AU119">
            <v>90.9</v>
          </cell>
          <cell r="AV119">
            <v>90.2</v>
          </cell>
          <cell r="AW119">
            <v>89.3</v>
          </cell>
        </row>
        <row r="121">
          <cell r="A121" t="str">
            <v>Newport volume</v>
          </cell>
          <cell r="Q121">
            <v>7.5219639999999997</v>
          </cell>
          <cell r="R121">
            <v>8.6037820000000007</v>
          </cell>
          <cell r="S121">
            <v>8.3041269999999994</v>
          </cell>
          <cell r="T121">
            <v>7.7297380000000002</v>
          </cell>
          <cell r="U121">
            <v>32.159610999999998</v>
          </cell>
          <cell r="V121">
            <v>7.7776649999999998</v>
          </cell>
          <cell r="W121">
            <v>8.3604900000000004</v>
          </cell>
          <cell r="X121">
            <v>8.8188019999999998</v>
          </cell>
          <cell r="Y121">
            <v>8.1484649999999998</v>
          </cell>
          <cell r="Z121">
            <v>33.105422000000004</v>
          </cell>
          <cell r="AA121">
            <v>7.731573</v>
          </cell>
          <cell r="AB121">
            <v>8.7164560000000009</v>
          </cell>
          <cell r="AC121">
            <v>8.6743170000000003</v>
          </cell>
          <cell r="AD121">
            <v>7.7165100000000004</v>
          </cell>
          <cell r="AE121">
            <v>32.838856</v>
          </cell>
          <cell r="AF121">
            <v>7.650379</v>
          </cell>
          <cell r="AG121">
            <v>8.5843480000000003</v>
          </cell>
          <cell r="AH121">
            <v>8.8899620000000006</v>
          </cell>
          <cell r="AI121">
            <v>8.2111199999999993</v>
          </cell>
          <cell r="AJ121">
            <v>33.335808999999998</v>
          </cell>
          <cell r="AK121">
            <v>6.8414190000000001</v>
          </cell>
          <cell r="AL121">
            <v>8.4797609999999999</v>
          </cell>
          <cell r="AM121">
            <v>8.0193089999999998</v>
          </cell>
          <cell r="AN121">
            <v>7.6807629999999998</v>
          </cell>
          <cell r="AO121">
            <v>31.021251999999997</v>
          </cell>
          <cell r="AP121">
            <v>7.5099049999999998</v>
          </cell>
          <cell r="AQ121">
            <v>8.1948229999999995</v>
          </cell>
          <cell r="AR121">
            <v>8.2478739999999995</v>
          </cell>
          <cell r="AU121">
            <v>0.10557</v>
          </cell>
          <cell r="AV121">
            <v>0.14313000000000001</v>
          </cell>
          <cell r="AW121">
            <v>0.14577599999999999</v>
          </cell>
        </row>
        <row r="122">
          <cell r="A122" t="str">
            <v>Newport net revenue</v>
          </cell>
          <cell r="Q122">
            <v>593.5381000000001</v>
          </cell>
          <cell r="R122">
            <v>696.84900000000005</v>
          </cell>
          <cell r="S122">
            <v>698.04160000000002</v>
          </cell>
          <cell r="T122">
            <v>694.95249999999999</v>
          </cell>
          <cell r="U122">
            <v>2683.4976000000001</v>
          </cell>
          <cell r="V122">
            <v>644.60969999999998</v>
          </cell>
          <cell r="W122">
            <v>744.55799999999999</v>
          </cell>
          <cell r="X122">
            <v>747.38680000000011</v>
          </cell>
          <cell r="Y122">
            <v>714.9009999999995</v>
          </cell>
          <cell r="Z122">
            <v>2851.5279</v>
          </cell>
          <cell r="AA122">
            <v>706.22199999999987</v>
          </cell>
          <cell r="AB122">
            <v>822.00060000000019</v>
          </cell>
          <cell r="AC122">
            <v>810.45089999999993</v>
          </cell>
          <cell r="AD122">
            <v>742.89600000000019</v>
          </cell>
          <cell r="AE122">
            <v>3081.6102000000001</v>
          </cell>
          <cell r="AF122">
            <v>713.27799999999991</v>
          </cell>
          <cell r="AG122">
            <v>832.83999999999992</v>
          </cell>
          <cell r="AH122">
            <v>874.22400000000005</v>
          </cell>
          <cell r="AI122">
            <v>850.89600000000019</v>
          </cell>
          <cell r="AJ122">
            <v>3272.0040000000004</v>
          </cell>
          <cell r="AK122">
            <v>714.84400000000005</v>
          </cell>
          <cell r="AL122">
            <v>946.22799999999995</v>
          </cell>
          <cell r="AM122">
            <v>865.32399999999996</v>
          </cell>
          <cell r="AN122">
            <v>842.52799999999979</v>
          </cell>
          <cell r="AO122">
            <v>3371.7750000000001</v>
          </cell>
          <cell r="AP122">
            <v>839.00700000000006</v>
          </cell>
          <cell r="AQ122">
            <v>936.27600000000007</v>
          </cell>
          <cell r="AR122">
            <v>958.18899999999996</v>
          </cell>
          <cell r="AU122">
            <v>839.00700000000006</v>
          </cell>
          <cell r="AV122">
            <v>936.27600000000007</v>
          </cell>
          <cell r="AW122">
            <v>958.18899999999996</v>
          </cell>
        </row>
        <row r="123">
          <cell r="A123" t="str">
            <v>Newport net revenue/thousand</v>
          </cell>
          <cell r="Q123">
            <v>78.907330585469452</v>
          </cell>
          <cell r="R123">
            <v>80.993335256518591</v>
          </cell>
          <cell r="S123">
            <v>84.059600726241314</v>
          </cell>
          <cell r="T123">
            <v>89.90634611418912</v>
          </cell>
          <cell r="U123">
            <v>83.443098860866201</v>
          </cell>
          <cell r="V123">
            <v>82.879591754080437</v>
          </cell>
          <cell r="W123">
            <v>89.056741889530386</v>
          </cell>
          <cell r="X123">
            <v>84.749243718137691</v>
          </cell>
          <cell r="Y123">
            <v>87.734438326727741</v>
          </cell>
          <cell r="Z123">
            <v>86.134769706303686</v>
          </cell>
          <cell r="AA123">
            <v>91.342602598462165</v>
          </cell>
          <cell r="AB123">
            <v>94.30445125863082</v>
          </cell>
          <cell r="AC123">
            <v>93.431090885887599</v>
          </cell>
          <cell r="AD123">
            <v>96.273574452699492</v>
          </cell>
          <cell r="AE123">
            <v>93.840363988319211</v>
          </cell>
          <cell r="AF123">
            <v>93.234335187838397</v>
          </cell>
          <cell r="AG123">
            <v>97.018434015023615</v>
          </cell>
          <cell r="AH123">
            <v>98.338328105339485</v>
          </cell>
          <cell r="AI123">
            <v>103.62727618156845</v>
          </cell>
          <cell r="AJ123">
            <v>98.152830189301852</v>
          </cell>
          <cell r="AK123">
            <v>104.48768011431547</v>
          </cell>
          <cell r="AL123">
            <v>111.58663551956239</v>
          </cell>
          <cell r="AM123">
            <v>107.90505765521692</v>
          </cell>
          <cell r="AN123">
            <v>109.69326875467969</v>
          </cell>
          <cell r="AO123">
            <v>108.69242156957432</v>
          </cell>
          <cell r="AP123">
            <v>111.72005504730087</v>
          </cell>
          <cell r="AQ123">
            <v>114.2521321082835</v>
          </cell>
          <cell r="AR123">
            <v>116.17405891506102</v>
          </cell>
          <cell r="AU123">
            <v>7947.399829497017</v>
          </cell>
          <cell r="AV123">
            <v>6541.4378536994345</v>
          </cell>
          <cell r="AW123">
            <v>6573.0229941828566</v>
          </cell>
        </row>
        <row r="124">
          <cell r="A124" t="str">
            <v>Newport net revenue/pack</v>
          </cell>
          <cell r="Q124">
            <v>1.578146611709389</v>
          </cell>
          <cell r="R124">
            <v>1.6198667051303719</v>
          </cell>
          <cell r="S124">
            <v>1.6811920145248263</v>
          </cell>
          <cell r="T124">
            <v>1.7981269222837823</v>
          </cell>
          <cell r="U124">
            <v>1.6688619772173241</v>
          </cell>
          <cell r="V124">
            <v>1.6575918350816088</v>
          </cell>
          <cell r="W124">
            <v>1.7811348377906078</v>
          </cell>
          <cell r="X124">
            <v>1.6949848743627538</v>
          </cell>
          <cell r="Y124">
            <v>1.7546887665345547</v>
          </cell>
          <cell r="Z124">
            <v>1.7226953941260736</v>
          </cell>
          <cell r="AA124">
            <v>1.8268520519692433</v>
          </cell>
          <cell r="AB124">
            <v>1.8860890251726163</v>
          </cell>
          <cell r="AC124">
            <v>1.868621817717752</v>
          </cell>
          <cell r="AD124">
            <v>1.9254714890539899</v>
          </cell>
          <cell r="AE124">
            <v>1.8768072797663842</v>
          </cell>
          <cell r="AF124">
            <v>1.864686703756768</v>
          </cell>
          <cell r="AG124">
            <v>1.9403686803004723</v>
          </cell>
          <cell r="AH124">
            <v>1.9667665621067898</v>
          </cell>
          <cell r="AI124">
            <v>2.0725455236313688</v>
          </cell>
          <cell r="AJ124">
            <v>1.9630566037860371</v>
          </cell>
          <cell r="AK124">
            <v>2.0897536022863092</v>
          </cell>
          <cell r="AL124">
            <v>2.2317327103912477</v>
          </cell>
          <cell r="AM124">
            <v>2.1581011531043384</v>
          </cell>
          <cell r="AN124">
            <v>2.1938653750935937</v>
          </cell>
          <cell r="AO124">
            <v>2.1738484313914865</v>
          </cell>
          <cell r="AP124">
            <v>2.2344011009460174</v>
          </cell>
          <cell r="AQ124">
            <v>2.2850426421656702</v>
          </cell>
          <cell r="AR124">
            <v>2.3234811783012206</v>
          </cell>
          <cell r="AU124">
            <v>158.94799658994035</v>
          </cell>
          <cell r="AV124">
            <v>130.8287570739887</v>
          </cell>
          <cell r="AW124">
            <v>131.46045988365714</v>
          </cell>
        </row>
        <row r="125">
          <cell r="A125" t="str">
            <v>% Change</v>
          </cell>
          <cell r="V125">
            <v>5.0340838286353939E-2</v>
          </cell>
          <cell r="W125">
            <v>9.9556421617577717E-2</v>
          </cell>
          <cell r="X125">
            <v>8.204214461383863E-3</v>
          </cell>
          <cell r="Y125">
            <v>-2.4157446958225415E-2</v>
          </cell>
          <cell r="Z125">
            <v>3.2257560926944873E-2</v>
          </cell>
          <cell r="AA125">
            <v>0.10211212030934091</v>
          </cell>
          <cell r="AB125">
            <v>5.892545873292665E-2</v>
          </cell>
          <cell r="AC125">
            <v>0.10244158870165654</v>
          </cell>
          <cell r="AD125">
            <v>9.7329353089052217E-2</v>
          </cell>
          <cell r="AE125">
            <v>8.94597420796448E-2</v>
          </cell>
          <cell r="AF125">
            <v>2.0710298760505008E-2</v>
          </cell>
          <cell r="AG125">
            <v>2.8778946488428936E-2</v>
          </cell>
          <cell r="AH125">
            <v>5.2522529416309194E-2</v>
          </cell>
          <cell r="AI125">
            <v>7.6383387348746723E-2</v>
          </cell>
          <cell r="AJ125">
            <v>4.5955343923425485E-2</v>
          </cell>
          <cell r="AK125">
            <v>0.12069957815224441</v>
          </cell>
          <cell r="AL125">
            <v>0.15015910793079623</v>
          </cell>
          <cell r="AM125">
            <v>9.7283833620087634E-2</v>
          </cell>
          <cell r="AN125">
            <v>5.8536640126320094E-2</v>
          </cell>
          <cell r="AO125">
            <v>0.10737939354316484</v>
          </cell>
          <cell r="AP125">
            <v>6.921748980427922E-2</v>
          </cell>
          <cell r="AQ125">
            <v>2.3887238613389705E-2</v>
          </cell>
          <cell r="AR125">
            <v>7.6632193518357594E-2</v>
          </cell>
          <cell r="AU125">
            <v>70.136733920621396</v>
          </cell>
          <cell r="AV125">
            <v>56.254405086285189</v>
          </cell>
          <cell r="AW125">
            <v>55.579093952365277</v>
          </cell>
        </row>
        <row r="127">
          <cell r="A127" t="str">
            <v>Other volume</v>
          </cell>
          <cell r="Q127">
            <v>0.69202500000000011</v>
          </cell>
          <cell r="R127">
            <v>0.79166500000000006</v>
          </cell>
          <cell r="S127">
            <v>0.79639600000000144</v>
          </cell>
          <cell r="T127">
            <v>0.75397500000000139</v>
          </cell>
          <cell r="U127">
            <v>3.034060999999987</v>
          </cell>
          <cell r="V127">
            <v>0.69044699999999981</v>
          </cell>
          <cell r="W127">
            <v>0.78107999999999933</v>
          </cell>
          <cell r="X127">
            <v>0.80375499999999889</v>
          </cell>
          <cell r="Y127">
            <v>0.75015799999999899</v>
          </cell>
          <cell r="Z127">
            <v>3.0254399999999961</v>
          </cell>
          <cell r="AA127">
            <v>0.65567900000000012</v>
          </cell>
          <cell r="AB127">
            <v>0.75700499999999948</v>
          </cell>
          <cell r="AC127">
            <v>0.7916249999999998</v>
          </cell>
          <cell r="AD127">
            <v>0.79900299999999991</v>
          </cell>
          <cell r="AE127">
            <v>3.0033120000000011</v>
          </cell>
          <cell r="AF127">
            <v>0.76484400000000097</v>
          </cell>
          <cell r="AG127">
            <v>0.87932700000000175</v>
          </cell>
          <cell r="AH127">
            <v>1.0030699999999992</v>
          </cell>
          <cell r="AI127">
            <v>1.007223999999999</v>
          </cell>
          <cell r="AJ127">
            <v>3.6544650000000019</v>
          </cell>
          <cell r="AK127">
            <v>0.88387200000000021</v>
          </cell>
          <cell r="AL127">
            <v>1.180159999999999</v>
          </cell>
          <cell r="AM127">
            <v>1.2677969999999981</v>
          </cell>
          <cell r="AN127">
            <v>1.2059419999999994</v>
          </cell>
          <cell r="AO127">
            <v>4.5377709999999993</v>
          </cell>
          <cell r="AP127">
            <v>1.1927570000000003</v>
          </cell>
          <cell r="AQ127">
            <v>1.4071230000000003</v>
          </cell>
          <cell r="AR127">
            <v>1.5824309999999997</v>
          </cell>
          <cell r="AU127">
            <v>-0.10557</v>
          </cell>
          <cell r="AV127">
            <v>-1.6614248036740636E-2</v>
          </cell>
          <cell r="AW127">
            <v>-0.15177760187645414</v>
          </cell>
        </row>
        <row r="128">
          <cell r="A128" t="str">
            <v>Other net revenue</v>
          </cell>
          <cell r="Q128">
            <v>45.361899999999991</v>
          </cell>
          <cell r="R128">
            <v>52.450999999999908</v>
          </cell>
          <cell r="S128">
            <v>54.158400000000029</v>
          </cell>
          <cell r="T128">
            <v>56.347499999999968</v>
          </cell>
          <cell r="U128">
            <v>208.20240000000013</v>
          </cell>
          <cell r="V128">
            <v>46.290300000000002</v>
          </cell>
          <cell r="W128">
            <v>56.041999999999916</v>
          </cell>
          <cell r="X128">
            <v>52.813199999999938</v>
          </cell>
          <cell r="Y128">
            <v>49.699000000000524</v>
          </cell>
          <cell r="Z128">
            <v>204.77210000000014</v>
          </cell>
          <cell r="AA128">
            <v>45.078000000000088</v>
          </cell>
          <cell r="AB128">
            <v>53.399399999999901</v>
          </cell>
          <cell r="AC128">
            <v>52.649099999999976</v>
          </cell>
          <cell r="AD128">
            <v>49.103999999999814</v>
          </cell>
          <cell r="AE128">
            <v>200.18979999999965</v>
          </cell>
          <cell r="AF128">
            <v>44.722000000000094</v>
          </cell>
          <cell r="AG128">
            <v>53.160000000000082</v>
          </cell>
          <cell r="AH128">
            <v>61.775999999999954</v>
          </cell>
          <cell r="AI128">
            <v>61.103999999999814</v>
          </cell>
          <cell r="AJ128">
            <v>219.99599999999964</v>
          </cell>
          <cell r="AK128">
            <v>52.155999999999949</v>
          </cell>
          <cell r="AL128">
            <v>86.772000000000048</v>
          </cell>
          <cell r="AM128">
            <v>87.676000000000045</v>
          </cell>
          <cell r="AN128">
            <v>89.472000000000207</v>
          </cell>
          <cell r="AO128">
            <v>313.22499999999991</v>
          </cell>
          <cell r="AP128">
            <v>83.992999999999938</v>
          </cell>
          <cell r="AQ128">
            <v>101.72399999999993</v>
          </cell>
          <cell r="AR128">
            <v>114.81100000000004</v>
          </cell>
          <cell r="AU128">
            <v>83.992999999999938</v>
          </cell>
          <cell r="AV128">
            <v>101.72399999999993</v>
          </cell>
          <cell r="AW128">
            <v>114.81100000000004</v>
          </cell>
        </row>
        <row r="129">
          <cell r="A129" t="str">
            <v>Other net revenue/pack</v>
          </cell>
          <cell r="Q129">
            <v>65.549510494563037</v>
          </cell>
          <cell r="R129">
            <v>66.254034219019289</v>
          </cell>
          <cell r="S129">
            <v>68.004359640178919</v>
          </cell>
          <cell r="T129">
            <v>74.733910275539458</v>
          </cell>
          <cell r="U129">
            <v>68.621692180876067</v>
          </cell>
          <cell r="V129">
            <v>67.043958479072273</v>
          </cell>
          <cell r="W129">
            <v>71.749372663491528</v>
          </cell>
          <cell r="X129">
            <v>65.708082686888432</v>
          </cell>
          <cell r="Y129">
            <v>66.251376376710766</v>
          </cell>
          <cell r="Z129">
            <v>67.68341133851618</v>
          </cell>
          <cell r="AA129">
            <v>68.750104853137103</v>
          </cell>
          <cell r="AB129">
            <v>70.540353102026984</v>
          </cell>
          <cell r="AC129">
            <v>66.507626717195635</v>
          </cell>
          <cell r="AD129">
            <v>61.456590275630781</v>
          </cell>
          <cell r="AE129">
            <v>66.656344728752643</v>
          </cell>
          <cell r="AF129">
            <v>58.472054432014943</v>
          </cell>
          <cell r="AG129">
            <v>60.455325493246512</v>
          </cell>
          <cell r="AH129">
            <v>61.586928130638938</v>
          </cell>
          <cell r="AI129">
            <v>60.665750617538777</v>
          </cell>
          <cell r="AJ129">
            <v>60.199235729443167</v>
          </cell>
          <cell r="AK129">
            <v>59.008544223597916</v>
          </cell>
          <cell r="AL129">
            <v>73.525623644251738</v>
          </cell>
          <cell r="AM129">
            <v>69.156181943954891</v>
          </cell>
          <cell r="AN129">
            <v>74.192622862459601</v>
          </cell>
          <cell r="AO129">
            <v>69.026180474951232</v>
          </cell>
          <cell r="AP129">
            <v>70.419205253039735</v>
          </cell>
          <cell r="AQ129">
            <v>72.292187676556992</v>
          </cell>
          <cell r="AR129">
            <v>72.55355841739707</v>
          </cell>
          <cell r="AU129">
            <v>-795.6142843610869</v>
          </cell>
          <cell r="AV129">
            <v>-6122.6966020398977</v>
          </cell>
          <cell r="AW129">
            <v>-756.44231151744873</v>
          </cell>
        </row>
        <row r="130">
          <cell r="A130" t="str">
            <v>Newport net revenue/pack</v>
          </cell>
          <cell r="Q130">
            <v>1.3109902098912607</v>
          </cell>
          <cell r="R130">
            <v>1.3250806843803857</v>
          </cell>
          <cell r="S130">
            <v>1.3600871928035785</v>
          </cell>
          <cell r="T130">
            <v>1.4946782055107892</v>
          </cell>
          <cell r="U130">
            <v>1.3724338436175214</v>
          </cell>
          <cell r="V130">
            <v>1.3408791695814455</v>
          </cell>
          <cell r="W130">
            <v>1.4349874532698306</v>
          </cell>
          <cell r="X130">
            <v>1.3141616537377687</v>
          </cell>
          <cell r="Y130">
            <v>1.3250275275342154</v>
          </cell>
          <cell r="Z130">
            <v>1.3536682267703235</v>
          </cell>
          <cell r="AA130">
            <v>1.3750020970627421</v>
          </cell>
          <cell r="AB130">
            <v>1.4108070620405397</v>
          </cell>
          <cell r="AC130">
            <v>1.3301525343439127</v>
          </cell>
          <cell r="AD130">
            <v>1.2291318055126157</v>
          </cell>
          <cell r="AE130">
            <v>1.333126894575053</v>
          </cell>
          <cell r="AF130">
            <v>1.1694410886402988</v>
          </cell>
          <cell r="AG130">
            <v>1.2091065098649303</v>
          </cell>
          <cell r="AH130">
            <v>1.2317385626127788</v>
          </cell>
          <cell r="AI130">
            <v>1.2133150123507754</v>
          </cell>
          <cell r="AJ130">
            <v>1.2039847145888634</v>
          </cell>
          <cell r="AK130">
            <v>1.1801708844719583</v>
          </cell>
          <cell r="AL130">
            <v>1.4705124728850347</v>
          </cell>
          <cell r="AM130">
            <v>1.3831236388790977</v>
          </cell>
          <cell r="AN130">
            <v>1.483852457249192</v>
          </cell>
          <cell r="AO130">
            <v>1.3805236094990248</v>
          </cell>
          <cell r="AP130">
            <v>1.4083841050607946</v>
          </cell>
          <cell r="AQ130">
            <v>1.4458437535311399</v>
          </cell>
          <cell r="AR130">
            <v>1.4510711683479414</v>
          </cell>
          <cell r="AU130">
            <v>-15.912285687221738</v>
          </cell>
          <cell r="AV130">
            <v>-122.45393204079795</v>
          </cell>
          <cell r="AW130">
            <v>-15.128846230348975</v>
          </cell>
        </row>
        <row r="131">
          <cell r="A131" t="str">
            <v>% Change</v>
          </cell>
          <cell r="V131">
            <v>2.2798766508457691E-2</v>
          </cell>
          <cell r="W131">
            <v>8.2943454074147827E-2</v>
          </cell>
          <cell r="X131">
            <v>-3.3766613867705408E-2</v>
          </cell>
          <cell r="Y131">
            <v>-0.11350314559420349</v>
          </cell>
          <cell r="Z131">
            <v>-1.367323964974132E-2</v>
          </cell>
          <cell r="AA131">
            <v>2.544817479113215E-2</v>
          </cell>
          <cell r="AB131">
            <v>-1.685059418059176E-2</v>
          </cell>
          <cell r="AC131">
            <v>1.2168122970764195E-2</v>
          </cell>
          <cell r="AD131">
            <v>-7.2372626250305161E-2</v>
          </cell>
          <cell r="AE131">
            <v>-1.5174569210566036E-2</v>
          </cell>
          <cell r="AF131">
            <v>-0.14949868721041193</v>
          </cell>
          <cell r="AG131">
            <v>-0.14296820423047585</v>
          </cell>
          <cell r="AH131">
            <v>-7.3986982086739261E-2</v>
          </cell>
          <cell r="AI131">
            <v>-1.2868264486284087E-2</v>
          </cell>
          <cell r="AJ131">
            <v>-9.6871633534446833E-2</v>
          </cell>
          <cell r="AK131">
            <v>9.1751486551023831E-3</v>
          </cell>
          <cell r="AL131">
            <v>0.21619763096743738</v>
          </cell>
          <cell r="AM131">
            <v>0.12290357780566596</v>
          </cell>
          <cell r="AN131">
            <v>0.22297378845931792</v>
          </cell>
          <cell r="AO131">
            <v>0.146628850658163</v>
          </cell>
          <cell r="AP131">
            <v>0.19337303062763267</v>
          </cell>
          <cell r="AQ131">
            <v>-1.6775593413020595E-2</v>
          </cell>
          <cell r="AR131">
            <v>4.912614285437944E-2</v>
          </cell>
          <cell r="AU131">
            <v>-12.298257080610027</v>
          </cell>
          <cell r="AV131">
            <v>-85.693751826040995</v>
          </cell>
          <cell r="AW131">
            <v>-11.425984996706477</v>
          </cell>
        </row>
        <row r="133">
          <cell r="A133" t="str">
            <v>Total net revenue/pack</v>
          </cell>
          <cell r="B133">
            <v>1.6590623691921309</v>
          </cell>
          <cell r="C133">
            <v>1.81445937300064</v>
          </cell>
          <cell r="D133">
            <v>1.8468447719944723</v>
          </cell>
          <cell r="E133">
            <v>1.7533930857874518</v>
          </cell>
          <cell r="F133">
            <v>1.7670204358134811</v>
          </cell>
          <cell r="G133">
            <v>1.5211423511179989</v>
          </cell>
          <cell r="H133">
            <v>1.4373836126629422</v>
          </cell>
          <cell r="I133">
            <v>1.4542888165037999</v>
          </cell>
          <cell r="J133">
            <v>1.5086730732763018</v>
          </cell>
          <cell r="K133">
            <v>1.4802295140200159</v>
          </cell>
          <cell r="L133">
            <v>1.5024137339966415</v>
          </cell>
          <cell r="M133">
            <v>1.5642722545773606</v>
          </cell>
          <cell r="N133">
            <v>1.6077824444802031</v>
          </cell>
          <cell r="O133">
            <v>1.5567484930651283</v>
          </cell>
          <cell r="P133">
            <v>1.5589598854722624</v>
          </cell>
          <cell r="Q133">
            <v>1.5556388010746058</v>
          </cell>
          <cell r="R133">
            <v>1.5950278895724705</v>
          </cell>
          <cell r="S133">
            <v>1.6530918058225885</v>
          </cell>
          <cell r="T133">
            <v>1.7711584538515148</v>
          </cell>
          <cell r="U133">
            <v>1.6433067853789176</v>
          </cell>
          <cell r="V133">
            <v>1.6317686870461798</v>
          </cell>
          <cell r="W133">
            <v>1.7515590866776711</v>
          </cell>
          <cell r="X133">
            <v>1.6631753909070119</v>
          </cell>
          <cell r="Y133">
            <v>1.7184681270349358</v>
          </cell>
          <cell r="Z133">
            <v>1.6917946768056629</v>
          </cell>
          <cell r="AA133">
            <v>1.7915283814054948</v>
          </cell>
          <cell r="AB133">
            <v>1.8481102101966749</v>
          </cell>
          <cell r="AC133">
            <v>1.8235902987785046</v>
          </cell>
          <cell r="AD133">
            <v>1.8601345567789045</v>
          </cell>
          <cell r="AE133">
            <v>1.8312508328179253</v>
          </cell>
          <cell r="AF133">
            <v>1.8014971201595011</v>
          </cell>
          <cell r="AG133">
            <v>1.8724227110504108</v>
          </cell>
          <cell r="AH133">
            <v>1.8922409227019583</v>
          </cell>
          <cell r="AI133">
            <v>1.9786634128646101</v>
          </cell>
          <cell r="AJ133">
            <v>1.8880638732224586</v>
          </cell>
          <cell r="AK133">
            <v>1.9856857172111702</v>
          </cell>
          <cell r="AL133">
            <v>2.1387338467881882</v>
          </cell>
          <cell r="AM133">
            <v>2.0523077910384573</v>
          </cell>
          <cell r="AN133">
            <v>2.0975153332984497</v>
          </cell>
          <cell r="AO133">
            <v>2.0726103751500711</v>
          </cell>
          <cell r="AP133">
            <v>2.1211900450689685</v>
          </cell>
          <cell r="AQ133">
            <v>2.1620617320697284</v>
          </cell>
          <cell r="AR133">
            <v>2.1830451852714643</v>
          </cell>
          <cell r="AU133" t="e">
            <v>#DIV/0!</v>
          </cell>
          <cell r="AV133">
            <v>164.09023918245987</v>
          </cell>
          <cell r="AW133">
            <v>-3575.7120251833367</v>
          </cell>
        </row>
        <row r="134">
          <cell r="A134" t="str">
            <v>Newport net revenue/pack</v>
          </cell>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1.578146611709389</v>
          </cell>
          <cell r="R134">
            <v>1.6198667051303719</v>
          </cell>
          <cell r="S134">
            <v>1.6811920145248263</v>
          </cell>
          <cell r="T134">
            <v>1.7981269222837823</v>
          </cell>
          <cell r="U134">
            <v>1.6688619772173241</v>
          </cell>
          <cell r="V134">
            <v>1.6575918350816088</v>
          </cell>
          <cell r="W134">
            <v>1.7811348377906078</v>
          </cell>
          <cell r="X134">
            <v>1.6949848743627538</v>
          </cell>
          <cell r="Y134">
            <v>1.7546887665345547</v>
          </cell>
          <cell r="Z134">
            <v>1.7226953941260736</v>
          </cell>
          <cell r="AA134">
            <v>1.8268520519692433</v>
          </cell>
          <cell r="AB134">
            <v>1.8860890251726163</v>
          </cell>
          <cell r="AC134">
            <v>1.868621817717752</v>
          </cell>
          <cell r="AD134">
            <v>1.9254714890539899</v>
          </cell>
          <cell r="AE134">
            <v>1.8768072797663842</v>
          </cell>
          <cell r="AF134">
            <v>1.864686703756768</v>
          </cell>
          <cell r="AG134">
            <v>1.9403686803004723</v>
          </cell>
          <cell r="AH134">
            <v>1.9667665621067898</v>
          </cell>
          <cell r="AI134">
            <v>2.0725455236313688</v>
          </cell>
          <cell r="AJ134">
            <v>1.9630566037860371</v>
          </cell>
          <cell r="AK134">
            <v>2.0897536022863092</v>
          </cell>
          <cell r="AL134">
            <v>2.2317327103912477</v>
          </cell>
          <cell r="AM134">
            <v>2.1581011531043384</v>
          </cell>
          <cell r="AN134">
            <v>2.1938653750935937</v>
          </cell>
          <cell r="AO134">
            <v>2.1738484313914865</v>
          </cell>
          <cell r="AP134">
            <v>2.2344011009460174</v>
          </cell>
          <cell r="AQ134">
            <v>2.2850426421656702</v>
          </cell>
          <cell r="AR134">
            <v>2.3234811783012206</v>
          </cell>
          <cell r="AU134">
            <v>158.94799658994035</v>
          </cell>
          <cell r="AV134">
            <v>130.8287570739887</v>
          </cell>
          <cell r="AW134">
            <v>131.46045988365714</v>
          </cell>
        </row>
        <row r="135">
          <cell r="A135" t="str">
            <v>Other net revenue/pack</v>
          </cell>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1.3109902098912607</v>
          </cell>
          <cell r="R135">
            <v>1.3250806843803857</v>
          </cell>
          <cell r="S135">
            <v>1.3600871928035785</v>
          </cell>
          <cell r="T135">
            <v>1.4946782055107892</v>
          </cell>
          <cell r="U135">
            <v>1.3724338436175214</v>
          </cell>
          <cell r="V135">
            <v>1.3408791695814455</v>
          </cell>
          <cell r="W135">
            <v>1.4349874532698306</v>
          </cell>
          <cell r="X135">
            <v>1.3141616537377687</v>
          </cell>
          <cell r="Y135">
            <v>1.3250275275342154</v>
          </cell>
          <cell r="Z135">
            <v>1.3536682267703235</v>
          </cell>
          <cell r="AA135">
            <v>1.3750020970627421</v>
          </cell>
          <cell r="AB135">
            <v>1.4108070620405397</v>
          </cell>
          <cell r="AC135">
            <v>1.3301525343439127</v>
          </cell>
          <cell r="AD135">
            <v>1.2291318055126157</v>
          </cell>
          <cell r="AE135">
            <v>1.333126894575053</v>
          </cell>
          <cell r="AF135">
            <v>1.1694410886402988</v>
          </cell>
          <cell r="AG135">
            <v>1.2091065098649303</v>
          </cell>
          <cell r="AH135">
            <v>1.2317385626127788</v>
          </cell>
          <cell r="AI135">
            <v>1.2133150123507754</v>
          </cell>
          <cell r="AJ135">
            <v>1.2039847145888634</v>
          </cell>
          <cell r="AK135">
            <v>1.1801708844719583</v>
          </cell>
          <cell r="AL135">
            <v>1.4705124728850347</v>
          </cell>
          <cell r="AM135">
            <v>1.3831236388790977</v>
          </cell>
          <cell r="AN135">
            <v>1.483852457249192</v>
          </cell>
          <cell r="AO135">
            <v>1.3805236094990248</v>
          </cell>
          <cell r="AP135">
            <v>1.4083841050607946</v>
          </cell>
          <cell r="AQ135">
            <v>1.4458437535311399</v>
          </cell>
          <cell r="AR135">
            <v>1.4510711683479414</v>
          </cell>
          <cell r="AU135">
            <v>-15.912285687221738</v>
          </cell>
          <cell r="AV135">
            <v>-122.45393204079795</v>
          </cell>
          <cell r="AW135">
            <v>-15.128846230348975</v>
          </cell>
        </row>
        <row r="136">
          <cell r="A136" t="str">
            <v>% Change</v>
          </cell>
          <cell r="V136">
            <v>2.2798766508457691E-2</v>
          </cell>
          <cell r="W136">
            <v>8.2943454074147827E-2</v>
          </cell>
          <cell r="X136">
            <v>-3.3766613867705408E-2</v>
          </cell>
          <cell r="Y136">
            <v>-0.11350314559420349</v>
          </cell>
          <cell r="Z136">
            <v>-1.367323964974132E-2</v>
          </cell>
          <cell r="AA136">
            <v>2.544817479113215E-2</v>
          </cell>
          <cell r="AB136">
            <v>-1.685059418059176E-2</v>
          </cell>
          <cell r="AC136">
            <v>1.2168122970764195E-2</v>
          </cell>
          <cell r="AD136">
            <v>-7.2372626250305161E-2</v>
          </cell>
          <cell r="AE136">
            <v>-1.5174569210566036E-2</v>
          </cell>
          <cell r="AF136">
            <v>-0.14949868721041193</v>
          </cell>
          <cell r="AG136">
            <v>-0.14296820423047585</v>
          </cell>
          <cell r="AH136">
            <v>-7.3986982086739261E-2</v>
          </cell>
          <cell r="AI136">
            <v>-1.2868264486284087E-2</v>
          </cell>
          <cell r="AJ136">
            <v>-9.6871633534446833E-2</v>
          </cell>
          <cell r="AK136">
            <v>9.1751486551023831E-3</v>
          </cell>
          <cell r="AL136">
            <v>0.21619763096743738</v>
          </cell>
          <cell r="AM136">
            <v>0.12290357780566596</v>
          </cell>
          <cell r="AN136">
            <v>0.22297378845931792</v>
          </cell>
          <cell r="AO136">
            <v>0.146628850658163</v>
          </cell>
          <cell r="AP136">
            <v>0.19337303062763267</v>
          </cell>
          <cell r="AQ136">
            <v>-1.6775593413020595E-2</v>
          </cell>
          <cell r="AR136">
            <v>4.912614285437944E-2</v>
          </cell>
          <cell r="AU136">
            <v>-12.298257080610027</v>
          </cell>
          <cell r="AV136">
            <v>-85.693751826040995</v>
          </cell>
          <cell r="AW136">
            <v>-11.425984996706477</v>
          </cell>
        </row>
        <row r="138">
          <cell r="A138" t="str">
            <v>Total price/mix</v>
          </cell>
          <cell r="B138">
            <v>0</v>
          </cell>
          <cell r="C138">
            <v>0</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4.8938022064623832E-2</v>
          </cell>
          <cell r="W138">
            <v>9.8136965584443292E-2</v>
          </cell>
          <cell r="X138">
            <v>6.0998336867357228E-3</v>
          </cell>
          <cell r="Y138">
            <v>-2.9749075641425593E-2</v>
          </cell>
          <cell r="Z138">
            <v>2.9506292956470004E-2</v>
          </cell>
          <cell r="AA138">
            <v>9.7905846354063408E-2</v>
          </cell>
          <cell r="AB138">
            <v>5.5122961168349915E-2</v>
          </cell>
          <cell r="AC138">
            <v>9.6450986918469761E-2</v>
          </cell>
          <cell r="AD138">
            <v>8.2437624251083141E-2</v>
          </cell>
          <cell r="AE138">
            <v>8.2430898928925966E-2</v>
          </cell>
          <cell r="AF138">
            <v>5.5643766838824327E-3</v>
          </cell>
          <cell r="AG138">
            <v>1.3155330628874529E-2</v>
          </cell>
          <cell r="AH138">
            <v>3.7645859362948952E-2</v>
          </cell>
          <cell r="AI138">
            <v>6.3720581747030103E-2</v>
          </cell>
          <cell r="AJ138">
            <v>3.1024171777226828E-2</v>
          </cell>
          <cell r="AK138">
            <v>0.10224196030652632</v>
          </cell>
          <cell r="AL138">
            <v>0.14222810595390589</v>
          </cell>
          <cell r="AM138">
            <v>8.4591167232519915E-2</v>
          </cell>
          <cell r="AN138">
            <v>6.0066770154592275E-2</v>
          </cell>
          <cell r="AO138">
            <v>9.7743781100285032E-2</v>
          </cell>
          <cell r="AP138">
            <v>6.8240571346864343E-2</v>
          </cell>
          <cell r="AQ138">
            <v>1.0907334410297231E-2</v>
          </cell>
          <cell r="AR138">
            <v>6.3702625309848937E-2</v>
          </cell>
          <cell r="AU138" t="e">
            <v>#DIV/0!</v>
          </cell>
          <cell r="AV138">
            <v>74.895260874617719</v>
          </cell>
          <cell r="AW138">
            <v>-1638.9468685796776</v>
          </cell>
        </row>
        <row r="139">
          <cell r="A139" t="str">
            <v>Newport pricing</v>
          </cell>
          <cell r="V139">
            <v>5.0340838286353939E-2</v>
          </cell>
          <cell r="W139">
            <v>9.9556421617577717E-2</v>
          </cell>
          <cell r="X139">
            <v>8.204214461383863E-3</v>
          </cell>
          <cell r="Y139">
            <v>-2.4157446958225415E-2</v>
          </cell>
          <cell r="Z139">
            <v>3.2257560926944873E-2</v>
          </cell>
          <cell r="AA139">
            <v>0.10211212030934091</v>
          </cell>
          <cell r="AB139">
            <v>5.892545873292665E-2</v>
          </cell>
          <cell r="AC139">
            <v>0.10244158870165654</v>
          </cell>
          <cell r="AD139">
            <v>9.7329353089052217E-2</v>
          </cell>
          <cell r="AE139">
            <v>8.94597420796448E-2</v>
          </cell>
          <cell r="AF139">
            <v>2.0710298760505008E-2</v>
          </cell>
          <cell r="AG139">
            <v>2.8778946488428936E-2</v>
          </cell>
          <cell r="AH139">
            <v>5.2522529416309194E-2</v>
          </cell>
          <cell r="AI139">
            <v>7.6383387348746723E-2</v>
          </cell>
          <cell r="AJ139">
            <v>4.5955343923425485E-2</v>
          </cell>
          <cell r="AK139">
            <v>0.12069957815224441</v>
          </cell>
          <cell r="AL139">
            <v>0.15015910793079623</v>
          </cell>
          <cell r="AM139">
            <v>9.7283833620087634E-2</v>
          </cell>
          <cell r="AN139">
            <v>5.8536640126320094E-2</v>
          </cell>
          <cell r="AO139">
            <v>0.10737939354316484</v>
          </cell>
          <cell r="AP139">
            <v>6.921748980427922E-2</v>
          </cell>
          <cell r="AQ139">
            <v>2.3887238613389705E-2</v>
          </cell>
          <cell r="AR139">
            <v>7.6632193518357594E-2</v>
          </cell>
          <cell r="AU139">
            <v>70.136733920621396</v>
          </cell>
          <cell r="AV139">
            <v>56.254405086285189</v>
          </cell>
          <cell r="AW139">
            <v>55.579093952365277</v>
          </cell>
        </row>
        <row r="140">
          <cell r="A140" t="str">
            <v>Negative mix impact</v>
          </cell>
          <cell r="V140">
            <v>-1.4028162217301077E-3</v>
          </cell>
          <cell r="W140">
            <v>-1.4194560331344253E-3</v>
          </cell>
          <cell r="X140">
            <v>-2.1043807746481402E-3</v>
          </cell>
          <cell r="Y140">
            <v>-5.5916286832001783E-3</v>
          </cell>
          <cell r="Z140">
            <v>-2.7512679704748688E-3</v>
          </cell>
          <cell r="AA140">
            <v>-4.2062739552775064E-3</v>
          </cell>
          <cell r="AB140">
            <v>-3.8024975645767345E-3</v>
          </cell>
          <cell r="AC140">
            <v>-5.9906017831867775E-3</v>
          </cell>
          <cell r="AD140">
            <v>-1.4891728837969076E-2</v>
          </cell>
          <cell r="AE140">
            <v>-7.0288431507188331E-3</v>
          </cell>
          <cell r="AF140">
            <v>-1.5145922076622576E-2</v>
          </cell>
          <cell r="AG140">
            <v>-1.5623615859554407E-2</v>
          </cell>
          <cell r="AH140">
            <v>-1.4876670053360241E-2</v>
          </cell>
          <cell r="AI140">
            <v>-1.266280560171662E-2</v>
          </cell>
          <cell r="AJ140">
            <v>-1.4931172146198657E-2</v>
          </cell>
          <cell r="AK140">
            <v>-1.8457617845718088E-2</v>
          </cell>
          <cell r="AL140">
            <v>-7.9310019768903395E-3</v>
          </cell>
          <cell r="AM140">
            <v>-1.2692666387567719E-2</v>
          </cell>
          <cell r="AN140">
            <v>1.5301300282721808E-3</v>
          </cell>
          <cell r="AO140">
            <v>-9.635612442879804E-3</v>
          </cell>
          <cell r="AP140">
            <v>-9.7691845741487704E-4</v>
          </cell>
          <cell r="AQ140">
            <v>-1.2979904203092474E-2</v>
          </cell>
          <cell r="AR140">
            <v>-1.2929568208508657E-2</v>
          </cell>
          <cell r="AU140" t="e">
            <v>#DIV/0!</v>
          </cell>
          <cell r="AV140">
            <v>18.64085578833253</v>
          </cell>
          <cell r="AW140">
            <v>-1694.525962532043</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IS Quarterly"/>
      <sheetName val="Sheet1 (2)"/>
      <sheetName val="1Q11 Preview"/>
      <sheetName val="2Q11 Preview"/>
      <sheetName val="EARNMOD"/>
      <sheetName val="Operating Leases tagged"/>
      <sheetName val="WACC"/>
      <sheetName val="Sheet1"/>
      <sheetName val="Fixed Line Mkt"/>
      <sheetName val="Cash Flow"/>
      <sheetName val="upside_downside"/>
      <sheetName val="Income Statement"/>
      <sheetName val="Balance Sheet"/>
      <sheetName val="Valsum"/>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Model"/>
      <sheetName val="Intrinsic Value"/>
      <sheetName val="Rev by Geo"/>
      <sheetName val="Exclusion List"/>
      <sheetName val="Report template"/>
      <sheetName val="Model (WIP)"/>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M Market Volume-Share"/>
      <sheetName val="Industry Trends"/>
      <sheetName val="Global_Volumes"/>
      <sheetName val="EU_Volumes"/>
      <sheetName val="Indonesia_Volumes"/>
      <sheetName val="Russia_Volumes"/>
      <sheetName val="Japan_Volumes"/>
      <sheetName val="Markets_Volumes"/>
      <sheetName val="PM Japan"/>
      <sheetName val="PM Indonesia"/>
      <sheetName val="Payout as % FCF"/>
      <sheetName val="PM Philippines"/>
      <sheetName val="Philippines Tax-Paid"/>
      <sheetName val="C2500"/>
      <sheetName val="L2005"/>
      <sheetName val="Sheet5"/>
      <sheetName val="Organic Volume-OCI Growth (2)"/>
      <sheetName val="LTM Pricing"/>
      <sheetName val="Quarterly Repo"/>
      <sheetName val="FX Impact on EPS_Cumulative"/>
      <sheetName val="FX Impact on EPS"/>
      <sheetName val="L2005 (3)"/>
      <sheetName val="EU OCI Growth"/>
      <sheetName val="OCI Split By Region"/>
      <sheetName val="Org Growth"/>
      <sheetName val="Price Mix"/>
      <sheetName val="Indonesia Cig Segments"/>
      <sheetName val="Indonesia Cig Segments (2)"/>
      <sheetName val="OCI Split By Region - Qtrly"/>
      <sheetName val="C1001"/>
      <sheetName val="Quarterly Margins"/>
      <sheetName val="OCI Peer Comparison"/>
      <sheetName val="Annual Repo"/>
      <sheetName val="Quarterly Leverage"/>
      <sheetName val="Yearly Leverage"/>
      <sheetName val="Leverage Calcs"/>
      <sheetName val="Leverage Calcs_Reported"/>
      <sheetName val="OLD ---&gt;"/>
      <sheetName val="Region-Market Sizing"/>
      <sheetName val="Currency Impact"/>
      <sheetName val="Organic Volume-OCI Growth (4)"/>
      <sheetName val="Russia - PM Premium Vol Growth"/>
      <sheetName val="Organic Volume-OCI Growth (3)"/>
      <sheetName val="Pricing Impact"/>
      <sheetName val="Russia - PMI Premium &amp; Overall"/>
      <sheetName val="Organic Volume-OCI Growth ('05)"/>
      <sheetName val="Summary"/>
      <sheetName val="Org_Volumes"/>
      <sheetName val="Sheet8"/>
      <sheetName val="EPS Growth"/>
      <sheetName val="Sheet1"/>
      <sheetName val="C3400 (4)"/>
      <sheetName val="Global Market Shares"/>
      <sheetName val="Share Graph"/>
      <sheetName val="FCF Graph"/>
      <sheetName val="FCF YoY"/>
      <sheetName val="PM Japan _Market"/>
      <sheetName val="Asia OCI by Qtr"/>
      <sheetName val="EU Volume &amp; OCI"/>
      <sheetName val="Spain Volumes"/>
      <sheetName val="Sheet10"/>
      <sheetName val="Volume Decline Market Breakdown"/>
      <sheetName val="C3400"/>
      <sheetName val="Org Volume by Brand"/>
      <sheetName val="Key Market share summary"/>
      <sheetName val="NetDebt_NewShareRepo"/>
      <sheetName val="GrossDebt_NewShareRepo"/>
      <sheetName val="Sheet7"/>
      <sheetName val="FX EBIT Impact"/>
      <sheetName val="NON-EARNINGS &gt;&gt;&gt;"/>
      <sheetName val="Seg_Sales_Mix"/>
      <sheetName val="Seg_Vol_Mix"/>
      <sheetName val="Seg_OCI_Mix"/>
      <sheetName val="Prep Pack"/>
      <sheetName val="Sheet9"/>
      <sheetName val="Organic OCI"/>
      <sheetName val="C2010"/>
      <sheetName val="Sheet4"/>
      <sheetName val="PM Overall SOM"/>
      <sheetName val="Sheet6"/>
      <sheetName val="C3400 (3)"/>
      <sheetName val="C1071"/>
      <sheetName val="Operating Income"/>
      <sheetName val="Div Increase"/>
      <sheetName val="1H10 Volume Decline Chart"/>
      <sheetName val="Global share cals"/>
      <sheetName val="Share Growth Contribution"/>
      <sheetName val="Regional Mix by Company"/>
      <sheetName val="C3400 (2)"/>
      <sheetName val="Pricing"/>
      <sheetName val="Volumes"/>
      <sheetName val="L2005 (2)"/>
      <sheetName val="Excise increases"/>
      <sheetName val="EU Price Gaps"/>
      <sheetName val="Reg'l Share Changes - Chart"/>
      <sheetName val="Top 10 Markets"/>
      <sheetName val="Organic Volume-OCI Growth"/>
      <sheetName val="OCI_PM vs BAT"/>
      <sheetName val="Volume_PM vs BAT"/>
      <sheetName val="OCI Split_PM vs BAT"/>
      <sheetName val="FCF"/>
      <sheetName val="FCF-Dividends"/>
      <sheetName val="Cash Returns Data"/>
      <sheetName val="__FDSCACHE__"/>
      <sheetName val="Cash Returns Chart"/>
      <sheetName val="MW-Cache"/>
      <sheetName val="Competitor Leverage"/>
      <sheetName val="Organic EBIT data"/>
      <sheetName val="Sheet3"/>
      <sheetName val="FX Impact EPS v2"/>
      <sheetName val="Organic OCI Growth"/>
      <sheetName val="Organic Growth"/>
      <sheetName val="Organic Vol data"/>
      <sheetName val="Initiation charts"/>
      <sheetName val="PMI_Germany"/>
      <sheetName val="Sheet2"/>
      <sheetName val="Sheet6 (2)"/>
      <sheetName val="C3800"/>
      <sheetName val="GrossBreakdown"/>
      <sheetName val="O1200"/>
      <sheetName val="Illicit Trade"/>
      <sheetName val="Philippines 1"/>
      <sheetName val="Philippines 1 (2)"/>
      <sheetName val="Sheet1 (2)"/>
      <sheetName val="Quarterly Margins (2)"/>
      <sheetName val="2Q13 Org OCI"/>
      <sheetName val="C2000"/>
      <sheetName val="Org Growth_Recovery"/>
      <sheetName val="PM Market Volume-Share Details"/>
      <sheetName val="Region-Market Sizing (UPDATE)"/>
      <sheetName val="FX Impact EPS"/>
      <sheetName val="Org Growth (2)"/>
      <sheetName val="Volume Sensitivity"/>
      <sheetName val="#REF"/>
      <sheetName val="DF FCF Walk"/>
      <sheetName val="Milk Inflation - FDD OM"/>
      <sheetName val="Org Sales Illustration"/>
      <sheetName val="Protein Valuation"/>
      <sheetName val="US Convenient Meals Brands"/>
      <sheetName val="Global_Volumes (2)"/>
      <sheetName val="C3800 (2)"/>
      <sheetName val="US Tobacco EV-EBITDA post-spin"/>
      <sheetName val="Total return chart 4"/>
      <sheetName val="Total return chart 2"/>
      <sheetName val="US Tobacco EV-EBITDA post-s (5)"/>
      <sheetName val="Industry Relative PE2"/>
      <sheetName val="US Tobacco PE Rel to SP500"/>
      <sheetName val="EV-EBITDA US Only"/>
      <sheetName val="NTM PE US Only"/>
      <sheetName val="US Tobacco PE"/>
      <sheetName val="PM v US Tobacco 2"/>
      <sheetName val="US Tobacco PE Rel to SP Staples"/>
      <sheetName val="LO EV-EBITDA vs RAI"/>
      <sheetName val="Total return chart 1"/>
      <sheetName val="US Tobacco EV-EBITDA post-s (2)"/>
      <sheetName val="RAI NTM PE"/>
      <sheetName val="US Tobacco EV-EBITDA post-s (3)"/>
      <sheetName val="EV-EBITDA Chart"/>
      <sheetName val="PM v Staples1"/>
      <sheetName val="NTM PE US Only 2005 (4)"/>
      <sheetName val="NTM PE US Only 2005 (3)"/>
      <sheetName val="Total return chart 3"/>
      <sheetName val="Industry PE"/>
      <sheetName val="US Tobacco EV-EBITDA post-s (6)"/>
      <sheetName val="Volumes-Share"/>
      <sheetName val="PM Overall SOM old"/>
      <sheetName val="Market Share"/>
      <sheetName val="Key Market Volume Trends"/>
      <sheetName val="Global Volume % Change"/>
      <sheetName val="PM vs Industry Volume"/>
      <sheetName val="US vs. Global Volumes"/>
      <sheetName val="PM Quarterly Organic Volume"/>
      <sheetName val="Revenue-Pricing"/>
      <sheetName val="Annual Price-Mix"/>
      <sheetName val="Organic Sales"/>
      <sheetName val="Pricing by Region"/>
      <sheetName val="Quarterly Pricing"/>
      <sheetName val="LTM Pricing v2"/>
      <sheetName val="Profit-Margins"/>
      <sheetName val="Annual OCI Growth"/>
      <sheetName val="Annual Regional OCI Margins"/>
      <sheetName val="Costs_Ex-FX"/>
      <sheetName val="EU Organic-Reported OCI Growth"/>
      <sheetName val="Annual Organic OCI Growth v2"/>
      <sheetName val="Region-Specific Volume &amp; Share"/>
      <sheetName val="Japan Growth vs Share"/>
      <sheetName val="Japan Share"/>
      <sheetName val="Indonesia Cig Segments #2"/>
      <sheetName val="Cash Flow - Uses of Cash"/>
      <sheetName val="Dividend1"/>
      <sheetName val="Dividend1 (2)"/>
      <sheetName val="Dividend1 (3)"/>
      <sheetName val="C1500"/>
      <sheetName val="Cash Returns as % of FCF"/>
      <sheetName val="FX"/>
      <sheetName val="Cumulative FX Impact on EPS"/>
      <sheetName val="Quarterly FX Impact on EPS"/>
      <sheetName val="FX Change by Currency"/>
      <sheetName val="Volumes 1H16"/>
    </sheet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sheetData sheetId="12"/>
      <sheetData sheetId="13" refreshError="1"/>
      <sheetData sheetId="14"/>
      <sheetData sheetId="15" refreshError="1"/>
      <sheetData sheetId="16" refreshError="1"/>
      <sheetData sheetId="17"/>
      <sheetData sheetId="18" refreshError="1"/>
      <sheetData sheetId="19" refreshError="1"/>
      <sheetData sheetId="20" refreshError="1"/>
      <sheetData sheetId="21"/>
      <sheetData sheetId="22"/>
      <sheetData sheetId="23" refreshError="1"/>
      <sheetData sheetId="24" refreshError="1"/>
      <sheetData sheetId="25"/>
      <sheetData sheetId="26" refreshError="1"/>
      <sheetData sheetId="27"/>
      <sheetData sheetId="28" refreshError="1"/>
      <sheetData sheetId="29"/>
      <sheetData sheetId="30" refreshError="1"/>
      <sheetData sheetId="31" refreshError="1"/>
      <sheetData sheetId="32"/>
      <sheetData sheetId="33" refreshError="1"/>
      <sheetData sheetId="34" refreshError="1"/>
      <sheetData sheetId="35" refreshError="1"/>
      <sheetData sheetId="36" refreshError="1"/>
      <sheetData sheetId="37" refreshError="1"/>
      <sheetData sheetId="38"/>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sheetData sheetId="82"/>
      <sheetData sheetId="83" refreshError="1"/>
      <sheetData sheetId="84" refreshError="1"/>
      <sheetData sheetId="85" refreshError="1"/>
      <sheetData sheetId="86" refreshError="1"/>
      <sheetData sheetId="87" refreshError="1"/>
      <sheetData sheetId="88" refreshError="1"/>
      <sheetData sheetId="89"/>
      <sheetData sheetId="90" refreshError="1"/>
      <sheetData sheetId="91" refreshError="1"/>
      <sheetData sheetId="92" refreshError="1"/>
      <sheetData sheetId="93" refreshError="1"/>
      <sheetData sheetId="94"/>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sheetData sheetId="107" refreshError="1"/>
      <sheetData sheetId="108" refreshError="1"/>
      <sheetData sheetId="109"/>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sheetData sheetId="131" refreshError="1"/>
      <sheetData sheetId="132"/>
      <sheetData sheetId="133" refreshError="1"/>
      <sheetData sheetId="134" refreshError="1"/>
      <sheetData sheetId="135" refreshError="1"/>
      <sheetData sheetId="136" refreshError="1"/>
      <sheetData sheetId="137" refreshError="1"/>
      <sheetData sheetId="138" refreshError="1"/>
      <sheetData sheetId="139"/>
      <sheetData sheetId="140"/>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Cache"/>
      <sheetName val="Sheet1"/>
      <sheetName val="SALES _Old"/>
      <sheetName val="Segment_Data"/>
      <sheetName val="Sales"/>
      <sheetName val="IS"/>
      <sheetName val="BS"/>
      <sheetName val="CF"/>
      <sheetName val="Scenario"/>
      <sheetName val="Valuation"/>
      <sheetName val="Summary"/>
      <sheetName val="Bolthouse"/>
      <sheetName val="Sheet2"/>
      <sheetName val="1Q14 Variance"/>
      <sheetName val="4Q13 Variance"/>
      <sheetName val="MS v Cons"/>
      <sheetName val="European Divestiture"/>
      <sheetName val="Sheet4"/>
      <sheetName val="Valuation Inputs"/>
      <sheetName val="DCF Valuation"/>
      <sheetName val="DCF"/>
      <sheetName val="RDCF_Output"/>
      <sheetName val="Multiples"/>
      <sheetName val="ANNUAL"/>
      <sheetName val="DIVISIONAL"/>
      <sheetName val="QTRLY "/>
      <sheetName val="CASHFLOW"/>
      <sheetName val="BALANCE SHEET"/>
      <sheetName val="IRI_SOUP"/>
      <sheetName val="Actual vs. Estimate"/>
      <sheetName val="IRI_Crackers"/>
      <sheetName val="IRI_Cookies"/>
      <sheetName val="IRI_RTS"/>
      <sheetName val="IRI_Condensed"/>
      <sheetName val="GEOGRAPHY"/>
      <sheetName val="ROIC"/>
      <sheetName val="Soup"/>
      <sheetName val="Soup 2002"/>
      <sheetName val="Soup 2003"/>
      <sheetName val="EPS components"/>
      <sheetName val="Timeline"/>
      <sheetName val="Report"/>
      <sheetName val="Family ownership"/>
      <sheetName val="SALES Old"/>
      <sheetName val="QTRLY Old"/>
      <sheetName val="MWA Pension"/>
      <sheetName val="MWA OPEB"/>
      <sheetName val="MWA IV2"/>
      <sheetName val="MWA RR"/>
      <sheetName val="mwareDates"/>
      <sheetName val="__APW_ACTIVE_FIELD_RESTORE__"/>
      <sheetName val="Model_Template"/>
      <sheetName val="mwareSettings"/>
      <sheetName val="mStartup"/>
      <sheetName val="3Q13 Variance"/>
      <sheetName val="2Q12 Variance"/>
      <sheetName val="Sheet3"/>
      <sheetName val="F1Q_Preview"/>
      <sheetName val="Guidance"/>
      <sheetName val="Variance"/>
      <sheetName val="Summary P&amp;L"/>
      <sheetName val="Old---&gt;"/>
      <sheetName val="Potential WWAV Accretion"/>
      <sheetName val="Sheet5"/>
      <sheetName val="mwareDates_42108_3934906"/>
      <sheetName val="Sheet1 (2)"/>
      <sheetName val="2Q14 Variance"/>
      <sheetName val="Upgrade charts"/>
      <sheetName val="QTRLY_COMBINED"/>
    </sheetNames>
    <sheetDataSet>
      <sheetData sheetId="0"/>
      <sheetData sheetId="1"/>
      <sheetData sheetId="2" refreshError="1">
        <row r="3">
          <cell r="A3" t="str">
            <v>US Soup</v>
          </cell>
          <cell r="B3" t="str">
            <v>1Q10</v>
          </cell>
          <cell r="C3" t="str">
            <v>2Q10</v>
          </cell>
          <cell r="D3" t="str">
            <v>3Q10</v>
          </cell>
          <cell r="E3" t="str">
            <v>4Q10</v>
          </cell>
        </row>
        <row r="4">
          <cell r="A4" t="str">
            <v>Condensed</v>
          </cell>
          <cell r="B4">
            <v>-0.01</v>
          </cell>
          <cell r="C4">
            <v>0</v>
          </cell>
          <cell r="D4">
            <v>-0.01</v>
          </cell>
          <cell r="E4">
            <v>-7.0000000000000007E-2</v>
          </cell>
        </row>
        <row r="5">
          <cell r="A5" t="str">
            <v>RTS</v>
          </cell>
          <cell r="B5">
            <v>-7.0000000000000007E-2</v>
          </cell>
          <cell r="C5">
            <v>-0.18</v>
          </cell>
          <cell r="D5">
            <v>0.04</v>
          </cell>
          <cell r="E5">
            <v>-7.0000000000000007E-2</v>
          </cell>
        </row>
        <row r="6">
          <cell r="A6" t="str">
            <v>Broth</v>
          </cell>
          <cell r="B6">
            <v>0</v>
          </cell>
          <cell r="C6">
            <v>0.01</v>
          </cell>
          <cell r="D6">
            <v>0.09</v>
          </cell>
          <cell r="E6">
            <v>0.09</v>
          </cell>
        </row>
        <row r="7">
          <cell r="A7" t="str">
            <v>Total US Soup</v>
          </cell>
          <cell r="B7">
            <v>-0.03</v>
          </cell>
          <cell r="C7">
            <v>-0.08</v>
          </cell>
          <cell r="D7">
            <v>0.02</v>
          </cell>
          <cell r="E7">
            <v>-0.05</v>
          </cell>
        </row>
      </sheetData>
      <sheetData sheetId="3" refreshError="1">
        <row r="1">
          <cell r="A1" t="str">
            <v>Campbell Soup</v>
          </cell>
          <cell r="IK1" t="str">
            <v>ElementName</v>
          </cell>
          <cell r="IL1" t="str">
            <v>ScaleOverride</v>
          </cell>
          <cell r="IM1" t="str">
            <v>UnitOverride</v>
          </cell>
          <cell r="IN1" t="str">
            <v>ReverseSign</v>
          </cell>
          <cell r="IO1" t="str">
            <v>IsDrivingAssumption</v>
          </cell>
          <cell r="IP1" t="str">
            <v>SegmentID</v>
          </cell>
        </row>
        <row r="3">
          <cell r="AD3" t="str">
            <v>2003-Q1</v>
          </cell>
          <cell r="AE3" t="str">
            <v>2003-Q2</v>
          </cell>
          <cell r="AF3" t="str">
            <v>2003-Q3</v>
          </cell>
          <cell r="AG3" t="str">
            <v>2003-Q4</v>
          </cell>
          <cell r="AH3" t="str">
            <v>2003-FY</v>
          </cell>
          <cell r="AI3" t="str">
            <v>2004-Q1</v>
          </cell>
          <cell r="AJ3" t="str">
            <v>2004-Q2</v>
          </cell>
          <cell r="AK3" t="str">
            <v>2004-Q3</v>
          </cell>
          <cell r="AL3" t="str">
            <v>2004-Q4</v>
          </cell>
          <cell r="AM3" t="str">
            <v>2004-FY</v>
          </cell>
          <cell r="AN3" t="str">
            <v>2005-Q1</v>
          </cell>
          <cell r="AO3" t="str">
            <v>2005-Q2</v>
          </cell>
          <cell r="AP3" t="str">
            <v>2005-Q3</v>
          </cell>
          <cell r="AQ3" t="str">
            <v>2005-Q4</v>
          </cell>
          <cell r="AR3" t="str">
            <v>2005-FY</v>
          </cell>
          <cell r="AW3" t="str">
            <v>2006-FY</v>
          </cell>
          <cell r="BB3" t="str">
            <v>2007-FY</v>
          </cell>
          <cell r="BG3" t="str">
            <v>2008-FY</v>
          </cell>
          <cell r="BL3" t="str">
            <v>2009-FY</v>
          </cell>
          <cell r="BM3" t="str">
            <v>2010-FY</v>
          </cell>
          <cell r="BN3" t="str">
            <v>2011-FY</v>
          </cell>
          <cell r="BO3" t="str">
            <v>2012-FY</v>
          </cell>
          <cell r="BP3" t="str">
            <v>2013-FY</v>
          </cell>
          <cell r="BQ3" t="str">
            <v>2014-FY</v>
          </cell>
          <cell r="BR3" t="str">
            <v>2015-FY</v>
          </cell>
          <cell r="BS3" t="str">
            <v>2016-FY</v>
          </cell>
        </row>
        <row r="4">
          <cell r="A4" t="str">
            <v>Company-wide</v>
          </cell>
        </row>
        <row r="5">
          <cell r="A5" t="str">
            <v>Sales Growth Components</v>
          </cell>
          <cell r="B5">
            <v>1995</v>
          </cell>
          <cell r="C5">
            <v>1996</v>
          </cell>
          <cell r="D5">
            <v>1997</v>
          </cell>
          <cell r="E5" t="str">
            <v>1Q98</v>
          </cell>
          <cell r="F5" t="str">
            <v>2Q98</v>
          </cell>
          <cell r="G5" t="str">
            <v>3Q98</v>
          </cell>
          <cell r="H5" t="str">
            <v>4Q98</v>
          </cell>
          <cell r="I5">
            <v>1998</v>
          </cell>
          <cell r="J5" t="str">
            <v>1Q99</v>
          </cell>
          <cell r="K5" t="str">
            <v>2Q99</v>
          </cell>
          <cell r="L5" t="str">
            <v>3Q99</v>
          </cell>
          <cell r="M5" t="str">
            <v>4Q99</v>
          </cell>
          <cell r="N5">
            <v>1999</v>
          </cell>
          <cell r="O5" t="str">
            <v>1Q00</v>
          </cell>
          <cell r="P5" t="str">
            <v>2Q00</v>
          </cell>
          <cell r="Q5" t="str">
            <v>3Q00</v>
          </cell>
          <cell r="R5" t="str">
            <v>4Q00</v>
          </cell>
          <cell r="S5">
            <v>2000</v>
          </cell>
          <cell r="T5" t="str">
            <v>1Q01</v>
          </cell>
          <cell r="U5" t="str">
            <v>2Q01</v>
          </cell>
          <cell r="V5" t="str">
            <v>3Q01</v>
          </cell>
          <cell r="W5" t="str">
            <v>4Q01</v>
          </cell>
          <cell r="X5">
            <v>2001</v>
          </cell>
          <cell r="Y5" t="str">
            <v>1Q02</v>
          </cell>
          <cell r="Z5" t="str">
            <v>2Q02</v>
          </cell>
          <cell r="AA5" t="str">
            <v>3Q02</v>
          </cell>
          <cell r="AB5" t="str">
            <v>4Q02</v>
          </cell>
          <cell r="AC5">
            <v>2002</v>
          </cell>
          <cell r="AD5" t="str">
            <v>1Q03</v>
          </cell>
          <cell r="AE5" t="str">
            <v>2Q03</v>
          </cell>
          <cell r="AF5" t="str">
            <v>3Q03</v>
          </cell>
          <cell r="AG5" t="str">
            <v>4Q03</v>
          </cell>
          <cell r="AH5">
            <v>2003</v>
          </cell>
          <cell r="AI5" t="str">
            <v>1Q04</v>
          </cell>
          <cell r="AJ5" t="str">
            <v>2Q04</v>
          </cell>
          <cell r="AK5" t="str">
            <v>3Q04</v>
          </cell>
          <cell r="AL5" t="str">
            <v>4Q04</v>
          </cell>
          <cell r="AM5">
            <v>2004</v>
          </cell>
          <cell r="AN5" t="str">
            <v>1Q05</v>
          </cell>
          <cell r="AO5" t="str">
            <v>2Q05</v>
          </cell>
          <cell r="AP5" t="str">
            <v>3Q05</v>
          </cell>
          <cell r="AQ5" t="str">
            <v>4Q05</v>
          </cell>
          <cell r="AR5">
            <v>2005</v>
          </cell>
          <cell r="AS5" t="str">
            <v>1Q06</v>
          </cell>
          <cell r="AT5" t="str">
            <v>2Q06</v>
          </cell>
          <cell r="AU5" t="str">
            <v>3Q06</v>
          </cell>
          <cell r="AV5" t="str">
            <v>4Q06</v>
          </cell>
          <cell r="AW5">
            <v>2006</v>
          </cell>
          <cell r="AX5" t="str">
            <v>1Q07</v>
          </cell>
          <cell r="AY5" t="str">
            <v>2Q07</v>
          </cell>
          <cell r="AZ5" t="str">
            <v>3Q07</v>
          </cell>
          <cell r="BA5" t="str">
            <v>4Q07</v>
          </cell>
          <cell r="BB5">
            <v>2007</v>
          </cell>
          <cell r="BC5" t="str">
            <v>1Q08</v>
          </cell>
          <cell r="BD5" t="str">
            <v>2Q08</v>
          </cell>
          <cell r="BE5" t="str">
            <v>3Q08</v>
          </cell>
          <cell r="BF5" t="str">
            <v>4Q08</v>
          </cell>
          <cell r="BG5">
            <v>2008</v>
          </cell>
          <cell r="BH5" t="str">
            <v>1Q09</v>
          </cell>
          <cell r="BI5" t="str">
            <v>2Q09</v>
          </cell>
          <cell r="BJ5" t="str">
            <v>3Q09</v>
          </cell>
          <cell r="BL5">
            <v>2009</v>
          </cell>
          <cell r="BM5">
            <v>2010</v>
          </cell>
          <cell r="BN5" t="str">
            <v>2011E</v>
          </cell>
          <cell r="BO5" t="str">
            <v>2012E</v>
          </cell>
          <cell r="BP5" t="str">
            <v>2013E</v>
          </cell>
          <cell r="BQ5" t="str">
            <v>2014E</v>
          </cell>
          <cell r="BR5" t="str">
            <v>2015E</v>
          </cell>
          <cell r="BS5" t="str">
            <v>2016E</v>
          </cell>
          <cell r="BT5" t="str">
            <v>2017E</v>
          </cell>
        </row>
        <row r="6">
          <cell r="A6" t="str">
            <v>Volume and mix</v>
          </cell>
          <cell r="B6">
            <v>0.03</v>
          </cell>
          <cell r="C6">
            <v>0.01</v>
          </cell>
          <cell r="D6">
            <v>2.8000000000000001E-2</v>
          </cell>
          <cell r="E6">
            <v>0.05</v>
          </cell>
          <cell r="F6">
            <v>0.03</v>
          </cell>
          <cell r="G6">
            <v>0.04</v>
          </cell>
          <cell r="H6">
            <v>0.02</v>
          </cell>
          <cell r="I6">
            <v>0.04</v>
          </cell>
          <cell r="J6">
            <v>0.05</v>
          </cell>
          <cell r="K6">
            <v>-7.9000000000000001E-2</v>
          </cell>
          <cell r="L6">
            <v>0</v>
          </cell>
          <cell r="M6">
            <v>0.03</v>
          </cell>
          <cell r="N6">
            <v>0</v>
          </cell>
          <cell r="O6">
            <v>-0.02</v>
          </cell>
          <cell r="P6">
            <v>0.05</v>
          </cell>
          <cell r="Q6">
            <v>-0.05</v>
          </cell>
          <cell r="R6">
            <v>-7.0000000000000007E-2</v>
          </cell>
          <cell r="S6">
            <v>-0.02</v>
          </cell>
          <cell r="T6">
            <v>0.03</v>
          </cell>
          <cell r="U6">
            <v>0.05</v>
          </cell>
          <cell r="V6">
            <v>0.05</v>
          </cell>
          <cell r="W6">
            <v>0.04</v>
          </cell>
          <cell r="X6">
            <v>0.05</v>
          </cell>
          <cell r="Y6">
            <v>0.06</v>
          </cell>
          <cell r="Z6">
            <v>0</v>
          </cell>
          <cell r="AA6">
            <v>0</v>
          </cell>
          <cell r="AB6">
            <v>0.04</v>
          </cell>
          <cell r="AC6">
            <v>0.02</v>
          </cell>
          <cell r="AD6">
            <v>-0.03</v>
          </cell>
          <cell r="AE6">
            <v>0.01</v>
          </cell>
          <cell r="AF6">
            <v>0.06</v>
          </cell>
          <cell r="AG6">
            <v>0.06</v>
          </cell>
          <cell r="AH6">
            <v>0.03</v>
          </cell>
          <cell r="AI6">
            <v>0.02</v>
          </cell>
          <cell r="AJ6">
            <v>0.03</v>
          </cell>
          <cell r="AK6">
            <v>-0.01</v>
          </cell>
          <cell r="AL6">
            <v>0.04</v>
          </cell>
          <cell r="AM6">
            <v>0.02</v>
          </cell>
          <cell r="AN6">
            <v>0.09</v>
          </cell>
          <cell r="AO6">
            <v>0.04</v>
          </cell>
          <cell r="AP6">
            <v>0</v>
          </cell>
          <cell r="AQ6">
            <v>-0.01</v>
          </cell>
          <cell r="AR6">
            <v>0.03</v>
          </cell>
          <cell r="AS6">
            <v>-0.03</v>
          </cell>
          <cell r="AT6">
            <v>0.01</v>
          </cell>
          <cell r="AU6">
            <v>0.04</v>
          </cell>
          <cell r="AV6">
            <v>0.01</v>
          </cell>
          <cell r="AW6">
            <v>0.01</v>
          </cell>
          <cell r="AX6">
            <v>0.04</v>
          </cell>
          <cell r="AY6">
            <v>0.01</v>
          </cell>
          <cell r="AZ6">
            <v>0.05</v>
          </cell>
          <cell r="BA6">
            <v>0.06</v>
          </cell>
          <cell r="BB6">
            <v>0.03</v>
          </cell>
          <cell r="BC6">
            <v>0.04</v>
          </cell>
          <cell r="BD6">
            <v>0.03</v>
          </cell>
          <cell r="BE6">
            <v>0.01</v>
          </cell>
          <cell r="BF6">
            <v>-0.01</v>
          </cell>
          <cell r="BG6">
            <v>0.02</v>
          </cell>
          <cell r="BH6">
            <v>0.01</v>
          </cell>
          <cell r="BI6">
            <v>-0.03</v>
          </cell>
          <cell r="BJ6">
            <v>-0.06</v>
          </cell>
          <cell r="BL6">
            <v>0.02</v>
          </cell>
          <cell r="BM6">
            <v>0.02</v>
          </cell>
          <cell r="BN6">
            <v>0.02</v>
          </cell>
          <cell r="BO6">
            <v>0.02</v>
          </cell>
          <cell r="BP6">
            <v>0.02</v>
          </cell>
          <cell r="BQ6">
            <v>0.02</v>
          </cell>
          <cell r="BR6">
            <v>0.02</v>
          </cell>
          <cell r="BS6">
            <v>0.02</v>
          </cell>
          <cell r="BT6">
            <v>0.02</v>
          </cell>
          <cell r="IK6" t="str">
            <v>mstag:volumeGrowth</v>
          </cell>
          <cell r="IL6">
            <v>0</v>
          </cell>
          <cell r="IM6" t="str">
            <v>ms_eqr_gcim_Decimal:ms_eqr_gcim_decimal</v>
          </cell>
          <cell r="IN6" t="b">
            <v>0</v>
          </cell>
          <cell r="IO6" t="b">
            <v>0</v>
          </cell>
        </row>
        <row r="7">
          <cell r="A7" t="str">
            <v>Pricing</v>
          </cell>
          <cell r="B7">
            <v>0.02</v>
          </cell>
          <cell r="C7">
            <v>0.03</v>
          </cell>
          <cell r="D7">
            <v>2.8000000000000001E-2</v>
          </cell>
          <cell r="E7">
            <v>0.02</v>
          </cell>
          <cell r="F7">
            <v>0.02</v>
          </cell>
          <cell r="G7">
            <v>0.02</v>
          </cell>
          <cell r="H7">
            <v>0.02</v>
          </cell>
          <cell r="I7">
            <v>0.02</v>
          </cell>
          <cell r="J7">
            <v>0.02</v>
          </cell>
          <cell r="K7">
            <v>0.02</v>
          </cell>
          <cell r="L7">
            <v>0.01</v>
          </cell>
          <cell r="M7">
            <v>0.01</v>
          </cell>
          <cell r="N7">
            <v>0.02</v>
          </cell>
          <cell r="O7">
            <v>0.02</v>
          </cell>
          <cell r="P7">
            <v>0.02</v>
          </cell>
          <cell r="Q7">
            <v>0.01</v>
          </cell>
          <cell r="R7">
            <v>0.02</v>
          </cell>
          <cell r="S7">
            <v>0.02</v>
          </cell>
          <cell r="T7">
            <v>0.01</v>
          </cell>
          <cell r="U7">
            <v>0</v>
          </cell>
          <cell r="V7">
            <v>0</v>
          </cell>
          <cell r="W7">
            <v>0.01</v>
          </cell>
          <cell r="X7">
            <v>0</v>
          </cell>
          <cell r="Y7">
            <v>0.01</v>
          </cell>
          <cell r="Z7">
            <v>0.01</v>
          </cell>
          <cell r="AA7">
            <v>0.01</v>
          </cell>
          <cell r="AB7">
            <v>0.01</v>
          </cell>
          <cell r="AC7">
            <v>0.01</v>
          </cell>
          <cell r="AD7">
            <v>0.01</v>
          </cell>
          <cell r="AE7">
            <v>0.02</v>
          </cell>
          <cell r="AF7">
            <v>0.02</v>
          </cell>
          <cell r="AG7">
            <v>0.02</v>
          </cell>
          <cell r="AH7">
            <v>0.01</v>
          </cell>
          <cell r="AI7">
            <v>0.02</v>
          </cell>
          <cell r="AJ7">
            <v>0.02</v>
          </cell>
          <cell r="AK7">
            <v>0.01</v>
          </cell>
          <cell r="AL7">
            <v>0.01</v>
          </cell>
          <cell r="AM7">
            <v>0.02</v>
          </cell>
          <cell r="AN7">
            <v>0</v>
          </cell>
          <cell r="AO7">
            <v>0.01</v>
          </cell>
          <cell r="AP7">
            <v>0.02</v>
          </cell>
          <cell r="AQ7">
            <v>0.03</v>
          </cell>
          <cell r="AR7">
            <v>0.02</v>
          </cell>
          <cell r="AS7">
            <v>0.04</v>
          </cell>
          <cell r="AT7">
            <v>0.04</v>
          </cell>
          <cell r="AU7">
            <v>0.03</v>
          </cell>
          <cell r="AV7">
            <v>0.03</v>
          </cell>
          <cell r="AW7">
            <v>0.03</v>
          </cell>
          <cell r="AX7">
            <v>0.02</v>
          </cell>
          <cell r="AY7">
            <v>0.02</v>
          </cell>
          <cell r="AZ7">
            <v>0.02</v>
          </cell>
          <cell r="BA7">
            <v>0.01</v>
          </cell>
          <cell r="BB7">
            <v>0.02</v>
          </cell>
          <cell r="BC7">
            <v>0.01</v>
          </cell>
          <cell r="BD7">
            <v>0.01</v>
          </cell>
          <cell r="BE7">
            <v>0.03</v>
          </cell>
          <cell r="BF7">
            <v>0.05</v>
          </cell>
          <cell r="BG7">
            <v>0.02</v>
          </cell>
          <cell r="BH7">
            <v>7.0000000000000007E-2</v>
          </cell>
          <cell r="BI7">
            <v>0.09</v>
          </cell>
          <cell r="BJ7">
            <v>0.06</v>
          </cell>
          <cell r="BL7">
            <v>0</v>
          </cell>
          <cell r="BM7">
            <v>0</v>
          </cell>
          <cell r="BN7">
            <v>0</v>
          </cell>
          <cell r="BO7">
            <v>0</v>
          </cell>
          <cell r="BP7">
            <v>0</v>
          </cell>
          <cell r="BQ7">
            <v>0</v>
          </cell>
          <cell r="BR7">
            <v>0</v>
          </cell>
          <cell r="BS7">
            <v>0</v>
          </cell>
          <cell r="BT7">
            <v>0</v>
          </cell>
          <cell r="IK7" t="str">
            <v>mstag:priceChange</v>
          </cell>
          <cell r="IL7">
            <v>0</v>
          </cell>
          <cell r="IM7" t="str">
            <v>ms_eqr_gcim_Decimal:ms_eqr_gcim_decimal</v>
          </cell>
          <cell r="IN7" t="b">
            <v>0</v>
          </cell>
          <cell r="IO7" t="b">
            <v>0</v>
          </cell>
        </row>
        <row r="8">
          <cell r="A8" t="str">
            <v>Promotion</v>
          </cell>
          <cell r="T8">
            <v>-0.02</v>
          </cell>
          <cell r="Y8">
            <v>-0.02</v>
          </cell>
          <cell r="Z8">
            <v>-0.02</v>
          </cell>
          <cell r="AA8">
            <v>0</v>
          </cell>
          <cell r="AB8">
            <v>-0.02</v>
          </cell>
          <cell r="AC8">
            <v>-0.01</v>
          </cell>
          <cell r="AD8">
            <v>-0.01</v>
          </cell>
          <cell r="AE8">
            <v>-0.01</v>
          </cell>
          <cell r="AF8">
            <v>0.02</v>
          </cell>
          <cell r="AG8">
            <v>0.03</v>
          </cell>
          <cell r="AH8">
            <v>0</v>
          </cell>
          <cell r="AI8">
            <v>0.02</v>
          </cell>
          <cell r="AJ8">
            <v>-0.01</v>
          </cell>
          <cell r="AK8">
            <v>-0.01</v>
          </cell>
          <cell r="AL8">
            <v>-0.02</v>
          </cell>
          <cell r="AM8">
            <v>-3.4700000000000009E-3</v>
          </cell>
          <cell r="AN8">
            <v>-0.01</v>
          </cell>
          <cell r="AO8">
            <v>-0.01</v>
          </cell>
          <cell r="AP8">
            <v>0</v>
          </cell>
          <cell r="AQ8">
            <v>0.01</v>
          </cell>
          <cell r="AR8">
            <v>-0.01</v>
          </cell>
          <cell r="AS8">
            <v>-0.01</v>
          </cell>
          <cell r="AT8">
            <v>0</v>
          </cell>
          <cell r="AU8">
            <v>0.01</v>
          </cell>
          <cell r="AV8">
            <v>-0.01</v>
          </cell>
          <cell r="AW8">
            <v>0</v>
          </cell>
          <cell r="AX8">
            <v>0.01</v>
          </cell>
          <cell r="AY8">
            <v>0</v>
          </cell>
          <cell r="AZ8">
            <v>-0.01</v>
          </cell>
          <cell r="BA8">
            <v>0</v>
          </cell>
          <cell r="BB8">
            <v>0</v>
          </cell>
          <cell r="BC8">
            <v>-0.01</v>
          </cell>
          <cell r="BD8">
            <v>0</v>
          </cell>
          <cell r="BE8">
            <v>-0.01</v>
          </cell>
          <cell r="BF8">
            <v>0.04</v>
          </cell>
          <cell r="BG8">
            <v>-0.01</v>
          </cell>
          <cell r="BH8">
            <v>-0.02</v>
          </cell>
          <cell r="BI8">
            <v>-0.03</v>
          </cell>
          <cell r="BJ8">
            <v>-0.01</v>
          </cell>
          <cell r="BL8">
            <v>0</v>
          </cell>
          <cell r="BM8">
            <v>0</v>
          </cell>
          <cell r="BN8">
            <v>0</v>
          </cell>
          <cell r="BO8">
            <v>0</v>
          </cell>
          <cell r="BP8">
            <v>0</v>
          </cell>
          <cell r="BQ8">
            <v>0</v>
          </cell>
          <cell r="BR8">
            <v>0</v>
          </cell>
          <cell r="BS8">
            <v>0</v>
          </cell>
          <cell r="BT8">
            <v>0</v>
          </cell>
        </row>
        <row r="9">
          <cell r="A9" t="str">
            <v xml:space="preserve">     Acquisitions</v>
          </cell>
          <cell r="B9">
            <v>0.03</v>
          </cell>
          <cell r="C9">
            <v>0.03</v>
          </cell>
          <cell r="D9">
            <v>0.03</v>
          </cell>
          <cell r="E9">
            <v>0.02</v>
          </cell>
          <cell r="F9">
            <v>0.02</v>
          </cell>
          <cell r="G9">
            <v>0.01</v>
          </cell>
          <cell r="H9">
            <v>0.01</v>
          </cell>
          <cell r="I9">
            <v>0.01</v>
          </cell>
          <cell r="J9">
            <v>0.02</v>
          </cell>
          <cell r="K9">
            <v>0.02</v>
          </cell>
          <cell r="L9">
            <v>0.01</v>
          </cell>
          <cell r="M9">
            <v>0</v>
          </cell>
          <cell r="N9">
            <v>0.01</v>
          </cell>
          <cell r="O9">
            <v>0</v>
          </cell>
          <cell r="P9">
            <v>0</v>
          </cell>
          <cell r="Q9">
            <v>0</v>
          </cell>
          <cell r="R9">
            <v>0</v>
          </cell>
          <cell r="S9">
            <v>0</v>
          </cell>
          <cell r="T9">
            <v>0</v>
          </cell>
          <cell r="U9">
            <v>0</v>
          </cell>
          <cell r="V9">
            <v>0</v>
          </cell>
          <cell r="W9">
            <v>0.05</v>
          </cell>
          <cell r="X9">
            <v>0.01</v>
          </cell>
          <cell r="Y9">
            <v>0.05</v>
          </cell>
          <cell r="Z9">
            <v>4.9980056980056982E-2</v>
          </cell>
          <cell r="AA9">
            <v>6.9678206136900081E-2</v>
          </cell>
          <cell r="AB9">
            <v>0</v>
          </cell>
          <cell r="AC9">
            <v>0.04</v>
          </cell>
          <cell r="AD9">
            <v>1.0471563524195104E-2</v>
          </cell>
          <cell r="AE9">
            <v>2.0027624309392266E-2</v>
          </cell>
          <cell r="AF9">
            <v>3.0440554339897886E-2</v>
          </cell>
          <cell r="AG9">
            <v>2.964022894521668E-2</v>
          </cell>
          <cell r="AH9">
            <v>2.1550238872666817E-2</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L9">
            <v>0</v>
          </cell>
          <cell r="BM9">
            <v>0</v>
          </cell>
          <cell r="BN9">
            <v>0</v>
          </cell>
          <cell r="BO9">
            <v>0</v>
          </cell>
          <cell r="BP9">
            <v>0</v>
          </cell>
          <cell r="BQ9">
            <v>0</v>
          </cell>
          <cell r="BR9">
            <v>0</v>
          </cell>
          <cell r="BS9">
            <v>0</v>
          </cell>
          <cell r="BT9">
            <v>0</v>
          </cell>
        </row>
        <row r="10">
          <cell r="A10" t="str">
            <v xml:space="preserve">     Divestitures</v>
          </cell>
          <cell r="B10">
            <v>-0.01</v>
          </cell>
          <cell r="C10">
            <v>-0.01</v>
          </cell>
          <cell r="D10">
            <v>-0.04</v>
          </cell>
          <cell r="E10">
            <v>-0.01</v>
          </cell>
          <cell r="F10">
            <v>-0.02</v>
          </cell>
          <cell r="G10">
            <v>-0.03</v>
          </cell>
          <cell r="H10">
            <v>-7.0000000000000007E-2</v>
          </cell>
          <cell r="I10">
            <v>-0.04</v>
          </cell>
          <cell r="J10">
            <v>-0.08</v>
          </cell>
          <cell r="K10">
            <v>-0.05</v>
          </cell>
          <cell r="L10">
            <v>-6.0999999999999999E-2</v>
          </cell>
          <cell r="M10">
            <v>-0.03</v>
          </cell>
          <cell r="N10">
            <v>-0.06</v>
          </cell>
          <cell r="O10">
            <v>-0.02</v>
          </cell>
          <cell r="P10">
            <v>-0.01</v>
          </cell>
          <cell r="Q10">
            <v>-0.02</v>
          </cell>
          <cell r="R10">
            <v>-0.01</v>
          </cell>
          <cell r="S10">
            <v>-0.01</v>
          </cell>
          <cell r="T10">
            <v>-0.01</v>
          </cell>
          <cell r="U10">
            <v>-0.01</v>
          </cell>
          <cell r="V10">
            <v>-5.0152185943552847E-3</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L10">
            <v>0</v>
          </cell>
          <cell r="BM10">
            <v>0</v>
          </cell>
          <cell r="BN10">
            <v>0</v>
          </cell>
          <cell r="BO10">
            <v>0</v>
          </cell>
          <cell r="BP10">
            <v>0</v>
          </cell>
          <cell r="BQ10">
            <v>0</v>
          </cell>
          <cell r="BR10">
            <v>0</v>
          </cell>
          <cell r="BS10">
            <v>0</v>
          </cell>
          <cell r="BT10">
            <v>0</v>
          </cell>
        </row>
        <row r="11">
          <cell r="A11" t="str">
            <v>Acquisitions, net</v>
          </cell>
          <cell r="B11">
            <v>1.9999999999999997E-2</v>
          </cell>
          <cell r="C11">
            <v>1.9999999999999997E-2</v>
          </cell>
          <cell r="D11">
            <v>-1.0000000000000002E-2</v>
          </cell>
          <cell r="E11">
            <v>0.01</v>
          </cell>
          <cell r="F11">
            <v>0</v>
          </cell>
          <cell r="G11">
            <v>-1.9999999999999997E-2</v>
          </cell>
          <cell r="H11">
            <v>-6.0000000000000005E-2</v>
          </cell>
          <cell r="I11">
            <v>-0.03</v>
          </cell>
          <cell r="J11">
            <v>-0.06</v>
          </cell>
          <cell r="K11">
            <v>-3.0000000000000002E-2</v>
          </cell>
          <cell r="L11">
            <v>-5.0999999999999997E-2</v>
          </cell>
          <cell r="M11">
            <v>-0.03</v>
          </cell>
          <cell r="N11">
            <v>-4.9999999999999996E-2</v>
          </cell>
          <cell r="O11">
            <v>-0.02</v>
          </cell>
          <cell r="P11">
            <v>-0.01</v>
          </cell>
          <cell r="Q11">
            <v>-0.02</v>
          </cell>
          <cell r="R11">
            <v>-0.01</v>
          </cell>
          <cell r="S11">
            <v>-0.01</v>
          </cell>
          <cell r="T11">
            <v>-0.01</v>
          </cell>
          <cell r="U11">
            <v>-0.01</v>
          </cell>
          <cell r="V11">
            <v>-5.0152185943552847E-3</v>
          </cell>
          <cell r="W11">
            <v>0.05</v>
          </cell>
          <cell r="X11">
            <v>0.01</v>
          </cell>
          <cell r="Y11">
            <v>0.05</v>
          </cell>
          <cell r="Z11">
            <v>4.9980056980056982E-2</v>
          </cell>
          <cell r="AA11">
            <v>6.9678206136900081E-2</v>
          </cell>
          <cell r="AB11">
            <v>0</v>
          </cell>
          <cell r="AC11">
            <v>0.04</v>
          </cell>
          <cell r="AD11">
            <v>1.0471563524195104E-2</v>
          </cell>
          <cell r="AE11">
            <v>2.0027624309392266E-2</v>
          </cell>
          <cell r="AF11">
            <v>3.0440554339897886E-2</v>
          </cell>
          <cell r="AG11">
            <v>0.03</v>
          </cell>
          <cell r="AH11">
            <v>0.02</v>
          </cell>
          <cell r="AI11">
            <v>0.02</v>
          </cell>
          <cell r="AJ11">
            <v>0</v>
          </cell>
          <cell r="AK11">
            <v>0</v>
          </cell>
          <cell r="AL11">
            <v>0</v>
          </cell>
          <cell r="AM11">
            <v>5.6599999999999992E-3</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-0.02</v>
          </cell>
          <cell r="BG11">
            <v>-0.01</v>
          </cell>
          <cell r="BH11">
            <v>-0.02</v>
          </cell>
          <cell r="BI11">
            <v>-0.02</v>
          </cell>
          <cell r="BJ11">
            <v>-0.03</v>
          </cell>
          <cell r="BL11">
            <v>0</v>
          </cell>
          <cell r="BM11">
            <v>0</v>
          </cell>
          <cell r="BN11">
            <v>0</v>
          </cell>
          <cell r="BO11">
            <v>0</v>
          </cell>
          <cell r="BP11">
            <v>0</v>
          </cell>
          <cell r="BQ11">
            <v>0</v>
          </cell>
          <cell r="BR11">
            <v>0</v>
          </cell>
          <cell r="BS11">
            <v>0</v>
          </cell>
          <cell r="BT11">
            <v>0</v>
          </cell>
          <cell r="IK11" t="str">
            <v>mstag:acquisitionsAndDisposals</v>
          </cell>
          <cell r="IL11">
            <v>6</v>
          </cell>
          <cell r="IM11" t="str">
            <v>ISO4217:USD</v>
          </cell>
          <cell r="IN11" t="b">
            <v>0</v>
          </cell>
          <cell r="IO11" t="b">
            <v>0</v>
          </cell>
        </row>
        <row r="12">
          <cell r="A12" t="str">
            <v>FX</v>
          </cell>
          <cell r="B12">
            <v>0.02</v>
          </cell>
          <cell r="C12">
            <v>0</v>
          </cell>
          <cell r="D12">
            <v>0</v>
          </cell>
          <cell r="E12">
            <v>-0.03</v>
          </cell>
          <cell r="F12">
            <v>-0.03</v>
          </cell>
          <cell r="G12">
            <v>-0.02</v>
          </cell>
          <cell r="H12">
            <v>-0.03</v>
          </cell>
          <cell r="I12">
            <v>-0.02</v>
          </cell>
          <cell r="J12">
            <v>-0.02</v>
          </cell>
          <cell r="K12">
            <v>0</v>
          </cell>
          <cell r="L12">
            <v>-0.01</v>
          </cell>
          <cell r="M12">
            <v>-0.01</v>
          </cell>
          <cell r="N12">
            <v>-9.7000000000000003E-3</v>
          </cell>
          <cell r="O12">
            <v>0</v>
          </cell>
          <cell r="P12">
            <v>-0.01</v>
          </cell>
          <cell r="Q12">
            <v>-0.01</v>
          </cell>
          <cell r="R12">
            <v>-0.02</v>
          </cell>
          <cell r="S12">
            <v>-0.01</v>
          </cell>
          <cell r="T12">
            <v>-0.02</v>
          </cell>
          <cell r="U12">
            <v>-0.02</v>
          </cell>
          <cell r="V12">
            <v>-0.02</v>
          </cell>
          <cell r="W12">
            <v>-0.02</v>
          </cell>
          <cell r="X12">
            <v>-0.03</v>
          </cell>
          <cell r="Y12">
            <v>-0.01</v>
          </cell>
          <cell r="Z12">
            <v>-0.01</v>
          </cell>
          <cell r="AA12">
            <v>0</v>
          </cell>
          <cell r="AB12">
            <v>0.02</v>
          </cell>
          <cell r="AC12">
            <v>0</v>
          </cell>
          <cell r="AD12">
            <v>0.01</v>
          </cell>
          <cell r="AE12">
            <v>0.02</v>
          </cell>
          <cell r="AF12">
            <v>0.04</v>
          </cell>
          <cell r="AG12">
            <v>0.05</v>
          </cell>
          <cell r="AH12">
            <v>0.03</v>
          </cell>
          <cell r="AI12">
            <v>0.04</v>
          </cell>
          <cell r="AJ12">
            <v>0.05</v>
          </cell>
          <cell r="AK12">
            <v>0.05</v>
          </cell>
          <cell r="AL12">
            <v>0.02</v>
          </cell>
          <cell r="AM12">
            <v>0.04</v>
          </cell>
          <cell r="AN12">
            <v>0.02</v>
          </cell>
          <cell r="AO12">
            <v>0.02</v>
          </cell>
          <cell r="AP12">
            <v>0.02</v>
          </cell>
          <cell r="AQ12">
            <v>0.02</v>
          </cell>
          <cell r="AR12">
            <v>0.02</v>
          </cell>
          <cell r="AS12">
            <v>0.01</v>
          </cell>
          <cell r="AT12">
            <v>-0.02</v>
          </cell>
          <cell r="AU12">
            <v>-0.02</v>
          </cell>
          <cell r="AV12">
            <v>0.01</v>
          </cell>
          <cell r="AW12">
            <v>0</v>
          </cell>
          <cell r="AX12">
            <v>0.01</v>
          </cell>
          <cell r="AY12">
            <v>0.01</v>
          </cell>
          <cell r="AZ12">
            <v>0.02</v>
          </cell>
          <cell r="BA12">
            <v>0.03</v>
          </cell>
          <cell r="BB12">
            <v>0.02</v>
          </cell>
          <cell r="BC12">
            <v>0.03</v>
          </cell>
          <cell r="BD12">
            <v>0.03</v>
          </cell>
          <cell r="BE12">
            <v>0.04</v>
          </cell>
          <cell r="BF12">
            <v>-0.01</v>
          </cell>
          <cell r="BG12">
            <v>0.04</v>
          </cell>
          <cell r="BH12">
            <v>-0.01</v>
          </cell>
          <cell r="BI12">
            <v>-0.05</v>
          </cell>
          <cell r="BJ12">
            <v>-0.06</v>
          </cell>
          <cell r="BL12">
            <v>0.01</v>
          </cell>
          <cell r="BM12">
            <v>0.01</v>
          </cell>
          <cell r="BN12">
            <v>0.01</v>
          </cell>
          <cell r="BO12">
            <v>0.01</v>
          </cell>
          <cell r="BP12">
            <v>0.01</v>
          </cell>
          <cell r="BQ12">
            <v>0.01</v>
          </cell>
          <cell r="BR12">
            <v>0.01</v>
          </cell>
          <cell r="BS12">
            <v>0.01</v>
          </cell>
          <cell r="BT12">
            <v>0.01</v>
          </cell>
          <cell r="IK12" t="str">
            <v>mstag:currencyEffect</v>
          </cell>
          <cell r="IL12">
            <v>6</v>
          </cell>
          <cell r="IM12" t="str">
            <v>ISO4217:USD</v>
          </cell>
          <cell r="IN12" t="b">
            <v>0</v>
          </cell>
          <cell r="IO12" t="b">
            <v>0</v>
          </cell>
        </row>
        <row r="13">
          <cell r="A13" t="str">
            <v>Days</v>
          </cell>
          <cell r="AL13">
            <v>-7.0000000000000007E-2</v>
          </cell>
          <cell r="AM13">
            <v>-0.02</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0.08</v>
          </cell>
          <cell r="BG13">
            <v>0.02</v>
          </cell>
          <cell r="BL13">
            <v>0</v>
          </cell>
          <cell r="BM13">
            <v>0</v>
          </cell>
          <cell r="BN13">
            <v>0</v>
          </cell>
          <cell r="BO13">
            <v>0</v>
          </cell>
          <cell r="BP13">
            <v>0</v>
          </cell>
          <cell r="BQ13">
            <v>0</v>
          </cell>
          <cell r="BR13">
            <v>0</v>
          </cell>
          <cell r="BS13">
            <v>0</v>
          </cell>
          <cell r="BT13">
            <v>0</v>
          </cell>
        </row>
        <row r="15">
          <cell r="A15" t="str">
            <v>Sales growth</v>
          </cell>
          <cell r="B15">
            <v>9.0000000000000011E-2</v>
          </cell>
          <cell r="C15">
            <v>0.06</v>
          </cell>
          <cell r="D15">
            <v>4.5999999999999999E-2</v>
          </cell>
          <cell r="E15">
            <v>0.05</v>
          </cell>
          <cell r="F15">
            <v>2.0000000000000004E-2</v>
          </cell>
          <cell r="G15">
            <v>0.02</v>
          </cell>
          <cell r="H15">
            <v>-0.05</v>
          </cell>
          <cell r="I15">
            <v>9.9999999999999985E-3</v>
          </cell>
          <cell r="J15">
            <v>-9.9999999999999915E-3</v>
          </cell>
          <cell r="K15">
            <v>-8.8999999999999996E-2</v>
          </cell>
          <cell r="L15">
            <v>-5.0999999999999997E-2</v>
          </cell>
          <cell r="M15">
            <v>0</v>
          </cell>
          <cell r="N15">
            <v>-3.9699999999999999E-2</v>
          </cell>
          <cell r="O15">
            <v>-0.02</v>
          </cell>
          <cell r="P15">
            <v>0.05</v>
          </cell>
          <cell r="Q15">
            <v>-6.9999999999999993E-2</v>
          </cell>
          <cell r="R15">
            <v>-0.08</v>
          </cell>
          <cell r="S15">
            <v>-0.02</v>
          </cell>
          <cell r="T15">
            <v>-1.0000000000000002E-2</v>
          </cell>
          <cell r="U15">
            <v>0.02</v>
          </cell>
          <cell r="V15">
            <v>2.498478140564472E-2</v>
          </cell>
          <cell r="W15">
            <v>0.08</v>
          </cell>
          <cell r="X15">
            <v>3.0000000000000006E-2</v>
          </cell>
          <cell r="Y15">
            <v>0.09</v>
          </cell>
          <cell r="Z15">
            <v>2.9980056980056981E-2</v>
          </cell>
          <cell r="AA15">
            <v>7.9678206136900076E-2</v>
          </cell>
          <cell r="AB15">
            <v>0.05</v>
          </cell>
          <cell r="AC15">
            <v>6.0000000000000005E-2</v>
          </cell>
          <cell r="AD15">
            <v>-9.5284364758048933E-3</v>
          </cell>
          <cell r="AE15">
            <v>6.002762430939227E-2</v>
          </cell>
          <cell r="AF15">
            <v>0.17044055433989788</v>
          </cell>
          <cell r="AG15">
            <v>0.19</v>
          </cell>
          <cell r="AH15">
            <v>0.09</v>
          </cell>
          <cell r="AI15">
            <v>0.12000000000000001</v>
          </cell>
          <cell r="AJ15">
            <v>9.0000000000000011E-2</v>
          </cell>
          <cell r="AK15">
            <v>0.04</v>
          </cell>
          <cell r="AL15">
            <v>-2.0000000000000004E-2</v>
          </cell>
          <cell r="AM15">
            <v>6.2189999999999995E-2</v>
          </cell>
          <cell r="AN15">
            <v>0.1</v>
          </cell>
          <cell r="AO15">
            <v>6.0000000000000005E-2</v>
          </cell>
          <cell r="AP15">
            <v>0.04</v>
          </cell>
          <cell r="AQ15">
            <v>4.9999999999999996E-2</v>
          </cell>
          <cell r="AR15">
            <v>6.0000000000000005E-2</v>
          </cell>
          <cell r="AS15">
            <v>1.0000000000000004E-2</v>
          </cell>
          <cell r="AT15">
            <v>3.0000000000000002E-2</v>
          </cell>
          <cell r="AU15">
            <v>6.0000000000000005E-2</v>
          </cell>
          <cell r="AV15">
            <v>0.04</v>
          </cell>
          <cell r="AW15">
            <v>0.04</v>
          </cell>
          <cell r="AX15">
            <v>7.9999999999999988E-2</v>
          </cell>
          <cell r="AY15">
            <v>0.04</v>
          </cell>
          <cell r="AZ15">
            <v>8.0000000000000016E-2</v>
          </cell>
          <cell r="BA15">
            <v>9.9999999999999992E-2</v>
          </cell>
          <cell r="BB15">
            <v>7.0000000000000007E-2</v>
          </cell>
          <cell r="BC15">
            <v>7.0000000000000007E-2</v>
          </cell>
          <cell r="BD15">
            <v>7.0000000000000007E-2</v>
          </cell>
          <cell r="BE15">
            <v>7.0000000000000007E-2</v>
          </cell>
          <cell r="BF15">
            <v>0.13</v>
          </cell>
          <cell r="BG15">
            <v>0.08</v>
          </cell>
          <cell r="BH15">
            <v>2.9999999999999995E-2</v>
          </cell>
          <cell r="BI15">
            <v>-4.0000000000000008E-2</v>
          </cell>
          <cell r="BJ15">
            <v>-9.9999999999999992E-2</v>
          </cell>
          <cell r="BL15">
            <v>0.03</v>
          </cell>
          <cell r="BM15">
            <v>0.03</v>
          </cell>
          <cell r="BN15">
            <v>0.03</v>
          </cell>
          <cell r="BO15">
            <v>0.03</v>
          </cell>
          <cell r="BP15">
            <v>0.03</v>
          </cell>
          <cell r="BQ15">
            <v>0.03</v>
          </cell>
          <cell r="BR15">
            <v>0.03</v>
          </cell>
          <cell r="BS15">
            <v>0.03</v>
          </cell>
          <cell r="BT15">
            <v>0.03</v>
          </cell>
          <cell r="IK15" t="str">
            <v>mstag:reportedSalesGrowth</v>
          </cell>
          <cell r="IL15">
            <v>0</v>
          </cell>
          <cell r="IM15" t="str">
            <v>ms_eqr_gcim_Decimal:ms_eqr_gcim_decimal</v>
          </cell>
          <cell r="IN15" t="b">
            <v>0</v>
          </cell>
          <cell r="IO15" t="b">
            <v>0</v>
          </cell>
        </row>
        <row r="16">
          <cell r="A16" t="str">
            <v>Check</v>
          </cell>
          <cell r="Y16">
            <v>9.3611638203668565E-2</v>
          </cell>
          <cell r="Z16">
            <v>3.1339031339031341E-2</v>
          </cell>
          <cell r="AA16">
            <v>7.8678206136900075E-2</v>
          </cell>
          <cell r="AB16">
            <v>5.0687285223367698E-2</v>
          </cell>
          <cell r="AC16">
            <v>6.2727430254721883E-2</v>
          </cell>
          <cell r="AD16">
            <v>-1.3880855986119144E-2</v>
          </cell>
          <cell r="AE16">
            <v>5.9668508287292817E-2</v>
          </cell>
          <cell r="AF16">
            <v>0.16703136396790663</v>
          </cell>
          <cell r="AG16">
            <v>0.18969746524938674</v>
          </cell>
          <cell r="AH16">
            <v>8.8863525191586495E-2</v>
          </cell>
          <cell r="AI16">
            <v>0.11964809384164223</v>
          </cell>
          <cell r="AJ16">
            <v>9.4890510948905105E-2</v>
          </cell>
          <cell r="AK16">
            <v>4.1875000000000002E-2</v>
          </cell>
          <cell r="AL16">
            <v>-1.5120274914089347E-2</v>
          </cell>
          <cell r="AM16">
            <v>6.4540281521413598E-2</v>
          </cell>
          <cell r="AN16">
            <v>9.5337873232058667E-2</v>
          </cell>
          <cell r="AO16">
            <v>6.2441215070810442E-2</v>
          </cell>
          <cell r="AP16">
            <v>3.0159478187763607E-2</v>
          </cell>
          <cell r="AQ16">
            <v>0.11009002634520092</v>
          </cell>
          <cell r="AR16">
            <v>6.1752707835138559E-2</v>
          </cell>
          <cell r="AS16">
            <v>9.0865614538498327E-3</v>
          </cell>
          <cell r="AT16">
            <v>2.6090868196131354E-2</v>
          </cell>
          <cell r="AU16">
            <v>1.7848864163189614E-2</v>
          </cell>
          <cell r="AV16">
            <v>-2.9372496662216287E-2</v>
          </cell>
          <cell r="AW16">
            <v>1.7620561738208796E-2</v>
          </cell>
          <cell r="AX16">
            <v>2.0379146919431212E-2</v>
          </cell>
          <cell r="AY16">
            <v>-1.2713722051731713E-2</v>
          </cell>
          <cell r="AZ16">
            <v>1.7429193899782147E-2</v>
          </cell>
          <cell r="BA16">
            <v>9.6286107290233902E-2</v>
          </cell>
          <cell r="BB16" t="e">
            <v>#REF!</v>
          </cell>
          <cell r="BC16" t="e">
            <v>#REF!</v>
          </cell>
          <cell r="BD16" t="e">
            <v>#REF!</v>
          </cell>
          <cell r="BE16" t="e">
            <v>#REF!</v>
          </cell>
          <cell r="BF16" t="e">
            <v>#REF!</v>
          </cell>
          <cell r="BG16" t="e">
            <v>#REF!</v>
          </cell>
          <cell r="BL16">
            <v>3.1582374403315461E-2</v>
          </cell>
          <cell r="BM16">
            <v>3.7982083715829784E-2</v>
          </cell>
          <cell r="BN16">
            <v>5.8847311297468785E-2</v>
          </cell>
          <cell r="BO16" t="e">
            <v>#REF!</v>
          </cell>
          <cell r="BP16" t="e">
            <v>#REF!</v>
          </cell>
          <cell r="BQ16" t="e">
            <v>#REF!</v>
          </cell>
          <cell r="BR16" t="e">
            <v>#REF!</v>
          </cell>
          <cell r="BS16" t="e">
            <v>#REF!</v>
          </cell>
          <cell r="BT16" t="e">
            <v>#REF!</v>
          </cell>
        </row>
        <row r="17">
          <cell r="A17" t="str">
            <v>Organic growth</v>
          </cell>
          <cell r="X17">
            <v>0.05</v>
          </cell>
          <cell r="Y17">
            <v>6.9999999999999993E-2</v>
          </cell>
          <cell r="Z17">
            <v>0.01</v>
          </cell>
          <cell r="AA17">
            <v>0.01</v>
          </cell>
          <cell r="AB17">
            <v>0.05</v>
          </cell>
          <cell r="AC17">
            <v>0.03</v>
          </cell>
          <cell r="AD17">
            <v>-1.9999999999999997E-2</v>
          </cell>
          <cell r="AE17">
            <v>0.03</v>
          </cell>
          <cell r="AF17">
            <v>0.08</v>
          </cell>
          <cell r="AG17">
            <v>0.08</v>
          </cell>
          <cell r="AH17">
            <v>0.04</v>
          </cell>
          <cell r="AI17">
            <v>0.04</v>
          </cell>
          <cell r="AJ17">
            <v>0.05</v>
          </cell>
          <cell r="AK17">
            <v>0</v>
          </cell>
          <cell r="AL17">
            <v>0.05</v>
          </cell>
          <cell r="AM17">
            <v>0.04</v>
          </cell>
          <cell r="AN17">
            <v>0.08</v>
          </cell>
          <cell r="AO17">
            <v>0.04</v>
          </cell>
          <cell r="AP17">
            <v>0.02</v>
          </cell>
          <cell r="AQ17">
            <v>0.03</v>
          </cell>
          <cell r="AR17">
            <v>0.04</v>
          </cell>
          <cell r="AS17">
            <v>0</v>
          </cell>
          <cell r="AT17">
            <v>0.05</v>
          </cell>
          <cell r="AU17">
            <v>0.08</v>
          </cell>
          <cell r="AV17">
            <v>0.03</v>
          </cell>
          <cell r="AW17">
            <v>0.04</v>
          </cell>
          <cell r="AX17">
            <v>6.9999999999999993E-2</v>
          </cell>
          <cell r="AY17">
            <v>0.03</v>
          </cell>
          <cell r="AZ17">
            <v>6.0000000000000005E-2</v>
          </cell>
          <cell r="BA17">
            <v>6.9999999999999993E-2</v>
          </cell>
          <cell r="BB17">
            <v>0.05</v>
          </cell>
          <cell r="BC17">
            <v>0.04</v>
          </cell>
          <cell r="BD17">
            <v>0.04</v>
          </cell>
          <cell r="BE17">
            <v>0.03</v>
          </cell>
          <cell r="BG17">
            <v>0.03</v>
          </cell>
          <cell r="BL17">
            <v>0.02</v>
          </cell>
          <cell r="BM17">
            <v>0.02</v>
          </cell>
          <cell r="BN17">
            <v>0.02</v>
          </cell>
          <cell r="BO17">
            <v>0.02</v>
          </cell>
          <cell r="BP17">
            <v>0.02</v>
          </cell>
          <cell r="BQ17">
            <v>0.02</v>
          </cell>
          <cell r="BR17">
            <v>0.02</v>
          </cell>
          <cell r="BS17">
            <v>0.02</v>
          </cell>
          <cell r="BT17">
            <v>0.02</v>
          </cell>
          <cell r="IK17" t="str">
            <v>mstag:organicSalesGrowth</v>
          </cell>
          <cell r="IL17">
            <v>0</v>
          </cell>
          <cell r="IM17" t="str">
            <v>ms_eqr_gcim_Decimal:ms_eqr_gcim_decimal</v>
          </cell>
          <cell r="IN17" t="b">
            <v>0</v>
          </cell>
          <cell r="IO17" t="b">
            <v>0</v>
          </cell>
        </row>
        <row r="20">
          <cell r="A20" t="str">
            <v>Soup Sales</v>
          </cell>
          <cell r="B20">
            <v>1995</v>
          </cell>
          <cell r="C20">
            <v>1996</v>
          </cell>
          <cell r="D20">
            <v>1997</v>
          </cell>
          <cell r="E20" t="str">
            <v>1Q98</v>
          </cell>
          <cell r="F20" t="str">
            <v>2Q98</v>
          </cell>
          <cell r="G20" t="str">
            <v>3Q98</v>
          </cell>
          <cell r="H20" t="str">
            <v>4Q98</v>
          </cell>
          <cell r="I20">
            <v>1998</v>
          </cell>
          <cell r="J20" t="str">
            <v>1Q99</v>
          </cell>
          <cell r="K20" t="str">
            <v>2Q99</v>
          </cell>
          <cell r="L20" t="str">
            <v>3Q99</v>
          </cell>
          <cell r="M20" t="str">
            <v>4Q99</v>
          </cell>
          <cell r="N20">
            <v>1999</v>
          </cell>
          <cell r="O20" t="str">
            <v>1Q00</v>
          </cell>
          <cell r="P20" t="str">
            <v>2Q00</v>
          </cell>
          <cell r="Q20" t="str">
            <v>3Q00</v>
          </cell>
          <cell r="R20" t="str">
            <v>4Q00</v>
          </cell>
          <cell r="S20">
            <v>2000</v>
          </cell>
          <cell r="T20" t="str">
            <v>1Q01</v>
          </cell>
          <cell r="U20" t="str">
            <v>2Q01</v>
          </cell>
          <cell r="V20" t="str">
            <v>3Q01</v>
          </cell>
          <cell r="W20" t="str">
            <v>4Q01</v>
          </cell>
          <cell r="X20">
            <v>2001</v>
          </cell>
          <cell r="Y20" t="str">
            <v>1Q02</v>
          </cell>
          <cell r="Z20" t="str">
            <v>2Q02</v>
          </cell>
          <cell r="AA20" t="str">
            <v>3Q02</v>
          </cell>
          <cell r="AB20" t="str">
            <v>4Q02</v>
          </cell>
          <cell r="AC20">
            <v>2002</v>
          </cell>
          <cell r="AD20" t="str">
            <v>1Q03</v>
          </cell>
          <cell r="AE20" t="str">
            <v>2Q03</v>
          </cell>
          <cell r="AF20" t="str">
            <v>3Q03</v>
          </cell>
          <cell r="AG20" t="str">
            <v>4Q03</v>
          </cell>
          <cell r="AH20">
            <v>2003</v>
          </cell>
          <cell r="AI20" t="str">
            <v>1Q04</v>
          </cell>
          <cell r="AJ20" t="str">
            <v>2Q04</v>
          </cell>
          <cell r="AK20" t="str">
            <v>3Q04</v>
          </cell>
          <cell r="AL20" t="str">
            <v>4Q04</v>
          </cell>
          <cell r="AM20">
            <v>2004</v>
          </cell>
          <cell r="AN20" t="str">
            <v>1Q05</v>
          </cell>
          <cell r="AO20" t="str">
            <v>2Q05</v>
          </cell>
          <cell r="AP20" t="str">
            <v>3Q05</v>
          </cell>
          <cell r="AQ20" t="str">
            <v>4Q05</v>
          </cell>
          <cell r="AR20">
            <v>2005</v>
          </cell>
          <cell r="AS20" t="str">
            <v>1Q06</v>
          </cell>
          <cell r="AT20" t="str">
            <v>2Q06</v>
          </cell>
          <cell r="AU20" t="str">
            <v>3Q06</v>
          </cell>
          <cell r="AV20" t="str">
            <v>4Q06</v>
          </cell>
          <cell r="AW20">
            <v>2006</v>
          </cell>
          <cell r="AX20" t="str">
            <v>1Q07</v>
          </cell>
          <cell r="AY20" t="str">
            <v>2Q07</v>
          </cell>
          <cell r="AZ20" t="str">
            <v>3Q07</v>
          </cell>
          <cell r="BA20" t="str">
            <v>4Q07</v>
          </cell>
          <cell r="BB20">
            <v>2007</v>
          </cell>
          <cell r="BC20" t="str">
            <v>1Q08</v>
          </cell>
          <cell r="BD20" t="str">
            <v>2Q08</v>
          </cell>
          <cell r="BE20" t="str">
            <v>3Q08</v>
          </cell>
          <cell r="BF20" t="str">
            <v>4Q08</v>
          </cell>
          <cell r="BG20">
            <v>2008</v>
          </cell>
          <cell r="BH20" t="str">
            <v>1Q09</v>
          </cell>
          <cell r="BI20" t="str">
            <v>2Q09</v>
          </cell>
          <cell r="BJ20" t="str">
            <v>3Q09</v>
          </cell>
          <cell r="BK20" t="str">
            <v>4Q09</v>
          </cell>
          <cell r="BL20">
            <v>2009</v>
          </cell>
          <cell r="BM20">
            <v>2010</v>
          </cell>
          <cell r="BN20" t="str">
            <v>2011E</v>
          </cell>
          <cell r="BO20" t="str">
            <v>2012E</v>
          </cell>
          <cell r="BP20" t="str">
            <v>2013E</v>
          </cell>
          <cell r="BQ20" t="str">
            <v>2014E</v>
          </cell>
          <cell r="BR20" t="str">
            <v>2015E</v>
          </cell>
          <cell r="BS20" t="str">
            <v>2016E</v>
          </cell>
          <cell r="BT20" t="str">
            <v>2017E</v>
          </cell>
        </row>
        <row r="21">
          <cell r="A21" t="str">
            <v>US Soup Format</v>
          </cell>
        </row>
        <row r="22">
          <cell r="A22" t="str">
            <v>Condensed</v>
          </cell>
          <cell r="S22">
            <v>-7.0000000000000007E-2</v>
          </cell>
          <cell r="X22">
            <v>-0.02</v>
          </cell>
          <cell r="Y22">
            <v>0.01</v>
          </cell>
          <cell r="Z22">
            <v>-0.13</v>
          </cell>
          <cell r="AA22">
            <v>-0.03</v>
          </cell>
          <cell r="AB22">
            <v>-0.02</v>
          </cell>
          <cell r="AC22">
            <v>-0.05</v>
          </cell>
          <cell r="AD22">
            <v>-0.14000000000000001</v>
          </cell>
          <cell r="AE22">
            <v>-0.03</v>
          </cell>
          <cell r="AF22">
            <v>0.02</v>
          </cell>
          <cell r="AG22">
            <v>-0.05</v>
          </cell>
          <cell r="AH22">
            <v>-0.06</v>
          </cell>
          <cell r="AI22">
            <v>-7.0000000000000007E-2</v>
          </cell>
          <cell r="AJ22">
            <v>-0.02</v>
          </cell>
          <cell r="AK22">
            <v>-0.06</v>
          </cell>
          <cell r="AL22">
            <v>0.02</v>
          </cell>
          <cell r="AM22">
            <v>0.06</v>
          </cell>
          <cell r="AN22">
            <v>0.1</v>
          </cell>
          <cell r="AO22">
            <v>0.04</v>
          </cell>
          <cell r="AP22">
            <v>0.04</v>
          </cell>
          <cell r="AQ22">
            <v>0.19</v>
          </cell>
          <cell r="AR22">
            <v>0.08</v>
          </cell>
          <cell r="AS22">
            <v>0.01</v>
          </cell>
          <cell r="AT22">
            <v>0.06</v>
          </cell>
          <cell r="AU22">
            <v>0.11</v>
          </cell>
          <cell r="AV22">
            <v>0.04</v>
          </cell>
          <cell r="AW22">
            <v>0.05</v>
          </cell>
          <cell r="AX22">
            <v>7.0000000000000007E-2</v>
          </cell>
          <cell r="AY22">
            <v>0</v>
          </cell>
          <cell r="AZ22">
            <v>0.04</v>
          </cell>
          <cell r="BA22">
            <v>0.01</v>
          </cell>
          <cell r="BB22">
            <v>0.03</v>
          </cell>
          <cell r="BC22">
            <v>-0.02</v>
          </cell>
          <cell r="BD22">
            <v>-0.01</v>
          </cell>
          <cell r="BE22">
            <v>0</v>
          </cell>
          <cell r="BF22">
            <v>0.06</v>
          </cell>
          <cell r="BG22">
            <v>0</v>
          </cell>
          <cell r="BH22">
            <v>0.14000000000000001</v>
          </cell>
          <cell r="BI22">
            <v>0.01</v>
          </cell>
          <cell r="BJ22">
            <v>0.02</v>
          </cell>
          <cell r="BK22">
            <v>0.04</v>
          </cell>
        </row>
        <row r="23">
          <cell r="A23" t="str">
            <v>RTS Soup</v>
          </cell>
          <cell r="X23">
            <v>0.2</v>
          </cell>
          <cell r="Y23">
            <v>0.17</v>
          </cell>
          <cell r="Z23">
            <v>0.01</v>
          </cell>
          <cell r="AA23">
            <v>0.09</v>
          </cell>
          <cell r="AB23">
            <v>0.12</v>
          </cell>
          <cell r="AC23">
            <v>0.09</v>
          </cell>
          <cell r="AD23">
            <v>-0.01</v>
          </cell>
          <cell r="AE23">
            <v>0.04</v>
          </cell>
          <cell r="AF23">
            <v>0.17</v>
          </cell>
          <cell r="AG23">
            <v>0.28999999999999998</v>
          </cell>
          <cell r="AH23">
            <v>0.08</v>
          </cell>
          <cell r="AI23">
            <v>0.06</v>
          </cell>
          <cell r="AJ23">
            <v>0.17</v>
          </cell>
          <cell r="AK23">
            <v>-0.09</v>
          </cell>
          <cell r="AL23">
            <v>0.04</v>
          </cell>
          <cell r="AM23">
            <v>-0.04</v>
          </cell>
          <cell r="AN23">
            <v>0.18</v>
          </cell>
          <cell r="AO23">
            <v>-0.09</v>
          </cell>
          <cell r="AP23">
            <v>-0.06</v>
          </cell>
          <cell r="AQ23">
            <v>-0.18</v>
          </cell>
          <cell r="AR23">
            <v>-0.01</v>
          </cell>
          <cell r="AS23">
            <v>-0.17</v>
          </cell>
          <cell r="AT23">
            <v>0.09</v>
          </cell>
          <cell r="AU23">
            <v>0.17</v>
          </cell>
          <cell r="AV23">
            <v>0.2</v>
          </cell>
          <cell r="AW23">
            <v>0.01</v>
          </cell>
          <cell r="AX23">
            <v>0.15</v>
          </cell>
          <cell r="AY23">
            <v>-0.06</v>
          </cell>
          <cell r="AZ23">
            <v>0.17</v>
          </cell>
          <cell r="BA23">
            <v>-0.04</v>
          </cell>
          <cell r="BB23">
            <v>0.05</v>
          </cell>
          <cell r="BC23">
            <v>-0.02</v>
          </cell>
          <cell r="BD23">
            <v>0.08</v>
          </cell>
          <cell r="BE23">
            <v>-0.09</v>
          </cell>
          <cell r="BF23">
            <v>0.05</v>
          </cell>
          <cell r="BG23">
            <v>0.01</v>
          </cell>
          <cell r="BH23">
            <v>7.0000000000000007E-2</v>
          </cell>
          <cell r="BI23">
            <v>7.0000000000000007E-2</v>
          </cell>
          <cell r="BJ23">
            <v>-7.0000000000000007E-2</v>
          </cell>
          <cell r="BK23">
            <v>0.14000000000000001</v>
          </cell>
        </row>
        <row r="24">
          <cell r="A24" t="str">
            <v>RTS Broth</v>
          </cell>
          <cell r="Z24">
            <v>0.03</v>
          </cell>
          <cell r="AA24">
            <v>-0.03</v>
          </cell>
          <cell r="AC24">
            <v>0.04</v>
          </cell>
          <cell r="AD24">
            <v>-0.06</v>
          </cell>
          <cell r="AE24">
            <v>0.2</v>
          </cell>
          <cell r="AF24">
            <v>0.38</v>
          </cell>
          <cell r="AG24">
            <v>0.22</v>
          </cell>
          <cell r="AH24">
            <v>0.13</v>
          </cell>
          <cell r="AI24">
            <v>0.14000000000000001</v>
          </cell>
          <cell r="AJ24">
            <v>0.01</v>
          </cell>
          <cell r="AK24">
            <v>-7.0000000000000007E-2</v>
          </cell>
          <cell r="AL24">
            <v>0</v>
          </cell>
          <cell r="AM24">
            <v>0.05</v>
          </cell>
          <cell r="AN24">
            <v>7.0000000000000007E-2</v>
          </cell>
          <cell r="AO24">
            <v>0.15</v>
          </cell>
          <cell r="AP24">
            <v>7.0000000000000007E-2</v>
          </cell>
          <cell r="AQ24">
            <v>0.28000000000000003</v>
          </cell>
          <cell r="AR24">
            <v>0.12</v>
          </cell>
          <cell r="AS24">
            <v>0.09</v>
          </cell>
          <cell r="AT24">
            <v>0.06</v>
          </cell>
          <cell r="AU24">
            <v>0.3</v>
          </cell>
          <cell r="AV24">
            <v>0.05</v>
          </cell>
          <cell r="AW24">
            <v>0.11</v>
          </cell>
          <cell r="AX24">
            <v>0.08</v>
          </cell>
          <cell r="AY24">
            <v>0.15</v>
          </cell>
          <cell r="AZ24">
            <v>0.17</v>
          </cell>
          <cell r="BA24">
            <v>0.08</v>
          </cell>
          <cell r="BB24">
            <v>0.12</v>
          </cell>
          <cell r="BC24">
            <v>0.08</v>
          </cell>
          <cell r="BD24">
            <v>0.18</v>
          </cell>
          <cell r="BE24">
            <v>0.05</v>
          </cell>
          <cell r="BF24">
            <v>0.13</v>
          </cell>
          <cell r="BG24">
            <v>0.11</v>
          </cell>
          <cell r="BH24">
            <v>0.23</v>
          </cell>
          <cell r="BI24">
            <v>0.03</v>
          </cell>
          <cell r="BJ24">
            <v>-0.02</v>
          </cell>
          <cell r="BK24">
            <v>7.0000000000000007E-2</v>
          </cell>
        </row>
        <row r="25">
          <cell r="A25" t="str">
            <v>TOTAL SOUP SALES</v>
          </cell>
          <cell r="AS25">
            <v>-0.06</v>
          </cell>
          <cell r="AT25">
            <v>7.0000000000000007E-2</v>
          </cell>
          <cell r="AU25">
            <v>0.15</v>
          </cell>
          <cell r="AV25">
            <v>0.09</v>
          </cell>
          <cell r="AW25">
            <v>0.04</v>
          </cell>
          <cell r="AX25">
            <v>0.1</v>
          </cell>
          <cell r="AY25">
            <v>-0.01</v>
          </cell>
          <cell r="AZ25">
            <v>0.1</v>
          </cell>
          <cell r="BA25">
            <v>0</v>
          </cell>
          <cell r="BB25">
            <v>0.05</v>
          </cell>
          <cell r="BC25">
            <v>-0.01</v>
          </cell>
          <cell r="BD25">
            <v>0.04</v>
          </cell>
          <cell r="BE25">
            <v>-0.03</v>
          </cell>
          <cell r="BF25">
            <v>0.06</v>
          </cell>
          <cell r="BG25">
            <v>0.01</v>
          </cell>
          <cell r="BH25">
            <v>0.12</v>
          </cell>
          <cell r="BI25">
            <v>0.04</v>
          </cell>
          <cell r="BJ25">
            <v>-0.02</v>
          </cell>
          <cell r="BK25">
            <v>7.0000000000000007E-2</v>
          </cell>
        </row>
        <row r="26">
          <cell r="A26" t="str">
            <v>US Soup Use</v>
          </cell>
        </row>
        <row r="27">
          <cell r="A27" t="str">
            <v>Eating</v>
          </cell>
          <cell r="X27">
            <v>0.06</v>
          </cell>
          <cell r="Y27">
            <v>7.0000000000000007E-2</v>
          </cell>
          <cell r="Z27">
            <v>-0.08</v>
          </cell>
          <cell r="AA27">
            <v>0.03</v>
          </cell>
          <cell r="AC27">
            <v>-0.01</v>
          </cell>
          <cell r="AD27">
            <v>-0.1</v>
          </cell>
          <cell r="AE27">
            <v>0.01</v>
          </cell>
          <cell r="AF27">
            <v>0.11</v>
          </cell>
          <cell r="AG27">
            <v>-1.999999999999999E-2</v>
          </cell>
          <cell r="AH27">
            <v>0</v>
          </cell>
        </row>
        <row r="28">
          <cell r="A28" t="str">
            <v>Cooking</v>
          </cell>
          <cell r="X28">
            <v>0.03</v>
          </cell>
          <cell r="Y28">
            <v>0.04</v>
          </cell>
          <cell r="Z28">
            <v>-0.05</v>
          </cell>
          <cell r="AA28">
            <v>-0.03</v>
          </cell>
          <cell r="AC28">
            <v>0.01</v>
          </cell>
          <cell r="AD28">
            <v>-0.05</v>
          </cell>
          <cell r="AE28">
            <v>0.08</v>
          </cell>
          <cell r="AF28">
            <v>0.11</v>
          </cell>
          <cell r="AG28">
            <v>1.999999999999999E-2</v>
          </cell>
          <cell r="AH28">
            <v>0.04</v>
          </cell>
        </row>
        <row r="29">
          <cell r="A29" t="str">
            <v>Soup Consumption</v>
          </cell>
          <cell r="I29">
            <v>-1.0999999999999999E-2</v>
          </cell>
          <cell r="N29">
            <v>1.7999999999999999E-2</v>
          </cell>
          <cell r="O29">
            <v>-0.04</v>
          </cell>
          <cell r="P29">
            <v>-0.02</v>
          </cell>
          <cell r="Q29">
            <v>-0.09</v>
          </cell>
          <cell r="R29">
            <v>-1.9999999999999983E-2</v>
          </cell>
          <cell r="S29">
            <v>-4.4999999999999998E-2</v>
          </cell>
          <cell r="T29">
            <v>0.03</v>
          </cell>
          <cell r="U29">
            <v>0.05</v>
          </cell>
          <cell r="V29">
            <v>0.12</v>
          </cell>
          <cell r="W29">
            <v>0.04</v>
          </cell>
          <cell r="X29">
            <v>0.05</v>
          </cell>
        </row>
        <row r="31">
          <cell r="A31" t="str">
            <v>U.S. Wet Soup Shipments</v>
          </cell>
          <cell r="B31">
            <v>0.01</v>
          </cell>
          <cell r="C31">
            <v>0.03</v>
          </cell>
          <cell r="D31">
            <v>0.02</v>
          </cell>
          <cell r="E31">
            <v>0.02</v>
          </cell>
          <cell r="F31">
            <v>0.02</v>
          </cell>
          <cell r="G31">
            <v>-0.08</v>
          </cell>
          <cell r="I31">
            <v>0.01</v>
          </cell>
          <cell r="J31">
            <v>0.04</v>
          </cell>
          <cell r="K31">
            <v>-0.2</v>
          </cell>
          <cell r="L31">
            <v>-0.09</v>
          </cell>
          <cell r="N31">
            <v>-0.06</v>
          </cell>
          <cell r="O31">
            <v>-0.06</v>
          </cell>
          <cell r="P31">
            <v>0.12</v>
          </cell>
          <cell r="Q31">
            <v>-0.08</v>
          </cell>
          <cell r="R31">
            <v>-0.13</v>
          </cell>
          <cell r="S31">
            <v>-0.03</v>
          </cell>
          <cell r="T31">
            <v>0.04</v>
          </cell>
          <cell r="U31">
            <v>0.06</v>
          </cell>
          <cell r="V31">
            <v>7.0000000000000007E-2</v>
          </cell>
          <cell r="W31">
            <v>0.05</v>
          </cell>
          <cell r="X31">
            <v>0.06</v>
          </cell>
          <cell r="Y31">
            <v>0.06</v>
          </cell>
          <cell r="Z31">
            <v>-0.06</v>
          </cell>
          <cell r="AA31">
            <v>0.02</v>
          </cell>
          <cell r="AB31">
            <v>0.03</v>
          </cell>
          <cell r="AC31">
            <v>0.01</v>
          </cell>
          <cell r="AD31">
            <v>-0.08</v>
          </cell>
          <cell r="AE31">
            <v>0.04</v>
          </cell>
          <cell r="AF31">
            <v>0.1</v>
          </cell>
          <cell r="AG31">
            <v>7.0000000000000007E-2</v>
          </cell>
          <cell r="AH31">
            <v>0.02</v>
          </cell>
        </row>
        <row r="32">
          <cell r="A32" t="str">
            <v>International Wet Soup</v>
          </cell>
          <cell r="B32">
            <v>0.08</v>
          </cell>
          <cell r="C32">
            <v>7.0000000000000007E-2</v>
          </cell>
          <cell r="J32" t="str">
            <v>up</v>
          </cell>
          <cell r="K32" t="str">
            <v>up</v>
          </cell>
          <cell r="L32">
            <v>0.04</v>
          </cell>
          <cell r="N32">
            <v>0</v>
          </cell>
          <cell r="O32">
            <v>-0.02</v>
          </cell>
          <cell r="P32">
            <v>0.01</v>
          </cell>
          <cell r="Q32">
            <v>0.01</v>
          </cell>
          <cell r="S32">
            <v>-0.01</v>
          </cell>
          <cell r="T32">
            <v>0.04</v>
          </cell>
          <cell r="U32">
            <v>-0.01</v>
          </cell>
          <cell r="V32">
            <v>0.09</v>
          </cell>
          <cell r="W32">
            <v>0.04</v>
          </cell>
          <cell r="X32">
            <v>0.04</v>
          </cell>
          <cell r="Y32">
            <v>0.11</v>
          </cell>
          <cell r="Z32">
            <v>0.04</v>
          </cell>
          <cell r="AA32">
            <v>-0.03</v>
          </cell>
          <cell r="AB32">
            <v>0.01</v>
          </cell>
          <cell r="AC32">
            <v>0.02</v>
          </cell>
          <cell r="AD32">
            <v>-0.01</v>
          </cell>
          <cell r="AE32">
            <v>-0.01</v>
          </cell>
          <cell r="AF32">
            <v>0.08</v>
          </cell>
          <cell r="AG32">
            <v>0.03</v>
          </cell>
          <cell r="AH32">
            <v>0.02</v>
          </cell>
        </row>
        <row r="34">
          <cell r="A34" t="str">
            <v>Worldwide soup</v>
          </cell>
          <cell r="B34">
            <v>0.02</v>
          </cell>
          <cell r="C34">
            <v>0.02</v>
          </cell>
          <cell r="D34">
            <v>7.0000000000000007E-2</v>
          </cell>
          <cell r="E34">
            <v>0.06</v>
          </cell>
          <cell r="F34">
            <v>7.0000000000000007E-2</v>
          </cell>
          <cell r="G34">
            <v>-0.03</v>
          </cell>
          <cell r="H34">
            <v>0.08</v>
          </cell>
          <cell r="I34">
            <v>0.04</v>
          </cell>
          <cell r="J34">
            <v>7.0000000000000007E-2</v>
          </cell>
          <cell r="K34">
            <v>-0.15</v>
          </cell>
          <cell r="L34">
            <v>-0.06</v>
          </cell>
          <cell r="M34">
            <v>0</v>
          </cell>
          <cell r="N34">
            <v>-0.08</v>
          </cell>
          <cell r="O34">
            <v>-0.06</v>
          </cell>
          <cell r="P34">
            <v>0.09</v>
          </cell>
          <cell r="Q34">
            <v>-0.05</v>
          </cell>
          <cell r="R34">
            <v>-0.09</v>
          </cell>
          <cell r="S34">
            <v>-0.02</v>
          </cell>
          <cell r="T34">
            <v>0.04</v>
          </cell>
          <cell r="U34">
            <v>0.04</v>
          </cell>
          <cell r="V34">
            <v>0.08</v>
          </cell>
          <cell r="W34">
            <v>0.04</v>
          </cell>
          <cell r="X34">
            <v>0.05</v>
          </cell>
          <cell r="Y34">
            <v>7.0000000000000007E-2</v>
          </cell>
          <cell r="Z34">
            <v>-0.03</v>
          </cell>
          <cell r="AA34">
            <v>0</v>
          </cell>
          <cell r="AB34">
            <v>0.02</v>
          </cell>
          <cell r="AC34">
            <v>0.01</v>
          </cell>
          <cell r="AD34">
            <v>-0.06</v>
          </cell>
          <cell r="AE34">
            <v>0.02</v>
          </cell>
          <cell r="AF34">
            <v>0.09</v>
          </cell>
          <cell r="AG34">
            <v>0.06</v>
          </cell>
          <cell r="AH34">
            <v>0.02</v>
          </cell>
        </row>
        <row r="36">
          <cell r="A36" t="str">
            <v xml:space="preserve">Divisional </v>
          </cell>
        </row>
        <row r="37">
          <cell r="A37" t="str">
            <v>Sales Growth Components</v>
          </cell>
          <cell r="B37">
            <v>1995</v>
          </cell>
          <cell r="C37">
            <v>1996</v>
          </cell>
          <cell r="D37">
            <v>1997</v>
          </cell>
          <cell r="E37" t="str">
            <v>1Q98</v>
          </cell>
          <cell r="F37" t="str">
            <v>2Q98</v>
          </cell>
          <cell r="G37" t="str">
            <v>3Q98</v>
          </cell>
          <cell r="H37" t="str">
            <v>4Q98</v>
          </cell>
          <cell r="I37">
            <v>1998</v>
          </cell>
          <cell r="J37" t="str">
            <v>1Q99</v>
          </cell>
          <cell r="K37" t="str">
            <v>2Q99</v>
          </cell>
          <cell r="L37" t="str">
            <v>3Q99</v>
          </cell>
          <cell r="M37" t="str">
            <v>4Q99</v>
          </cell>
          <cell r="N37">
            <v>1999</v>
          </cell>
          <cell r="O37" t="str">
            <v>1Q00</v>
          </cell>
          <cell r="P37" t="str">
            <v>2Q00</v>
          </cell>
          <cell r="Q37" t="str">
            <v>3Q00</v>
          </cell>
          <cell r="R37" t="str">
            <v>4Q00</v>
          </cell>
          <cell r="X37">
            <v>2001</v>
          </cell>
          <cell r="Y37" t="str">
            <v>1Q02</v>
          </cell>
          <cell r="Z37" t="str">
            <v>2Q02</v>
          </cell>
          <cell r="AA37" t="str">
            <v>3Q02</v>
          </cell>
          <cell r="AB37" t="str">
            <v>4Q02</v>
          </cell>
          <cell r="AC37">
            <v>2002</v>
          </cell>
          <cell r="AD37" t="str">
            <v>1Q03</v>
          </cell>
          <cell r="AE37" t="str">
            <v>2Q03</v>
          </cell>
          <cell r="AF37" t="str">
            <v>3Q03</v>
          </cell>
          <cell r="AG37" t="str">
            <v>4Q03</v>
          </cell>
          <cell r="AH37">
            <v>2003</v>
          </cell>
          <cell r="AI37" t="str">
            <v>1Q04</v>
          </cell>
          <cell r="AJ37" t="str">
            <v>2Q04</v>
          </cell>
          <cell r="AK37" t="str">
            <v>3Q04</v>
          </cell>
          <cell r="AL37" t="str">
            <v>4Q04</v>
          </cell>
          <cell r="AM37">
            <v>2004</v>
          </cell>
          <cell r="AN37" t="str">
            <v>1Q05</v>
          </cell>
          <cell r="AO37" t="str">
            <v>2Q05</v>
          </cell>
          <cell r="AP37" t="str">
            <v>3Q05</v>
          </cell>
          <cell r="AQ37" t="str">
            <v>4Q05</v>
          </cell>
          <cell r="AR37">
            <v>2005</v>
          </cell>
          <cell r="AS37" t="str">
            <v>1Q06</v>
          </cell>
          <cell r="AT37" t="str">
            <v>2Q06</v>
          </cell>
          <cell r="AU37" t="str">
            <v>3Q06</v>
          </cell>
          <cell r="AV37" t="str">
            <v>4Q06</v>
          </cell>
          <cell r="AW37">
            <v>2006</v>
          </cell>
          <cell r="AX37" t="str">
            <v>1Q07</v>
          </cell>
          <cell r="AY37" t="str">
            <v>2Q07</v>
          </cell>
          <cell r="AZ37" t="str">
            <v>3Q07</v>
          </cell>
          <cell r="BA37" t="str">
            <v>4Q07</v>
          </cell>
          <cell r="BB37">
            <v>2007</v>
          </cell>
          <cell r="BC37" t="str">
            <v>1Q08</v>
          </cell>
          <cell r="BD37" t="str">
            <v>2Q08</v>
          </cell>
          <cell r="BE37" t="str">
            <v>3Q08</v>
          </cell>
          <cell r="BF37" t="str">
            <v>4Q08</v>
          </cell>
          <cell r="BG37">
            <v>2008</v>
          </cell>
          <cell r="BH37" t="str">
            <v>1Q09</v>
          </cell>
          <cell r="BI37" t="str">
            <v>2Q09</v>
          </cell>
          <cell r="BJ37" t="str">
            <v>3Q09</v>
          </cell>
          <cell r="BL37">
            <v>2009</v>
          </cell>
          <cell r="BM37">
            <v>2010</v>
          </cell>
          <cell r="BN37" t="str">
            <v>2011E</v>
          </cell>
          <cell r="BO37" t="str">
            <v>2012E</v>
          </cell>
          <cell r="BP37" t="str">
            <v>2013E</v>
          </cell>
          <cell r="BQ37" t="str">
            <v>2014E</v>
          </cell>
          <cell r="BR37" t="str">
            <v>2015E</v>
          </cell>
          <cell r="BS37" t="str">
            <v>2016E</v>
          </cell>
          <cell r="BT37" t="str">
            <v>2017E</v>
          </cell>
        </row>
        <row r="38">
          <cell r="A38" t="str">
            <v>US Soup, Sauces &amp; Beverages</v>
          </cell>
        </row>
        <row r="39">
          <cell r="A39" t="str">
            <v>Volume</v>
          </cell>
          <cell r="X39">
            <v>0.06</v>
          </cell>
          <cell r="Y39">
            <v>0.06</v>
          </cell>
          <cell r="Z39">
            <v>-0.04</v>
          </cell>
          <cell r="AA39">
            <v>0.01</v>
          </cell>
          <cell r="AC39">
            <v>0.01</v>
          </cell>
          <cell r="AD39">
            <v>-0.06</v>
          </cell>
          <cell r="AE39">
            <v>0.02</v>
          </cell>
          <cell r="AF39">
            <v>0.08</v>
          </cell>
          <cell r="AG39">
            <v>0</v>
          </cell>
          <cell r="AH39">
            <v>0.01</v>
          </cell>
          <cell r="AI39">
            <v>0</v>
          </cell>
          <cell r="AJ39">
            <v>0.05</v>
          </cell>
          <cell r="AK39">
            <v>-0.04</v>
          </cell>
          <cell r="AL39">
            <v>0.03</v>
          </cell>
          <cell r="AM39">
            <v>0.01</v>
          </cell>
          <cell r="AN39">
            <v>0.13</v>
          </cell>
          <cell r="AO39">
            <v>0.03</v>
          </cell>
          <cell r="AP39">
            <v>-0.06</v>
          </cell>
          <cell r="AQ39">
            <v>-0.05</v>
          </cell>
          <cell r="AR39">
            <v>0.02</v>
          </cell>
          <cell r="AS39">
            <v>-7.0000000000000007E-2</v>
          </cell>
          <cell r="AT39">
            <v>-0.01</v>
          </cell>
          <cell r="AU39">
            <v>0.08</v>
          </cell>
          <cell r="AV39">
            <v>0.01</v>
          </cell>
          <cell r="AW39">
            <v>0.01</v>
          </cell>
          <cell r="AX39">
            <v>0.04</v>
          </cell>
          <cell r="AY39">
            <v>-0.02</v>
          </cell>
          <cell r="AZ39">
            <v>0.11</v>
          </cell>
          <cell r="BA39">
            <v>0.08</v>
          </cell>
          <cell r="BB39">
            <v>0.05</v>
          </cell>
          <cell r="BC39">
            <v>0.06</v>
          </cell>
          <cell r="BD39">
            <v>0.06</v>
          </cell>
          <cell r="BE39">
            <v>-0.01</v>
          </cell>
          <cell r="BF39">
            <v>0</v>
          </cell>
          <cell r="BG39">
            <v>0.03</v>
          </cell>
          <cell r="BH39">
            <v>0.04</v>
          </cell>
          <cell r="BI39">
            <v>-0.03</v>
          </cell>
          <cell r="BJ39">
            <v>-7.0000000000000007E-2</v>
          </cell>
        </row>
        <row r="40">
          <cell r="A40" t="str">
            <v>Pricing</v>
          </cell>
          <cell r="Y40">
            <v>0.01</v>
          </cell>
          <cell r="Z40">
            <v>0</v>
          </cell>
          <cell r="AA40">
            <v>0</v>
          </cell>
          <cell r="AC40">
            <v>0</v>
          </cell>
          <cell r="AD40">
            <v>0</v>
          </cell>
          <cell r="AE40">
            <v>0</v>
          </cell>
          <cell r="AF40">
            <v>0.02</v>
          </cell>
          <cell r="AG40">
            <v>0.02</v>
          </cell>
          <cell r="AH40">
            <v>0.01</v>
          </cell>
          <cell r="AI40">
            <v>0.02</v>
          </cell>
          <cell r="AJ40">
            <v>0.03</v>
          </cell>
          <cell r="AK40">
            <v>0.03</v>
          </cell>
          <cell r="AL40">
            <v>3.9999999999999994E-2</v>
          </cell>
          <cell r="AM40">
            <v>0.03</v>
          </cell>
          <cell r="AN40">
            <v>-0.02</v>
          </cell>
          <cell r="AO40">
            <v>0</v>
          </cell>
          <cell r="AP40">
            <v>0.02</v>
          </cell>
          <cell r="AQ40">
            <v>0.05</v>
          </cell>
          <cell r="AR40">
            <v>0.01</v>
          </cell>
          <cell r="AS40">
            <v>0.05</v>
          </cell>
          <cell r="AT40">
            <v>0.06</v>
          </cell>
          <cell r="AU40">
            <v>0.06</v>
          </cell>
          <cell r="AV40">
            <v>0.04</v>
          </cell>
          <cell r="AW40">
            <v>0.06</v>
          </cell>
          <cell r="AX40">
            <v>0.03</v>
          </cell>
          <cell r="AY40">
            <v>0.03</v>
          </cell>
          <cell r="AZ40">
            <v>0.02</v>
          </cell>
          <cell r="BA40">
            <v>0.01</v>
          </cell>
          <cell r="BB40">
            <v>0.02</v>
          </cell>
          <cell r="BC40">
            <v>0</v>
          </cell>
          <cell r="BD40">
            <v>0.01</v>
          </cell>
          <cell r="BE40">
            <v>0.02</v>
          </cell>
          <cell r="BF40">
            <v>0.05</v>
          </cell>
          <cell r="BG40">
            <v>0.02</v>
          </cell>
          <cell r="BH40">
            <v>0.08</v>
          </cell>
          <cell r="BI40">
            <v>0.1</v>
          </cell>
          <cell r="BJ40">
            <v>0.05</v>
          </cell>
        </row>
        <row r="41">
          <cell r="A41" t="str">
            <v>Promotion</v>
          </cell>
          <cell r="X41">
            <v>-0.01</v>
          </cell>
          <cell r="Y41">
            <v>-0.03</v>
          </cell>
          <cell r="Z41">
            <v>-0.01</v>
          </cell>
          <cell r="AA41">
            <v>0</v>
          </cell>
          <cell r="AC41">
            <v>-0.01</v>
          </cell>
          <cell r="AD41">
            <v>-0.01</v>
          </cell>
          <cell r="AE41">
            <v>-0.01</v>
          </cell>
          <cell r="AF41">
            <v>0.05</v>
          </cell>
          <cell r="AG41">
            <v>9.9999999999999985E-3</v>
          </cell>
          <cell r="AH41">
            <v>0.01</v>
          </cell>
          <cell r="AI41">
            <v>0.04</v>
          </cell>
          <cell r="AJ41">
            <v>-0.02</v>
          </cell>
          <cell r="AK41">
            <v>-0.04</v>
          </cell>
          <cell r="AL41">
            <v>-0.02</v>
          </cell>
          <cell r="AM41">
            <v>-0.01</v>
          </cell>
          <cell r="AN41">
            <v>-0.01</v>
          </cell>
          <cell r="AO41">
            <v>-0.02</v>
          </cell>
          <cell r="AP41">
            <v>0.02</v>
          </cell>
          <cell r="AQ41">
            <v>0.02</v>
          </cell>
          <cell r="AR41">
            <v>0</v>
          </cell>
          <cell r="AS41">
            <v>0</v>
          </cell>
          <cell r="AT41">
            <v>0.01</v>
          </cell>
          <cell r="AU41">
            <v>0</v>
          </cell>
          <cell r="AV41">
            <v>0.02</v>
          </cell>
          <cell r="AW41">
            <v>0</v>
          </cell>
          <cell r="AX41">
            <v>0.01</v>
          </cell>
          <cell r="AY41">
            <v>0</v>
          </cell>
          <cell r="AZ41">
            <v>0</v>
          </cell>
          <cell r="BA41">
            <v>-0.01</v>
          </cell>
          <cell r="BB41">
            <v>0</v>
          </cell>
          <cell r="BC41">
            <v>-0.02</v>
          </cell>
          <cell r="BD41">
            <v>-0.01</v>
          </cell>
          <cell r="BE41">
            <v>-0.01</v>
          </cell>
          <cell r="BF41">
            <v>-0.01</v>
          </cell>
          <cell r="BG41">
            <v>-0.01</v>
          </cell>
          <cell r="BH41">
            <v>-0.03</v>
          </cell>
          <cell r="BI41">
            <v>-0.04</v>
          </cell>
          <cell r="BJ41">
            <v>0.01</v>
          </cell>
        </row>
        <row r="42">
          <cell r="A42" t="str">
            <v>Net acquisitions</v>
          </cell>
          <cell r="Y42">
            <v>0</v>
          </cell>
          <cell r="Z42">
            <v>0</v>
          </cell>
          <cell r="AA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J42">
            <v>0.01</v>
          </cell>
        </row>
        <row r="43">
          <cell r="A43" t="str">
            <v>FX</v>
          </cell>
          <cell r="X43">
            <v>-0.01</v>
          </cell>
          <cell r="Y43">
            <v>0</v>
          </cell>
          <cell r="Z43">
            <v>0</v>
          </cell>
          <cell r="AA43">
            <v>0</v>
          </cell>
          <cell r="AC43">
            <v>0</v>
          </cell>
          <cell r="AD43">
            <v>0</v>
          </cell>
          <cell r="AE43">
            <v>0</v>
          </cell>
          <cell r="AF43">
            <v>0.01</v>
          </cell>
          <cell r="AG43">
            <v>-0.01</v>
          </cell>
          <cell r="AH43">
            <v>0</v>
          </cell>
          <cell r="AI43">
            <v>0.02</v>
          </cell>
          <cell r="AJ43">
            <v>0.02</v>
          </cell>
          <cell r="AK43">
            <v>0.01</v>
          </cell>
          <cell r="AL43">
            <v>0.03</v>
          </cell>
          <cell r="AM43">
            <v>0.02</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row>
        <row r="44">
          <cell r="A44" t="str">
            <v>Days</v>
          </cell>
          <cell r="AL44">
            <v>-0.04</v>
          </cell>
          <cell r="AM44">
            <v>-0.01</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0.08</v>
          </cell>
          <cell r="BG44">
            <v>0.01</v>
          </cell>
        </row>
        <row r="45">
          <cell r="A45" t="str">
            <v>Total Sales</v>
          </cell>
          <cell r="X45">
            <v>3.9999999999999994E-2</v>
          </cell>
          <cell r="Y45">
            <v>3.9999999999999994E-2</v>
          </cell>
          <cell r="Z45">
            <v>-0.05</v>
          </cell>
          <cell r="AA45">
            <v>0.01</v>
          </cell>
          <cell r="AC45">
            <v>0</v>
          </cell>
          <cell r="AD45">
            <v>-6.9999999999999993E-2</v>
          </cell>
          <cell r="AE45">
            <v>0.01</v>
          </cell>
          <cell r="AF45">
            <v>0.16000000000000003</v>
          </cell>
          <cell r="AG45">
            <v>1.9999999999999962E-2</v>
          </cell>
          <cell r="AH45">
            <v>0.03</v>
          </cell>
          <cell r="AI45">
            <v>0.08</v>
          </cell>
          <cell r="AJ45">
            <v>0.08</v>
          </cell>
          <cell r="AK45">
            <v>-0.04</v>
          </cell>
          <cell r="AL45">
            <v>4.0000000000000008E-2</v>
          </cell>
          <cell r="AM45">
            <v>0.04</v>
          </cell>
          <cell r="AN45">
            <v>0.1</v>
          </cell>
          <cell r="AO45">
            <v>9.9999999999999985E-3</v>
          </cell>
          <cell r="AP45">
            <v>-1.9999999999999993E-2</v>
          </cell>
          <cell r="AQ45">
            <v>0.02</v>
          </cell>
          <cell r="AR45">
            <v>0.03</v>
          </cell>
          <cell r="AS45">
            <v>-2.0000000000000004E-2</v>
          </cell>
          <cell r="AT45">
            <v>0.06</v>
          </cell>
          <cell r="AU45">
            <v>0.14000000000000001</v>
          </cell>
          <cell r="AV45">
            <v>7.0000000000000007E-2</v>
          </cell>
          <cell r="AW45">
            <v>6.9999999999999993E-2</v>
          </cell>
          <cell r="AX45">
            <v>0.08</v>
          </cell>
          <cell r="AY45">
            <v>9.9999999999999985E-3</v>
          </cell>
          <cell r="AZ45">
            <v>0.13</v>
          </cell>
          <cell r="BA45">
            <v>0.08</v>
          </cell>
          <cell r="BB45">
            <v>7.0000000000000007E-2</v>
          </cell>
          <cell r="BC45">
            <v>3.9999999999999994E-2</v>
          </cell>
          <cell r="BD45">
            <v>5.9999999999999991E-2</v>
          </cell>
          <cell r="BE45">
            <v>0</v>
          </cell>
          <cell r="BF45">
            <v>0.12</v>
          </cell>
          <cell r="BG45">
            <v>0.05</v>
          </cell>
          <cell r="BH45">
            <v>0.09</v>
          </cell>
          <cell r="BI45">
            <v>3.0000000000000006E-2</v>
          </cell>
          <cell r="BJ45">
            <v>0</v>
          </cell>
        </row>
        <row r="47">
          <cell r="A47" t="str">
            <v>Other</v>
          </cell>
        </row>
        <row r="48">
          <cell r="A48" t="str">
            <v>Volume</v>
          </cell>
          <cell r="Y48">
            <v>7.0000000000000007E-2</v>
          </cell>
          <cell r="Z48">
            <v>0.04</v>
          </cell>
          <cell r="AA48">
            <v>-0.01</v>
          </cell>
          <cell r="AC48">
            <v>0.03</v>
          </cell>
          <cell r="AD48">
            <v>0</v>
          </cell>
          <cell r="AE48">
            <v>-0.02</v>
          </cell>
          <cell r="AF48">
            <v>0.06</v>
          </cell>
          <cell r="AG48">
            <v>0.12000000000000001</v>
          </cell>
          <cell r="AH48">
            <v>0.04</v>
          </cell>
          <cell r="AI48">
            <v>0.03</v>
          </cell>
          <cell r="AJ48">
            <v>0.05</v>
          </cell>
          <cell r="AK48">
            <v>0</v>
          </cell>
          <cell r="AL48">
            <v>-0.04</v>
          </cell>
          <cell r="AM48">
            <v>0.01</v>
          </cell>
          <cell r="AN48">
            <v>0.08</v>
          </cell>
          <cell r="AO48">
            <v>7.0000000000000007E-2</v>
          </cell>
          <cell r="AP48">
            <v>0.05</v>
          </cell>
          <cell r="AQ48">
            <v>0.06</v>
          </cell>
          <cell r="AR48">
            <v>7.0000000000000007E-2</v>
          </cell>
          <cell r="AS48">
            <v>0.1</v>
          </cell>
          <cell r="AT48">
            <v>0.05</v>
          </cell>
          <cell r="AU48">
            <v>7.0000000000000007E-2</v>
          </cell>
          <cell r="AV48">
            <v>0.04</v>
          </cell>
          <cell r="AW48">
            <v>0.06</v>
          </cell>
          <cell r="AX48">
            <v>0</v>
          </cell>
          <cell r="AY48">
            <v>0.01</v>
          </cell>
          <cell r="AZ48">
            <v>0.02</v>
          </cell>
          <cell r="BA48">
            <v>0.03</v>
          </cell>
          <cell r="BB48">
            <v>0.02</v>
          </cell>
          <cell r="BC48">
            <v>0.02</v>
          </cell>
          <cell r="BD48">
            <v>-0.01</v>
          </cell>
          <cell r="BE48">
            <v>-0.01</v>
          </cell>
        </row>
        <row r="49">
          <cell r="A49" t="str">
            <v>Pricing</v>
          </cell>
          <cell r="Y49">
            <v>0.01</v>
          </cell>
          <cell r="Z49">
            <v>0</v>
          </cell>
          <cell r="AA49">
            <v>0</v>
          </cell>
          <cell r="AC49">
            <v>0</v>
          </cell>
          <cell r="AD49">
            <v>0</v>
          </cell>
          <cell r="AE49">
            <v>0</v>
          </cell>
          <cell r="AF49">
            <v>0.01</v>
          </cell>
          <cell r="AG49">
            <v>0.03</v>
          </cell>
          <cell r="AH49">
            <v>0.01</v>
          </cell>
          <cell r="AI49">
            <v>0</v>
          </cell>
          <cell r="AJ49">
            <v>0</v>
          </cell>
          <cell r="AK49">
            <v>0</v>
          </cell>
          <cell r="AL49">
            <v>0</v>
          </cell>
          <cell r="AM49">
            <v>0</v>
          </cell>
          <cell r="AN49">
            <v>0.03</v>
          </cell>
          <cell r="AO49">
            <v>0.04</v>
          </cell>
          <cell r="AP49">
            <v>0.04</v>
          </cell>
          <cell r="AQ49">
            <v>0.03</v>
          </cell>
          <cell r="AR49">
            <v>0.03</v>
          </cell>
          <cell r="AS49">
            <v>0.03</v>
          </cell>
          <cell r="AT49">
            <v>0.02</v>
          </cell>
          <cell r="AU49">
            <v>0.02</v>
          </cell>
          <cell r="AV49">
            <v>0.03</v>
          </cell>
          <cell r="AW49">
            <v>0.03</v>
          </cell>
          <cell r="AX49">
            <v>0.04</v>
          </cell>
          <cell r="AY49">
            <v>0.03</v>
          </cell>
          <cell r="AZ49">
            <v>0.02</v>
          </cell>
          <cell r="BA49">
            <v>0.03</v>
          </cell>
          <cell r="BB49">
            <v>0.03</v>
          </cell>
          <cell r="BC49">
            <v>0.01</v>
          </cell>
          <cell r="BD49">
            <v>0.01</v>
          </cell>
          <cell r="BE49">
            <v>0.02</v>
          </cell>
        </row>
        <row r="50">
          <cell r="A50" t="str">
            <v>Promotion</v>
          </cell>
          <cell r="Y50">
            <v>-0.03</v>
          </cell>
          <cell r="Z50">
            <v>-0.02</v>
          </cell>
          <cell r="AA50">
            <v>0</v>
          </cell>
          <cell r="AC50">
            <v>-0.01</v>
          </cell>
          <cell r="AD50">
            <v>-0.02</v>
          </cell>
          <cell r="AE50">
            <v>0.02</v>
          </cell>
          <cell r="AF50">
            <v>0.01</v>
          </cell>
          <cell r="AG50">
            <v>0.03</v>
          </cell>
          <cell r="AH50">
            <v>0.01</v>
          </cell>
          <cell r="AI50">
            <v>0.04</v>
          </cell>
          <cell r="AJ50">
            <v>-0.03</v>
          </cell>
          <cell r="AK50">
            <v>0.02</v>
          </cell>
          <cell r="AL50">
            <v>9.9999999999999985E-3</v>
          </cell>
          <cell r="AM50">
            <v>0.01</v>
          </cell>
          <cell r="AN50">
            <v>0</v>
          </cell>
          <cell r="AO50">
            <v>0</v>
          </cell>
          <cell r="AP50">
            <v>0</v>
          </cell>
          <cell r="AQ50">
            <v>0</v>
          </cell>
          <cell r="AR50">
            <v>0</v>
          </cell>
          <cell r="AS50">
            <v>0</v>
          </cell>
          <cell r="AT50">
            <v>0</v>
          </cell>
          <cell r="AU50">
            <v>-0.01</v>
          </cell>
          <cell r="AV50">
            <v>-0.02</v>
          </cell>
          <cell r="AW50">
            <v>-0.01</v>
          </cell>
          <cell r="AX50">
            <v>-0.01</v>
          </cell>
          <cell r="AY50">
            <v>-0.01</v>
          </cell>
          <cell r="AZ50">
            <v>-0.01</v>
          </cell>
          <cell r="BA50">
            <v>0.01</v>
          </cell>
          <cell r="BB50">
            <v>-0.01</v>
          </cell>
          <cell r="BC50">
            <v>-0.01</v>
          </cell>
          <cell r="BD50">
            <v>-0.02</v>
          </cell>
          <cell r="BE50">
            <v>0.03</v>
          </cell>
        </row>
        <row r="51">
          <cell r="A51" t="str">
            <v>Net acquisitions</v>
          </cell>
          <cell r="Y51">
            <v>0</v>
          </cell>
          <cell r="Z51">
            <v>0</v>
          </cell>
          <cell r="AA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row>
        <row r="52">
          <cell r="A52" t="str">
            <v>FX</v>
          </cell>
          <cell r="Y52">
            <v>0</v>
          </cell>
          <cell r="Z52">
            <v>0</v>
          </cell>
          <cell r="AA52">
            <v>0</v>
          </cell>
          <cell r="AC52">
            <v>0</v>
          </cell>
          <cell r="AD52">
            <v>0</v>
          </cell>
          <cell r="AE52">
            <v>0</v>
          </cell>
          <cell r="AF52">
            <v>-0.01</v>
          </cell>
          <cell r="AG52">
            <v>-0.03</v>
          </cell>
          <cell r="AH52">
            <v>-0.01</v>
          </cell>
          <cell r="AI52">
            <v>0</v>
          </cell>
          <cell r="AJ52">
            <v>0</v>
          </cell>
          <cell r="AK52">
            <v>0</v>
          </cell>
          <cell r="AL52">
            <v>0</v>
          </cell>
          <cell r="AM52">
            <v>0</v>
          </cell>
          <cell r="AN52">
            <v>0.01</v>
          </cell>
          <cell r="AO52">
            <v>0.01</v>
          </cell>
          <cell r="AP52">
            <v>0.01</v>
          </cell>
          <cell r="AQ52">
            <v>0.01</v>
          </cell>
          <cell r="AR52">
            <v>0.01</v>
          </cell>
          <cell r="AS52">
            <v>0</v>
          </cell>
          <cell r="AT52">
            <v>-0.01</v>
          </cell>
          <cell r="AU52">
            <v>-0.01</v>
          </cell>
          <cell r="AV52">
            <v>0.01</v>
          </cell>
          <cell r="AW52">
            <v>0</v>
          </cell>
          <cell r="AX52">
            <v>0</v>
          </cell>
          <cell r="AY52">
            <v>0.01</v>
          </cell>
          <cell r="AZ52">
            <v>0</v>
          </cell>
          <cell r="BA52">
            <v>0.01</v>
          </cell>
          <cell r="BB52">
            <v>0</v>
          </cell>
          <cell r="BC52">
            <v>0.01</v>
          </cell>
          <cell r="BD52">
            <v>0.02</v>
          </cell>
          <cell r="BE52">
            <v>0.02</v>
          </cell>
        </row>
        <row r="53">
          <cell r="A53" t="str">
            <v>Days</v>
          </cell>
          <cell r="AL53">
            <v>-0.08</v>
          </cell>
          <cell r="AM53">
            <v>-0.02</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row>
        <row r="54">
          <cell r="A54" t="str">
            <v>Total Sales</v>
          </cell>
          <cell r="X54">
            <v>0</v>
          </cell>
          <cell r="Y54">
            <v>0.05</v>
          </cell>
          <cell r="Z54">
            <v>0.02</v>
          </cell>
          <cell r="AA54">
            <v>-0.01</v>
          </cell>
          <cell r="AC54">
            <v>1.9999999999999997E-2</v>
          </cell>
          <cell r="AD54">
            <v>-0.02</v>
          </cell>
          <cell r="AE54">
            <v>0</v>
          </cell>
          <cell r="AF54">
            <v>6.9999999999999993E-2</v>
          </cell>
          <cell r="AG54">
            <v>0.15000000000000002</v>
          </cell>
          <cell r="AH54">
            <v>0.05</v>
          </cell>
          <cell r="AI54">
            <v>7.0000000000000007E-2</v>
          </cell>
          <cell r="AJ54">
            <v>2.0000000000000004E-2</v>
          </cell>
          <cell r="AK54">
            <v>0.02</v>
          </cell>
          <cell r="AL54">
            <v>-0.11000000000000001</v>
          </cell>
          <cell r="AM54">
            <v>0</v>
          </cell>
          <cell r="AN54">
            <v>0.12</v>
          </cell>
          <cell r="AO54">
            <v>0.12000000000000001</v>
          </cell>
          <cell r="AP54">
            <v>9.9999999999999992E-2</v>
          </cell>
          <cell r="AQ54">
            <v>9.9999999999999992E-2</v>
          </cell>
          <cell r="AR54">
            <v>0.11</v>
          </cell>
          <cell r="AS54">
            <v>0.13</v>
          </cell>
          <cell r="AT54">
            <v>6.0000000000000005E-2</v>
          </cell>
          <cell r="AU54">
            <v>7.0000000000000021E-2</v>
          </cell>
          <cell r="AV54">
            <v>6.0000000000000005E-2</v>
          </cell>
          <cell r="AW54">
            <v>0.08</v>
          </cell>
          <cell r="AX54">
            <v>0.03</v>
          </cell>
          <cell r="AY54">
            <v>0.04</v>
          </cell>
          <cell r="AZ54">
            <v>0.03</v>
          </cell>
          <cell r="BA54">
            <v>7.9999999999999988E-2</v>
          </cell>
          <cell r="BB54">
            <v>0.04</v>
          </cell>
          <cell r="BC54">
            <v>0.03</v>
          </cell>
          <cell r="BD54">
            <v>0</v>
          </cell>
          <cell r="BE54">
            <v>0.06</v>
          </cell>
        </row>
        <row r="56">
          <cell r="A56" t="str">
            <v>Baking and Snacking</v>
          </cell>
        </row>
        <row r="57">
          <cell r="A57" t="str">
            <v>Volume</v>
          </cell>
          <cell r="X57">
            <v>0.09</v>
          </cell>
          <cell r="Y57">
            <v>7.0000000000000007E-2</v>
          </cell>
          <cell r="Z57">
            <v>0.02</v>
          </cell>
          <cell r="AA57">
            <v>0.03</v>
          </cell>
          <cell r="AC57">
            <v>0.04</v>
          </cell>
          <cell r="AD57">
            <v>0.01</v>
          </cell>
          <cell r="AE57">
            <v>0.01</v>
          </cell>
          <cell r="AF57">
            <v>0.04</v>
          </cell>
          <cell r="AG57">
            <v>0.06</v>
          </cell>
          <cell r="AH57">
            <v>0.03</v>
          </cell>
          <cell r="AI57">
            <v>0.05</v>
          </cell>
          <cell r="AJ57">
            <v>0.02</v>
          </cell>
          <cell r="AK57">
            <v>0.02</v>
          </cell>
          <cell r="AL57">
            <v>6.9999999999999993E-2</v>
          </cell>
          <cell r="AM57">
            <v>0.04</v>
          </cell>
          <cell r="AN57">
            <v>0.05</v>
          </cell>
          <cell r="AO57">
            <v>0.05</v>
          </cell>
          <cell r="AP57">
            <v>0.04</v>
          </cell>
          <cell r="AQ57">
            <v>0.01</v>
          </cell>
          <cell r="AR57">
            <v>0.04</v>
          </cell>
          <cell r="AS57">
            <v>-0.02</v>
          </cell>
          <cell r="AT57">
            <v>-0.01</v>
          </cell>
          <cell r="AU57">
            <v>0</v>
          </cell>
          <cell r="AV57">
            <v>0.02</v>
          </cell>
          <cell r="AW57">
            <v>0</v>
          </cell>
          <cell r="AX57">
            <v>0.04</v>
          </cell>
          <cell r="AY57">
            <v>0.01</v>
          </cell>
          <cell r="AZ57">
            <v>0.01</v>
          </cell>
          <cell r="BA57">
            <v>0.09</v>
          </cell>
          <cell r="BB57">
            <v>0.01</v>
          </cell>
          <cell r="BC57">
            <v>0.03</v>
          </cell>
          <cell r="BD57">
            <v>0.04</v>
          </cell>
          <cell r="BE57">
            <v>0.04</v>
          </cell>
        </row>
        <row r="58">
          <cell r="A58" t="str">
            <v>Pricing</v>
          </cell>
          <cell r="X58">
            <v>0.01</v>
          </cell>
          <cell r="Y58">
            <v>0</v>
          </cell>
          <cell r="Z58">
            <v>0.01</v>
          </cell>
          <cell r="AA58">
            <v>0.02</v>
          </cell>
          <cell r="AC58">
            <v>0.01</v>
          </cell>
          <cell r="AD58">
            <v>0.02</v>
          </cell>
          <cell r="AE58">
            <v>0.03</v>
          </cell>
          <cell r="AF58">
            <v>0.04</v>
          </cell>
          <cell r="AG58">
            <v>7.0000000000000007E-2</v>
          </cell>
          <cell r="AH58">
            <v>0.04</v>
          </cell>
          <cell r="AI58">
            <v>0.03</v>
          </cell>
          <cell r="AJ58">
            <v>0.03</v>
          </cell>
          <cell r="AK58">
            <v>0.01</v>
          </cell>
          <cell r="AL58">
            <v>1.0000000000000009E-2</v>
          </cell>
          <cell r="AM58">
            <v>0.02</v>
          </cell>
          <cell r="AN58">
            <v>0.02</v>
          </cell>
          <cell r="AO58">
            <v>0.04</v>
          </cell>
          <cell r="AP58">
            <v>0.04</v>
          </cell>
          <cell r="AQ58">
            <v>0.02</v>
          </cell>
          <cell r="AR58">
            <v>0.03</v>
          </cell>
          <cell r="AS58">
            <v>0.03</v>
          </cell>
          <cell r="AT58">
            <v>0.02</v>
          </cell>
          <cell r="AU58">
            <v>0.03</v>
          </cell>
          <cell r="AV58">
            <v>0.02</v>
          </cell>
          <cell r="AW58">
            <v>0.03</v>
          </cell>
          <cell r="AX58">
            <v>0.02</v>
          </cell>
          <cell r="AY58">
            <v>0.03</v>
          </cell>
          <cell r="AZ58">
            <v>0.02</v>
          </cell>
          <cell r="BA58">
            <v>0.02</v>
          </cell>
          <cell r="BB58">
            <v>0.02</v>
          </cell>
          <cell r="BC58">
            <v>0.03</v>
          </cell>
          <cell r="BD58">
            <v>0</v>
          </cell>
          <cell r="BE58">
            <v>0.06</v>
          </cell>
        </row>
        <row r="59">
          <cell r="A59" t="str">
            <v>Promotion</v>
          </cell>
          <cell r="X59">
            <v>-0.01</v>
          </cell>
          <cell r="Y59">
            <v>-0.01</v>
          </cell>
          <cell r="Z59">
            <v>-0.01</v>
          </cell>
          <cell r="AA59">
            <v>0</v>
          </cell>
          <cell r="AC59">
            <v>0</v>
          </cell>
          <cell r="AD59">
            <v>-0.01</v>
          </cell>
          <cell r="AE59">
            <v>0</v>
          </cell>
          <cell r="AF59">
            <v>-0.02</v>
          </cell>
          <cell r="AG59">
            <v>-1.0000000000000002E-2</v>
          </cell>
          <cell r="AH59">
            <v>-0.01</v>
          </cell>
          <cell r="AI59">
            <v>0</v>
          </cell>
          <cell r="AJ59">
            <v>-0.01</v>
          </cell>
          <cell r="AK59">
            <v>-0.01</v>
          </cell>
          <cell r="AL59">
            <v>-0.02</v>
          </cell>
          <cell r="AM59">
            <v>-0.01</v>
          </cell>
          <cell r="AN59">
            <v>-0.03</v>
          </cell>
          <cell r="AO59">
            <v>-0.01</v>
          </cell>
          <cell r="AP59">
            <v>-0.01</v>
          </cell>
          <cell r="AQ59">
            <v>0.01</v>
          </cell>
          <cell r="AR59">
            <v>-0.01</v>
          </cell>
          <cell r="AS59">
            <v>-0.01</v>
          </cell>
          <cell r="AT59">
            <v>-0.01</v>
          </cell>
          <cell r="AU59">
            <v>0</v>
          </cell>
          <cell r="AV59">
            <v>-0.03</v>
          </cell>
          <cell r="AW59">
            <v>-0.02</v>
          </cell>
          <cell r="AX59">
            <v>0</v>
          </cell>
          <cell r="AY59">
            <v>0</v>
          </cell>
          <cell r="AZ59">
            <v>-0.01</v>
          </cell>
          <cell r="BA59">
            <v>0.01</v>
          </cell>
          <cell r="BB59">
            <v>-0.01</v>
          </cell>
          <cell r="BC59">
            <v>0</v>
          </cell>
          <cell r="BD59">
            <v>0</v>
          </cell>
          <cell r="BE59">
            <v>-0.01</v>
          </cell>
        </row>
        <row r="60">
          <cell r="A60" t="str">
            <v>Net acquisitions</v>
          </cell>
          <cell r="Y60">
            <v>0</v>
          </cell>
          <cell r="Z60">
            <v>0</v>
          </cell>
          <cell r="AA60">
            <v>0</v>
          </cell>
          <cell r="AC60">
            <v>0</v>
          </cell>
          <cell r="AD60">
            <v>0.05</v>
          </cell>
          <cell r="AE60">
            <v>7.0000000000000007E-2</v>
          </cell>
          <cell r="AF60">
            <v>0.11</v>
          </cell>
          <cell r="AG60">
            <v>0.09</v>
          </cell>
          <cell r="AH60">
            <v>0.08</v>
          </cell>
          <cell r="AI60">
            <v>0.06</v>
          </cell>
          <cell r="AJ60">
            <v>0</v>
          </cell>
          <cell r="AK60">
            <v>0</v>
          </cell>
          <cell r="AL60">
            <v>2.0000000000000004E-2</v>
          </cell>
          <cell r="AM60">
            <v>0.02</v>
          </cell>
          <cell r="AN60">
            <v>0.01</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-0.01</v>
          </cell>
          <cell r="BD60">
            <v>-0.01</v>
          </cell>
          <cell r="BE60">
            <v>-0.01</v>
          </cell>
        </row>
        <row r="61">
          <cell r="A61" t="str">
            <v>FX</v>
          </cell>
          <cell r="X61">
            <v>-0.05</v>
          </cell>
          <cell r="Y61">
            <v>-0.03</v>
          </cell>
          <cell r="Z61">
            <v>-0.01</v>
          </cell>
          <cell r="AA61">
            <v>0</v>
          </cell>
          <cell r="AC61">
            <v>-0.01</v>
          </cell>
          <cell r="AD61">
            <v>0.01</v>
          </cell>
          <cell r="AE61">
            <v>0.03</v>
          </cell>
          <cell r="AF61">
            <v>0.05</v>
          </cell>
          <cell r="AG61">
            <v>7.0000000000000007E-2</v>
          </cell>
          <cell r="AH61">
            <v>0.04</v>
          </cell>
          <cell r="AI61">
            <v>0.06</v>
          </cell>
          <cell r="AJ61">
            <v>0.09</v>
          </cell>
          <cell r="AK61">
            <v>0.09</v>
          </cell>
          <cell r="AL61">
            <v>4.0000000000000036E-2</v>
          </cell>
          <cell r="AM61">
            <v>7.0000000000000007E-2</v>
          </cell>
          <cell r="AN61">
            <v>0.03</v>
          </cell>
          <cell r="AO61">
            <v>0.01</v>
          </cell>
          <cell r="AP61">
            <v>0.01</v>
          </cell>
          <cell r="AQ61">
            <v>0.03</v>
          </cell>
          <cell r="AR61">
            <v>0.02</v>
          </cell>
          <cell r="AS61">
            <v>0.02</v>
          </cell>
          <cell r="AT61">
            <v>-0.01</v>
          </cell>
          <cell r="AU61">
            <v>-0.03</v>
          </cell>
          <cell r="AV61">
            <v>-0.01</v>
          </cell>
          <cell r="AW61">
            <v>-0.01</v>
          </cell>
          <cell r="AX61">
            <v>0</v>
          </cell>
          <cell r="AY61">
            <v>0.02</v>
          </cell>
          <cell r="AZ61">
            <v>0.03</v>
          </cell>
          <cell r="BA61">
            <v>7.0000000000000007E-2</v>
          </cell>
          <cell r="BB61">
            <v>0.03</v>
          </cell>
          <cell r="BC61">
            <v>0.05</v>
          </cell>
          <cell r="BD61">
            <v>0.05</v>
          </cell>
          <cell r="BE61">
            <v>0.06</v>
          </cell>
        </row>
        <row r="62">
          <cell r="A62" t="str">
            <v>Days</v>
          </cell>
          <cell r="AL62">
            <v>-0.08</v>
          </cell>
          <cell r="AM62">
            <v>-0.02</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row>
        <row r="63">
          <cell r="A63" t="str">
            <v>Total Sales</v>
          </cell>
          <cell r="X63">
            <v>3.9999999999999994E-2</v>
          </cell>
          <cell r="Y63">
            <v>3.0000000000000006E-2</v>
          </cell>
          <cell r="Z63">
            <v>9.9999999999999967E-3</v>
          </cell>
          <cell r="AA63">
            <v>0.05</v>
          </cell>
          <cell r="AC63">
            <v>0.04</v>
          </cell>
          <cell r="AD63">
            <v>0.08</v>
          </cell>
          <cell r="AE63">
            <v>0.14000000000000001</v>
          </cell>
          <cell r="AF63">
            <v>0.21999999999999997</v>
          </cell>
          <cell r="AG63">
            <v>0.28000000000000003</v>
          </cell>
          <cell r="AH63">
            <v>0.18000000000000002</v>
          </cell>
          <cell r="AI63">
            <v>0.2</v>
          </cell>
          <cell r="AJ63">
            <v>0.13</v>
          </cell>
          <cell r="AK63">
            <v>0.10999999999999999</v>
          </cell>
          <cell r="AL63">
            <v>4.0000000000000036E-2</v>
          </cell>
          <cell r="AM63">
            <v>0.12000000000000001</v>
          </cell>
          <cell r="AN63">
            <v>8.0000000000000016E-2</v>
          </cell>
          <cell r="AO63">
            <v>0.09</v>
          </cell>
          <cell r="AP63">
            <v>0.08</v>
          </cell>
          <cell r="AQ63">
            <v>7.0000000000000007E-2</v>
          </cell>
          <cell r="AR63">
            <v>0.08</v>
          </cell>
          <cell r="AS63">
            <v>1.9999999999999997E-2</v>
          </cell>
          <cell r="AT63">
            <v>-0.01</v>
          </cell>
          <cell r="AU63">
            <v>0</v>
          </cell>
          <cell r="AV63">
            <v>1.7347234759768071E-18</v>
          </cell>
          <cell r="AW63">
            <v>-1.7347234759768071E-18</v>
          </cell>
          <cell r="AX63">
            <v>0.06</v>
          </cell>
          <cell r="AY63">
            <v>0.06</v>
          </cell>
          <cell r="AZ63">
            <v>4.9999999999999996E-2</v>
          </cell>
          <cell r="BA63">
            <v>0.19</v>
          </cell>
          <cell r="BB63">
            <v>4.9999999999999996E-2</v>
          </cell>
          <cell r="BC63">
            <v>0.1</v>
          </cell>
          <cell r="BD63">
            <v>0.08</v>
          </cell>
          <cell r="BE63">
            <v>0.14000000000000001</v>
          </cell>
        </row>
        <row r="65">
          <cell r="A65" t="str">
            <v>International Soup and Sauces</v>
          </cell>
        </row>
        <row r="66">
          <cell r="A66" t="str">
            <v>Volume</v>
          </cell>
          <cell r="Y66">
            <v>0.03</v>
          </cell>
          <cell r="Z66">
            <v>-2.7E-2</v>
          </cell>
          <cell r="AA66">
            <v>-0.03</v>
          </cell>
          <cell r="AC66">
            <v>0</v>
          </cell>
          <cell r="AD66">
            <v>-0.03</v>
          </cell>
          <cell r="AE66">
            <v>0</v>
          </cell>
          <cell r="AF66">
            <v>0.03</v>
          </cell>
          <cell r="AG66">
            <v>0</v>
          </cell>
          <cell r="AH66">
            <v>0</v>
          </cell>
          <cell r="AI66">
            <v>0.08</v>
          </cell>
          <cell r="AJ66">
            <v>-0.02</v>
          </cell>
          <cell r="AK66">
            <v>-0.02</v>
          </cell>
          <cell r="AL66">
            <v>4.0000000000000008E-2</v>
          </cell>
          <cell r="AM66">
            <v>0.02</v>
          </cell>
          <cell r="AN66">
            <v>0.03</v>
          </cell>
          <cell r="AO66">
            <v>0.04</v>
          </cell>
          <cell r="AP66">
            <v>0.02</v>
          </cell>
          <cell r="AQ66">
            <v>-0.01</v>
          </cell>
          <cell r="AR66">
            <v>0.02</v>
          </cell>
          <cell r="AS66">
            <v>0.1</v>
          </cell>
          <cell r="AT66">
            <v>0.01</v>
          </cell>
          <cell r="AU66">
            <v>0.01</v>
          </cell>
          <cell r="AV66">
            <v>0</v>
          </cell>
          <cell r="AW66">
            <v>0.03</v>
          </cell>
          <cell r="AX66">
            <v>0.06</v>
          </cell>
          <cell r="AY66">
            <v>0.06</v>
          </cell>
          <cell r="AZ66">
            <v>0.01</v>
          </cell>
          <cell r="BA66">
            <v>0.09</v>
          </cell>
          <cell r="BB66">
            <v>0.05</v>
          </cell>
          <cell r="BC66">
            <v>0.03</v>
          </cell>
          <cell r="BD66">
            <v>0.03</v>
          </cell>
          <cell r="BE66">
            <v>0.03</v>
          </cell>
        </row>
        <row r="67">
          <cell r="A67" t="str">
            <v>Pricing</v>
          </cell>
          <cell r="Y67">
            <v>0</v>
          </cell>
          <cell r="Z67">
            <v>0</v>
          </cell>
          <cell r="AA67">
            <v>0</v>
          </cell>
          <cell r="AC67">
            <v>0</v>
          </cell>
          <cell r="AD67">
            <v>0</v>
          </cell>
          <cell r="AE67">
            <v>0</v>
          </cell>
          <cell r="AF67">
            <v>-0.01</v>
          </cell>
          <cell r="AG67">
            <v>0.01</v>
          </cell>
          <cell r="AH67">
            <v>0</v>
          </cell>
          <cell r="AI67">
            <v>-0.01</v>
          </cell>
          <cell r="AJ67">
            <v>0.01</v>
          </cell>
          <cell r="AK67">
            <v>0</v>
          </cell>
          <cell r="AL67">
            <v>0</v>
          </cell>
          <cell r="AM67">
            <v>0</v>
          </cell>
          <cell r="AN67">
            <v>-0.01</v>
          </cell>
          <cell r="AO67">
            <v>0</v>
          </cell>
          <cell r="AP67">
            <v>0</v>
          </cell>
          <cell r="AQ67">
            <v>0.02</v>
          </cell>
          <cell r="AR67">
            <v>0</v>
          </cell>
          <cell r="AS67">
            <v>0.03</v>
          </cell>
          <cell r="AT67">
            <v>0</v>
          </cell>
          <cell r="AU67">
            <v>0</v>
          </cell>
          <cell r="AV67">
            <v>0</v>
          </cell>
          <cell r="AW67">
            <v>0</v>
          </cell>
          <cell r="AX67">
            <v>0.01</v>
          </cell>
          <cell r="AY67">
            <v>0</v>
          </cell>
          <cell r="AZ67">
            <v>0.02</v>
          </cell>
          <cell r="BA67">
            <v>0.02</v>
          </cell>
          <cell r="BB67">
            <v>0.01</v>
          </cell>
          <cell r="BC67">
            <v>0.01</v>
          </cell>
          <cell r="BD67">
            <v>-0.01</v>
          </cell>
          <cell r="BE67">
            <v>-0.01</v>
          </cell>
        </row>
        <row r="68">
          <cell r="A68" t="str">
            <v>Promotion</v>
          </cell>
          <cell r="Y68">
            <v>0</v>
          </cell>
          <cell r="Z68">
            <v>0</v>
          </cell>
          <cell r="AA68">
            <v>0</v>
          </cell>
          <cell r="AC68">
            <v>0</v>
          </cell>
          <cell r="AD68">
            <v>0</v>
          </cell>
          <cell r="AE68">
            <v>0</v>
          </cell>
          <cell r="AF68">
            <v>0</v>
          </cell>
          <cell r="AG68">
            <v>0</v>
          </cell>
          <cell r="AH68">
            <v>0</v>
          </cell>
          <cell r="AI68">
            <v>-0.02</v>
          </cell>
          <cell r="AJ68">
            <v>0.01</v>
          </cell>
          <cell r="AK68">
            <v>0.01</v>
          </cell>
          <cell r="AL68">
            <v>0</v>
          </cell>
          <cell r="AM68">
            <v>0</v>
          </cell>
          <cell r="AN68">
            <v>-0.01</v>
          </cell>
          <cell r="AO68">
            <v>-0.01</v>
          </cell>
          <cell r="AP68">
            <v>-0.01</v>
          </cell>
          <cell r="AQ68">
            <v>-0.01</v>
          </cell>
          <cell r="AR68">
            <v>-0.01</v>
          </cell>
          <cell r="AS68">
            <v>0</v>
          </cell>
          <cell r="AT68">
            <v>0</v>
          </cell>
          <cell r="AU68">
            <v>0.02</v>
          </cell>
          <cell r="AV68">
            <v>-0.01</v>
          </cell>
          <cell r="AW68">
            <v>0</v>
          </cell>
          <cell r="AX68">
            <v>0</v>
          </cell>
          <cell r="AY68">
            <v>0</v>
          </cell>
          <cell r="AZ68">
            <v>-0.02</v>
          </cell>
          <cell r="BA68">
            <v>0.01</v>
          </cell>
          <cell r="BB68">
            <v>0</v>
          </cell>
          <cell r="BC68">
            <v>0</v>
          </cell>
          <cell r="BD68">
            <v>-0.01</v>
          </cell>
          <cell r="BE68">
            <v>0.01</v>
          </cell>
        </row>
        <row r="69">
          <cell r="A69" t="str">
            <v>Net acquisitions</v>
          </cell>
          <cell r="X69">
            <v>0.02</v>
          </cell>
          <cell r="Y69">
            <v>0.6</v>
          </cell>
          <cell r="Z69">
            <v>0.56000000000000005</v>
          </cell>
          <cell r="AA69">
            <v>0.64</v>
          </cell>
          <cell r="AC69">
            <v>0.44</v>
          </cell>
          <cell r="AD69">
            <v>0.01</v>
          </cell>
          <cell r="AE69">
            <v>0.03</v>
          </cell>
          <cell r="AF69">
            <v>0.03</v>
          </cell>
          <cell r="AG69">
            <v>9.999999999999995E-3</v>
          </cell>
          <cell r="AH69">
            <v>0.02</v>
          </cell>
          <cell r="AI69">
            <v>0.01</v>
          </cell>
          <cell r="AJ69">
            <v>-0.01</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row>
        <row r="70">
          <cell r="A70" t="str">
            <v>FX</v>
          </cell>
          <cell r="Y70">
            <v>0.01</v>
          </cell>
          <cell r="Z70">
            <v>-8.0000000000000002E-3</v>
          </cell>
          <cell r="AA70">
            <v>-0.02</v>
          </cell>
          <cell r="AC70">
            <v>0.02</v>
          </cell>
          <cell r="AD70">
            <v>7.0000000000000007E-2</v>
          </cell>
          <cell r="AE70">
            <v>0.13</v>
          </cell>
          <cell r="AF70">
            <v>0.17</v>
          </cell>
          <cell r="AG70">
            <v>0.10999999999999999</v>
          </cell>
          <cell r="AH70">
            <v>0.12</v>
          </cell>
          <cell r="AI70">
            <v>0.12</v>
          </cell>
          <cell r="AJ70">
            <v>0.15</v>
          </cell>
          <cell r="AK70">
            <v>0.14000000000000001</v>
          </cell>
          <cell r="AL70">
            <v>6.9999999999999951E-2</v>
          </cell>
          <cell r="AM70">
            <v>0.12</v>
          </cell>
          <cell r="AN70">
            <v>7.0000000000000007E-2</v>
          </cell>
          <cell r="AO70">
            <v>7.0000000000000007E-2</v>
          </cell>
          <cell r="AP70">
            <v>0.05</v>
          </cell>
          <cell r="AQ70">
            <v>0.03</v>
          </cell>
          <cell r="AR70">
            <v>0.06</v>
          </cell>
          <cell r="AS70">
            <v>0</v>
          </cell>
          <cell r="AT70">
            <v>-0.05</v>
          </cell>
          <cell r="AU70">
            <v>-0.04</v>
          </cell>
          <cell r="AV70">
            <v>0.03</v>
          </cell>
          <cell r="AW70">
            <v>-0.01</v>
          </cell>
          <cell r="AX70">
            <v>0.04</v>
          </cell>
          <cell r="AY70">
            <v>0.06</v>
          </cell>
          <cell r="AZ70">
            <v>0.05</v>
          </cell>
          <cell r="BA70">
            <v>7.0000000000000007E-2</v>
          </cell>
          <cell r="BB70">
            <v>0.05</v>
          </cell>
          <cell r="BC70">
            <v>0.08</v>
          </cell>
          <cell r="BD70">
            <v>0.12</v>
          </cell>
          <cell r="BE70">
            <v>0.14000000000000001</v>
          </cell>
        </row>
        <row r="71">
          <cell r="A71" t="str">
            <v>Days</v>
          </cell>
          <cell r="AL71">
            <v>-0.08</v>
          </cell>
          <cell r="AM71">
            <v>-0.02</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row>
        <row r="72">
          <cell r="A72" t="str">
            <v>Total Sales</v>
          </cell>
          <cell r="X72">
            <v>0.02</v>
          </cell>
          <cell r="Y72">
            <v>0.64</v>
          </cell>
          <cell r="Z72">
            <v>0.52500000000000002</v>
          </cell>
          <cell r="AA72">
            <v>0.59</v>
          </cell>
          <cell r="AC72">
            <v>0.46</v>
          </cell>
          <cell r="AD72">
            <v>5.000000000000001E-2</v>
          </cell>
          <cell r="AE72">
            <v>0.16</v>
          </cell>
          <cell r="AF72">
            <v>0.22</v>
          </cell>
          <cell r="AG72">
            <v>0.12999999999999998</v>
          </cell>
          <cell r="AH72">
            <v>0.13999999999999999</v>
          </cell>
          <cell r="AI72">
            <v>0.18</v>
          </cell>
          <cell r="AJ72">
            <v>0.13999999999999999</v>
          </cell>
          <cell r="AK72">
            <v>0.13</v>
          </cell>
          <cell r="AL72">
            <v>2.9999999999999971E-2</v>
          </cell>
          <cell r="AM72">
            <v>0.11999999999999998</v>
          </cell>
          <cell r="AN72">
            <v>0.08</v>
          </cell>
          <cell r="AO72">
            <v>0.1</v>
          </cell>
          <cell r="AP72">
            <v>6.0000000000000005E-2</v>
          </cell>
          <cell r="AQ72">
            <v>0.03</v>
          </cell>
          <cell r="AR72">
            <v>6.9999999999999993E-2</v>
          </cell>
          <cell r="AS72">
            <v>0.13</v>
          </cell>
          <cell r="AT72">
            <v>-0.04</v>
          </cell>
          <cell r="AU72">
            <v>-1.0000000000000002E-2</v>
          </cell>
          <cell r="AV72">
            <v>1.9999999999999997E-2</v>
          </cell>
          <cell r="AW72">
            <v>1.9999999999999997E-2</v>
          </cell>
          <cell r="AX72">
            <v>0.10999999999999999</v>
          </cell>
          <cell r="AY72">
            <v>0.12</v>
          </cell>
          <cell r="AZ72">
            <v>0.06</v>
          </cell>
          <cell r="BA72">
            <v>0.19</v>
          </cell>
          <cell r="BB72">
            <v>0.11000000000000001</v>
          </cell>
          <cell r="BC72">
            <v>0.12</v>
          </cell>
          <cell r="BD72">
            <v>0.13</v>
          </cell>
          <cell r="BE72">
            <v>0.17</v>
          </cell>
        </row>
        <row r="74">
          <cell r="A74" t="str">
            <v>Organic sales</v>
          </cell>
          <cell r="C74">
            <v>0.04</v>
          </cell>
          <cell r="D74">
            <v>5.6000000000000001E-2</v>
          </cell>
          <cell r="E74">
            <v>7.0000000000000007E-2</v>
          </cell>
          <cell r="F74">
            <v>0.05</v>
          </cell>
          <cell r="G74">
            <v>0.06</v>
          </cell>
          <cell r="H74">
            <v>0.04</v>
          </cell>
          <cell r="I74">
            <v>0.06</v>
          </cell>
          <cell r="J74">
            <v>7.0000000000000007E-2</v>
          </cell>
          <cell r="K74">
            <v>-5.8999999999999997E-2</v>
          </cell>
          <cell r="L74">
            <v>0.01</v>
          </cell>
          <cell r="M74">
            <v>0.04</v>
          </cell>
          <cell r="N74">
            <v>0.02</v>
          </cell>
          <cell r="O74">
            <v>0</v>
          </cell>
          <cell r="P74">
            <v>7.0000000000000007E-2</v>
          </cell>
          <cell r="Q74">
            <v>-0.04</v>
          </cell>
          <cell r="R74">
            <v>-0.05</v>
          </cell>
          <cell r="S74">
            <v>0</v>
          </cell>
          <cell r="T74">
            <v>0.04</v>
          </cell>
          <cell r="U74">
            <v>0.05</v>
          </cell>
          <cell r="V74">
            <v>0.05</v>
          </cell>
          <cell r="W74">
            <v>0.05</v>
          </cell>
          <cell r="X74">
            <v>0.05</v>
          </cell>
          <cell r="Y74">
            <v>6.9999999999999993E-2</v>
          </cell>
          <cell r="Z74">
            <v>0.01</v>
          </cell>
          <cell r="AA74">
            <v>0.01</v>
          </cell>
          <cell r="AB74">
            <v>0.05</v>
          </cell>
          <cell r="AC74">
            <v>0.03</v>
          </cell>
          <cell r="AD74">
            <v>-1.9999999999999997E-2</v>
          </cell>
          <cell r="AE74">
            <v>0.03</v>
          </cell>
          <cell r="AF74">
            <v>0.08</v>
          </cell>
          <cell r="AG74">
            <v>0.08</v>
          </cell>
          <cell r="AH74">
            <v>0.04</v>
          </cell>
          <cell r="AI74">
            <v>0.04</v>
          </cell>
          <cell r="AJ74">
            <v>0.05</v>
          </cell>
          <cell r="AK74">
            <v>0</v>
          </cell>
          <cell r="AL74">
            <v>0.05</v>
          </cell>
          <cell r="AM74">
            <v>0.04</v>
          </cell>
          <cell r="AR74">
            <v>0.05</v>
          </cell>
          <cell r="AS74">
            <v>0.04</v>
          </cell>
          <cell r="AT74">
            <v>0.05</v>
          </cell>
          <cell r="AU74">
            <v>0.04</v>
          </cell>
        </row>
        <row r="75">
          <cell r="BA75" t="str">
            <v>Nine</v>
          </cell>
          <cell r="BB75">
            <v>-0.06</v>
          </cell>
        </row>
        <row r="76">
          <cell r="AJ76" t="str">
            <v xml:space="preserve">Worlwide Soup Volume </v>
          </cell>
          <cell r="AX76" t="str">
            <v>1Q02</v>
          </cell>
          <cell r="AY76" t="str">
            <v>2Q02</v>
          </cell>
          <cell r="AZ76" t="str">
            <v>3Q02</v>
          </cell>
          <cell r="BA76" t="str">
            <v>Months</v>
          </cell>
          <cell r="BB76">
            <v>0.09</v>
          </cell>
        </row>
        <row r="77">
          <cell r="Z77" t="str">
            <v>Low sodium launch</v>
          </cell>
          <cell r="AW77" t="str">
            <v>Soup Format</v>
          </cell>
          <cell r="BB77">
            <v>0.03</v>
          </cell>
        </row>
        <row r="78">
          <cell r="A78" t="str">
            <v>Total Volumes</v>
          </cell>
          <cell r="T78">
            <v>2001</v>
          </cell>
          <cell r="U78">
            <v>2002</v>
          </cell>
          <cell r="V78">
            <v>2003</v>
          </cell>
          <cell r="W78">
            <v>2004</v>
          </cell>
          <cell r="X78">
            <v>2005</v>
          </cell>
          <cell r="Y78">
            <v>2006</v>
          </cell>
          <cell r="Z78">
            <v>2007</v>
          </cell>
          <cell r="AA78">
            <v>2008</v>
          </cell>
          <cell r="AB78" t="str">
            <v>2009 YTD</v>
          </cell>
          <cell r="AI78">
            <v>1995</v>
          </cell>
          <cell r="AJ78">
            <v>0.02</v>
          </cell>
          <cell r="AM78" t="str">
            <v>2000E</v>
          </cell>
          <cell r="AR78" t="str">
            <v>2000E</v>
          </cell>
          <cell r="AS78" t="str">
            <v>2000E</v>
          </cell>
          <cell r="AT78" t="str">
            <v>2000E</v>
          </cell>
          <cell r="AU78" t="str">
            <v>2000E</v>
          </cell>
          <cell r="AW78" t="str">
            <v>Condensed</v>
          </cell>
          <cell r="AX78">
            <v>0.01</v>
          </cell>
          <cell r="AY78">
            <v>-0.13</v>
          </cell>
          <cell r="AZ78">
            <v>-0.03</v>
          </cell>
          <cell r="BA78">
            <v>-0.06</v>
          </cell>
        </row>
        <row r="79">
          <cell r="A79" t="str">
            <v>CPB</v>
          </cell>
          <cell r="T79">
            <v>0.05</v>
          </cell>
          <cell r="U79">
            <v>0.02</v>
          </cell>
          <cell r="V79">
            <v>0.03</v>
          </cell>
          <cell r="W79">
            <v>0.02</v>
          </cell>
          <cell r="X79">
            <v>0.03</v>
          </cell>
          <cell r="Y79">
            <v>0.01</v>
          </cell>
          <cell r="Z79">
            <v>0.03</v>
          </cell>
          <cell r="AA79">
            <v>0.02</v>
          </cell>
          <cell r="AB79">
            <v>-0.02</v>
          </cell>
          <cell r="AI79">
            <v>1996</v>
          </cell>
          <cell r="AJ79">
            <v>0.02</v>
          </cell>
          <cell r="AM79" t="str">
            <v>4Q00E</v>
          </cell>
          <cell r="AR79" t="str">
            <v>4Q00E</v>
          </cell>
          <cell r="AS79" t="str">
            <v>4Q00E</v>
          </cell>
          <cell r="AT79" t="str">
            <v>4Q00E</v>
          </cell>
          <cell r="AU79" t="str">
            <v>4Q00E</v>
          </cell>
          <cell r="AW79" t="str">
            <v>RTS Soup</v>
          </cell>
          <cell r="AX79">
            <v>0.17</v>
          </cell>
          <cell r="AY79">
            <v>0.01</v>
          </cell>
          <cell r="AZ79">
            <v>0.09</v>
          </cell>
          <cell r="BA79">
            <v>0.09</v>
          </cell>
        </row>
        <row r="80">
          <cell r="A80" t="str">
            <v>US Soup, Sauces, Bev</v>
          </cell>
          <cell r="T80">
            <v>0.06</v>
          </cell>
          <cell r="U80">
            <v>0.01</v>
          </cell>
          <cell r="V80">
            <v>0.01</v>
          </cell>
          <cell r="W80">
            <v>0.01</v>
          </cell>
          <cell r="X80">
            <v>0.02</v>
          </cell>
          <cell r="Y80">
            <v>0.01</v>
          </cell>
          <cell r="Z80">
            <v>0.05</v>
          </cell>
          <cell r="AA80">
            <v>0.03</v>
          </cell>
          <cell r="AB80">
            <v>-0.02</v>
          </cell>
          <cell r="AI80">
            <v>1997</v>
          </cell>
          <cell r="AJ80">
            <v>7.0000000000000007E-2</v>
          </cell>
          <cell r="AM80" t="str">
            <v>3Q00</v>
          </cell>
          <cell r="AR80" t="str">
            <v>3Q00</v>
          </cell>
          <cell r="AS80" t="str">
            <v>3Q00</v>
          </cell>
          <cell r="AT80" t="str">
            <v>3Q00</v>
          </cell>
          <cell r="AU80" t="str">
            <v>3Q00</v>
          </cell>
          <cell r="AW80" t="str">
            <v>Soup Use</v>
          </cell>
          <cell r="BB80">
            <v>0</v>
          </cell>
        </row>
        <row r="81">
          <cell r="AI81" t="str">
            <v>1Q98</v>
          </cell>
          <cell r="AJ81">
            <v>0.06</v>
          </cell>
          <cell r="AM81" t="str">
            <v>2Q00</v>
          </cell>
          <cell r="AR81" t="str">
            <v>2Q00</v>
          </cell>
          <cell r="AS81" t="str">
            <v>2Q00</v>
          </cell>
          <cell r="AT81" t="str">
            <v>2Q00</v>
          </cell>
          <cell r="AU81" t="str">
            <v>2Q00</v>
          </cell>
          <cell r="AW81" t="str">
            <v>Eating</v>
          </cell>
          <cell r="AX81">
            <v>7.0000000000000007E-2</v>
          </cell>
          <cell r="AY81">
            <v>-0.08</v>
          </cell>
          <cell r="AZ81">
            <v>0.03</v>
          </cell>
          <cell r="BA81">
            <v>0</v>
          </cell>
          <cell r="BB81">
            <v>-0.01</v>
          </cell>
        </row>
        <row r="82">
          <cell r="A82" t="str">
            <v>Soup Sales</v>
          </cell>
          <cell r="T82">
            <v>2001</v>
          </cell>
          <cell r="U82">
            <v>2002</v>
          </cell>
          <cell r="V82">
            <v>2003</v>
          </cell>
          <cell r="W82">
            <v>2004</v>
          </cell>
          <cell r="X82">
            <v>2005</v>
          </cell>
          <cell r="Y82">
            <v>2006</v>
          </cell>
          <cell r="Z82">
            <v>2007</v>
          </cell>
          <cell r="AA82">
            <v>2008</v>
          </cell>
          <cell r="AB82" t="str">
            <v>2009 YTD</v>
          </cell>
          <cell r="AI82" t="str">
            <v>2Q98</v>
          </cell>
          <cell r="AJ82">
            <v>7.0000000000000007E-2</v>
          </cell>
          <cell r="AM82" t="str">
            <v>1Q00</v>
          </cell>
          <cell r="AR82" t="str">
            <v>1Q00</v>
          </cell>
          <cell r="AS82" t="str">
            <v>1Q00</v>
          </cell>
          <cell r="AT82" t="str">
            <v>1Q00</v>
          </cell>
          <cell r="AU82" t="str">
            <v>1Q00</v>
          </cell>
          <cell r="AW82" t="str">
            <v>Cooking</v>
          </cell>
          <cell r="AX82">
            <v>0.04</v>
          </cell>
          <cell r="AY82">
            <v>-0.05</v>
          </cell>
          <cell r="AZ82">
            <v>-0.03</v>
          </cell>
          <cell r="BA82">
            <v>-0.01</v>
          </cell>
        </row>
        <row r="83">
          <cell r="A83" t="str">
            <v>Condensed</v>
          </cell>
          <cell r="T83">
            <v>-0.02</v>
          </cell>
          <cell r="U83">
            <v>-0.05</v>
          </cell>
          <cell r="V83">
            <v>-0.06</v>
          </cell>
          <cell r="W83">
            <v>0.06</v>
          </cell>
          <cell r="X83">
            <v>0.08</v>
          </cell>
          <cell r="Y83">
            <v>0.05</v>
          </cell>
          <cell r="Z83">
            <v>0.03</v>
          </cell>
          <cell r="AA83">
            <v>0</v>
          </cell>
          <cell r="AB83">
            <v>0.06</v>
          </cell>
          <cell r="AI83" t="str">
            <v>3Q98</v>
          </cell>
          <cell r="AJ83">
            <v>-0.03</v>
          </cell>
          <cell r="AW83" t="str">
            <v>Total US Wet Soup</v>
          </cell>
          <cell r="AX83">
            <v>0.06</v>
          </cell>
          <cell r="AY83">
            <v>-0.06</v>
          </cell>
          <cell r="AZ83">
            <v>0.02</v>
          </cell>
          <cell r="BA83">
            <v>0</v>
          </cell>
          <cell r="BB83">
            <v>0</v>
          </cell>
        </row>
        <row r="84">
          <cell r="A84" t="str">
            <v>RTS</v>
          </cell>
          <cell r="T84">
            <v>0.2</v>
          </cell>
          <cell r="U84">
            <v>0.09</v>
          </cell>
          <cell r="V84">
            <v>0.08</v>
          </cell>
          <cell r="W84">
            <v>-0.04</v>
          </cell>
          <cell r="X84">
            <v>-0.01</v>
          </cell>
          <cell r="Y84">
            <v>0.01</v>
          </cell>
          <cell r="Z84">
            <v>0.05</v>
          </cell>
          <cell r="AA84">
            <v>0.01</v>
          </cell>
          <cell r="AB84">
            <v>0.04</v>
          </cell>
          <cell r="AI84" t="str">
            <v>4Q98</v>
          </cell>
          <cell r="AJ84">
            <v>0.08</v>
          </cell>
          <cell r="AM84" t="str">
            <v>1999</v>
          </cell>
          <cell r="AR84" t="str">
            <v>1999</v>
          </cell>
          <cell r="AS84" t="str">
            <v>1999</v>
          </cell>
          <cell r="AT84" t="str">
            <v>1999</v>
          </cell>
          <cell r="AU84" t="str">
            <v>1999</v>
          </cell>
          <cell r="BB84">
            <v>0.02</v>
          </cell>
        </row>
        <row r="85">
          <cell r="A85" t="str">
            <v>Total Soup</v>
          </cell>
          <cell r="Y85">
            <v>0.04</v>
          </cell>
          <cell r="Z85">
            <v>0.05</v>
          </cell>
          <cell r="AA85">
            <v>0.01</v>
          </cell>
          <cell r="AB85">
            <v>0.06</v>
          </cell>
          <cell r="AI85">
            <v>1998</v>
          </cell>
          <cell r="AJ85">
            <v>0.04</v>
          </cell>
          <cell r="AM85" t="str">
            <v xml:space="preserve">4Q99 </v>
          </cell>
          <cell r="AR85" t="str">
            <v xml:space="preserve">4Q99 </v>
          </cell>
          <cell r="AS85" t="str">
            <v xml:space="preserve">4Q99 </v>
          </cell>
          <cell r="AT85" t="str">
            <v xml:space="preserve">4Q99 </v>
          </cell>
          <cell r="AU85" t="str">
            <v xml:space="preserve">4Q99 </v>
          </cell>
        </row>
        <row r="86">
          <cell r="AI86" t="str">
            <v>1Q99</v>
          </cell>
          <cell r="AJ86">
            <v>7.0000000000000007E-2</v>
          </cell>
          <cell r="AM86" t="str">
            <v>3Q99</v>
          </cell>
          <cell r="AR86" t="str">
            <v>3Q99</v>
          </cell>
          <cell r="AS86" t="str">
            <v>3Q99</v>
          </cell>
          <cell r="AT86" t="str">
            <v>3Q99</v>
          </cell>
          <cell r="AU86" t="str">
            <v>3Q99</v>
          </cell>
          <cell r="BB86">
            <v>0.01</v>
          </cell>
        </row>
        <row r="87">
          <cell r="AI87" t="str">
            <v>2Q99</v>
          </cell>
          <cell r="AJ87">
            <v>-0.15</v>
          </cell>
          <cell r="AM87" t="str">
            <v>2Q99</v>
          </cell>
          <cell r="AR87" t="str">
            <v>2Q99</v>
          </cell>
          <cell r="AS87" t="str">
            <v>2Q99</v>
          </cell>
          <cell r="AT87" t="str">
            <v>2Q99</v>
          </cell>
          <cell r="AU87" t="str">
            <v>2Q99</v>
          </cell>
        </row>
        <row r="88">
          <cell r="AI88" t="str">
            <v>3Q99</v>
          </cell>
          <cell r="AJ88">
            <v>-0.06</v>
          </cell>
          <cell r="AM88" t="str">
            <v>1Q99</v>
          </cell>
          <cell r="AR88" t="str">
            <v>1Q99</v>
          </cell>
          <cell r="AS88" t="str">
            <v>1Q99</v>
          </cell>
          <cell r="AT88" t="str">
            <v>1Q99</v>
          </cell>
          <cell r="AU88" t="str">
            <v>1Q99</v>
          </cell>
        </row>
        <row r="89">
          <cell r="AI89" t="str">
            <v>4Q99</v>
          </cell>
          <cell r="AJ89">
            <v>0</v>
          </cell>
        </row>
        <row r="90">
          <cell r="AI90">
            <v>1999</v>
          </cell>
          <cell r="AJ90">
            <v>-0.04</v>
          </cell>
          <cell r="AM90" t="str">
            <v>1998</v>
          </cell>
          <cell r="AR90" t="str">
            <v>1998</v>
          </cell>
          <cell r="AS90" t="str">
            <v>1998</v>
          </cell>
          <cell r="AT90" t="str">
            <v>1998</v>
          </cell>
          <cell r="AU90" t="str">
            <v>1998</v>
          </cell>
        </row>
        <row r="91">
          <cell r="AI91" t="str">
            <v>1Q00</v>
          </cell>
          <cell r="AJ91">
            <v>-0.06</v>
          </cell>
          <cell r="AM91" t="str">
            <v>4Q98</v>
          </cell>
          <cell r="AR91" t="str">
            <v>4Q98</v>
          </cell>
          <cell r="AS91" t="str">
            <v>4Q98</v>
          </cell>
          <cell r="AT91" t="str">
            <v>4Q98</v>
          </cell>
          <cell r="AU91" t="str">
            <v>4Q98</v>
          </cell>
        </row>
        <row r="92">
          <cell r="AI92" t="str">
            <v>2Q00</v>
          </cell>
          <cell r="AJ92">
            <v>0.09</v>
          </cell>
          <cell r="AM92" t="str">
            <v>3Q98</v>
          </cell>
          <cell r="AR92" t="str">
            <v>3Q98</v>
          </cell>
          <cell r="AS92" t="str">
            <v>3Q98</v>
          </cell>
          <cell r="AT92" t="str">
            <v>3Q98</v>
          </cell>
          <cell r="AU92" t="str">
            <v>3Q98</v>
          </cell>
        </row>
        <row r="93">
          <cell r="AI93" t="str">
            <v>3Q00</v>
          </cell>
          <cell r="AJ93">
            <v>-0.05</v>
          </cell>
          <cell r="AM93" t="str">
            <v>2Q98</v>
          </cell>
          <cell r="AR93" t="str">
            <v>2Q98</v>
          </cell>
          <cell r="AS93" t="str">
            <v>2Q98</v>
          </cell>
          <cell r="AT93" t="str">
            <v>2Q98</v>
          </cell>
          <cell r="AU93" t="str">
            <v>2Q98</v>
          </cell>
        </row>
        <row r="94">
          <cell r="AM94" t="str">
            <v>1Q98</v>
          </cell>
          <cell r="AR94" t="str">
            <v>1Q98</v>
          </cell>
          <cell r="AS94" t="str">
            <v>1Q98</v>
          </cell>
          <cell r="AT94" t="str">
            <v>1Q98</v>
          </cell>
          <cell r="AU94" t="str">
            <v>1Q98</v>
          </cell>
        </row>
        <row r="96">
          <cell r="AM96" t="str">
            <v>1997</v>
          </cell>
          <cell r="AR96" t="str">
            <v>1997</v>
          </cell>
          <cell r="AS96" t="str">
            <v>1997</v>
          </cell>
          <cell r="AT96" t="str">
            <v>1997</v>
          </cell>
          <cell r="AU96" t="str">
            <v>1997</v>
          </cell>
        </row>
        <row r="97">
          <cell r="AM97" t="str">
            <v>1996</v>
          </cell>
          <cell r="AR97" t="str">
            <v>1996</v>
          </cell>
          <cell r="AS97" t="str">
            <v>1996</v>
          </cell>
          <cell r="AT97" t="str">
            <v>1996</v>
          </cell>
          <cell r="AU97" t="str">
            <v>1996</v>
          </cell>
        </row>
        <row r="98">
          <cell r="AM98">
            <v>1995</v>
          </cell>
          <cell r="AR98">
            <v>1995</v>
          </cell>
          <cell r="AS98">
            <v>1995</v>
          </cell>
          <cell r="AT98">
            <v>1995</v>
          </cell>
          <cell r="AU98">
            <v>1995</v>
          </cell>
        </row>
        <row r="149">
          <cell r="G149">
            <v>1995</v>
          </cell>
          <cell r="H149">
            <v>0.01</v>
          </cell>
        </row>
        <row r="150">
          <cell r="G150" t="str">
            <v>1996</v>
          </cell>
          <cell r="H150">
            <v>0.03</v>
          </cell>
        </row>
        <row r="151">
          <cell r="G151" t="str">
            <v>1997</v>
          </cell>
          <cell r="H151">
            <v>0.02</v>
          </cell>
        </row>
        <row r="152">
          <cell r="G152" t="str">
            <v>1998</v>
          </cell>
          <cell r="H152">
            <v>0.01</v>
          </cell>
        </row>
        <row r="153">
          <cell r="G153" t="str">
            <v>1999</v>
          </cell>
          <cell r="H153">
            <v>-0.06</v>
          </cell>
        </row>
      </sheetData>
      <sheetData sheetId="4" refreshError="1">
        <row r="2">
          <cell r="A2" t="e">
            <v>#REF!</v>
          </cell>
        </row>
        <row r="6">
          <cell r="A6" t="str">
            <v>SEGMENT DATA</v>
          </cell>
          <cell r="B6" t="str">
            <v>FYE</v>
          </cell>
          <cell r="C6" t="str">
            <v>FYE</v>
          </cell>
          <cell r="D6" t="str">
            <v>FYE</v>
          </cell>
          <cell r="E6" t="str">
            <v>FYE</v>
          </cell>
          <cell r="F6" t="str">
            <v>FYE</v>
          </cell>
          <cell r="G6" t="str">
            <v>FYE</v>
          </cell>
          <cell r="H6" t="str">
            <v>FYE</v>
          </cell>
          <cell r="I6" t="str">
            <v>FYE</v>
          </cell>
          <cell r="J6" t="str">
            <v>FYE</v>
          </cell>
          <cell r="K6" t="str">
            <v>FYE</v>
          </cell>
          <cell r="L6" t="str">
            <v>FYE</v>
          </cell>
          <cell r="M6" t="str">
            <v>FYE</v>
          </cell>
          <cell r="N6" t="str">
            <v>FYE</v>
          </cell>
          <cell r="O6" t="str">
            <v>FYE</v>
          </cell>
          <cell r="P6" t="str">
            <v>FYE</v>
          </cell>
          <cell r="Q6">
            <v>0</v>
          </cell>
          <cell r="R6">
            <v>0</v>
          </cell>
          <cell r="T6">
            <v>37925</v>
          </cell>
          <cell r="U6">
            <v>38016</v>
          </cell>
          <cell r="V6">
            <v>38108</v>
          </cell>
          <cell r="W6">
            <v>38199</v>
          </cell>
          <cell r="X6">
            <v>38291</v>
          </cell>
          <cell r="Y6">
            <v>38382</v>
          </cell>
          <cell r="Z6">
            <v>38473</v>
          </cell>
          <cell r="AA6">
            <v>38564</v>
          </cell>
          <cell r="AB6">
            <v>38655</v>
          </cell>
          <cell r="AC6">
            <v>38746</v>
          </cell>
          <cell r="AD6">
            <v>38837</v>
          </cell>
          <cell r="AE6">
            <v>38928</v>
          </cell>
          <cell r="AF6">
            <v>39019</v>
          </cell>
          <cell r="AG6">
            <v>39111</v>
          </cell>
          <cell r="AH6">
            <v>39202</v>
          </cell>
          <cell r="AI6">
            <v>39294</v>
          </cell>
          <cell r="AJ6">
            <v>39384</v>
          </cell>
          <cell r="AK6">
            <v>39476</v>
          </cell>
          <cell r="AL6">
            <v>39568</v>
          </cell>
          <cell r="AM6" t="str">
            <v>7/31/2008e</v>
          </cell>
          <cell r="AW6" t="e">
            <v>#REF!</v>
          </cell>
          <cell r="BA6" t="e">
            <v>#REF!</v>
          </cell>
          <cell r="BB6" t="e">
            <v>#REF!</v>
          </cell>
          <cell r="BC6" t="e">
            <v>#REF!</v>
          </cell>
        </row>
        <row r="7">
          <cell r="B7">
            <v>37103</v>
          </cell>
          <cell r="C7">
            <v>37468</v>
          </cell>
          <cell r="D7">
            <v>37833</v>
          </cell>
          <cell r="E7">
            <v>38199</v>
          </cell>
          <cell r="F7">
            <v>38564</v>
          </cell>
          <cell r="G7">
            <v>38929</v>
          </cell>
          <cell r="H7">
            <v>39294</v>
          </cell>
          <cell r="I7">
            <v>39660</v>
          </cell>
          <cell r="J7">
            <v>40025</v>
          </cell>
          <cell r="K7">
            <v>40390</v>
          </cell>
          <cell r="L7" t="str">
            <v>7/31/2011e</v>
          </cell>
          <cell r="M7" t="str">
            <v>7/31/2012e</v>
          </cell>
          <cell r="N7" t="str">
            <v>7/31/2013e</v>
          </cell>
          <cell r="O7" t="str">
            <v>7/31/2014e</v>
          </cell>
          <cell r="P7" t="str">
            <v>7/31/2015e</v>
          </cell>
          <cell r="Q7">
            <v>0</v>
          </cell>
          <cell r="R7">
            <v>0</v>
          </cell>
        </row>
        <row r="8">
          <cell r="A8" t="str">
            <v>($millions, except per share data)</v>
          </cell>
          <cell r="B8">
            <v>2001</v>
          </cell>
          <cell r="C8">
            <v>2002</v>
          </cell>
          <cell r="D8">
            <v>2003</v>
          </cell>
          <cell r="E8">
            <v>2004</v>
          </cell>
          <cell r="F8">
            <v>2005</v>
          </cell>
          <cell r="G8">
            <v>2006</v>
          </cell>
          <cell r="H8">
            <v>2007</v>
          </cell>
          <cell r="I8">
            <v>2008</v>
          </cell>
          <cell r="J8" t="str">
            <v>2009</v>
          </cell>
          <cell r="K8">
            <v>2010</v>
          </cell>
          <cell r="L8" t="str">
            <v>2011E</v>
          </cell>
          <cell r="M8" t="str">
            <v>2012E</v>
          </cell>
          <cell r="N8" t="str">
            <v>2013E</v>
          </cell>
          <cell r="O8" t="str">
            <v>2014E</v>
          </cell>
          <cell r="P8" t="str">
            <v>2015E</v>
          </cell>
          <cell r="Q8" t="str">
            <v>2016E</v>
          </cell>
          <cell r="R8" t="str">
            <v>2017E</v>
          </cell>
          <cell r="T8" t="str">
            <v>1Q04</v>
          </cell>
          <cell r="U8" t="str">
            <v>2Q04</v>
          </cell>
          <cell r="V8" t="str">
            <v>3Q04</v>
          </cell>
          <cell r="W8" t="str">
            <v>4Q04</v>
          </cell>
          <cell r="X8" t="str">
            <v>1Q05</v>
          </cell>
          <cell r="Y8" t="str">
            <v>2Q05</v>
          </cell>
          <cell r="Z8" t="str">
            <v>3Q05</v>
          </cell>
          <cell r="AA8" t="str">
            <v>4Q05</v>
          </cell>
          <cell r="AB8" t="str">
            <v>1Q06</v>
          </cell>
          <cell r="AC8" t="str">
            <v>2Q06</v>
          </cell>
          <cell r="AD8" t="str">
            <v>3Q06</v>
          </cell>
          <cell r="AE8" t="str">
            <v>4Q06</v>
          </cell>
          <cell r="AF8" t="str">
            <v>1Q07</v>
          </cell>
          <cell r="AG8" t="str">
            <v>2Q07</v>
          </cell>
          <cell r="AH8" t="str">
            <v>3Q07</v>
          </cell>
          <cell r="AI8" t="str">
            <v>4Q07</v>
          </cell>
          <cell r="AJ8" t="str">
            <v>1Q08</v>
          </cell>
          <cell r="AK8" t="str">
            <v>2Q08</v>
          </cell>
          <cell r="AL8" t="str">
            <v>3Q08</v>
          </cell>
          <cell r="AM8" t="str">
            <v>4Q08</v>
          </cell>
          <cell r="AN8" t="str">
            <v>1Q09</v>
          </cell>
          <cell r="AO8" t="str">
            <v>2Q09</v>
          </cell>
          <cell r="AP8" t="str">
            <v>3Q09</v>
          </cell>
          <cell r="AQ8" t="str">
            <v>4Q09</v>
          </cell>
          <cell r="AR8" t="str">
            <v>1Q10</v>
          </cell>
          <cell r="AS8" t="str">
            <v>2Q10</v>
          </cell>
          <cell r="AT8" t="str">
            <v>3Q10</v>
          </cell>
          <cell r="AU8" t="str">
            <v>4Q10</v>
          </cell>
          <cell r="AV8" t="str">
            <v>1Q11</v>
          </cell>
          <cell r="AW8" t="str">
            <v>2Q11</v>
          </cell>
          <cell r="AX8" t="str">
            <v>3Q11</v>
          </cell>
          <cell r="AY8" t="str">
            <v>4Q11E</v>
          </cell>
          <cell r="AZ8" t="str">
            <v>2Q09</v>
          </cell>
          <cell r="BA8" t="str">
            <v>3Q09</v>
          </cell>
          <cell r="BB8" t="str">
            <v>4Q09</v>
          </cell>
        </row>
        <row r="9">
          <cell r="A9" t="str">
            <v>Sales Contributions:</v>
          </cell>
          <cell r="AG9">
            <v>2080</v>
          </cell>
          <cell r="AK9">
            <v>2190</v>
          </cell>
        </row>
        <row r="10">
          <cell r="A10" t="str">
            <v>U.S. Soup, Sauces and Beverages</v>
          </cell>
          <cell r="AY10">
            <v>607</v>
          </cell>
        </row>
        <row r="11">
          <cell r="A11" t="str">
            <v>Baking and Snacking</v>
          </cell>
          <cell r="AY11">
            <v>559</v>
          </cell>
        </row>
        <row r="12">
          <cell r="A12" t="str">
            <v>International Soup and Sauces</v>
          </cell>
          <cell r="AY12">
            <v>316</v>
          </cell>
        </row>
        <row r="13">
          <cell r="A13" t="str">
            <v>North America Foodservice</v>
          </cell>
          <cell r="AY13">
            <v>125</v>
          </cell>
        </row>
        <row r="14">
          <cell r="A14" t="str">
            <v>Total Sales</v>
          </cell>
          <cell r="AY14">
            <v>1607</v>
          </cell>
        </row>
        <row r="16">
          <cell r="A16" t="str">
            <v>Operating Income Contributions:</v>
          </cell>
          <cell r="AG16">
            <v>596</v>
          </cell>
        </row>
        <row r="17">
          <cell r="A17" t="str">
            <v>U.S. Soup, Sauces and Beverages</v>
          </cell>
          <cell r="AY17">
            <v>131</v>
          </cell>
        </row>
        <row r="18">
          <cell r="A18" t="str">
            <v>Baking and Snacking</v>
          </cell>
          <cell r="AY18">
            <v>92</v>
          </cell>
        </row>
        <row r="19">
          <cell r="A19" t="str">
            <v>International Soup and Sauces</v>
          </cell>
          <cell r="AY19">
            <v>24</v>
          </cell>
        </row>
        <row r="20">
          <cell r="A20" t="str">
            <v>North America Foodservice</v>
          </cell>
          <cell r="AY20">
            <v>16</v>
          </cell>
        </row>
        <row r="21">
          <cell r="A21" t="str">
            <v>Unallocated corporate expenses</v>
          </cell>
          <cell r="AY21">
            <v>-31</v>
          </cell>
        </row>
        <row r="22">
          <cell r="A22" t="str">
            <v>FX Impact</v>
          </cell>
        </row>
        <row r="23">
          <cell r="A23" t="str">
            <v>Total operating income</v>
          </cell>
          <cell r="AY23">
            <v>232</v>
          </cell>
        </row>
        <row r="25">
          <cell r="A25" t="str">
            <v>Operating Income Growth</v>
          </cell>
        </row>
        <row r="26">
          <cell r="A26" t="str">
            <v>US Soup, Sauces, and Beverages</v>
          </cell>
          <cell r="H26">
            <v>6.8153655514250344E-2</v>
          </cell>
          <cell r="I26">
            <v>3.3642691415313175E-2</v>
          </cell>
          <cell r="J26">
            <v>4.0404040404040442E-2</v>
          </cell>
          <cell r="K26">
            <v>1.7259978425026912E-2</v>
          </cell>
          <cell r="L26">
            <v>-0.11028632025450691</v>
          </cell>
          <cell r="M26">
            <v>-5.6019070321811637E-2</v>
          </cell>
          <cell r="X26">
            <v>3.3962264150943389E-2</v>
          </cell>
          <cell r="Y26">
            <v>-0.12601626016260159</v>
          </cell>
          <cell r="Z26">
            <v>6.3829787234042534E-2</v>
          </cell>
          <cell r="AA26">
            <v>2.1025641025641026</v>
          </cell>
          <cell r="AB26">
            <v>2.1897810218978186E-2</v>
          </cell>
          <cell r="AC26">
            <v>0.12558139534883717</v>
          </cell>
          <cell r="AD26">
            <v>0.1399999999999999</v>
          </cell>
          <cell r="AE26">
            <v>-0.52892561983471076</v>
          </cell>
          <cell r="AF26">
            <v>0.14999999999999991</v>
          </cell>
          <cell r="AG26">
            <v>0.13223140495867769</v>
          </cell>
          <cell r="AH26">
            <v>6.4327485380117011E-2</v>
          </cell>
          <cell r="AI26">
            <v>-0.26315789473684215</v>
          </cell>
          <cell r="AJ26">
            <v>-3.7267080745341574E-2</v>
          </cell>
          <cell r="AK26">
            <v>4.3795620437956151E-2</v>
          </cell>
          <cell r="AL26">
            <v>-5.4945054945054972E-2</v>
          </cell>
          <cell r="AM26">
            <v>0.47619047619047628</v>
          </cell>
          <cell r="AN26">
            <v>1.2903225806451646E-2</v>
          </cell>
          <cell r="AO26">
            <v>-5.5944055944055937E-2</v>
          </cell>
          <cell r="AP26">
            <v>0.13372093023255816</v>
          </cell>
          <cell r="AQ26">
            <v>0.19354838709677424</v>
          </cell>
          <cell r="AR26">
            <v>5.4140127388535131E-2</v>
          </cell>
          <cell r="AS26">
            <v>-4.0740740740740744E-2</v>
          </cell>
          <cell r="AT26">
            <v>9.7435897435897534E-2</v>
          </cell>
          <cell r="AU26">
            <v>-6.0810810810810856E-2</v>
          </cell>
          <cell r="AV26">
            <v>-0.10876132930513593</v>
          </cell>
          <cell r="AW26">
            <v>-0.15057915057915061</v>
          </cell>
          <cell r="AX26">
            <v>-9.8130841121495282E-2</v>
          </cell>
          <cell r="AY26">
            <v>-5.7553956834532349E-2</v>
          </cell>
        </row>
        <row r="27">
          <cell r="A27" t="str">
            <v>Baking and Snacking</v>
          </cell>
          <cell r="H27">
            <v>0.19230769230769229</v>
          </cell>
          <cell r="I27">
            <v>0.21658986175115214</v>
          </cell>
          <cell r="J27">
            <v>3.7878787878788955E-3</v>
          </cell>
          <cell r="K27">
            <v>0.21509433962264146</v>
          </cell>
          <cell r="L27">
            <v>0.10248447204968936</v>
          </cell>
          <cell r="M27">
            <v>-0.11267605633802813</v>
          </cell>
          <cell r="X27">
            <v>4.7619047619047672E-2</v>
          </cell>
          <cell r="Y27">
            <v>7.1428571428571397E-2</v>
          </cell>
          <cell r="Z27">
            <v>0.2592592592592593</v>
          </cell>
          <cell r="AA27">
            <v>-0.27272727272727271</v>
          </cell>
          <cell r="AB27">
            <v>2.2727272727272707E-2</v>
          </cell>
          <cell r="AC27">
            <v>-0.11111111111111116</v>
          </cell>
          <cell r="AD27">
            <v>2.9411764705882248E-2</v>
          </cell>
          <cell r="AE27">
            <v>0.55000000000000004</v>
          </cell>
          <cell r="AF27">
            <v>0.51111111111111107</v>
          </cell>
          <cell r="AG27">
            <v>0.35000000000000009</v>
          </cell>
          <cell r="AH27">
            <v>0.31428571428571428</v>
          </cell>
          <cell r="AI27">
            <v>-0.20967741935483875</v>
          </cell>
          <cell r="AJ27">
            <v>7.3529411764705843E-2</v>
          </cell>
          <cell r="AK27">
            <v>0.2592592592592593</v>
          </cell>
          <cell r="AL27">
            <v>0.13043478260869557</v>
          </cell>
          <cell r="AM27">
            <v>0.46938775510204089</v>
          </cell>
          <cell r="AN27">
            <v>0.13698630136986312</v>
          </cell>
          <cell r="AO27">
            <v>-0.19117647058823528</v>
          </cell>
          <cell r="AP27">
            <v>0.11538461538461542</v>
          </cell>
          <cell r="AQ27">
            <v>-4.166666666666663E-2</v>
          </cell>
          <cell r="AR27">
            <v>0.20481927710843384</v>
          </cell>
          <cell r="AS27">
            <v>0.32727272727272738</v>
          </cell>
          <cell r="AT27">
            <v>0.31034482758620685</v>
          </cell>
          <cell r="AU27">
            <v>5.7971014492753659E-2</v>
          </cell>
          <cell r="AV27">
            <v>0</v>
          </cell>
          <cell r="AW27">
            <v>0.1095890410958904</v>
          </cell>
          <cell r="AX27">
            <v>7.8947368421052655E-2</v>
          </cell>
          <cell r="AY27">
            <v>0.26027397260273966</v>
          </cell>
        </row>
        <row r="28">
          <cell r="A28" t="str">
            <v>International Soup and Sauces</v>
          </cell>
          <cell r="H28">
            <v>-0.19905213270142175</v>
          </cell>
          <cell r="I28">
            <v>0.11242603550295849</v>
          </cell>
          <cell r="J28">
            <v>-0.27659574468085102</v>
          </cell>
          <cell r="K28">
            <v>0.18382352941176472</v>
          </cell>
          <cell r="L28">
            <v>0.14906832298136652</v>
          </cell>
          <cell r="M28">
            <v>-0.427027027027027</v>
          </cell>
          <cell r="X28">
            <v>1.8867924528301883E-2</v>
          </cell>
          <cell r="Y28">
            <v>6.1538461538461542E-2</v>
          </cell>
          <cell r="Z28">
            <v>1.7543859649122862E-2</v>
          </cell>
          <cell r="AA28">
            <v>1.7000000000000002</v>
          </cell>
          <cell r="AB28">
            <v>1.8518518518518601E-2</v>
          </cell>
          <cell r="AC28">
            <v>0.17391304347826098</v>
          </cell>
          <cell r="AD28">
            <v>0.2068965517241379</v>
          </cell>
          <cell r="AE28">
            <v>-0.93827160493827155</v>
          </cell>
          <cell r="AF28">
            <v>-0.12727272727272732</v>
          </cell>
          <cell r="AG28">
            <v>-0.27160493827160492</v>
          </cell>
          <cell r="AH28">
            <v>-0.38571428571428568</v>
          </cell>
          <cell r="AI28">
            <v>2.8</v>
          </cell>
          <cell r="AJ28">
            <v>6.25E-2</v>
          </cell>
          <cell r="AK28">
            <v>3.3898305084745672E-2</v>
          </cell>
          <cell r="AL28">
            <v>6.9767441860465018E-2</v>
          </cell>
          <cell r="AM28">
            <v>0.42105263157894735</v>
          </cell>
          <cell r="AN28">
            <v>-0.25490196078431371</v>
          </cell>
          <cell r="AO28">
            <v>-0.18032786885245899</v>
          </cell>
          <cell r="AP28">
            <v>-0.36956521739130432</v>
          </cell>
          <cell r="AQ28">
            <v>-0.29629629629629628</v>
          </cell>
          <cell r="AR28">
            <v>0.15789473684210531</v>
          </cell>
          <cell r="AS28">
            <v>0.48</v>
          </cell>
          <cell r="AT28">
            <v>0.27586206896551735</v>
          </cell>
          <cell r="AU28">
            <v>-0.68421052631578949</v>
          </cell>
          <cell r="AV28">
            <v>0.15909090909090917</v>
          </cell>
          <cell r="AW28">
            <v>-6.7567567567567544E-2</v>
          </cell>
          <cell r="AX28">
            <v>0.10810810810810811</v>
          </cell>
          <cell r="AY28">
            <v>3</v>
          </cell>
        </row>
        <row r="29">
          <cell r="A29" t="str">
            <v>North America Foodservice</v>
          </cell>
          <cell r="H29">
            <v>0.1272727272727272</v>
          </cell>
          <cell r="I29">
            <v>-0.11538461538461542</v>
          </cell>
          <cell r="J29">
            <v>-0.24637681159420288</v>
          </cell>
          <cell r="K29">
            <v>-0.17307692307692313</v>
          </cell>
          <cell r="L29">
            <v>0.90697674418604657</v>
          </cell>
          <cell r="M29">
            <v>3.6585365853658569E-2</v>
          </cell>
          <cell r="X29">
            <v>-4.5454545454545414E-2</v>
          </cell>
          <cell r="Y29">
            <v>0.11111111111111116</v>
          </cell>
          <cell r="Z29">
            <v>8.3333333333333259E-2</v>
          </cell>
          <cell r="AA29">
            <v>-9.625</v>
          </cell>
          <cell r="AB29">
            <v>0.23809523809523814</v>
          </cell>
          <cell r="AC29">
            <v>-1.4285714285714235E-2</v>
          </cell>
          <cell r="AD29">
            <v>3.8461538461538547E-2</v>
          </cell>
          <cell r="AE29">
            <v>-1.1739130434782608</v>
          </cell>
          <cell r="AF29">
            <v>0</v>
          </cell>
          <cell r="AG29">
            <v>1.449275362318847E-2</v>
          </cell>
          <cell r="AH29">
            <v>-0.14814814814814814</v>
          </cell>
          <cell r="AI29">
            <v>-1.4166666666666667</v>
          </cell>
          <cell r="AJ29">
            <v>-3.8461538461538436E-2</v>
          </cell>
          <cell r="AK29">
            <v>-0.39459109311740892</v>
          </cell>
          <cell r="AL29">
            <v>0.45621555419473347</v>
          </cell>
          <cell r="AM29">
            <v>-1</v>
          </cell>
          <cell r="AN29">
            <v>-0.25</v>
          </cell>
          <cell r="AO29">
            <v>-0.19999999999999996</v>
          </cell>
          <cell r="AP29">
            <v>-2.6656511805026595E-2</v>
          </cell>
          <cell r="AR29">
            <v>0.44444444444444442</v>
          </cell>
          <cell r="AS29">
            <v>6.25E-2</v>
          </cell>
          <cell r="AT29">
            <v>-1.1666666666666667</v>
          </cell>
          <cell r="AU29" t="e">
            <v>#DIV/0!</v>
          </cell>
          <cell r="AV29">
            <v>-0.11538461538461542</v>
          </cell>
          <cell r="AW29">
            <v>0.23529411764705888</v>
          </cell>
          <cell r="AX29">
            <v>-8.3333333333333321</v>
          </cell>
          <cell r="AY29">
            <v>4.333333333333333</v>
          </cell>
        </row>
        <row r="30">
          <cell r="A30" t="str">
            <v>Unallocated corporate expenses</v>
          </cell>
          <cell r="H30">
            <v>0.161904761904762</v>
          </cell>
          <cell r="I30">
            <v>8.1967213114754189E-2</v>
          </cell>
          <cell r="J30">
            <v>-0.19696969696969702</v>
          </cell>
          <cell r="K30">
            <v>2.8301886792452935E-2</v>
          </cell>
          <cell r="L30">
            <v>9.174311926605494E-2</v>
          </cell>
          <cell r="M30">
            <v>0.11764705882352944</v>
          </cell>
          <cell r="X30">
            <v>-0.2142857142857143</v>
          </cell>
          <cell r="Y30">
            <v>-0.18518518518518523</v>
          </cell>
          <cell r="Z30">
            <v>-0.16666666666666663</v>
          </cell>
          <cell r="AA30">
            <v>28</v>
          </cell>
          <cell r="AB30">
            <v>-0.18181818181818177</v>
          </cell>
          <cell r="AC30">
            <v>0.31818181818181812</v>
          </cell>
          <cell r="AD30">
            <v>0.39999999999999991</v>
          </cell>
          <cell r="AE30">
            <v>3.4482758620689724E-2</v>
          </cell>
          <cell r="AF30">
            <v>0.44444444444444442</v>
          </cell>
          <cell r="AG30">
            <v>0.2068965517241379</v>
          </cell>
          <cell r="AH30">
            <v>0.1785714285714286</v>
          </cell>
          <cell r="AI30">
            <v>-6.6666666666666652E-2</v>
          </cell>
          <cell r="AJ30">
            <v>7.6923076923076872E-2</v>
          </cell>
          <cell r="AK30">
            <v>-0.15984731058415269</v>
          </cell>
          <cell r="AL30">
            <v>3.0303030303030276E-2</v>
          </cell>
          <cell r="AM30">
            <v>-0.12276666666666658</v>
          </cell>
          <cell r="AN30">
            <v>-0.25</v>
          </cell>
          <cell r="AO30">
            <v>-4.7792133408232296E-2</v>
          </cell>
          <cell r="AP30">
            <v>-0.44117647058823528</v>
          </cell>
          <cell r="AQ30">
            <v>0.54707169184503224</v>
          </cell>
          <cell r="AR30">
            <v>9.5238095238095344E-2</v>
          </cell>
          <cell r="AS30">
            <v>0.14285714285714279</v>
          </cell>
          <cell r="AT30">
            <v>5.2631578947368363E-2</v>
          </cell>
          <cell r="AU30">
            <v>-0.10526315789473684</v>
          </cell>
          <cell r="AV30">
            <v>8.6956521739130377E-2</v>
          </cell>
          <cell r="AW30">
            <v>0</v>
          </cell>
          <cell r="AX30">
            <v>0.55000000000000004</v>
          </cell>
          <cell r="AY30">
            <v>-8.8235294117647078E-2</v>
          </cell>
        </row>
        <row r="31">
          <cell r="A31" t="str">
            <v>Total operating income growth</v>
          </cell>
          <cell r="H31">
            <v>3.7344398340249052E-2</v>
          </cell>
          <cell r="I31">
            <v>4.0650406504065151E-2</v>
          </cell>
          <cell r="J31">
            <v>3.4930950446791176E-2</v>
          </cell>
          <cell r="K31">
            <v>6.7503924646781899E-2</v>
          </cell>
          <cell r="L31">
            <v>-1.3235294117647012E-2</v>
          </cell>
          <cell r="M31">
            <v>-0.13189269746646792</v>
          </cell>
          <cell r="X31">
            <v>4.8022598870056443E-2</v>
          </cell>
          <cell r="Y31">
            <v>-3.0848329048843159E-2</v>
          </cell>
          <cell r="Z31">
            <v>0.10222222222222221</v>
          </cell>
          <cell r="AA31">
            <v>1.616883116883117</v>
          </cell>
          <cell r="AB31">
            <v>4.5822102425876032E-2</v>
          </cell>
          <cell r="AC31">
            <v>6.8965517241379226E-2</v>
          </cell>
          <cell r="AD31">
            <v>0.1088709677419355</v>
          </cell>
          <cell r="AE31">
            <v>-0.6550868486352357</v>
          </cell>
          <cell r="AF31">
            <v>0.12886597938144329</v>
          </cell>
          <cell r="AG31">
            <v>4.7146401985111552E-2</v>
          </cell>
          <cell r="AH31">
            <v>-5.0909090909090904E-2</v>
          </cell>
          <cell r="AI31">
            <v>-7.1942446043165464E-2</v>
          </cell>
          <cell r="AJ31">
            <v>-1.5981735159817378E-2</v>
          </cell>
          <cell r="AK31">
            <v>1.415469040812023E-2</v>
          </cell>
          <cell r="AL31">
            <v>3.2540067994171862E-2</v>
          </cell>
          <cell r="AM31">
            <v>0.53827493540051674</v>
          </cell>
          <cell r="AN31">
            <v>3.2258064516129004E-2</v>
          </cell>
          <cell r="AO31">
            <v>-0.10585248226384536</v>
          </cell>
          <cell r="AP31">
            <v>0.10415628977807301</v>
          </cell>
          <cell r="AQ31">
            <v>-2.2045568007654781E-3</v>
          </cell>
          <cell r="AR31">
            <v>0.1064814814814814</v>
          </cell>
          <cell r="AS31">
            <v>7.7134986225895208E-2</v>
          </cell>
          <cell r="AT31">
            <v>8.1850533807829251E-2</v>
          </cell>
          <cell r="AU31">
            <v>0.64646464646464641</v>
          </cell>
          <cell r="AV31">
            <v>-7.112970711297073E-2</v>
          </cell>
          <cell r="AW31">
            <v>-8.1841432225063904E-2</v>
          </cell>
          <cell r="AX31">
            <v>9.8684210526316374E-3</v>
          </cell>
          <cell r="AY31">
            <v>-0.28834355828220859</v>
          </cell>
        </row>
        <row r="32">
          <cell r="A32" t="str">
            <v>Operating Income Growth Ex-Corp expenses</v>
          </cell>
          <cell r="H32">
            <v>4.7328244274809084E-2</v>
          </cell>
          <cell r="I32">
            <v>2.9154518950437414E-2</v>
          </cell>
          <cell r="J32">
            <v>1.247248716067495E-2</v>
          </cell>
          <cell r="K32">
            <v>0.74782608695652164</v>
          </cell>
          <cell r="L32">
            <v>-4.6434494195688236E-2</v>
          </cell>
          <cell r="M32">
            <v>-9.1304347826086985E-2</v>
          </cell>
        </row>
        <row r="35">
          <cell r="A35" t="str">
            <v>BASE CASE</v>
          </cell>
        </row>
        <row r="36">
          <cell r="A36" t="str">
            <v>Sales Growth</v>
          </cell>
        </row>
        <row r="37">
          <cell r="A37" t="str">
            <v>U.S. Soup, Sauces and Beverages</v>
          </cell>
          <cell r="B37" t="str">
            <v>NM</v>
          </cell>
          <cell r="C37">
            <v>-3.1595576619273258E-3</v>
          </cell>
          <cell r="D37">
            <v>0.16640253565768615</v>
          </cell>
          <cell r="E37">
            <v>1.8342391304347894E-2</v>
          </cell>
          <cell r="F37">
            <v>3.3355570380253496E-2</v>
          </cell>
          <cell r="G37">
            <v>5.1323434473854013E-2</v>
          </cell>
          <cell r="H37">
            <v>7.1231194350629412E-2</v>
          </cell>
          <cell r="I37">
            <v>5.3023789051304115E-2</v>
          </cell>
          <cell r="J37">
            <v>2.9940119760478945E-2</v>
          </cell>
          <cell r="K37">
            <v>-2.2198731501057112E-2</v>
          </cell>
          <cell r="L37">
            <v>-3.4500000000000003E-2</v>
          </cell>
          <cell r="T37" t="str">
            <v>NM</v>
          </cell>
          <cell r="U37" t="str">
            <v>NM</v>
          </cell>
          <cell r="V37" t="str">
            <v>NM</v>
          </cell>
          <cell r="W37" t="str">
            <v>NM</v>
          </cell>
          <cell r="X37">
            <v>0.10444444444444434</v>
          </cell>
          <cell r="Y37">
            <v>6.3157894736842746E-3</v>
          </cell>
          <cell r="Z37">
            <v>-1.5698587127158548E-2</v>
          </cell>
          <cell r="AA37">
            <v>0.99217221135029354</v>
          </cell>
          <cell r="AB37">
            <v>-2.4144869215291798E-2</v>
          </cell>
          <cell r="AC37">
            <v>6.4853556485355623E-2</v>
          </cell>
          <cell r="AD37">
            <v>0.13716108452950548</v>
          </cell>
          <cell r="AE37">
            <v>-0.4538310412573674</v>
          </cell>
          <cell r="AF37">
            <v>8.4536082474226726E-2</v>
          </cell>
          <cell r="AG37">
            <v>9.8231827111985304E-3</v>
          </cell>
          <cell r="AH37">
            <v>0.13604488078541377</v>
          </cell>
          <cell r="AI37">
            <v>7.7338129496402841E-2</v>
          </cell>
          <cell r="AJ37">
            <v>4.2775665399239493E-2</v>
          </cell>
          <cell r="AK37">
            <v>6.3229571984435795E-2</v>
          </cell>
          <cell r="AL37">
            <v>1.2345679012346622E-3</v>
          </cell>
          <cell r="AM37">
            <v>0.12353923205342232</v>
          </cell>
          <cell r="AN37">
            <v>9.206927985414759E-2</v>
          </cell>
          <cell r="AO37">
            <v>3.20219579139982E-2</v>
          </cell>
          <cell r="AP37">
            <v>-3.6991368680641123E-3</v>
          </cell>
          <cell r="AQ37">
            <v>-3.4175334323922724E-2</v>
          </cell>
          <cell r="AR37">
            <v>-4.8414023372287174E-2</v>
          </cell>
          <cell r="AS37">
            <v>-5.3191489361702149E-2</v>
          </cell>
          <cell r="AT37">
            <v>4.9504950495049549E-2</v>
          </cell>
          <cell r="AU37">
            <v>-9.2307692307692646E-3</v>
          </cell>
          <cell r="AV37">
            <v>-3.2456140350877183E-2</v>
          </cell>
          <cell r="AW37">
            <v>-4.3071161048689133E-2</v>
          </cell>
          <cell r="AX37">
            <v>-8.2547169811320709E-2</v>
          </cell>
          <cell r="AY37">
            <v>-5.7453416149068293E-2</v>
          </cell>
        </row>
        <row r="38">
          <cell r="A38" t="str">
            <v>Baking and Snacking</v>
          </cell>
          <cell r="B38" t="str">
            <v>NM</v>
          </cell>
          <cell r="C38">
            <v>4.2185338865836863E-2</v>
          </cell>
          <cell r="D38">
            <v>-5.2422030524220342E-2</v>
          </cell>
          <cell r="E38">
            <v>0.1295518207282913</v>
          </cell>
          <cell r="F38">
            <v>7.9975201487910708E-2</v>
          </cell>
          <cell r="G38">
            <v>2.8702640642939148E-3</v>
          </cell>
          <cell r="H38">
            <v>5.8958214081282101E-2</v>
          </cell>
          <cell r="I38">
            <v>0.11243243243243239</v>
          </cell>
          <cell r="J38">
            <v>-0.10301263362487856</v>
          </cell>
          <cell r="K38">
            <v>6.9880823401950121E-2</v>
          </cell>
          <cell r="L38">
            <v>0.08</v>
          </cell>
          <cell r="T38" t="str">
            <v>NM</v>
          </cell>
          <cell r="U38" t="str">
            <v>NM</v>
          </cell>
          <cell r="V38" t="str">
            <v>NM</v>
          </cell>
          <cell r="W38" t="str">
            <v>NM</v>
          </cell>
          <cell r="X38">
            <v>7.9326923076923128E-2</v>
          </cell>
          <cell r="Y38">
            <v>9.0680100755667459E-2</v>
          </cell>
          <cell r="Z38">
            <v>8.2262210796915092E-2</v>
          </cell>
          <cell r="AA38">
            <v>4.3795620437956151E-2</v>
          </cell>
          <cell r="AB38">
            <v>2.0044543429844186E-2</v>
          </cell>
          <cell r="AC38">
            <v>-9.2378752886835835E-3</v>
          </cell>
          <cell r="AD38">
            <v>2.3752969121140222E-3</v>
          </cell>
          <cell r="AE38">
            <v>2.0979020979021046E-2</v>
          </cell>
          <cell r="AF38">
            <v>5.6768558951965087E-2</v>
          </cell>
          <cell r="AG38">
            <v>5.8275058275058189E-2</v>
          </cell>
          <cell r="AH38">
            <v>4.502369668246442E-2</v>
          </cell>
          <cell r="AI38">
            <v>7.5342465753424737E-2</v>
          </cell>
          <cell r="AJ38">
            <v>9.9173553719008156E-2</v>
          </cell>
          <cell r="AK38">
            <v>8.1497797356828272E-2</v>
          </cell>
          <cell r="AL38">
            <v>0.13832199546485269</v>
          </cell>
          <cell r="AM38">
            <v>0.13163481953290868</v>
          </cell>
          <cell r="AN38">
            <v>-4.3233082706766957E-2</v>
          </cell>
          <cell r="AO38">
            <v>-0.10386965376782076</v>
          </cell>
          <cell r="AP38">
            <v>-0.14143426294820716</v>
          </cell>
          <cell r="AQ38">
            <v>-0.12570356472795496</v>
          </cell>
          <cell r="AR38">
            <v>4.1257367387033339E-2</v>
          </cell>
          <cell r="AS38">
            <v>0.11136363636363633</v>
          </cell>
          <cell r="AT38">
            <v>0.10672853828306272</v>
          </cell>
          <cell r="AU38">
            <v>2.7896995708154515E-2</v>
          </cell>
          <cell r="AV38">
            <v>2.6415094339622636E-2</v>
          </cell>
          <cell r="AW38">
            <v>7.5664621676891697E-2</v>
          </cell>
          <cell r="AX38">
            <v>0.10482180293501053</v>
          </cell>
          <cell r="AY38">
            <v>0.16701461377870563</v>
          </cell>
        </row>
        <row r="39">
          <cell r="A39" t="str">
            <v>International Soup and Sauces</v>
          </cell>
          <cell r="B39" t="str">
            <v>NM</v>
          </cell>
          <cell r="C39">
            <v>0.45569620253164556</v>
          </cell>
          <cell r="D39">
            <v>0.56304347826086953</v>
          </cell>
          <cell r="E39">
            <v>0.10917941585535473</v>
          </cell>
          <cell r="F39">
            <v>6.7711598746081458E-2</v>
          </cell>
          <cell r="G39">
            <v>-6.4591896652965386E-2</v>
          </cell>
          <cell r="H39">
            <v>-0.12115505335844323</v>
          </cell>
          <cell r="I39">
            <v>0.14999999999999991</v>
          </cell>
          <cell r="J39">
            <v>-0.15714285714285714</v>
          </cell>
          <cell r="K39">
            <v>4.8636698599852535E-2</v>
          </cell>
          <cell r="L39">
            <v>-2.5000000000000001E-2</v>
          </cell>
          <cell r="T39" t="str">
            <v>NM</v>
          </cell>
          <cell r="U39" t="str">
            <v>NM</v>
          </cell>
          <cell r="V39" t="str">
            <v>NM</v>
          </cell>
          <cell r="W39" t="str">
            <v>NM</v>
          </cell>
          <cell r="X39">
            <v>7.7720207253886064E-2</v>
          </cell>
          <cell r="Y39">
            <v>9.846827133479219E-2</v>
          </cell>
          <cell r="Z39">
            <v>5.5825242718446688E-2</v>
          </cell>
          <cell r="AA39">
            <v>0.42058823529411771</v>
          </cell>
          <cell r="AB39">
            <v>9.6153846153845812E-3</v>
          </cell>
          <cell r="AC39">
            <v>-3.7848605577689209E-2</v>
          </cell>
          <cell r="AD39">
            <v>-1.1494252873563204E-2</v>
          </cell>
          <cell r="AE39">
            <v>-0.4616977225672878</v>
          </cell>
          <cell r="AF39">
            <v>-0.17619047619047623</v>
          </cell>
          <cell r="AG39">
            <v>-0.16356107660455488</v>
          </cell>
          <cell r="AH39">
            <v>-0.2069767441860465</v>
          </cell>
          <cell r="AI39">
            <v>0.18846153846153846</v>
          </cell>
          <cell r="AJ39">
            <v>0.12427745664739875</v>
          </cell>
          <cell r="AK39">
            <v>0.13366336633663356</v>
          </cell>
          <cell r="AL39">
            <v>0.17302052785923761</v>
          </cell>
          <cell r="AM39">
            <v>0.17152103559870557</v>
          </cell>
          <cell r="AN39">
            <v>-2.3136246786632397E-2</v>
          </cell>
          <cell r="AO39">
            <v>-0.14628820960698685</v>
          </cell>
          <cell r="AP39">
            <v>-0.25749999999999995</v>
          </cell>
          <cell r="AQ39">
            <v>-0.2016574585635359</v>
          </cell>
          <cell r="AR39">
            <v>-1.5789473684210575E-2</v>
          </cell>
          <cell r="AS39">
            <v>0.11764705882352944</v>
          </cell>
          <cell r="AT39">
            <v>0.1144781144781144</v>
          </cell>
          <cell r="AU39">
            <v>-2.7681660899653959E-2</v>
          </cell>
          <cell r="AV39">
            <v>-5.3475935828877219E-3</v>
          </cell>
          <cell r="AW39">
            <v>-3.6613272311212808E-2</v>
          </cell>
          <cell r="AX39">
            <v>6.9486404833836835E-2</v>
          </cell>
          <cell r="AY39">
            <v>0.12455516014234869</v>
          </cell>
        </row>
        <row r="40">
          <cell r="A40" t="str">
            <v>North America Foodservice</v>
          </cell>
          <cell r="B40" t="str">
            <v>NM</v>
          </cell>
          <cell r="C40">
            <v>1.8087855297157729E-2</v>
          </cell>
          <cell r="D40">
            <v>-0.26565143824027071</v>
          </cell>
          <cell r="E40">
            <v>4.0322580645161255E-2</v>
          </cell>
          <cell r="F40">
            <v>0.11295681063122931</v>
          </cell>
          <cell r="G40">
            <v>7.8606965174129462E-2</v>
          </cell>
          <cell r="H40">
            <v>4.4280442804428111E-2</v>
          </cell>
          <cell r="I40">
            <v>2.8213166144200663E-2</v>
          </cell>
          <cell r="J40">
            <v>-8.6890243902439046E-2</v>
          </cell>
          <cell r="K40">
            <v>-3.5058430717863076E-2</v>
          </cell>
          <cell r="L40">
            <v>2.1999999999999999E-2</v>
          </cell>
          <cell r="T40" t="str">
            <v>NM</v>
          </cell>
          <cell r="U40" t="str">
            <v>NM</v>
          </cell>
          <cell r="V40" t="str">
            <v>NM</v>
          </cell>
          <cell r="W40" t="str">
            <v>NM</v>
          </cell>
          <cell r="X40">
            <v>0.12077294685990347</v>
          </cell>
          <cell r="Y40">
            <v>0.12162162162162171</v>
          </cell>
          <cell r="Z40">
            <v>0.10480349344978168</v>
          </cell>
          <cell r="AA40">
            <v>1.0526315789473686</v>
          </cell>
          <cell r="AB40">
            <v>0.1293103448275863</v>
          </cell>
          <cell r="AC40">
            <v>5.7228915662650648E-2</v>
          </cell>
          <cell r="AD40">
            <v>7.1146245059288571E-2</v>
          </cell>
          <cell r="AE40">
            <v>-0.43019943019943019</v>
          </cell>
          <cell r="AF40">
            <v>3.4351145038167941E-2</v>
          </cell>
          <cell r="AG40">
            <v>4.2735042735042805E-2</v>
          </cell>
          <cell r="AH40">
            <v>3.3210332103321027E-2</v>
          </cell>
          <cell r="AI40">
            <v>7.4999999999999956E-2</v>
          </cell>
          <cell r="AJ40">
            <v>3.3210332103321027E-2</v>
          </cell>
          <cell r="AK40">
            <v>-2.732240437158473E-3</v>
          </cell>
          <cell r="AL40">
            <v>-8.2142857142857184E-2</v>
          </cell>
          <cell r="AM40">
            <v>6.5217391304347894E-2</v>
          </cell>
          <cell r="AN40">
            <v>-1.8072289156626509E-2</v>
          </cell>
          <cell r="AO40">
            <v>-7.3863636363636354E-2</v>
          </cell>
          <cell r="AP40">
            <v>-0.10179640718562877</v>
          </cell>
          <cell r="AQ40">
            <v>-0.16326530612244894</v>
          </cell>
          <cell r="AR40">
            <v>-2.4539877300613466E-2</v>
          </cell>
          <cell r="AS40">
            <v>-2.4539877300613466E-2</v>
          </cell>
          <cell r="AT40">
            <v>-2.6666666666666616E-2</v>
          </cell>
          <cell r="AU40">
            <v>-7.3170731707317027E-2</v>
          </cell>
          <cell r="AV40">
            <v>-3.7735849056603765E-2</v>
          </cell>
          <cell r="AW40">
            <v>-6.2893081761006275E-3</v>
          </cell>
          <cell r="AX40">
            <v>5.4794520547945202E-2</v>
          </cell>
          <cell r="AY40">
            <v>9.6491228070175517E-2</v>
          </cell>
        </row>
        <row r="41">
          <cell r="A41" t="str">
            <v>Total Sales</v>
          </cell>
          <cell r="B41" t="str">
            <v>NM</v>
          </cell>
          <cell r="C41">
            <v>6.2727430254721828E-2</v>
          </cell>
          <cell r="D41">
            <v>8.8863525191586579E-2</v>
          </cell>
          <cell r="E41">
            <v>6.4540281521413556E-2</v>
          </cell>
          <cell r="F41">
            <v>6.1752707835138532E-2</v>
          </cell>
          <cell r="G41">
            <v>1.7620561738208806E-2</v>
          </cell>
          <cell r="H41">
            <v>2.4736362452805638E-2</v>
          </cell>
          <cell r="I41">
            <v>8.3006093432633765E-2</v>
          </cell>
          <cell r="J41">
            <v>-5.1512878219554858E-2</v>
          </cell>
          <cell r="K41">
            <v>1.1863959926179835E-2</v>
          </cell>
          <cell r="L41">
            <v>5.6018759770712911E-3</v>
          </cell>
          <cell r="M41">
            <v>-7.0475450187848176E-2</v>
          </cell>
          <cell r="N41">
            <v>0.12222996515679441</v>
          </cell>
          <cell r="O41">
            <v>3.6281411592982371E-2</v>
          </cell>
          <cell r="P41">
            <v>1.5953893447397283E-2</v>
          </cell>
          <cell r="Q41">
            <v>2.1466945134153814E-2</v>
          </cell>
          <cell r="R41">
            <v>2.1166447116647724E-2</v>
          </cell>
          <cell r="T41" t="str">
            <v>NM</v>
          </cell>
          <cell r="U41" t="str">
            <v>NM</v>
          </cell>
          <cell r="V41" t="str">
            <v>NM</v>
          </cell>
          <cell r="W41" t="str">
            <v>NM</v>
          </cell>
          <cell r="X41">
            <v>9.5337873232058667E-2</v>
          </cell>
          <cell r="Y41">
            <v>5.8571428571428497E-2</v>
          </cell>
          <cell r="Z41">
            <v>4.1391721655668956E-2</v>
          </cell>
          <cell r="AA41">
            <v>0.59176552686671324</v>
          </cell>
          <cell r="AB41">
            <v>9.0865614538497841E-3</v>
          </cell>
          <cell r="AC41">
            <v>2.6090868196131378E-2</v>
          </cell>
          <cell r="AD41">
            <v>5.7603686635944618E-2</v>
          </cell>
          <cell r="AE41">
            <v>-0.36256028057869361</v>
          </cell>
          <cell r="AF41">
            <v>2.0379146919431212E-2</v>
          </cell>
          <cell r="AG41">
            <v>-1.2713722051731713E-2</v>
          </cell>
          <cell r="AH41">
            <v>1.9607843137254832E-2</v>
          </cell>
          <cell r="AI41">
            <v>9.6286107290233902E-2</v>
          </cell>
          <cell r="AJ41">
            <v>6.7347886669763213E-2</v>
          </cell>
          <cell r="AK41">
            <v>6.8827708703374846E-2</v>
          </cell>
          <cell r="AL41">
            <v>5.2350427350427386E-2</v>
          </cell>
          <cell r="AM41">
            <v>0.13052076466710605</v>
          </cell>
          <cell r="AN41">
            <v>3.0219780219780112E-2</v>
          </cell>
          <cell r="AO41">
            <v>-4.3282236248872841E-2</v>
          </cell>
          <cell r="AP41">
            <v>-0.10319148936170208</v>
          </cell>
          <cell r="AQ41">
            <v>-0.10903790087463561</v>
          </cell>
          <cell r="AR41">
            <v>-2.0888888888888846E-2</v>
          </cell>
          <cell r="AS41">
            <v>1.4608859566446641E-2</v>
          </cell>
          <cell r="AT41">
            <v>6.8801897983392646E-2</v>
          </cell>
          <cell r="AU41">
            <v>-6.5445026178010401E-3</v>
          </cell>
          <cell r="AV41">
            <v>-1.4071720381298225E-2</v>
          </cell>
          <cell r="AW41">
            <v>-1.207617278216444E-2</v>
          </cell>
          <cell r="AX41">
            <v>6.1043285238624456E-3</v>
          </cell>
          <cell r="AY41">
            <v>5.8629776021080326E-2</v>
          </cell>
        </row>
        <row r="45">
          <cell r="A45" t="str">
            <v>Operating margin:</v>
          </cell>
        </row>
        <row r="46">
          <cell r="A46" t="str">
            <v>U.S. Soup, Sauces and Beverages</v>
          </cell>
          <cell r="AY46">
            <v>0.21581548599670511</v>
          </cell>
        </row>
        <row r="47">
          <cell r="A47" t="str">
            <v>Baking and Snacking</v>
          </cell>
          <cell r="AY47">
            <v>0.16457960644007155</v>
          </cell>
        </row>
        <row r="48">
          <cell r="A48" t="str">
            <v>International Soup and Sauces</v>
          </cell>
          <cell r="AY48">
            <v>7.5949367088607597E-2</v>
          </cell>
        </row>
        <row r="49">
          <cell r="A49" t="str">
            <v>North America Foodservice</v>
          </cell>
          <cell r="AY49">
            <v>0.128</v>
          </cell>
        </row>
        <row r="50">
          <cell r="A50" t="str">
            <v>Unallocated corporate expenses</v>
          </cell>
          <cell r="AY50">
            <v>-2.0421607378129116E-2</v>
          </cell>
        </row>
        <row r="51">
          <cell r="A51" t="str">
            <v>Total operating income</v>
          </cell>
          <cell r="AY51">
            <v>0.14436838830118232</v>
          </cell>
        </row>
        <row r="52">
          <cell r="A52" t="str">
            <v>Operating margin ex-corporate</v>
          </cell>
          <cell r="I52">
            <v>0.17654413603400851</v>
          </cell>
          <cell r="J52">
            <v>0.18191405220142368</v>
          </cell>
          <cell r="K52">
            <v>0.31422615945805105</v>
          </cell>
          <cell r="L52">
            <v>0.29796605777950513</v>
          </cell>
          <cell r="M52">
            <v>0.29128919860627178</v>
          </cell>
          <cell r="AJ52">
            <v>0.19973890339425587</v>
          </cell>
          <cell r="AK52">
            <v>0.1900202008648863</v>
          </cell>
          <cell r="AL52">
            <v>0.15405733895760348</v>
          </cell>
          <cell r="AM52">
            <v>0.13002915451895045</v>
          </cell>
          <cell r="AN52">
            <v>0.20133333333333334</v>
          </cell>
          <cell r="AO52">
            <v>0.18426013195098964</v>
          </cell>
          <cell r="AP52">
            <v>0.17793594306049823</v>
          </cell>
          <cell r="AQ52">
            <v>0.15445026178010471</v>
          </cell>
          <cell r="AR52">
            <v>0.22741715842033591</v>
          </cell>
          <cell r="AS52">
            <v>0.19647004180213656</v>
          </cell>
          <cell r="AT52">
            <v>0.17980022197558268</v>
          </cell>
          <cell r="AU52">
            <v>0.23715415019762845</v>
          </cell>
          <cell r="AV52">
            <v>0.35174953959484345</v>
          </cell>
          <cell r="AW52">
            <v>0.28725905030559473</v>
          </cell>
          <cell r="AX52">
            <v>0.29288472145615002</v>
          </cell>
          <cell r="AY52">
            <v>0.16365899191039204</v>
          </cell>
        </row>
        <row r="54">
          <cell r="A54" t="str">
            <v>Operating Margin YoY Change:</v>
          </cell>
        </row>
        <row r="55">
          <cell r="A55" t="str">
            <v>U.S. Soup, Sauces and Beverages</v>
          </cell>
          <cell r="C55">
            <v>-5.8460579385763961E-2</v>
          </cell>
          <cell r="D55">
            <v>1.5001636463860019E-2</v>
          </cell>
          <cell r="E55">
            <v>-1.8732597093714665E-2</v>
          </cell>
          <cell r="F55">
            <v>-3.9863028978647796E-3</v>
          </cell>
          <cell r="G55">
            <v>8.2646642985570173E-3</v>
          </cell>
          <cell r="H55">
            <v>-7.1182970506100673E-4</v>
          </cell>
          <cell r="I55">
            <v>-4.5472254116015742E-3</v>
          </cell>
          <cell r="J55">
            <v>2.4638882910711368E-3</v>
          </cell>
          <cell r="K55">
            <v>9.8860065139134978E-3</v>
          </cell>
          <cell r="L55">
            <v>-1.5833525833525847E-2</v>
          </cell>
          <cell r="M55">
            <v>-1.274562474562474E-2</v>
          </cell>
          <cell r="AN55">
            <v>-2.0485372917183442E-2</v>
          </cell>
          <cell r="AO55">
            <v>-2.2303439683868304E-2</v>
          </cell>
          <cell r="AP55">
            <v>2.9252786561023536E-2</v>
          </cell>
          <cell r="AQ55">
            <v>4.3442679163332942E-2</v>
          </cell>
          <cell r="AR55">
            <v>2.8247371349910677E-2</v>
          </cell>
          <cell r="AS55">
            <v>3.1476611682205724E-3</v>
          </cell>
          <cell r="AT55">
            <v>1.1021856902671434E-2</v>
          </cell>
          <cell r="AU55">
            <v>-1.1853798375537516E-2</v>
          </cell>
          <cell r="AV55">
            <v>-2.2898474654451217E-2</v>
          </cell>
          <cell r="AW55">
            <v>-2.7245175428952578E-2</v>
          </cell>
          <cell r="AX55">
            <v>-4.2865111315904536E-3</v>
          </cell>
          <cell r="AY55">
            <v>-2.3023320065068686E-5</v>
          </cell>
          <cell r="AZ55">
            <v>-0.26745240253853125</v>
          </cell>
          <cell r="BA55">
            <v>-0.21526418786692758</v>
          </cell>
          <cell r="BB55">
            <v>-0.24807197943444731</v>
          </cell>
        </row>
        <row r="56">
          <cell r="A56" t="str">
            <v>Baking and Snacking</v>
          </cell>
          <cell r="C56">
            <v>-1.7215190338127018E-2</v>
          </cell>
          <cell r="D56">
            <v>-1.6651053254745821E-2</v>
          </cell>
          <cell r="E56">
            <v>-9.8312728687259127E-3</v>
          </cell>
          <cell r="F56">
            <v>6.1562092726790002E-3</v>
          </cell>
          <cell r="G56">
            <v>-4.8914425713885851E-3</v>
          </cell>
          <cell r="H56">
            <v>1.3118705425517102E-2</v>
          </cell>
          <cell r="I56">
            <v>1.0982586084626905E-2</v>
          </cell>
          <cell r="J56">
            <v>1.5273746087198226E-2</v>
          </cell>
          <cell r="K56">
            <v>1.9484345214421883E-2</v>
          </cell>
          <cell r="L56">
            <v>1.618797116084647E-3</v>
          </cell>
          <cell r="M56">
            <v>-2.1017920910436055E-2</v>
          </cell>
          <cell r="AN56">
            <v>2.5846787893111955E-2</v>
          </cell>
          <cell r="AO56">
            <v>-1.3492871690427705E-2</v>
          </cell>
          <cell r="AP56">
            <v>3.0985108290734961E-2</v>
          </cell>
          <cell r="AQ56">
            <v>1.2984241760542387E-2</v>
          </cell>
          <cell r="AR56">
            <v>2.5614412277124965E-2</v>
          </cell>
          <cell r="AS56">
            <v>2.4284253578732096E-2</v>
          </cell>
          <cell r="AT56">
            <v>2.475837479996304E-2</v>
          </cell>
          <cell r="AU56">
            <v>4.3321655451719066E-3</v>
          </cell>
          <cell r="AV56">
            <v>-4.8557158712541626E-3</v>
          </cell>
          <cell r="AW56">
            <v>4.7081418585302737E-3</v>
          </cell>
          <cell r="AX56">
            <v>-3.7314175010641215E-3</v>
          </cell>
          <cell r="AY56">
            <v>1.2178771367002655E-2</v>
          </cell>
          <cell r="AZ56">
            <v>-0.18382352941176472</v>
          </cell>
          <cell r="BA56">
            <v>-0.15399239543726237</v>
          </cell>
          <cell r="BB56">
            <v>-0.15559772296015181</v>
          </cell>
        </row>
        <row r="57">
          <cell r="A57" t="str">
            <v>International Soup and Sauces</v>
          </cell>
          <cell r="C57">
            <v>1.9303797468354436E-2</v>
          </cell>
          <cell r="D57">
            <v>3.9777468706536839E-2</v>
          </cell>
          <cell r="E57">
            <v>-1.1250822938511762E-2</v>
          </cell>
          <cell r="F57">
            <v>-1.1044496435388684E-3</v>
          </cell>
          <cell r="G57">
            <v>5.0322922622055566E-3</v>
          </cell>
          <cell r="H57">
            <v>-1.1740202672406053E-2</v>
          </cell>
          <cell r="I57">
            <v>-3.9440993788819878E-3</v>
          </cell>
          <cell r="J57">
            <v>-1.6549110432677122E-2</v>
          </cell>
          <cell r="K57">
            <v>1.292017497569925E-2</v>
          </cell>
          <cell r="L57">
            <v>1.3311243995121652E-2</v>
          </cell>
          <cell r="M57">
            <v>-4.8928618460245682E-3</v>
          </cell>
          <cell r="AN57">
            <v>-3.1105398457583533E-2</v>
          </cell>
          <cell r="AO57">
            <v>-5.3105350741017854E-3</v>
          </cell>
          <cell r="AP57">
            <v>-1.7356902356902362E-2</v>
          </cell>
          <cell r="AQ57">
            <v>-8.8416907224378311E-3</v>
          </cell>
          <cell r="AR57">
            <v>1.7647058823529405E-2</v>
          </cell>
          <cell r="AS57">
            <v>4.1459146587696866E-2</v>
          </cell>
          <cell r="AT57">
            <v>1.4139379698292084E-2</v>
          </cell>
          <cell r="AU57">
            <v>-4.4391631469418408E-2</v>
          </cell>
          <cell r="AV57">
            <v>1.9449715370018966E-2</v>
          </cell>
          <cell r="AW57">
            <v>-5.4408975034923035E-3</v>
          </cell>
          <cell r="AX57">
            <v>4.0367316981582968E-3</v>
          </cell>
          <cell r="AY57">
            <v>5.459705392134781E-2</v>
          </cell>
          <cell r="AZ57">
            <v>-0.13709677419354838</v>
          </cell>
          <cell r="BA57">
            <v>-0.16389548693586697</v>
          </cell>
          <cell r="BB57">
            <v>-0.11581920903954802</v>
          </cell>
        </row>
        <row r="58">
          <cell r="A58" t="str">
            <v>North America Foodservice</v>
          </cell>
          <cell r="I58">
            <v>-4.3577092131345391E-3</v>
          </cell>
          <cell r="J58">
            <v>-1.8371574575512029E-2</v>
          </cell>
          <cell r="K58">
            <v>-1.2416888585936189E-2</v>
          </cell>
          <cell r="L58">
            <v>6.4588587179637558E-2</v>
          </cell>
          <cell r="M58">
            <v>3.6121144762432666E-4</v>
          </cell>
          <cell r="AN58">
            <v>2.1143733567046449E-2</v>
          </cell>
          <cell r="AO58">
            <v>-1.7946308555851151E-2</v>
          </cell>
          <cell r="AP58">
            <v>-1.0322792787855528E-2</v>
          </cell>
          <cell r="AQ58">
            <v>0</v>
          </cell>
          <cell r="AR58">
            <v>5.3092564725855607E-2</v>
          </cell>
          <cell r="AS58">
            <v>8.7587297912567058E-3</v>
          </cell>
          <cell r="AT58">
            <v>-0.14054794520547945</v>
          </cell>
          <cell r="AU58">
            <v>2.6315789473684209E-2</v>
          </cell>
          <cell r="AV58">
            <v>-1.3195215192995435E-2</v>
          </cell>
          <cell r="AW58">
            <v>2.5993153411352582E-2</v>
          </cell>
          <cell r="AX58">
            <v>0.1634050880626223</v>
          </cell>
          <cell r="AY58">
            <v>0.10168421052631579</v>
          </cell>
        </row>
        <row r="59">
          <cell r="A59" t="str">
            <v>Unallocated corporate expenses</v>
          </cell>
          <cell r="C59">
            <v>-5.4429710078393811E-2</v>
          </cell>
          <cell r="D59">
            <v>-8.4454217252645292E-2</v>
          </cell>
          <cell r="E59">
            <v>-3.3579823527310343E-3</v>
          </cell>
          <cell r="F59">
            <v>-7.3717789788598637E-3</v>
          </cell>
          <cell r="G59">
            <v>-3.0015971801509028E-3</v>
          </cell>
          <cell r="H59">
            <v>8.0646212822552271E-3</v>
          </cell>
          <cell r="I59">
            <v>-1.0041895558376961E-3</v>
          </cell>
          <cell r="J59">
            <v>2.5310176740072181E-3</v>
          </cell>
          <cell r="K59">
            <v>-2.2699586344775147E-4</v>
          </cell>
          <cell r="L59">
            <v>-1.2164005076433764E-3</v>
          </cell>
          <cell r="M59">
            <v>-3.1200806372618708E-3</v>
          </cell>
          <cell r="AN59">
            <v>2.8511749347258485E-3</v>
          </cell>
          <cell r="AO59">
            <v>-9.7850397796816688E-4</v>
          </cell>
          <cell r="AP59">
            <v>5.9896068548994114E-3</v>
          </cell>
          <cell r="AQ59">
            <v>-1.0546933076895677E-2</v>
          </cell>
          <cell r="AR59">
            <v>-1.1069753366621266E-3</v>
          </cell>
          <cell r="AS59">
            <v>-1.6678829224986026E-3</v>
          </cell>
          <cell r="AT59">
            <v>1.7049725953632681E-4</v>
          </cell>
          <cell r="AU59">
            <v>2.4712179845346217E-3</v>
          </cell>
          <cell r="AV59">
            <v>-1.0698202434483699E-3</v>
          </cell>
          <cell r="AW59">
            <v>-1.8168196005136777E-4</v>
          </cell>
          <cell r="AX59">
            <v>-5.9999522501504414E-3</v>
          </cell>
          <cell r="AY59">
            <v>1.9762845849802396E-3</v>
          </cell>
          <cell r="AZ59">
            <v>-0.15032679738562091</v>
          </cell>
          <cell r="BA59">
            <v>-0.13291139240506328</v>
          </cell>
          <cell r="BB59">
            <v>-0.14285714285714285</v>
          </cell>
        </row>
        <row r="60">
          <cell r="A60" t="str">
            <v>Total operating income</v>
          </cell>
          <cell r="I60">
            <v>1.2291854566995886E-3</v>
          </cell>
          <cell r="J60">
            <v>7.9009338414224028E-3</v>
          </cell>
          <cell r="K60">
            <v>9.2346684541488866E-3</v>
          </cell>
          <cell r="L60">
            <v>-3.3188951067258943E-3</v>
          </cell>
          <cell r="M60">
            <v>-1.148737921225193E-2</v>
          </cell>
          <cell r="AN60">
            <v>4.4456048738032994E-3</v>
          </cell>
          <cell r="AO60">
            <v>-6.7385728918648302E-3</v>
          </cell>
          <cell r="AP60">
            <v>2.9868210957794156E-2</v>
          </cell>
          <cell r="AQ60">
            <v>1.3874174184258611E-2</v>
          </cell>
          <cell r="AR60">
            <v>2.4976849750340452E-2</v>
          </cell>
          <cell r="AS60">
            <v>1.0542026928648307E-2</v>
          </cell>
          <cell r="AT60">
            <v>2.034776174620806E-3</v>
          </cell>
          <cell r="AU60">
            <v>8.5175106402058359E-2</v>
          </cell>
          <cell r="AV60">
            <v>-1.255696024757802E-2</v>
          </cell>
          <cell r="AW60">
            <v>-1.2824737396414543E-2</v>
          </cell>
          <cell r="AX60">
            <v>6.3115506273900279E-4</v>
          </cell>
          <cell r="AY60">
            <v>-7.0387869933336789E-2</v>
          </cell>
        </row>
      </sheetData>
      <sheetData sheetId="5" refreshError="1">
        <row r="1">
          <cell r="A1" t="str">
            <v>Campbell Soup Company (CPB)</v>
          </cell>
          <cell r="B1" t="str">
            <v xml:space="preserve"> </v>
          </cell>
          <cell r="BO1">
            <v>1.4388826752099486E-2</v>
          </cell>
          <cell r="BU1" t="str">
            <v>Morgan Stanley Research</v>
          </cell>
        </row>
        <row r="2">
          <cell r="A2" t="str">
            <v>Sales</v>
          </cell>
          <cell r="BO2">
            <v>8.0698312196293281E-3</v>
          </cell>
          <cell r="BU2" t="str">
            <v>Matthew Grainger 212.761.8023</v>
          </cell>
        </row>
        <row r="3">
          <cell r="O3">
            <v>2.5771947312812813</v>
          </cell>
          <cell r="P3">
            <v>2.6940131859203036</v>
          </cell>
          <cell r="BM3">
            <v>0.42902208201892744</v>
          </cell>
          <cell r="BN3">
            <v>0.8654412445209595</v>
          </cell>
          <cell r="BO3">
            <v>0.69390591067005503</v>
          </cell>
          <cell r="BP3">
            <v>0.57431093610356276</v>
          </cell>
          <cell r="BQ3">
            <v>0.46005711903337887</v>
          </cell>
          <cell r="BU3" t="str">
            <v>John Colantuoni 212.761.6210</v>
          </cell>
        </row>
        <row r="4">
          <cell r="O4">
            <v>2.5191587914238927</v>
          </cell>
          <cell r="P4">
            <v>2.6415061450098243</v>
          </cell>
          <cell r="BM4">
            <v>0.42902208201892744</v>
          </cell>
          <cell r="BN4">
            <v>0.65930599369085174</v>
          </cell>
          <cell r="BO4">
            <v>0.7493101368081746</v>
          </cell>
          <cell r="BP4">
            <v>0.59184424013091386</v>
          </cell>
          <cell r="BQ4">
            <v>0.51869842079395267</v>
          </cell>
          <cell r="BU4" t="str">
            <v>Pamela Kaufman 212.761.7151</v>
          </cell>
        </row>
        <row r="5">
          <cell r="O5">
            <v>3.6195431998806038E-2</v>
          </cell>
          <cell r="P5">
            <v>1.59538934473973E-2</v>
          </cell>
          <cell r="Q5">
            <v>2.1466945134153929E-2</v>
          </cell>
          <cell r="R5">
            <v>2.1166447116647634E-2</v>
          </cell>
          <cell r="S5">
            <v>2.0879596164058319E-2</v>
          </cell>
          <cell r="T5">
            <v>2.0608782641569061E-2</v>
          </cell>
          <cell r="U5">
            <v>2.0356271054896385E-2</v>
          </cell>
          <cell r="BU5" t="str">
            <v>Tony Ryerson 212.761.6534</v>
          </cell>
        </row>
        <row r="7">
          <cell r="BJ7">
            <v>41212</v>
          </cell>
          <cell r="BK7">
            <v>41303</v>
          </cell>
          <cell r="BL7">
            <v>41394</v>
          </cell>
          <cell r="BM7">
            <v>41486</v>
          </cell>
          <cell r="BN7">
            <v>41577</v>
          </cell>
          <cell r="BO7">
            <v>41668</v>
          </cell>
          <cell r="BP7">
            <v>41759</v>
          </cell>
          <cell r="BQ7">
            <v>41851</v>
          </cell>
          <cell r="BR7">
            <v>41942</v>
          </cell>
          <cell r="BS7">
            <v>42033</v>
          </cell>
          <cell r="BT7">
            <v>42124</v>
          </cell>
          <cell r="BU7">
            <v>42216</v>
          </cell>
        </row>
        <row r="8">
          <cell r="B8">
            <v>2001</v>
          </cell>
          <cell r="C8">
            <v>2002</v>
          </cell>
          <cell r="D8">
            <v>2003</v>
          </cell>
          <cell r="E8">
            <v>2004</v>
          </cell>
          <cell r="F8">
            <v>2005</v>
          </cell>
          <cell r="G8">
            <v>2006</v>
          </cell>
          <cell r="H8">
            <v>2007</v>
          </cell>
          <cell r="I8">
            <v>2008</v>
          </cell>
          <cell r="J8" t="str">
            <v>2009</v>
          </cell>
          <cell r="K8">
            <v>2010</v>
          </cell>
          <cell r="L8">
            <v>2011</v>
          </cell>
          <cell r="M8">
            <v>2012</v>
          </cell>
          <cell r="N8">
            <v>2013</v>
          </cell>
          <cell r="O8" t="str">
            <v>2014E</v>
          </cell>
          <cell r="P8" t="str">
            <v>2015E</v>
          </cell>
          <cell r="Q8" t="str">
            <v>2016E</v>
          </cell>
          <cell r="R8" t="str">
            <v>2017E</v>
          </cell>
          <cell r="S8" t="str">
            <v>2018E</v>
          </cell>
          <cell r="T8" t="str">
            <v>2019E</v>
          </cell>
          <cell r="U8" t="str">
            <v>2020E</v>
          </cell>
          <cell r="W8" t="str">
            <v>2014E</v>
          </cell>
          <cell r="Z8" t="str">
            <v>1Q04</v>
          </cell>
          <cell r="AA8" t="str">
            <v>2Q04</v>
          </cell>
          <cell r="AB8" t="str">
            <v>3Q04</v>
          </cell>
          <cell r="AC8" t="str">
            <v>4Q04</v>
          </cell>
          <cell r="AD8" t="str">
            <v>1Q05</v>
          </cell>
          <cell r="AE8" t="str">
            <v>2Q05</v>
          </cell>
          <cell r="AF8" t="str">
            <v>3Q05</v>
          </cell>
          <cell r="AG8" t="str">
            <v>4Q05</v>
          </cell>
          <cell r="AH8" t="str">
            <v>1Q06</v>
          </cell>
          <cell r="AI8" t="str">
            <v>2Q06</v>
          </cell>
          <cell r="AJ8" t="str">
            <v>3Q06</v>
          </cell>
          <cell r="AK8" t="str">
            <v>4Q06</v>
          </cell>
          <cell r="AL8" t="str">
            <v>1Q07</v>
          </cell>
          <cell r="AM8" t="str">
            <v>2Q07</v>
          </cell>
          <cell r="AN8" t="str">
            <v>3Q07</v>
          </cell>
          <cell r="AO8" t="str">
            <v>4Q07</v>
          </cell>
          <cell r="AP8" t="str">
            <v>1Q08</v>
          </cell>
          <cell r="AQ8" t="str">
            <v>2Q08</v>
          </cell>
          <cell r="AR8" t="str">
            <v>3Q08</v>
          </cell>
          <cell r="AS8" t="str">
            <v>4Q08</v>
          </cell>
          <cell r="AT8" t="str">
            <v>1Q09</v>
          </cell>
          <cell r="AU8" t="str">
            <v>2Q09</v>
          </cell>
          <cell r="AV8" t="str">
            <v>3Q09</v>
          </cell>
          <cell r="AW8" t="str">
            <v>4Q09</v>
          </cell>
          <cell r="AX8" t="str">
            <v>1Q10</v>
          </cell>
          <cell r="AY8" t="str">
            <v>2Q10</v>
          </cell>
          <cell r="AZ8" t="str">
            <v>3Q10</v>
          </cell>
          <cell r="BA8" t="str">
            <v>4Q10</v>
          </cell>
          <cell r="BB8" t="str">
            <v>1Q11</v>
          </cell>
          <cell r="BC8" t="str">
            <v>2Q11</v>
          </cell>
          <cell r="BD8" t="str">
            <v>3Q11</v>
          </cell>
          <cell r="BE8" t="str">
            <v>4Q11</v>
          </cell>
          <cell r="BF8" t="str">
            <v>1Q12</v>
          </cell>
          <cell r="BG8" t="str">
            <v>2Q12</v>
          </cell>
          <cell r="BH8" t="str">
            <v>3Q12</v>
          </cell>
          <cell r="BI8" t="str">
            <v>4Q12</v>
          </cell>
          <cell r="BJ8" t="str">
            <v>1Q13</v>
          </cell>
          <cell r="BK8" t="str">
            <v>2Q13</v>
          </cell>
          <cell r="BL8" t="str">
            <v>3Q13</v>
          </cell>
          <cell r="BM8" t="str">
            <v>4Q13</v>
          </cell>
          <cell r="BN8" t="str">
            <v>1Q14</v>
          </cell>
          <cell r="BO8" t="str">
            <v>2Q14E</v>
          </cell>
          <cell r="BP8" t="str">
            <v>3Q14E</v>
          </cell>
          <cell r="BQ8" t="str">
            <v>4Q14E</v>
          </cell>
          <cell r="BR8" t="str">
            <v>1Q15E</v>
          </cell>
          <cell r="BS8" t="str">
            <v>2Q15E</v>
          </cell>
          <cell r="BT8" t="str">
            <v>1Q</v>
          </cell>
          <cell r="BU8" t="str">
            <v>2Q</v>
          </cell>
          <cell r="BV8" t="str">
            <v>3Q</v>
          </cell>
          <cell r="BW8" t="str">
            <v>4Q</v>
          </cell>
          <cell r="BX8" t="str">
            <v>1Q11</v>
          </cell>
          <cell r="BY8" t="str">
            <v>2Q11</v>
          </cell>
          <cell r="BZ8" t="str">
            <v>3Q11</v>
          </cell>
          <cell r="CA8" t="str">
            <v>4Q11</v>
          </cell>
          <cell r="CB8" t="str">
            <v>1Q15E</v>
          </cell>
          <cell r="CC8" t="str">
            <v>2Q15E</v>
          </cell>
          <cell r="CD8" t="str">
            <v>3Q15E</v>
          </cell>
          <cell r="CE8" t="str">
            <v>4Q15E</v>
          </cell>
        </row>
        <row r="10">
          <cell r="A10" t="str">
            <v>Total Sales Growth by Division</v>
          </cell>
        </row>
        <row r="12">
          <cell r="A12" t="str">
            <v>Overall</v>
          </cell>
          <cell r="C12">
            <v>6.2727430254721828E-2</v>
          </cell>
          <cell r="D12">
            <v>8.8863525191586579E-2</v>
          </cell>
          <cell r="E12">
            <v>6.4540281521413556E-2</v>
          </cell>
          <cell r="F12">
            <v>6.1752707835138532E-2</v>
          </cell>
          <cell r="G12">
            <v>1.7620561738208806E-2</v>
          </cell>
          <cell r="H12">
            <v>2.4736362452805638E-2</v>
          </cell>
          <cell r="I12">
            <v>8.3006093432633765E-2</v>
          </cell>
          <cell r="J12">
            <v>-5.1512878219554858E-2</v>
          </cell>
          <cell r="K12">
            <v>1.1863959926179835E-2</v>
          </cell>
          <cell r="L12">
            <v>5.6018759770712911E-3</v>
          </cell>
          <cell r="M12">
            <v>-1.7347234759768071E-18</v>
          </cell>
          <cell r="N12">
            <v>0.12270071329331315</v>
          </cell>
          <cell r="O12">
            <v>3.6195431998806038E-2</v>
          </cell>
          <cell r="P12">
            <v>1.59538934473973E-2</v>
          </cell>
          <cell r="Q12">
            <v>2.1466945134153929E-2</v>
          </cell>
          <cell r="R12">
            <v>2.1166447116647634E-2</v>
          </cell>
          <cell r="S12">
            <v>2.0879596164058319E-2</v>
          </cell>
          <cell r="T12">
            <v>2.0608782641569061E-2</v>
          </cell>
          <cell r="U12">
            <v>2.0356271054896385E-2</v>
          </cell>
          <cell r="W12">
            <v>2.8130147630950307E-2</v>
          </cell>
          <cell r="X12">
            <v>8.0652843678557309E-3</v>
          </cell>
          <cell r="AD12">
            <v>0.1</v>
          </cell>
          <cell r="AE12">
            <v>0.08</v>
          </cell>
          <cell r="AF12">
            <v>0.04</v>
          </cell>
          <cell r="AG12">
            <v>0.05</v>
          </cell>
          <cell r="AH12">
            <v>0.01</v>
          </cell>
          <cell r="AI12">
            <v>0.03</v>
          </cell>
          <cell r="AJ12">
            <v>0.06</v>
          </cell>
          <cell r="AK12">
            <v>0.04</v>
          </cell>
          <cell r="AL12">
            <v>0.08</v>
          </cell>
          <cell r="AM12">
            <v>0.04</v>
          </cell>
          <cell r="AN12">
            <v>0.08</v>
          </cell>
          <cell r="AO12">
            <v>0.1</v>
          </cell>
          <cell r="AP12">
            <v>7.0000000000000007E-2</v>
          </cell>
          <cell r="AQ12">
            <v>7.0000000000000007E-2</v>
          </cell>
          <cell r="AR12">
            <v>7.0000000000000007E-2</v>
          </cell>
          <cell r="AS12">
            <v>0.13</v>
          </cell>
          <cell r="AT12">
            <v>0.03</v>
          </cell>
          <cell r="AU12">
            <v>-0.04</v>
          </cell>
          <cell r="AV12">
            <v>-0.1</v>
          </cell>
          <cell r="AW12">
            <v>-0.11</v>
          </cell>
          <cell r="AX12">
            <v>-1.9999999999999997E-2</v>
          </cell>
          <cell r="AY12">
            <v>1.4608859566446641E-2</v>
          </cell>
          <cell r="AZ12">
            <v>6.8801897983392646E-2</v>
          </cell>
          <cell r="BA12">
            <v>-6.5445026178010401E-3</v>
          </cell>
          <cell r="BB12">
            <v>-1.4071720381298225E-2</v>
          </cell>
          <cell r="BC12">
            <v>-1.207617278216444E-2</v>
          </cell>
          <cell r="BD12">
            <v>6.1043285238624456E-3</v>
          </cell>
          <cell r="BE12">
            <v>5.8629776021080326E-2</v>
          </cell>
          <cell r="BF12">
            <v>-7.228360957642721E-2</v>
          </cell>
          <cell r="BG12">
            <v>-8.6506817113305101E-2</v>
          </cell>
          <cell r="BH12">
            <v>-6.3430777716491971E-2</v>
          </cell>
          <cell r="BI12">
            <v>0</v>
          </cell>
          <cell r="BJ12">
            <v>8.9454094292803973E-2</v>
          </cell>
          <cell r="BK12">
            <v>0.11414359238291302</v>
          </cell>
          <cell r="BL12">
            <v>0.16024087161366313</v>
          </cell>
          <cell r="BM12">
            <v>0.13578513356123889</v>
          </cell>
          <cell r="BN12">
            <v>-1.9012868693770626E-2</v>
          </cell>
          <cell r="BO12">
            <v>3.1459195655097652E-2</v>
          </cell>
          <cell r="BP12">
            <v>1.5917205244742674E-2</v>
          </cell>
          <cell r="BQ12">
            <v>0.12487027625460159</v>
          </cell>
          <cell r="BR12">
            <v>2.2161473908666393E-2</v>
          </cell>
          <cell r="BS12">
            <v>-8.7877620718348603E-3</v>
          </cell>
          <cell r="BT12">
            <v>-3.1884382169241384E-4</v>
          </cell>
          <cell r="BU12">
            <v>-5.4711866323782596E-2</v>
          </cell>
        </row>
        <row r="13">
          <cell r="A13" t="str">
            <v>U.S. Soup, Sauces and Beverages</v>
          </cell>
          <cell r="C13">
            <v>-3.1595576619273258E-3</v>
          </cell>
          <cell r="D13">
            <v>0.16640253565768615</v>
          </cell>
          <cell r="E13">
            <v>1.8342391304347894E-2</v>
          </cell>
          <cell r="F13">
            <v>3.3355570380253496E-2</v>
          </cell>
          <cell r="G13">
            <v>5.1323434473854013E-2</v>
          </cell>
          <cell r="H13">
            <v>7.1231194350629412E-2</v>
          </cell>
          <cell r="I13">
            <v>5.3023789051304115E-2</v>
          </cell>
          <cell r="J13">
            <v>2.9940119760478945E-2</v>
          </cell>
          <cell r="K13">
            <v>-2.2198731501057112E-2</v>
          </cell>
          <cell r="L13">
            <v>-4.7643243243243247E-2</v>
          </cell>
          <cell r="M13">
            <v>-3.0000000000000044E-3</v>
          </cell>
          <cell r="N13">
            <v>2.7459914285714291E-2</v>
          </cell>
          <cell r="O13">
            <v>2.0704753336332281E-2</v>
          </cell>
          <cell r="P13">
            <v>2.6025595401959273E-2</v>
          </cell>
          <cell r="Q13">
            <v>2.0611123540829387E-2</v>
          </cell>
          <cell r="R13">
            <v>2.0738452231618739E-2</v>
          </cell>
          <cell r="S13">
            <v>2.0867948017951648E-2</v>
          </cell>
          <cell r="T13">
            <v>2.0999614746954519E-2</v>
          </cell>
          <cell r="U13">
            <v>2.1133454666309358E-2</v>
          </cell>
          <cell r="W13">
            <v>2.5000000000000001E-2</v>
          </cell>
          <cell r="X13">
            <v>-4.2952466636677206E-3</v>
          </cell>
          <cell r="AD13">
            <v>0.10444444444444434</v>
          </cell>
          <cell r="AE13">
            <v>6.3157894736842746E-3</v>
          </cell>
          <cell r="AF13">
            <v>-1.5698587127158548E-2</v>
          </cell>
          <cell r="AG13">
            <v>0.99217221135029354</v>
          </cell>
          <cell r="AH13">
            <v>-2.4144869215291798E-2</v>
          </cell>
          <cell r="AI13">
            <v>6.4853556485355623E-2</v>
          </cell>
          <cell r="AJ13">
            <v>0.13716108452950548</v>
          </cell>
          <cell r="AK13">
            <v>-0.4538310412573674</v>
          </cell>
          <cell r="AL13">
            <v>8.4536082474226726E-2</v>
          </cell>
          <cell r="AM13">
            <v>9.8231827111985304E-3</v>
          </cell>
          <cell r="AN13">
            <v>0.13604488078541377</v>
          </cell>
          <cell r="AO13">
            <v>7.7338129496402841E-2</v>
          </cell>
          <cell r="AP13">
            <v>4.2775665399239493E-2</v>
          </cell>
          <cell r="AQ13">
            <v>6.3229571984435795E-2</v>
          </cell>
          <cell r="AR13">
            <v>1.2345679012346622E-3</v>
          </cell>
          <cell r="AS13">
            <v>0.12353923205342232</v>
          </cell>
          <cell r="AT13">
            <v>9.206927985414759E-2</v>
          </cell>
          <cell r="AU13">
            <v>3.20219579139982E-2</v>
          </cell>
          <cell r="AV13">
            <v>-3.6991368680641123E-3</v>
          </cell>
          <cell r="AW13">
            <v>-3.4175334323922724E-2</v>
          </cell>
          <cell r="AX13">
            <v>-4.8414023372287174E-2</v>
          </cell>
          <cell r="AY13">
            <v>-5.3191489361702149E-2</v>
          </cell>
          <cell r="AZ13">
            <v>4.9504950495049549E-2</v>
          </cell>
          <cell r="BA13">
            <v>-9.2307692307692646E-3</v>
          </cell>
          <cell r="BB13">
            <v>-3.2456140350877183E-2</v>
          </cell>
          <cell r="BC13">
            <v>-4.3071161048689133E-2</v>
          </cell>
          <cell r="BD13">
            <v>-8.2547169811320709E-2</v>
          </cell>
          <cell r="BE13">
            <v>-5.7453416149068293E-2</v>
          </cell>
          <cell r="BF13">
            <v>-2.810516772438798E-2</v>
          </cell>
          <cell r="BG13">
            <v>-1.0763209393346407E-2</v>
          </cell>
          <cell r="BH13">
            <v>-2.1850899742930571E-3</v>
          </cell>
          <cell r="BI13">
            <v>5.8401976935749597E-2</v>
          </cell>
          <cell r="BJ13">
            <v>1.5223880597014924E-2</v>
          </cell>
          <cell r="BK13">
            <v>2.601384767556874E-3</v>
          </cell>
          <cell r="BL13">
            <v>6.7263225806451624E-2</v>
          </cell>
          <cell r="BM13">
            <v>3.8988629283489097E-2</v>
          </cell>
          <cell r="BN13">
            <v>-4.9445161290322573E-2</v>
          </cell>
          <cell r="BO13">
            <v>4.3062561576354678E-2</v>
          </cell>
          <cell r="BP13">
            <v>-6.1139393939394077E-3</v>
          </cell>
          <cell r="BQ13">
            <v>0.1341355393855394</v>
          </cell>
          <cell r="BR13">
            <v>3.3276863504356234E-2</v>
          </cell>
          <cell r="BS13">
            <v>-2.2467289719626169E-2</v>
          </cell>
          <cell r="BT13">
            <v>-2.2204176334106727E-2</v>
          </cell>
          <cell r="BU13">
            <v>-6.3796296296296295E-2</v>
          </cell>
        </row>
        <row r="14">
          <cell r="A14" t="str">
            <v>U.S. Simple Meals</v>
          </cell>
          <cell r="L14">
            <v>-6.0000000000000005E-2</v>
          </cell>
          <cell r="M14">
            <v>-1.0000000000000002E-2</v>
          </cell>
          <cell r="N14">
            <v>4.2344387380777698E-2</v>
          </cell>
          <cell r="O14">
            <v>3.3146043146043143E-2</v>
          </cell>
          <cell r="P14">
            <v>2.711603901566538E-2</v>
          </cell>
          <cell r="Q14">
            <v>1.4999999999999999E-2</v>
          </cell>
          <cell r="R14">
            <v>1.4999999999999999E-2</v>
          </cell>
          <cell r="S14">
            <v>1.4999999999999999E-2</v>
          </cell>
          <cell r="T14">
            <v>1.4999999999999999E-2</v>
          </cell>
          <cell r="U14">
            <v>1.4999999999999999E-2</v>
          </cell>
          <cell r="W14">
            <v>2.5000000000000001E-2</v>
          </cell>
          <cell r="X14">
            <v>8.1460431460431415E-3</v>
          </cell>
          <cell r="BE14">
            <v>-7.7087794432548207E-2</v>
          </cell>
          <cell r="BF14">
            <v>-2.6726057906458767E-2</v>
          </cell>
          <cell r="BG14">
            <v>-2.1377672209026088E-2</v>
          </cell>
          <cell r="BH14">
            <v>-2.0000000000000004E-2</v>
          </cell>
          <cell r="BI14">
            <v>7.0000000000000007E-2</v>
          </cell>
          <cell r="BJ14">
            <v>0.03</v>
          </cell>
          <cell r="BK14">
            <v>0.01</v>
          </cell>
          <cell r="BL14">
            <v>0.11</v>
          </cell>
          <cell r="BM14">
            <v>7.0000000000000007E-2</v>
          </cell>
          <cell r="BN14">
            <v>-4.2999999999999997E-2</v>
          </cell>
          <cell r="BO14">
            <v>6.121068427370948E-2</v>
          </cell>
          <cell r="BP14">
            <v>-1.499202551834139E-4</v>
          </cell>
          <cell r="BQ14">
            <v>0.16646364487439541</v>
          </cell>
          <cell r="BR14">
            <v>4.4999999999999998E-2</v>
          </cell>
          <cell r="BS14">
            <v>-0.02</v>
          </cell>
          <cell r="BT14">
            <v>-0.02</v>
          </cell>
          <cell r="BU14">
            <v>-5.2451737451737458E-2</v>
          </cell>
        </row>
        <row r="15">
          <cell r="A15" t="str">
            <v>U.S. Beverages</v>
          </cell>
          <cell r="L15">
            <v>0</v>
          </cell>
          <cell r="M15">
            <v>2.2399999999999996E-2</v>
          </cell>
          <cell r="N15">
            <v>-4.2837467700258397E-2</v>
          </cell>
          <cell r="O15">
            <v>-2.6132075471698119E-2</v>
          </cell>
          <cell r="P15">
            <v>2.1583852551594486E-2</v>
          </cell>
          <cell r="Q15">
            <v>4.3590885235621574E-2</v>
          </cell>
          <cell r="R15">
            <v>4.3595820508407906E-2</v>
          </cell>
          <cell r="S15">
            <v>4.3600669126440034E-2</v>
          </cell>
          <cell r="T15">
            <v>4.3605432566565495E-2</v>
          </cell>
          <cell r="U15">
            <v>4.3610112282041237E-2</v>
          </cell>
          <cell r="W15">
            <v>2.5000000000000001E-2</v>
          </cell>
          <cell r="X15">
            <v>-5.1132075471698124E-2</v>
          </cell>
          <cell r="BE15">
            <v>-5.6497175141242417E-3</v>
          </cell>
          <cell r="BF15">
            <v>-3.4146341463414664E-2</v>
          </cell>
          <cell r="BG15">
            <v>3.8888888888888973E-2</v>
          </cell>
          <cell r="BH15">
            <v>0.05</v>
          </cell>
          <cell r="BI15">
            <v>0.03</v>
          </cell>
          <cell r="BJ15">
            <v>-0.05</v>
          </cell>
          <cell r="BK15">
            <v>-0.03</v>
          </cell>
          <cell r="BL15">
            <v>-0.05</v>
          </cell>
          <cell r="BM15">
            <v>-0.04</v>
          </cell>
          <cell r="BN15">
            <v>-7.9999999999999988E-2</v>
          </cell>
          <cell r="BO15">
            <v>-0.04</v>
          </cell>
          <cell r="BP15">
            <v>-2.5000000000000001E-2</v>
          </cell>
          <cell r="BQ15">
            <v>4.2009782125389049E-2</v>
          </cell>
          <cell r="BR15">
            <v>-2.5000000000000001E-2</v>
          </cell>
          <cell r="BS15">
            <v>-3.5000000000000003E-2</v>
          </cell>
          <cell r="BT15">
            <v>-0.03</v>
          </cell>
          <cell r="BU15">
            <v>-9.573369565217392E-2</v>
          </cell>
        </row>
        <row r="16">
          <cell r="A16" t="str">
            <v>Global Baking and Snacking</v>
          </cell>
          <cell r="C16">
            <v>4.2185338865836863E-2</v>
          </cell>
          <cell r="D16">
            <v>-5.2422030524220342E-2</v>
          </cell>
          <cell r="E16">
            <v>0.1295518207282913</v>
          </cell>
          <cell r="F16">
            <v>7.9975201487910708E-2</v>
          </cell>
          <cell r="G16">
            <v>2.8702640642939148E-3</v>
          </cell>
          <cell r="H16">
            <v>5.8958214081282101E-2</v>
          </cell>
          <cell r="I16">
            <v>0.11243243243243239</v>
          </cell>
          <cell r="J16">
            <v>-0.10301263362487856</v>
          </cell>
          <cell r="K16">
            <v>6.9880823401950121E-2</v>
          </cell>
          <cell r="L16">
            <v>0.09</v>
          </cell>
          <cell r="M16">
            <v>2.0000000000000004E-2</v>
          </cell>
          <cell r="N16">
            <v>3.8928408572731416E-2</v>
          </cell>
          <cell r="O16">
            <v>8.9465440929260717E-2</v>
          </cell>
          <cell r="P16">
            <v>1.7294075453456247E-2</v>
          </cell>
          <cell r="Q16">
            <v>0.03</v>
          </cell>
          <cell r="R16">
            <v>0.03</v>
          </cell>
          <cell r="S16">
            <v>0.03</v>
          </cell>
          <cell r="T16">
            <v>0.03</v>
          </cell>
          <cell r="U16">
            <v>0.03</v>
          </cell>
          <cell r="W16">
            <v>0.04</v>
          </cell>
          <cell r="X16">
            <v>4.9465440929260716E-2</v>
          </cell>
          <cell r="AD16">
            <v>7.9326923076923128E-2</v>
          </cell>
          <cell r="AE16">
            <v>9.0680100755667459E-2</v>
          </cell>
          <cell r="AF16">
            <v>8.2262210796915092E-2</v>
          </cell>
          <cell r="AG16">
            <v>4.3795620437956151E-2</v>
          </cell>
          <cell r="AH16">
            <v>2.0044543429844186E-2</v>
          </cell>
          <cell r="AI16">
            <v>-9.2378752886835835E-3</v>
          </cell>
          <cell r="AJ16">
            <v>2.3752969121140222E-3</v>
          </cell>
          <cell r="AK16">
            <v>2.0979020979021046E-2</v>
          </cell>
          <cell r="AL16">
            <v>5.6768558951965087E-2</v>
          </cell>
          <cell r="AM16">
            <v>5.8275058275058189E-2</v>
          </cell>
          <cell r="AN16">
            <v>4.502369668246442E-2</v>
          </cell>
          <cell r="AO16">
            <v>7.5342465753424737E-2</v>
          </cell>
          <cell r="AP16">
            <v>9.9173553719008156E-2</v>
          </cell>
          <cell r="AQ16">
            <v>8.1497797356828272E-2</v>
          </cell>
          <cell r="AR16">
            <v>0.13832199546485269</v>
          </cell>
          <cell r="AS16">
            <v>0.13163481953290868</v>
          </cell>
          <cell r="AT16">
            <v>-4.3233082706766957E-2</v>
          </cell>
          <cell r="AU16">
            <v>-0.10386965376782076</v>
          </cell>
          <cell r="AV16">
            <v>-0.14143426294820716</v>
          </cell>
          <cell r="AW16">
            <v>-0.12570356472795496</v>
          </cell>
          <cell r="AX16">
            <v>4.1257367387033339E-2</v>
          </cell>
          <cell r="AY16">
            <v>0.11136363636363633</v>
          </cell>
          <cell r="AZ16">
            <v>0.10672853828306272</v>
          </cell>
          <cell r="BA16">
            <v>2.7896995708154515E-2</v>
          </cell>
          <cell r="BB16">
            <v>2.6415094339622636E-2</v>
          </cell>
          <cell r="BC16">
            <v>7.5664621676891697E-2</v>
          </cell>
          <cell r="BD16">
            <v>0.10482180293501053</v>
          </cell>
          <cell r="BE16">
            <v>0.16701461377870563</v>
          </cell>
          <cell r="BF16">
            <v>4.4117647058823595E-2</v>
          </cell>
          <cell r="BG16">
            <v>0</v>
          </cell>
          <cell r="BH16">
            <v>0.03</v>
          </cell>
          <cell r="BI16">
            <v>-9.999999999999995E-3</v>
          </cell>
          <cell r="BJ16">
            <v>1.0000000000000002E-2</v>
          </cell>
          <cell r="BK16">
            <v>6.9999999999999993E-2</v>
          </cell>
          <cell r="BL16">
            <v>5.0791896869244943E-2</v>
          </cell>
          <cell r="BM16">
            <v>2.7500000000000004E-2</v>
          </cell>
          <cell r="BN16">
            <v>0.06</v>
          </cell>
          <cell r="BO16">
            <v>5.5061915883648609E-2</v>
          </cell>
          <cell r="BP16">
            <v>6.5706969322762113E-2</v>
          </cell>
          <cell r="BQ16">
            <v>0.17667307692307693</v>
          </cell>
          <cell r="BR16">
            <v>5.0000000000000001E-3</v>
          </cell>
          <cell r="BS16">
            <v>5.0000000000000001E-3</v>
          </cell>
          <cell r="BT16">
            <v>0.02</v>
          </cell>
          <cell r="BU16">
            <v>-3.815286624203823E-2</v>
          </cell>
        </row>
        <row r="17">
          <cell r="A17" t="str">
            <v>International Simple Meals and Beverages</v>
          </cell>
          <cell r="C17">
            <v>0.45569620253164556</v>
          </cell>
          <cell r="D17">
            <v>0.56304347826086953</v>
          </cell>
          <cell r="E17">
            <v>0.10917941585535473</v>
          </cell>
          <cell r="F17">
            <v>6.7711598746081458E-2</v>
          </cell>
          <cell r="G17">
            <v>-6.4591896652965386E-2</v>
          </cell>
          <cell r="H17">
            <v>-0.12115505335844323</v>
          </cell>
          <cell r="I17">
            <v>0.14999999999999991</v>
          </cell>
          <cell r="J17">
            <v>-0.15714285714285714</v>
          </cell>
          <cell r="K17">
            <v>4.8636698599852535E-2</v>
          </cell>
          <cell r="L17">
            <v>0.03</v>
          </cell>
          <cell r="M17">
            <v>-3.9999999999999994E-2</v>
          </cell>
          <cell r="N17">
            <v>-8.8188073394495341E-3</v>
          </cell>
          <cell r="O17">
            <v>-3.2050371307923681E-2</v>
          </cell>
          <cell r="P17">
            <v>-2.1011659029670782E-3</v>
          </cell>
          <cell r="Q17">
            <v>1.4999999999999999E-2</v>
          </cell>
          <cell r="R17">
            <v>1.4999999999999999E-2</v>
          </cell>
          <cell r="S17">
            <v>1.4999999999999999E-2</v>
          </cell>
          <cell r="T17">
            <v>1.4999999999999999E-2</v>
          </cell>
          <cell r="U17">
            <v>1.4999999999999999E-2</v>
          </cell>
          <cell r="W17">
            <v>0.02</v>
          </cell>
          <cell r="X17">
            <v>-5.2050371307923685E-2</v>
          </cell>
          <cell r="AD17">
            <v>7.7720207253886064E-2</v>
          </cell>
          <cell r="AE17">
            <v>9.846827133479219E-2</v>
          </cell>
          <cell r="AF17">
            <v>5.5825242718446688E-2</v>
          </cell>
          <cell r="AG17">
            <v>0.42058823529411771</v>
          </cell>
          <cell r="AH17">
            <v>9.6153846153845812E-3</v>
          </cell>
          <cell r="AI17">
            <v>-3.7848605577689209E-2</v>
          </cell>
          <cell r="AJ17">
            <v>-1.1494252873563204E-2</v>
          </cell>
          <cell r="AK17">
            <v>-0.4616977225672878</v>
          </cell>
          <cell r="AL17">
            <v>-0.17619047619047623</v>
          </cell>
          <cell r="AM17">
            <v>-0.16356107660455488</v>
          </cell>
          <cell r="AN17">
            <v>-0.2069767441860465</v>
          </cell>
          <cell r="AO17">
            <v>0.18846153846153846</v>
          </cell>
          <cell r="AP17">
            <v>0.12427745664739875</v>
          </cell>
          <cell r="AQ17">
            <v>0.13366336633663356</v>
          </cell>
          <cell r="AR17">
            <v>0.17302052785923761</v>
          </cell>
          <cell r="AS17">
            <v>0.17152103559870557</v>
          </cell>
          <cell r="AT17">
            <v>-2.3136246786632397E-2</v>
          </cell>
          <cell r="AU17">
            <v>-0.14628820960698685</v>
          </cell>
          <cell r="AV17">
            <v>-0.25749999999999995</v>
          </cell>
          <cell r="AW17">
            <v>-0.2016574585635359</v>
          </cell>
          <cell r="AX17">
            <v>-1.5789473684210575E-2</v>
          </cell>
          <cell r="AY17">
            <v>0.11764705882352944</v>
          </cell>
          <cell r="AZ17">
            <v>0.1144781144781144</v>
          </cell>
          <cell r="BA17">
            <v>-2.7681660899653959E-2</v>
          </cell>
          <cell r="BB17">
            <v>-5.3475935828877219E-3</v>
          </cell>
          <cell r="BC17">
            <v>-3.6613272311212808E-2</v>
          </cell>
          <cell r="BD17">
            <v>6.9486404833836835E-2</v>
          </cell>
          <cell r="BE17">
            <v>0.12455516014234869</v>
          </cell>
          <cell r="BF17">
            <v>-3.0000000000000006E-2</v>
          </cell>
          <cell r="BG17">
            <v>-0.05</v>
          </cell>
          <cell r="BH17">
            <v>-9.9999999999999985E-3</v>
          </cell>
          <cell r="BI17">
            <v>-7.0000000000000007E-2</v>
          </cell>
          <cell r="BJ17">
            <v>-1.0000000000000002E-2</v>
          </cell>
          <cell r="BK17">
            <v>1.9999999999999997E-2</v>
          </cell>
          <cell r="BL17">
            <v>1.2300884955752215E-2</v>
          </cell>
          <cell r="BM17">
            <v>-6.5000000000000002E-2</v>
          </cell>
          <cell r="BN17">
            <v>-0.13</v>
          </cell>
          <cell r="BO17">
            <v>-2.386678293906145E-2</v>
          </cell>
          <cell r="BP17">
            <v>-3.3129159304269719E-2</v>
          </cell>
          <cell r="BQ17">
            <v>7.5813451254627726E-2</v>
          </cell>
          <cell r="BR17">
            <v>-1.4999999999999999E-2</v>
          </cell>
          <cell r="BS17">
            <v>-0.03</v>
          </cell>
          <cell r="BT17">
            <v>9.9999999999999985E-3</v>
          </cell>
          <cell r="BU17">
            <v>-9.236702127659574E-2</v>
          </cell>
        </row>
        <row r="18">
          <cell r="A18" t="str">
            <v>North America Foodservice</v>
          </cell>
          <cell r="C18">
            <v>1.8087855297157729E-2</v>
          </cell>
          <cell r="D18">
            <v>-0.26565143824027071</v>
          </cell>
          <cell r="E18">
            <v>4.0322580645161255E-2</v>
          </cell>
          <cell r="F18">
            <v>0.11295681063122931</v>
          </cell>
          <cell r="G18">
            <v>7.8606965174129462E-2</v>
          </cell>
          <cell r="H18">
            <v>4.4280442804428111E-2</v>
          </cell>
          <cell r="I18">
            <v>2.8213166144200663E-2</v>
          </cell>
          <cell r="J18">
            <v>-8.6890243902439046E-2</v>
          </cell>
          <cell r="K18">
            <v>-3.5058430717863076E-2</v>
          </cell>
          <cell r="L18">
            <v>0.02</v>
          </cell>
          <cell r="M18">
            <v>0.03</v>
          </cell>
          <cell r="N18">
            <v>1.1583408489828229</v>
          </cell>
          <cell r="O18">
            <v>3.1532732871867405E-2</v>
          </cell>
          <cell r="P18">
            <v>-2.4609468488948662E-3</v>
          </cell>
          <cell r="Q18">
            <v>1.2E-2</v>
          </cell>
          <cell r="R18">
            <v>9.499999999999998E-3</v>
          </cell>
          <cell r="S18">
            <v>6.9999999999999984E-3</v>
          </cell>
          <cell r="T18">
            <v>4.4999999999999979E-3</v>
          </cell>
          <cell r="U18">
            <v>1.9999999999999992E-3</v>
          </cell>
          <cell r="W18">
            <v>2.5000000000000001E-2</v>
          </cell>
          <cell r="X18">
            <v>6.5327328718674041E-3</v>
          </cell>
          <cell r="AD18">
            <v>0.12077294685990347</v>
          </cell>
          <cell r="AE18">
            <v>0.12162162162162171</v>
          </cell>
          <cell r="AF18">
            <v>0.10480349344978168</v>
          </cell>
          <cell r="AG18">
            <v>1.0526315789473686</v>
          </cell>
          <cell r="AH18">
            <v>0.1293103448275863</v>
          </cell>
          <cell r="AI18">
            <v>5.7228915662650648E-2</v>
          </cell>
          <cell r="AJ18">
            <v>7.1146245059288571E-2</v>
          </cell>
          <cell r="AK18">
            <v>-0.43019943019943019</v>
          </cell>
          <cell r="AL18">
            <v>3.4351145038167941E-2</v>
          </cell>
          <cell r="AM18">
            <v>4.2735042735042805E-2</v>
          </cell>
          <cell r="AN18">
            <v>3.3210332103321027E-2</v>
          </cell>
          <cell r="AO18">
            <v>7.4999999999999956E-2</v>
          </cell>
          <cell r="AP18">
            <v>3.3210332103321027E-2</v>
          </cell>
          <cell r="AQ18">
            <v>-2.732240437158473E-3</v>
          </cell>
          <cell r="AR18">
            <v>-8.2142857142857184E-2</v>
          </cell>
          <cell r="AS18">
            <v>6.5217391304347894E-2</v>
          </cell>
          <cell r="AT18">
            <v>-1.8072289156626509E-2</v>
          </cell>
          <cell r="AU18">
            <v>-7.3863636363636354E-2</v>
          </cell>
          <cell r="AV18">
            <v>-0.10179640718562877</v>
          </cell>
          <cell r="AW18">
            <v>-0.16326530612244894</v>
          </cell>
          <cell r="AX18">
            <v>-2.4539877300613466E-2</v>
          </cell>
          <cell r="AY18">
            <v>-2.4539877300613466E-2</v>
          </cell>
          <cell r="AZ18">
            <v>-2.6666666666666616E-2</v>
          </cell>
          <cell r="BA18">
            <v>-7.3170731707317027E-2</v>
          </cell>
          <cell r="BB18">
            <v>-3.7735849056603765E-2</v>
          </cell>
          <cell r="BC18">
            <v>-6.2893081761006275E-3</v>
          </cell>
          <cell r="BD18">
            <v>5.4794520547945202E-2</v>
          </cell>
          <cell r="BE18">
            <v>9.6491228070175517E-2</v>
          </cell>
          <cell r="BF18">
            <v>5.8823529411764719E-2</v>
          </cell>
          <cell r="BG18">
            <v>9.0000000000000011E-2</v>
          </cell>
          <cell r="BH18">
            <v>-1.7347234759768071E-18</v>
          </cell>
          <cell r="BI18">
            <v>-3.0000000000000006E-2</v>
          </cell>
          <cell r="BJ18">
            <v>0.99</v>
          </cell>
          <cell r="BK18">
            <v>1.0269999999999999</v>
          </cell>
          <cell r="BL18">
            <v>1.2311688311688311</v>
          </cell>
          <cell r="BM18">
            <v>1.4788175031365445</v>
          </cell>
          <cell r="BN18">
            <v>0.02</v>
          </cell>
          <cell r="BO18">
            <v>-2.5884618566720113E-3</v>
          </cell>
          <cell r="BP18">
            <v>1.8996550091690843E-2</v>
          </cell>
          <cell r="BQ18">
            <v>9.8360000000000003E-2</v>
          </cell>
          <cell r="BR18">
            <v>3.9999999999999994E-2</v>
          </cell>
          <cell r="BS18">
            <v>2.0000000000000004E-2</v>
          </cell>
          <cell r="BT18">
            <v>1.5000000000000001E-2</v>
          </cell>
          <cell r="BU18">
            <v>-4.5583832335329345E-2</v>
          </cell>
        </row>
        <row r="20">
          <cell r="A20" t="str">
            <v>Organic</v>
          </cell>
          <cell r="C20">
            <v>1.9999999999999997E-2</v>
          </cell>
          <cell r="D20">
            <v>0.04</v>
          </cell>
          <cell r="E20">
            <v>3.653E-2</v>
          </cell>
          <cell r="F20">
            <v>0.04</v>
          </cell>
          <cell r="G20">
            <v>0.03</v>
          </cell>
          <cell r="H20">
            <v>0.04</v>
          </cell>
          <cell r="I20">
            <v>0.03</v>
          </cell>
          <cell r="J20">
            <v>3.0000000000000002E-2</v>
          </cell>
          <cell r="K20">
            <v>-0.02</v>
          </cell>
          <cell r="L20">
            <v>-0.01</v>
          </cell>
          <cell r="M20">
            <v>0</v>
          </cell>
          <cell r="N20">
            <v>1.8786703832752615E-2</v>
          </cell>
          <cell r="O20">
            <v>-4.9511922503725804E-3</v>
          </cell>
          <cell r="P20">
            <v>3.1837914386594252E-2</v>
          </cell>
          <cell r="Q20">
            <v>1.9848035588815663E-2</v>
          </cell>
          <cell r="R20">
            <v>1.9512034553283316E-2</v>
          </cell>
          <cell r="S20">
            <v>1.9188404474682941E-2</v>
          </cell>
          <cell r="T20">
            <v>1.8879508429995841E-2</v>
          </cell>
          <cell r="U20">
            <v>1.8587587585895508E-2</v>
          </cell>
          <cell r="W20">
            <v>2.8130147630950307E-2</v>
          </cell>
          <cell r="X20">
            <v>-3.3081339881322891E-2</v>
          </cell>
          <cell r="AD20">
            <v>0.08</v>
          </cell>
          <cell r="AE20">
            <v>5.9999999999999991E-2</v>
          </cell>
          <cell r="AF20">
            <v>0.02</v>
          </cell>
          <cell r="AG20">
            <v>0.03</v>
          </cell>
          <cell r="AH20">
            <v>0</v>
          </cell>
          <cell r="AI20">
            <v>0.05</v>
          </cell>
          <cell r="AJ20">
            <v>0.08</v>
          </cell>
          <cell r="AK20">
            <v>0.03</v>
          </cell>
          <cell r="AL20">
            <v>6.9999999999999993E-2</v>
          </cell>
          <cell r="AM20">
            <v>0.03</v>
          </cell>
          <cell r="AN20">
            <v>6.0000000000000005E-2</v>
          </cell>
          <cell r="AO20">
            <v>6.9999999999999993E-2</v>
          </cell>
          <cell r="AP20">
            <v>0.04</v>
          </cell>
          <cell r="AQ20">
            <v>0.04</v>
          </cell>
          <cell r="AR20">
            <v>0.03</v>
          </cell>
          <cell r="AS20">
            <v>0.03</v>
          </cell>
          <cell r="AT20">
            <v>0.06</v>
          </cell>
          <cell r="AU20">
            <v>0.03</v>
          </cell>
          <cell r="AV20">
            <v>-0.01</v>
          </cell>
          <cell r="AW20">
            <v>2.0000000000000004E-2</v>
          </cell>
          <cell r="AX20">
            <v>-0.03</v>
          </cell>
          <cell r="AY20">
            <v>-0.03</v>
          </cell>
          <cell r="AZ20">
            <v>2.0000000000000004E-2</v>
          </cell>
          <cell r="BA20">
            <v>-0.02</v>
          </cell>
          <cell r="BB20">
            <v>-1.9999999999999997E-2</v>
          </cell>
          <cell r="BC20">
            <v>-0.02</v>
          </cell>
          <cell r="BD20">
            <v>-0.01</v>
          </cell>
          <cell r="BE20">
            <v>0.01</v>
          </cell>
          <cell r="BF20">
            <v>-2.0000000000000004E-2</v>
          </cell>
          <cell r="BG20">
            <v>-0.01</v>
          </cell>
          <cell r="BH20">
            <v>8.2735797021511459E-3</v>
          </cell>
          <cell r="BI20">
            <v>0.03</v>
          </cell>
          <cell r="BJ20">
            <v>8.2084367245657541E-3</v>
          </cell>
          <cell r="BK20">
            <v>9.8919197117858983E-3</v>
          </cell>
          <cell r="BL20">
            <v>4.4810954063604247E-2</v>
          </cell>
          <cell r="BM20">
            <v>1.5105727452271232E-2</v>
          </cell>
          <cell r="BN20">
            <v>-4.1430361006719041E-2</v>
          </cell>
          <cell r="BO20">
            <v>2.117188759509623E-2</v>
          </cell>
          <cell r="BP20">
            <v>-1.0875143204190269E-2</v>
          </cell>
          <cell r="BQ20">
            <v>1.546174885625853E-2</v>
          </cell>
          <cell r="BR20">
            <v>2.1643715010643071E-2</v>
          </cell>
          <cell r="BS20">
            <v>-9.2544270734057476E-3</v>
          </cell>
          <cell r="BT20">
            <v>-1.2753752867696523E-3</v>
          </cell>
          <cell r="BU20">
            <v>1.3543663756175918E-2</v>
          </cell>
        </row>
        <row r="21">
          <cell r="A21" t="str">
            <v>U.S. Soup, Sauces and Beverages</v>
          </cell>
          <cell r="C21">
            <v>0</v>
          </cell>
          <cell r="D21">
            <v>0.03</v>
          </cell>
          <cell r="E21">
            <v>0.03</v>
          </cell>
          <cell r="F21">
            <v>0.03</v>
          </cell>
          <cell r="G21">
            <v>4.9999999999999996E-2</v>
          </cell>
          <cell r="H21">
            <v>7.0000000000000007E-2</v>
          </cell>
          <cell r="I21">
            <v>0.04</v>
          </cell>
          <cell r="J21">
            <v>3.9999999999999994E-2</v>
          </cell>
          <cell r="K21">
            <v>-0.02</v>
          </cell>
          <cell r="L21">
            <v>-4.7643243243243247E-2</v>
          </cell>
          <cell r="M21">
            <v>-3.5128205128205172E-3</v>
          </cell>
          <cell r="N21">
            <v>2.3507028571428577E-2</v>
          </cell>
          <cell r="O21">
            <v>-1.7231968810916182E-2</v>
          </cell>
          <cell r="P21">
            <v>0.04</v>
          </cell>
          <cell r="Q21">
            <v>1.6962556771008424E-2</v>
          </cell>
          <cell r="R21">
            <v>1.7006745087077144E-2</v>
          </cell>
          <cell r="S21">
            <v>1.7051682074992781E-2</v>
          </cell>
          <cell r="T21">
            <v>1.7097368999050538E-2</v>
          </cell>
          <cell r="U21">
            <v>1.7143806569455293E-2</v>
          </cell>
          <cell r="W21">
            <v>2.6074764155097949E-2</v>
          </cell>
          <cell r="X21">
            <v>-4.330673296601413E-2</v>
          </cell>
          <cell r="AD21">
            <v>0.10444444444444434</v>
          </cell>
          <cell r="AE21">
            <v>6.3157894736842746E-3</v>
          </cell>
          <cell r="AF21">
            <v>-1.5698587127158548E-2</v>
          </cell>
          <cell r="AG21">
            <v>0.99217221135029354</v>
          </cell>
          <cell r="AH21">
            <v>-2.4144869215291798E-2</v>
          </cell>
          <cell r="AI21">
            <v>6.4853556485355623E-2</v>
          </cell>
          <cell r="AJ21">
            <v>0.13716108452950548</v>
          </cell>
          <cell r="AK21">
            <v>-0.4538310412573674</v>
          </cell>
          <cell r="AL21">
            <v>8.4536082474226726E-2</v>
          </cell>
          <cell r="AM21">
            <v>9.8231827111985304E-3</v>
          </cell>
          <cell r="AN21">
            <v>0.13604488078541377</v>
          </cell>
          <cell r="AO21">
            <v>7.7338129496402841E-2</v>
          </cell>
          <cell r="AP21">
            <v>4.2775665399239493E-2</v>
          </cell>
          <cell r="AQ21">
            <v>6.3229571984435795E-2</v>
          </cell>
          <cell r="AR21">
            <v>1.2345679012346622E-3</v>
          </cell>
          <cell r="AS21">
            <v>0.12353923205342232</v>
          </cell>
          <cell r="AT21">
            <v>9.206927985414759E-2</v>
          </cell>
          <cell r="AU21">
            <v>3.20219579139982E-2</v>
          </cell>
          <cell r="AV21">
            <v>-3.6991368680641123E-3</v>
          </cell>
          <cell r="AW21">
            <v>-3.4175334323922724E-2</v>
          </cell>
          <cell r="AX21">
            <v>-4.8414023372287174E-2</v>
          </cell>
          <cell r="AY21">
            <v>-5.3191489361702149E-2</v>
          </cell>
          <cell r="AZ21">
            <v>4.9504950495049549E-2</v>
          </cell>
          <cell r="BA21">
            <v>-9.2307692307692646E-3</v>
          </cell>
          <cell r="BB21">
            <v>-3.2456140350877183E-2</v>
          </cell>
          <cell r="BC21">
            <v>-4.3071161048689133E-2</v>
          </cell>
          <cell r="BD21">
            <v>-8.2547169811320709E-2</v>
          </cell>
          <cell r="BE21">
            <v>-6.0760869565217389E-2</v>
          </cell>
          <cell r="BF21">
            <v>-3.0000000000000006E-2</v>
          </cell>
          <cell r="BG21">
            <v>-1.2954990215264185E-2</v>
          </cell>
          <cell r="BH21">
            <v>-2.1850899742930571E-3</v>
          </cell>
          <cell r="BI21">
            <v>5.8401976935749597E-2</v>
          </cell>
          <cell r="BJ21">
            <v>1.5223880597014924E-2</v>
          </cell>
          <cell r="BK21">
            <v>2.601384767556874E-3</v>
          </cell>
          <cell r="BL21">
            <v>6.7263225806451624E-2</v>
          </cell>
          <cell r="BM21">
            <v>1.7438629283489097E-2</v>
          </cell>
          <cell r="BN21">
            <v>-6.3483870967741926E-2</v>
          </cell>
          <cell r="BO21">
            <v>3.5913793103448277E-2</v>
          </cell>
          <cell r="BP21">
            <v>-4.4000000000000011E-2</v>
          </cell>
          <cell r="BQ21">
            <v>1.0281531531531544E-2</v>
          </cell>
          <cell r="BR21">
            <v>3.3276863504356234E-2</v>
          </cell>
          <cell r="BS21">
            <v>-2.2467289719626169E-2</v>
          </cell>
          <cell r="BT21">
            <v>-2.2204176334106727E-2</v>
          </cell>
          <cell r="BU21">
            <v>2.6139601139601207E-3</v>
          </cell>
        </row>
        <row r="22">
          <cell r="A22" t="str">
            <v>U.S. Simple Meals</v>
          </cell>
          <cell r="L22">
            <v>-6.0000000000000005E-2</v>
          </cell>
          <cell r="M22">
            <v>-1.0000000000000002E-2</v>
          </cell>
          <cell r="N22">
            <v>4.2344387380777698E-2</v>
          </cell>
          <cell r="O22">
            <v>-1.0000000000000002E-2</v>
          </cell>
          <cell r="P22">
            <v>0.04</v>
          </cell>
          <cell r="Q22">
            <v>1.4999999999999999E-2</v>
          </cell>
          <cell r="R22">
            <v>1.4999999999999999E-2</v>
          </cell>
          <cell r="S22">
            <v>1.4999999999999999E-2</v>
          </cell>
          <cell r="T22">
            <v>1.4999999999999999E-2</v>
          </cell>
          <cell r="U22">
            <v>1.4999999999999999E-2</v>
          </cell>
          <cell r="W22">
            <v>2.5000000000000001E-2</v>
          </cell>
          <cell r="X22">
            <v>-3.5000000000000003E-2</v>
          </cell>
          <cell r="BF22">
            <v>-3.0000000000000006E-2</v>
          </cell>
          <cell r="BG22">
            <v>-2.0000000000000004E-2</v>
          </cell>
          <cell r="BH22">
            <v>-2.0000000000000004E-2</v>
          </cell>
          <cell r="BI22">
            <v>7.0000000000000007E-2</v>
          </cell>
          <cell r="BJ22">
            <v>0.03</v>
          </cell>
          <cell r="BK22">
            <v>0.01</v>
          </cell>
          <cell r="BL22">
            <v>0.11</v>
          </cell>
          <cell r="BM22">
            <v>4.0000000000000008E-2</v>
          </cell>
          <cell r="BN22">
            <v>-0.06</v>
          </cell>
          <cell r="BO22">
            <v>5.2499999999999998E-2</v>
          </cell>
          <cell r="BP22">
            <v>-0.05</v>
          </cell>
          <cell r="BQ22">
            <v>2.6140973630831663E-2</v>
          </cell>
          <cell r="BR22">
            <v>4.4999999999999998E-2</v>
          </cell>
          <cell r="BS22">
            <v>-0.02</v>
          </cell>
          <cell r="BT22">
            <v>-0.02</v>
          </cell>
          <cell r="BU22">
            <v>1.4169884169884177E-2</v>
          </cell>
        </row>
        <row r="23">
          <cell r="A23" t="str">
            <v>U.S. Beverages</v>
          </cell>
          <cell r="L23">
            <v>0</v>
          </cell>
          <cell r="M23">
            <v>1.9999999999999997E-2</v>
          </cell>
          <cell r="N23">
            <v>-4.2837467700258397E-2</v>
          </cell>
          <cell r="O23">
            <v>-4.5000000000000005E-2</v>
          </cell>
          <cell r="P23">
            <v>0.04</v>
          </cell>
          <cell r="Q23">
            <v>2.5000000000000001E-2</v>
          </cell>
          <cell r="R23">
            <v>2.5000000000000001E-2</v>
          </cell>
          <cell r="S23">
            <v>2.5000000000000001E-2</v>
          </cell>
          <cell r="T23">
            <v>2.5000000000000001E-2</v>
          </cell>
          <cell r="U23">
            <v>2.5000000000000001E-2</v>
          </cell>
          <cell r="W23">
            <v>2.5000000000000001E-2</v>
          </cell>
          <cell r="X23">
            <v>-7.0000000000000007E-2</v>
          </cell>
          <cell r="BF23">
            <v>-0.03</v>
          </cell>
          <cell r="BG23">
            <v>1.9999999999999997E-2</v>
          </cell>
          <cell r="BH23">
            <v>0.05</v>
          </cell>
          <cell r="BI23">
            <v>0.03</v>
          </cell>
          <cell r="BJ23">
            <v>-0.05</v>
          </cell>
          <cell r="BK23">
            <v>-0.03</v>
          </cell>
          <cell r="BL23">
            <v>-0.05</v>
          </cell>
          <cell r="BM23">
            <v>-0.04</v>
          </cell>
          <cell r="BN23">
            <v>-7.9999999999999988E-2</v>
          </cell>
          <cell r="BO23">
            <v>-0.04</v>
          </cell>
          <cell r="BP23">
            <v>-2.5000000000000001E-2</v>
          </cell>
          <cell r="BQ23">
            <v>-3.4913294797687879E-2</v>
          </cell>
          <cell r="BR23">
            <v>-2.5000000000000001E-2</v>
          </cell>
          <cell r="BS23">
            <v>-3.5000000000000003E-2</v>
          </cell>
          <cell r="BT23">
            <v>-0.03</v>
          </cell>
          <cell r="BU23">
            <v>-2.991847826086956E-2</v>
          </cell>
        </row>
        <row r="24">
          <cell r="A24" t="str">
            <v>Global Baking and Snacking</v>
          </cell>
          <cell r="C24">
            <v>0.05</v>
          </cell>
          <cell r="D24">
            <v>6.0000000000000005E-2</v>
          </cell>
          <cell r="E24">
            <v>4.9999999999999996E-2</v>
          </cell>
          <cell r="F24">
            <v>6.0000000000000005E-2</v>
          </cell>
          <cell r="G24">
            <v>9.9999999999999985E-3</v>
          </cell>
          <cell r="H24">
            <v>0.03</v>
          </cell>
          <cell r="I24">
            <v>7.0000000000000007E-2</v>
          </cell>
          <cell r="J24">
            <v>4.0000000000000008E-2</v>
          </cell>
          <cell r="K24">
            <v>0</v>
          </cell>
          <cell r="L24">
            <v>0.04</v>
          </cell>
          <cell r="M24">
            <v>1.0000000000000002E-2</v>
          </cell>
          <cell r="N24">
            <v>4.451436388508892E-2</v>
          </cell>
          <cell r="O24">
            <v>7.5000000000000015E-3</v>
          </cell>
          <cell r="P24">
            <v>3.5000000000000003E-2</v>
          </cell>
          <cell r="Q24">
            <v>0.03</v>
          </cell>
          <cell r="R24">
            <v>0.03</v>
          </cell>
          <cell r="S24">
            <v>0.03</v>
          </cell>
          <cell r="T24">
            <v>0.03</v>
          </cell>
          <cell r="U24">
            <v>0.03</v>
          </cell>
          <cell r="W24">
            <v>0.04</v>
          </cell>
          <cell r="X24">
            <v>-3.2500000000000001E-2</v>
          </cell>
          <cell r="AD24">
            <v>7.0000000000000007E-2</v>
          </cell>
          <cell r="AE24">
            <v>0.08</v>
          </cell>
          <cell r="AF24">
            <v>7.0000000000000007E-2</v>
          </cell>
          <cell r="AG24">
            <v>0.04</v>
          </cell>
          <cell r="AH24">
            <v>0</v>
          </cell>
          <cell r="AI24">
            <v>0</v>
          </cell>
          <cell r="AJ24">
            <v>0</v>
          </cell>
          <cell r="AK24">
            <v>1.0000000000000002E-2</v>
          </cell>
          <cell r="AL24">
            <v>0.06</v>
          </cell>
          <cell r="AM24">
            <v>0.04</v>
          </cell>
          <cell r="AN24">
            <v>1.9999999999999997E-2</v>
          </cell>
          <cell r="AO24">
            <v>0.03</v>
          </cell>
          <cell r="AP24">
            <v>0.06</v>
          </cell>
          <cell r="AQ24">
            <v>0.04</v>
          </cell>
          <cell r="AR24">
            <v>9.0000000000000011E-2</v>
          </cell>
          <cell r="AS24">
            <v>0.06</v>
          </cell>
          <cell r="AT24">
            <v>0.05</v>
          </cell>
          <cell r="AU24">
            <v>0.06</v>
          </cell>
          <cell r="AV24">
            <v>2.9999999999999992E-2</v>
          </cell>
          <cell r="AW24">
            <v>9.9999999999999985E-3</v>
          </cell>
          <cell r="AX24">
            <v>0</v>
          </cell>
          <cell r="AY24">
            <v>0</v>
          </cell>
          <cell r="AZ24">
            <v>1.0000000000000002E-2</v>
          </cell>
          <cell r="BA24">
            <v>0</v>
          </cell>
          <cell r="BB24">
            <v>0</v>
          </cell>
          <cell r="BC24">
            <v>4.9999999999999996E-2</v>
          </cell>
          <cell r="BD24">
            <v>4.9999999999999996E-2</v>
          </cell>
          <cell r="BE24">
            <v>7.0000000000000007E-2</v>
          </cell>
          <cell r="BF24">
            <v>1.0000000000000004E-2</v>
          </cell>
          <cell r="BG24">
            <v>-9.9999999999999985E-3</v>
          </cell>
          <cell r="BH24">
            <v>1.9999999999999997E-2</v>
          </cell>
          <cell r="BI24">
            <v>2.0000000000000004E-2</v>
          </cell>
          <cell r="BJ24">
            <v>1.0000000000000002E-2</v>
          </cell>
          <cell r="BK24">
            <v>5.9999999999999991E-2</v>
          </cell>
          <cell r="BL24">
            <v>6.0000000000000005E-2</v>
          </cell>
          <cell r="BM24">
            <v>0.05</v>
          </cell>
          <cell r="BN24">
            <v>0</v>
          </cell>
          <cell r="BO24">
            <v>0</v>
          </cell>
          <cell r="BP24">
            <v>1.0000000000000002E-2</v>
          </cell>
          <cell r="BQ24">
            <v>1.9942982456140353E-2</v>
          </cell>
          <cell r="BR24">
            <v>0</v>
          </cell>
          <cell r="BS24">
            <v>0</v>
          </cell>
          <cell r="BT24">
            <v>1.4999999999999999E-2</v>
          </cell>
          <cell r="BU24">
            <v>2.5382165605095538E-2</v>
          </cell>
        </row>
        <row r="25">
          <cell r="A25" t="str">
            <v>International Simple Meals and Beverages</v>
          </cell>
          <cell r="C25">
            <v>0</v>
          </cell>
          <cell r="D25">
            <v>0</v>
          </cell>
          <cell r="E25">
            <v>0.02</v>
          </cell>
          <cell r="F25">
            <v>0.01</v>
          </cell>
          <cell r="G25">
            <v>0.03</v>
          </cell>
          <cell r="H25">
            <v>6.0000000000000005E-2</v>
          </cell>
          <cell r="I25">
            <v>0.02</v>
          </cell>
          <cell r="J25">
            <v>1.0000000000000004E-2</v>
          </cell>
          <cell r="K25">
            <v>-0.01</v>
          </cell>
          <cell r="L25">
            <v>-0.01</v>
          </cell>
          <cell r="M25">
            <v>-1.9999999999999997E-2</v>
          </cell>
          <cell r="N25">
            <v>3.8646788990825739E-3</v>
          </cell>
          <cell r="O25">
            <v>-1.2500000000000001E-2</v>
          </cell>
          <cell r="P25">
            <v>1.4999999999999999E-2</v>
          </cell>
          <cell r="Q25">
            <v>1.4999999999999999E-2</v>
          </cell>
          <cell r="R25">
            <v>1.4999999999999999E-2</v>
          </cell>
          <cell r="S25">
            <v>1.4999999999999999E-2</v>
          </cell>
          <cell r="T25">
            <v>1.4999999999999999E-2</v>
          </cell>
          <cell r="U25">
            <v>1.4999999999999999E-2</v>
          </cell>
          <cell r="W25">
            <v>0.02</v>
          </cell>
          <cell r="X25">
            <v>-3.2500000000000001E-2</v>
          </cell>
          <cell r="AD25">
            <v>1.9999999999999997E-2</v>
          </cell>
          <cell r="AE25">
            <v>0.03</v>
          </cell>
          <cell r="AF25">
            <v>0.01</v>
          </cell>
          <cell r="AG25">
            <v>0</v>
          </cell>
          <cell r="AH25">
            <v>0.13</v>
          </cell>
          <cell r="AI25">
            <v>0.01</v>
          </cell>
          <cell r="AJ25">
            <v>0.03</v>
          </cell>
          <cell r="AK25">
            <v>-0.01</v>
          </cell>
          <cell r="AL25">
            <v>6.9999999999999993E-2</v>
          </cell>
          <cell r="AM25">
            <v>0.06</v>
          </cell>
          <cell r="AN25">
            <v>9.9999999999999985E-3</v>
          </cell>
          <cell r="AO25">
            <v>0.12</v>
          </cell>
          <cell r="AP25">
            <v>0.04</v>
          </cell>
          <cell r="AQ25">
            <v>9.9999999999999967E-3</v>
          </cell>
          <cell r="AR25">
            <v>0.03</v>
          </cell>
          <cell r="AS25">
            <v>-1.9999999999999997E-2</v>
          </cell>
          <cell r="AT25">
            <v>0.05</v>
          </cell>
          <cell r="AU25">
            <v>0.01</v>
          </cell>
          <cell r="AV25">
            <v>-0.05</v>
          </cell>
          <cell r="AW25">
            <v>0.05</v>
          </cell>
          <cell r="AX25">
            <v>-9.9999999999999985E-3</v>
          </cell>
          <cell r="AY25">
            <v>0</v>
          </cell>
          <cell r="AZ25">
            <v>-0.02</v>
          </cell>
          <cell r="BA25">
            <v>-0.04</v>
          </cell>
          <cell r="BB25">
            <v>0</v>
          </cell>
          <cell r="BC25">
            <v>-0.03</v>
          </cell>
          <cell r="BD25">
            <v>9.9999999999999985E-3</v>
          </cell>
          <cell r="BE25">
            <v>0</v>
          </cell>
          <cell r="BF25">
            <v>-7.0000000000000007E-2</v>
          </cell>
          <cell r="BG25">
            <v>-0.04</v>
          </cell>
          <cell r="BH25">
            <v>0.02</v>
          </cell>
          <cell r="BI25">
            <v>1.0000000000000002E-2</v>
          </cell>
          <cell r="BJ25">
            <v>1.9999999999999997E-2</v>
          </cell>
          <cell r="BK25">
            <v>9.9999999999999985E-3</v>
          </cell>
          <cell r="BL25">
            <v>3.0000000000000002E-2</v>
          </cell>
          <cell r="BM25">
            <v>-0.05</v>
          </cell>
          <cell r="BN25">
            <v>-7.0000000000000007E-2</v>
          </cell>
          <cell r="BO25">
            <v>0.01</v>
          </cell>
          <cell r="BP25">
            <v>-5.0000000000000001E-3</v>
          </cell>
          <cell r="BQ25">
            <v>1.8890374331550802E-2</v>
          </cell>
          <cell r="BR25">
            <v>-4.9999999999999992E-3</v>
          </cell>
          <cell r="BS25">
            <v>-1.9999999999999997E-2</v>
          </cell>
          <cell r="BT25">
            <v>1.4999999999999999E-2</v>
          </cell>
          <cell r="BU25">
            <v>-7.7925531914893546E-3</v>
          </cell>
        </row>
        <row r="26">
          <cell r="A26" t="str">
            <v>North America Foodservice</v>
          </cell>
          <cell r="C26">
            <v>0.01</v>
          </cell>
          <cell r="D26">
            <v>0.02</v>
          </cell>
          <cell r="E26">
            <v>0.03</v>
          </cell>
          <cell r="F26">
            <v>0.1</v>
          </cell>
          <cell r="G26">
            <v>0.08</v>
          </cell>
          <cell r="H26">
            <v>1.9999999999999997E-2</v>
          </cell>
          <cell r="I26">
            <v>-0.01</v>
          </cell>
          <cell r="J26">
            <v>-0.05</v>
          </cell>
          <cell r="K26">
            <v>-0.05</v>
          </cell>
          <cell r="L26">
            <v>0.01</v>
          </cell>
          <cell r="M26">
            <v>0.03</v>
          </cell>
          <cell r="N26">
            <v>-7.9459016393442633E-2</v>
          </cell>
          <cell r="O26">
            <v>1.2E-2</v>
          </cell>
          <cell r="P26">
            <v>1.4499999999999999E-2</v>
          </cell>
          <cell r="Q26">
            <v>1.2E-2</v>
          </cell>
          <cell r="R26">
            <v>9.499999999999998E-3</v>
          </cell>
          <cell r="S26">
            <v>6.9999999999999984E-3</v>
          </cell>
          <cell r="T26">
            <v>4.4999999999999979E-3</v>
          </cell>
          <cell r="U26">
            <v>1.9999999999999992E-3</v>
          </cell>
          <cell r="W26">
            <v>2.5000000000000001E-2</v>
          </cell>
          <cell r="X26">
            <v>-1.3000000000000001E-2</v>
          </cell>
          <cell r="AD26">
            <v>0.11</v>
          </cell>
          <cell r="AE26">
            <v>0.11000000000000001</v>
          </cell>
          <cell r="AF26">
            <v>0.09</v>
          </cell>
          <cell r="AG26">
            <v>9.9999999999999992E-2</v>
          </cell>
          <cell r="AH26">
            <v>0.13</v>
          </cell>
          <cell r="AI26">
            <v>7.0000000000000007E-2</v>
          </cell>
          <cell r="AJ26">
            <v>8.0000000000000016E-2</v>
          </cell>
          <cell r="AK26">
            <v>9.0000000000000011E-2</v>
          </cell>
          <cell r="AL26">
            <v>0.03</v>
          </cell>
          <cell r="AM26">
            <v>0.03</v>
          </cell>
          <cell r="AN26">
            <v>0.05</v>
          </cell>
          <cell r="AO26">
            <v>6.9999999999999993E-2</v>
          </cell>
          <cell r="AP26">
            <v>1.9999999999999997E-2</v>
          </cell>
          <cell r="AQ26">
            <v>-0.02</v>
          </cell>
          <cell r="AR26">
            <v>0.04</v>
          </cell>
          <cell r="AS26">
            <v>-1.9999999999999997E-2</v>
          </cell>
          <cell r="AT26">
            <v>-0.01</v>
          </cell>
          <cell r="AU26">
            <v>-0.04</v>
          </cell>
          <cell r="AV26">
            <v>-7.0000000000000007E-2</v>
          </cell>
          <cell r="AW26">
            <v>-7.0000000000000007E-2</v>
          </cell>
          <cell r="AX26">
            <v>-0.02</v>
          </cell>
          <cell r="AY26">
            <v>1.0000000000000002E-2</v>
          </cell>
          <cell r="AZ26">
            <v>-6.0000000000000005E-2</v>
          </cell>
          <cell r="BA26">
            <v>-0.09</v>
          </cell>
          <cell r="BB26">
            <v>-0.05</v>
          </cell>
          <cell r="BC26">
            <v>-1.9999999999999997E-2</v>
          </cell>
          <cell r="BD26">
            <v>3.9999999999999994E-2</v>
          </cell>
          <cell r="BE26">
            <v>0.08</v>
          </cell>
          <cell r="BF26">
            <v>6.0000000000000005E-2</v>
          </cell>
          <cell r="BG26">
            <v>9.0000000000000011E-2</v>
          </cell>
          <cell r="BH26">
            <v>0</v>
          </cell>
          <cell r="BI26">
            <v>-2.0000000000000004E-2</v>
          </cell>
          <cell r="BJ26">
            <v>-0.06</v>
          </cell>
          <cell r="BK26">
            <v>-0.1</v>
          </cell>
          <cell r="BL26">
            <v>-0.1</v>
          </cell>
          <cell r="BM26">
            <v>-0.05</v>
          </cell>
          <cell r="BN26">
            <v>-0.02</v>
          </cell>
          <cell r="BO26">
            <v>0.02</v>
          </cell>
          <cell r="BP26">
            <v>2.9999999999999995E-2</v>
          </cell>
          <cell r="BQ26">
            <v>1.6426666666666666E-2</v>
          </cell>
          <cell r="BR26">
            <v>3.9999999999999994E-2</v>
          </cell>
          <cell r="BS26">
            <v>2.0000000000000004E-2</v>
          </cell>
          <cell r="BT26">
            <v>1.5000000000000001E-2</v>
          </cell>
          <cell r="BU26">
            <v>2.6272455089820353E-2</v>
          </cell>
        </row>
        <row r="29">
          <cell r="A29" t="str">
            <v>By Division (%)</v>
          </cell>
        </row>
        <row r="31">
          <cell r="A31" t="str">
            <v>Total CPB</v>
          </cell>
        </row>
        <row r="32">
          <cell r="A32" t="str">
            <v>Volume and Mix</v>
          </cell>
          <cell r="B32">
            <v>0.05</v>
          </cell>
          <cell r="C32">
            <v>0.02</v>
          </cell>
          <cell r="D32">
            <v>0.03</v>
          </cell>
          <cell r="E32">
            <v>0.02</v>
          </cell>
          <cell r="F32">
            <v>0.03</v>
          </cell>
          <cell r="G32">
            <v>0.03</v>
          </cell>
          <cell r="H32">
            <v>0.02</v>
          </cell>
          <cell r="I32">
            <v>0.02</v>
          </cell>
          <cell r="J32">
            <v>-0.02</v>
          </cell>
          <cell r="K32">
            <v>-0.01</v>
          </cell>
          <cell r="L32">
            <v>-0.01</v>
          </cell>
          <cell r="M32">
            <v>-0.02</v>
          </cell>
          <cell r="N32">
            <v>1.7042829268292686E-2</v>
          </cell>
          <cell r="O32">
            <v>-1.0076005961251865E-2</v>
          </cell>
          <cell r="P32">
            <v>1.8972545673959892E-2</v>
          </cell>
          <cell r="Q32">
            <v>8.7273051140970264E-3</v>
          </cell>
          <cell r="R32">
            <v>8.3620421000010405E-3</v>
          </cell>
          <cell r="S32">
            <v>8.0066199683770361E-3</v>
          </cell>
          <cell r="T32">
            <v>7.6634454391658431E-3</v>
          </cell>
          <cell r="U32">
            <v>7.3348168282948252E-3</v>
          </cell>
          <cell r="W32">
            <v>1.2235321914679595E-2</v>
          </cell>
          <cell r="X32">
            <v>-2.2311327875931458E-2</v>
          </cell>
          <cell r="AD32">
            <v>0.09</v>
          </cell>
          <cell r="AE32">
            <v>0.06</v>
          </cell>
          <cell r="AF32">
            <v>0</v>
          </cell>
          <cell r="AG32">
            <v>-0.01</v>
          </cell>
          <cell r="AH32">
            <v>-0.03</v>
          </cell>
          <cell r="AI32">
            <v>0.01</v>
          </cell>
          <cell r="AJ32">
            <v>0.04</v>
          </cell>
          <cell r="AK32">
            <v>0.01</v>
          </cell>
          <cell r="AL32">
            <v>0.04</v>
          </cell>
          <cell r="AM32">
            <v>0.01</v>
          </cell>
          <cell r="AN32">
            <v>0.05</v>
          </cell>
          <cell r="AO32">
            <v>0.06</v>
          </cell>
          <cell r="AP32">
            <v>0.04</v>
          </cell>
          <cell r="AQ32">
            <v>0.03</v>
          </cell>
          <cell r="AR32">
            <v>0.01</v>
          </cell>
          <cell r="AS32">
            <v>-0.01</v>
          </cell>
          <cell r="AT32">
            <v>0.01</v>
          </cell>
          <cell r="AU32">
            <v>-0.03</v>
          </cell>
          <cell r="AV32">
            <v>-0.06</v>
          </cell>
          <cell r="AW32">
            <v>-0.02</v>
          </cell>
          <cell r="AX32">
            <v>-0.04</v>
          </cell>
          <cell r="AY32">
            <v>-0.02</v>
          </cell>
          <cell r="AZ32">
            <v>0.04</v>
          </cell>
          <cell r="BA32">
            <v>0</v>
          </cell>
          <cell r="BB32">
            <v>0.01</v>
          </cell>
          <cell r="BC32">
            <v>0</v>
          </cell>
          <cell r="BD32">
            <v>-0.02</v>
          </cell>
          <cell r="BE32">
            <v>-0.02</v>
          </cell>
          <cell r="BF32">
            <v>-0.05</v>
          </cell>
          <cell r="BG32">
            <v>-0.03</v>
          </cell>
          <cell r="BH32">
            <v>-0.01</v>
          </cell>
          <cell r="BI32">
            <v>0.03</v>
          </cell>
          <cell r="BJ32">
            <v>2.5756823821339956E-3</v>
          </cell>
          <cell r="BK32">
            <v>4.9716932578486878E-3</v>
          </cell>
          <cell r="BL32">
            <v>5.056242638398116E-2</v>
          </cell>
          <cell r="BM32">
            <v>1.4204937458854514E-2</v>
          </cell>
          <cell r="BN32">
            <v>-3.822799225600728E-2</v>
          </cell>
          <cell r="BO32">
            <v>1.5066189143382173E-2</v>
          </cell>
          <cell r="BP32">
            <v>-2.0323954907620928E-2</v>
          </cell>
          <cell r="BQ32">
            <v>5.919695640905262E-3</v>
          </cell>
          <cell r="BR32">
            <v>2.7169572307932339E-2</v>
          </cell>
          <cell r="BS32" t="str">
            <v>US SSB</v>
          </cell>
          <cell r="BT32">
            <v>-2.7380080561205614E-3</v>
          </cell>
          <cell r="BU32">
            <v>8.063568594717456E-3</v>
          </cell>
          <cell r="BW32">
            <v>2.2071957145200383E-2</v>
          </cell>
          <cell r="BX32">
            <v>0.59651898052163577</v>
          </cell>
          <cell r="BY32">
            <v>0.5432246700086063</v>
          </cell>
          <cell r="BZ32">
            <v>0.47170198979027389</v>
          </cell>
          <cell r="CA32">
            <v>0.38855435967948415</v>
          </cell>
          <cell r="CB32">
            <v>-1.5114219820389518E-2</v>
          </cell>
          <cell r="CC32">
            <v>-1.5012690437079868E-2</v>
          </cell>
          <cell r="CD32">
            <v>4.6890066085127913E-3</v>
          </cell>
          <cell r="CE32">
            <v>-2.4066140425988092E-2</v>
          </cell>
          <cell r="CF32">
            <v>-1.2668980300875377E-2</v>
          </cell>
          <cell r="CG32">
            <v>1.9831751868974568E-2</v>
          </cell>
          <cell r="CH32">
            <v>2.2071957145200383E-2</v>
          </cell>
          <cell r="CI32">
            <v>-1.8038072550687678E-2</v>
          </cell>
          <cell r="CJ32">
            <v>1.00063301149238E-2</v>
          </cell>
          <cell r="CK32">
            <v>1.4500292263394332E-2</v>
          </cell>
          <cell r="CL32">
            <v>1.005382134127597E-2</v>
          </cell>
        </row>
        <row r="33">
          <cell r="A33" t="str">
            <v>Price and Sales Allowances</v>
          </cell>
          <cell r="B33">
            <v>0</v>
          </cell>
          <cell r="C33">
            <v>0.01</v>
          </cell>
          <cell r="D33">
            <v>0.01</v>
          </cell>
          <cell r="E33">
            <v>0.02</v>
          </cell>
          <cell r="F33">
            <v>0.02</v>
          </cell>
          <cell r="G33">
            <v>0</v>
          </cell>
          <cell r="H33">
            <v>0.02</v>
          </cell>
          <cell r="I33">
            <v>0.02</v>
          </cell>
          <cell r="J33">
            <v>7.0000000000000007E-2</v>
          </cell>
          <cell r="K33">
            <v>0.01</v>
          </cell>
          <cell r="L33">
            <v>0.01</v>
          </cell>
          <cell r="M33">
            <v>0.03</v>
          </cell>
          <cell r="N33">
            <v>1.3745031358885017E-2</v>
          </cell>
          <cell r="O33">
            <v>1.1345317933432688E-2</v>
          </cell>
          <cell r="P33">
            <v>1.3680666641971387E-2</v>
          </cell>
          <cell r="Q33">
            <v>1.1921250586617813E-2</v>
          </cell>
          <cell r="R33">
            <v>1.1943093353023649E-2</v>
          </cell>
          <cell r="S33">
            <v>1.1965824523043216E-2</v>
          </cell>
          <cell r="T33">
            <v>1.1989443416710887E-2</v>
          </cell>
          <cell r="U33">
            <v>1.2013944530558682E-2</v>
          </cell>
          <cell r="W33">
            <v>1.5894825716270714E-2</v>
          </cell>
          <cell r="X33">
            <v>-4.5495077828380266E-3</v>
          </cell>
          <cell r="AD33">
            <v>0</v>
          </cell>
          <cell r="AE33">
            <v>0.01</v>
          </cell>
          <cell r="AF33">
            <v>0.02</v>
          </cell>
          <cell r="AG33">
            <v>0.03</v>
          </cell>
          <cell r="AH33">
            <v>0.04</v>
          </cell>
          <cell r="AI33">
            <v>0.04</v>
          </cell>
          <cell r="AJ33">
            <v>0.03</v>
          </cell>
          <cell r="AK33">
            <v>0.03</v>
          </cell>
          <cell r="AL33">
            <v>0.02</v>
          </cell>
          <cell r="AM33">
            <v>0.02</v>
          </cell>
          <cell r="AN33">
            <v>0.02</v>
          </cell>
          <cell r="AO33">
            <v>0.01</v>
          </cell>
          <cell r="AP33">
            <v>0.01</v>
          </cell>
          <cell r="AQ33">
            <v>0.01</v>
          </cell>
          <cell r="AR33">
            <v>0.03</v>
          </cell>
          <cell r="AS33">
            <v>0.05</v>
          </cell>
          <cell r="AT33">
            <v>7.0000000000000007E-2</v>
          </cell>
          <cell r="AU33">
            <v>0.09</v>
          </cell>
          <cell r="AV33">
            <v>0.06</v>
          </cell>
          <cell r="AW33">
            <v>0.05</v>
          </cell>
          <cell r="AX33">
            <v>0.02</v>
          </cell>
          <cell r="AY33">
            <v>0.01</v>
          </cell>
          <cell r="AZ33">
            <v>0.01</v>
          </cell>
          <cell r="BA33">
            <v>0</v>
          </cell>
          <cell r="BB33">
            <v>0</v>
          </cell>
          <cell r="BC33">
            <v>0</v>
          </cell>
          <cell r="BD33">
            <v>0.01</v>
          </cell>
          <cell r="BE33">
            <v>0.02</v>
          </cell>
          <cell r="BF33">
            <v>0.04</v>
          </cell>
          <cell r="BG33">
            <v>0.03</v>
          </cell>
          <cell r="BH33">
            <v>0.03</v>
          </cell>
          <cell r="BI33">
            <v>0.03</v>
          </cell>
          <cell r="BJ33">
            <v>1.7483870967741934E-2</v>
          </cell>
          <cell r="BK33">
            <v>1.3587236232629954E-2</v>
          </cell>
          <cell r="BL33">
            <v>8.7750294464075378E-3</v>
          </cell>
          <cell r="BM33">
            <v>1.4542857142857142E-2</v>
          </cell>
          <cell r="BN33">
            <v>1.0499943058877121E-2</v>
          </cell>
          <cell r="BO33">
            <v>1.2396173100188888E-2</v>
          </cell>
          <cell r="BP33">
            <v>1.364151568786994E-2</v>
          </cell>
          <cell r="BQ33">
            <v>8.4581571173905894E-3</v>
          </cell>
          <cell r="BR33">
            <v>3.6591391178688575E-3</v>
          </cell>
          <cell r="BS33" t="str">
            <v>US Simple Meals</v>
          </cell>
          <cell r="BT33">
            <v>4.9749758210101873E-3</v>
          </cell>
          <cell r="BU33">
            <v>8.379416443924665E-3</v>
          </cell>
          <cell r="BW33">
            <v>2.2242213400103461E-2</v>
          </cell>
          <cell r="BX33">
            <v>0.32642675390766995</v>
          </cell>
          <cell r="BY33">
            <v>0.30607051981097783</v>
          </cell>
          <cell r="BZ33">
            <v>0.21083242457288259</v>
          </cell>
          <cell r="CA33">
            <v>0.15667030170846966</v>
          </cell>
          <cell r="CB33">
            <v>1.4889156509221957E-2</v>
          </cell>
          <cell r="CC33">
            <v>1.9950979214197417E-2</v>
          </cell>
          <cell r="CD33">
            <v>2.4987804805501002E-2</v>
          </cell>
          <cell r="CE33">
            <v>2.8680332176352907E-2</v>
          </cell>
          <cell r="CF33">
            <v>2.1760663423489257E-2</v>
          </cell>
          <cell r="CG33">
            <v>1.9332271798455203E-2</v>
          </cell>
          <cell r="CH33">
            <v>2.2242213400103461E-2</v>
          </cell>
          <cell r="CI33">
            <v>1.3985894219554318E-2</v>
          </cell>
          <cell r="CJ33">
            <v>1.2991529611729558E-2</v>
          </cell>
          <cell r="CK33">
            <v>1.1205345039340786E-2</v>
          </cell>
          <cell r="CL33">
            <v>1.1495931791570602E-2</v>
          </cell>
        </row>
        <row r="34">
          <cell r="A34" t="str">
            <v>Promotional Spending</v>
          </cell>
          <cell r="B34">
            <v>0</v>
          </cell>
          <cell r="C34">
            <v>-0.01</v>
          </cell>
          <cell r="D34">
            <v>0</v>
          </cell>
          <cell r="E34">
            <v>-3.4700000000000009E-3</v>
          </cell>
          <cell r="F34">
            <v>-0.01</v>
          </cell>
          <cell r="G34">
            <v>0</v>
          </cell>
          <cell r="H34">
            <v>0</v>
          </cell>
          <cell r="I34">
            <v>-0.01</v>
          </cell>
          <cell r="J34">
            <v>-0.02</v>
          </cell>
          <cell r="K34">
            <v>-0.02</v>
          </cell>
          <cell r="L34">
            <v>-0.01</v>
          </cell>
          <cell r="M34">
            <v>-0.01</v>
          </cell>
          <cell r="N34">
            <v>-1.2001156794425087E-2</v>
          </cell>
          <cell r="O34">
            <v>-6.2205042225534028E-3</v>
          </cell>
          <cell r="P34">
            <v>-8.1529792933702832E-4</v>
          </cell>
          <cell r="Q34">
            <v>-8.0052011189917784E-4</v>
          </cell>
          <cell r="R34">
            <v>-7.9310089974137204E-4</v>
          </cell>
          <cell r="S34">
            <v>-7.840400167373093E-4</v>
          </cell>
          <cell r="T34">
            <v>-7.7338042588088996E-4</v>
          </cell>
          <cell r="U34">
            <v>-7.6117377295799955E-4</v>
          </cell>
          <cell r="W34">
            <v>0</v>
          </cell>
          <cell r="X34">
            <v>-6.2205042225534028E-3</v>
          </cell>
          <cell r="AD34">
            <v>-0.01</v>
          </cell>
          <cell r="AE34">
            <v>-0.01</v>
          </cell>
          <cell r="AF34">
            <v>0</v>
          </cell>
          <cell r="AG34">
            <v>0.01</v>
          </cell>
          <cell r="AH34">
            <v>-0.01</v>
          </cell>
          <cell r="AI34">
            <v>0</v>
          </cell>
          <cell r="AJ34">
            <v>0.01</v>
          </cell>
          <cell r="AK34">
            <v>-0.01</v>
          </cell>
          <cell r="AL34">
            <v>0.01</v>
          </cell>
          <cell r="AN34">
            <v>-0.01</v>
          </cell>
          <cell r="AP34">
            <v>-0.01</v>
          </cell>
          <cell r="AR34">
            <v>-0.01</v>
          </cell>
          <cell r="AS34">
            <v>-0.01</v>
          </cell>
          <cell r="AT34">
            <v>-0.02</v>
          </cell>
          <cell r="AU34">
            <v>-0.03</v>
          </cell>
          <cell r="AV34">
            <v>-0.01</v>
          </cell>
          <cell r="AW34">
            <v>-0.01</v>
          </cell>
          <cell r="AX34">
            <v>-0.01</v>
          </cell>
          <cell r="AY34">
            <v>-0.02</v>
          </cell>
          <cell r="AZ34">
            <v>-0.03</v>
          </cell>
          <cell r="BA34">
            <v>-0.02</v>
          </cell>
          <cell r="BB34">
            <v>-0.03</v>
          </cell>
          <cell r="BC34">
            <v>-0.02</v>
          </cell>
          <cell r="BD34">
            <v>0</v>
          </cell>
          <cell r="BE34">
            <v>0.01</v>
          </cell>
          <cell r="BF34">
            <v>-0.01</v>
          </cell>
          <cell r="BG34">
            <v>-0.01</v>
          </cell>
          <cell r="BH34">
            <v>-0.02</v>
          </cell>
          <cell r="BI34">
            <v>-0.03</v>
          </cell>
          <cell r="BJ34">
            <v>-1.1851116625310174E-2</v>
          </cell>
          <cell r="BK34">
            <v>-8.6670097786927438E-3</v>
          </cell>
          <cell r="BL34">
            <v>-1.4526501766784453E-2</v>
          </cell>
          <cell r="BM34">
            <v>-1.3642067149440424E-2</v>
          </cell>
          <cell r="BN34">
            <v>-1.3702311809588886E-2</v>
          </cell>
          <cell r="BO34">
            <v>-6.2904746484748345E-3</v>
          </cell>
          <cell r="BP34">
            <v>-4.1927039844392817E-3</v>
          </cell>
          <cell r="BQ34">
            <v>1.0838960979626781E-3</v>
          </cell>
          <cell r="BR34">
            <v>-9.1849964151581222E-3</v>
          </cell>
          <cell r="BS34" t="str">
            <v>B&amp;S</v>
          </cell>
          <cell r="BT34">
            <v>-3.5123430516592782E-3</v>
          </cell>
          <cell r="BU34">
            <v>-2.899321282466203E-3</v>
          </cell>
          <cell r="BW34">
            <v>-2.1855228064351029E-2</v>
          </cell>
          <cell r="BX34">
            <v>0.25046040515653778</v>
          </cell>
          <cell r="BY34">
            <v>0.24729666196520922</v>
          </cell>
          <cell r="BZ34">
            <v>0.29067843353557637</v>
          </cell>
          <cell r="CA34">
            <v>0.34785314250155569</v>
          </cell>
          <cell r="CB34">
            <v>-1.5012690437079868E-2</v>
          </cell>
          <cell r="CC34">
            <v>-1.005050633883342E-2</v>
          </cell>
          <cell r="CD34">
            <v>-1.0202040818430458E-2</v>
          </cell>
          <cell r="CE34">
            <v>-1.0925991373272992E-2</v>
          </cell>
          <cell r="CF34">
            <v>-9.3337290898138914E-3</v>
          </cell>
          <cell r="CG34">
            <v>-1.72670615734144E-2</v>
          </cell>
          <cell r="CH34">
            <v>-2.1855228064351029E-2</v>
          </cell>
          <cell r="CI34">
            <v>-1.2777148126932425E-2</v>
          </cell>
          <cell r="CJ34">
            <v>-7.4794535234430359E-3</v>
          </cell>
          <cell r="CK34">
            <v>-9.3730775056566351E-3</v>
          </cell>
          <cell r="CL34">
            <v>-6.306363930426051E-3</v>
          </cell>
        </row>
        <row r="35">
          <cell r="A35" t="str">
            <v>Currency</v>
          </cell>
          <cell r="B35">
            <v>-0.03</v>
          </cell>
          <cell r="C35">
            <v>0</v>
          </cell>
          <cell r="D35">
            <v>0.03</v>
          </cell>
          <cell r="E35">
            <v>0.04</v>
          </cell>
          <cell r="F35">
            <v>0.02</v>
          </cell>
          <cell r="G35">
            <v>0</v>
          </cell>
          <cell r="H35">
            <v>0</v>
          </cell>
          <cell r="I35">
            <v>0.04</v>
          </cell>
          <cell r="J35">
            <v>-0.04</v>
          </cell>
          <cell r="K35">
            <v>0.03</v>
          </cell>
          <cell r="L35">
            <v>0.02</v>
          </cell>
          <cell r="M35">
            <v>0</v>
          </cell>
          <cell r="N35">
            <v>-3.2506037798575782E-3</v>
          </cell>
          <cell r="O35">
            <v>-1.2222916046591183E-2</v>
          </cell>
          <cell r="P35">
            <v>0</v>
          </cell>
          <cell r="Q35">
            <v>0</v>
          </cell>
          <cell r="R35">
            <v>0</v>
          </cell>
          <cell r="S35">
            <v>0</v>
          </cell>
          <cell r="T35">
            <v>0</v>
          </cell>
          <cell r="U35">
            <v>0</v>
          </cell>
          <cell r="W35">
            <v>0</v>
          </cell>
          <cell r="X35">
            <v>-1.2222916046591183E-2</v>
          </cell>
          <cell r="AD35">
            <v>0.02</v>
          </cell>
          <cell r="AE35">
            <v>0.02</v>
          </cell>
          <cell r="AF35">
            <v>0.02</v>
          </cell>
          <cell r="AG35">
            <v>0.02</v>
          </cell>
          <cell r="AH35">
            <v>0.01</v>
          </cell>
          <cell r="AI35">
            <v>-0.02</v>
          </cell>
          <cell r="AJ35">
            <v>-0.02</v>
          </cell>
          <cell r="AK35">
            <v>0.01</v>
          </cell>
          <cell r="AL35">
            <v>0.01</v>
          </cell>
          <cell r="AM35">
            <v>0.01</v>
          </cell>
          <cell r="AN35">
            <v>0.02</v>
          </cell>
          <cell r="AO35">
            <v>0.03</v>
          </cell>
          <cell r="AP35">
            <v>0.03</v>
          </cell>
          <cell r="AQ35">
            <v>0.03</v>
          </cell>
          <cell r="AR35">
            <v>0.04</v>
          </cell>
          <cell r="AS35">
            <v>0.04</v>
          </cell>
          <cell r="AT35">
            <v>-0.01</v>
          </cell>
          <cell r="AU35">
            <v>-0.05</v>
          </cell>
          <cell r="AV35">
            <v>-0.06</v>
          </cell>
          <cell r="AW35">
            <v>-0.04</v>
          </cell>
          <cell r="AX35">
            <v>0.01</v>
          </cell>
          <cell r="AY35">
            <v>0.04</v>
          </cell>
          <cell r="AZ35">
            <v>0.05</v>
          </cell>
          <cell r="BA35">
            <v>0.01</v>
          </cell>
          <cell r="BB35">
            <v>0.01</v>
          </cell>
          <cell r="BC35">
            <v>0.01</v>
          </cell>
          <cell r="BD35">
            <v>0.02</v>
          </cell>
          <cell r="BE35">
            <v>4.8629776021080318E-2</v>
          </cell>
          <cell r="BF35">
            <v>-5.2283609576427206E-2</v>
          </cell>
          <cell r="BG35">
            <v>-7.6506817113305106E-2</v>
          </cell>
          <cell r="BH35">
            <v>-6.3430777716491971E-2</v>
          </cell>
          <cell r="BI35">
            <v>-0.03</v>
          </cell>
          <cell r="BJ35">
            <v>-3.1712158808932999E-3</v>
          </cell>
          <cell r="BK35">
            <v>3.9063304168811116E-3</v>
          </cell>
          <cell r="BL35">
            <v>-5.3003533568904597E-3</v>
          </cell>
          <cell r="BM35">
            <v>-1.0219277235337804E-2</v>
          </cell>
          <cell r="BN35">
            <v>-1.2923357248604942E-2</v>
          </cell>
          <cell r="BO35">
            <v>-1.6161556744336752E-2</v>
          </cell>
          <cell r="BP35">
            <v>-1.4452488713246026E-2</v>
          </cell>
          <cell r="BQ35">
            <v>-3.8197194040502955E-3</v>
          </cell>
          <cell r="BR35">
            <v>5.1775889802332183E-4</v>
          </cell>
          <cell r="BS35" t="str">
            <v>US Beverage</v>
          </cell>
          <cell r="BT35">
            <v>9.5653146507723849E-4</v>
          </cell>
          <cell r="BU35">
            <v>-5.0751620214492164E-4</v>
          </cell>
          <cell r="BX35">
            <v>0.27009222661396576</v>
          </cell>
          <cell r="BY35">
            <v>0.23715415019762845</v>
          </cell>
          <cell r="BZ35">
            <v>0.2608695652173913</v>
          </cell>
          <cell r="CA35">
            <v>0.2318840579710145</v>
          </cell>
        </row>
        <row r="36">
          <cell r="A36" t="str">
            <v>Acquisitions/Divestitures</v>
          </cell>
          <cell r="B36">
            <v>0.01</v>
          </cell>
          <cell r="C36">
            <v>0.04</v>
          </cell>
          <cell r="D36">
            <v>2.1550238872666817E-2</v>
          </cell>
          <cell r="E36">
            <v>0</v>
          </cell>
          <cell r="F36">
            <v>0</v>
          </cell>
          <cell r="G36">
            <v>0</v>
          </cell>
          <cell r="H36">
            <v>0</v>
          </cell>
          <cell r="I36">
            <v>-0.01</v>
          </cell>
          <cell r="J36">
            <v>-0.02</v>
          </cell>
          <cell r="L36">
            <v>0</v>
          </cell>
          <cell r="M36">
            <v>0</v>
          </cell>
          <cell r="N36">
            <v>0.10716461324041812</v>
          </cell>
          <cell r="O36">
            <v>3.6909224655126291E-2</v>
          </cell>
          <cell r="P36">
            <v>0</v>
          </cell>
          <cell r="Q36">
            <v>0</v>
          </cell>
          <cell r="R36">
            <v>0</v>
          </cell>
          <cell r="S36">
            <v>0</v>
          </cell>
          <cell r="T36">
            <v>0</v>
          </cell>
          <cell r="U36">
            <v>0</v>
          </cell>
          <cell r="W36">
            <v>0</v>
          </cell>
          <cell r="X36">
            <v>3.6909224655126291E-2</v>
          </cell>
          <cell r="AS36">
            <v>-0.02</v>
          </cell>
          <cell r="AT36">
            <v>-0.02</v>
          </cell>
          <cell r="AU36">
            <v>-0.02</v>
          </cell>
          <cell r="AV36">
            <v>-0.03</v>
          </cell>
          <cell r="AW36">
            <v>-0.02</v>
          </cell>
          <cell r="AX36">
            <v>0</v>
          </cell>
          <cell r="AY36">
            <v>0</v>
          </cell>
          <cell r="AZ36">
            <v>0</v>
          </cell>
          <cell r="BA36">
            <v>0</v>
          </cell>
          <cell r="BC36">
            <v>0</v>
          </cell>
          <cell r="BD36">
            <v>0</v>
          </cell>
          <cell r="BF36">
            <v>0</v>
          </cell>
          <cell r="BG36">
            <v>0</v>
          </cell>
          <cell r="BH36">
            <v>0</v>
          </cell>
          <cell r="BI36">
            <v>0</v>
          </cell>
          <cell r="BJ36">
            <v>8.4416873449131513E-2</v>
          </cell>
          <cell r="BK36">
            <v>0.10034534225424602</v>
          </cell>
          <cell r="BL36">
            <v>0.12073027090694935</v>
          </cell>
          <cell r="BM36">
            <v>0.13089868334430546</v>
          </cell>
          <cell r="BN36">
            <v>3.5340849561553353E-2</v>
          </cell>
          <cell r="BO36">
            <v>2.6448864804338175E-2</v>
          </cell>
          <cell r="BP36">
            <v>4.1244837162178971E-2</v>
          </cell>
          <cell r="BQ36">
            <v>4.7006937446683529E-2</v>
          </cell>
          <cell r="BR36">
            <v>0</v>
          </cell>
          <cell r="BS36" t="str">
            <v>International</v>
          </cell>
          <cell r="BT36">
            <v>0</v>
          </cell>
          <cell r="BU36">
            <v>0</v>
          </cell>
          <cell r="BX36">
            <v>0.17127071823204421</v>
          </cell>
          <cell r="BY36">
            <v>0.19793135872120357</v>
          </cell>
          <cell r="BZ36">
            <v>0.19525648097076667</v>
          </cell>
          <cell r="CA36">
            <v>0.19663970130678282</v>
          </cell>
        </row>
        <row r="37">
          <cell r="A37" t="str">
            <v>53rd week</v>
          </cell>
          <cell r="D37">
            <v>1.4999999999999999E-2</v>
          </cell>
          <cell r="E37">
            <v>-0.02</v>
          </cell>
          <cell r="F37">
            <v>0</v>
          </cell>
          <cell r="G37">
            <v>0</v>
          </cell>
          <cell r="H37">
            <v>0</v>
          </cell>
          <cell r="I37">
            <v>0.02</v>
          </cell>
          <cell r="J37">
            <v>-0.02</v>
          </cell>
          <cell r="L37">
            <v>0</v>
          </cell>
          <cell r="M37">
            <v>0</v>
          </cell>
          <cell r="N37">
            <v>0</v>
          </cell>
          <cell r="O37">
            <v>1.6460315640643507E-2</v>
          </cell>
          <cell r="P37">
            <v>-1.5884020939196952E-2</v>
          </cell>
          <cell r="Q37">
            <v>1.6189095453382669E-3</v>
          </cell>
          <cell r="R37">
            <v>1.6544125633643164E-3</v>
          </cell>
          <cell r="S37">
            <v>1.6911916893753791E-3</v>
          </cell>
          <cell r="T37">
            <v>1.7292742115732201E-3</v>
          </cell>
          <cell r="U37">
            <v>1.7686834690008773E-3</v>
          </cell>
          <cell r="W37">
            <v>0</v>
          </cell>
          <cell r="X37">
            <v>1.6460315640643507E-2</v>
          </cell>
          <cell r="AS37">
            <v>0.08</v>
          </cell>
          <cell r="AW37">
            <v>-7.0000000000000007E-2</v>
          </cell>
          <cell r="BJ37">
            <v>0</v>
          </cell>
          <cell r="BK37">
            <v>0</v>
          </cell>
          <cell r="BL37">
            <v>0</v>
          </cell>
          <cell r="BM37">
            <v>0</v>
          </cell>
          <cell r="BN37">
            <v>0</v>
          </cell>
          <cell r="BO37">
            <v>0</v>
          </cell>
          <cell r="BP37">
            <v>0</v>
          </cell>
          <cell r="BQ37">
            <v>6.6221309355709829E-2</v>
          </cell>
          <cell r="BR37">
            <v>0</v>
          </cell>
          <cell r="BS37" t="str">
            <v>NA Foodsvc</v>
          </cell>
          <cell r="BT37">
            <v>0</v>
          </cell>
          <cell r="BU37">
            <v>-6.7748013877813595E-2</v>
          </cell>
          <cell r="BX37">
            <v>7.0441988950276244E-2</v>
          </cell>
          <cell r="BY37">
            <v>7.4283027738598961E-2</v>
          </cell>
          <cell r="BZ37">
            <v>8.4942084942084939E-2</v>
          </cell>
          <cell r="CA37">
            <v>7.7784691972619793E-2</v>
          </cell>
        </row>
        <row r="38">
          <cell r="A38" t="str">
            <v>CPB Organic Sales Growth</v>
          </cell>
          <cell r="B38">
            <v>0.05</v>
          </cell>
          <cell r="C38">
            <v>1.9999999999999997E-2</v>
          </cell>
          <cell r="D38">
            <v>0.04</v>
          </cell>
          <cell r="E38">
            <v>3.653E-2</v>
          </cell>
          <cell r="F38">
            <v>0.04</v>
          </cell>
          <cell r="G38">
            <v>0.03</v>
          </cell>
          <cell r="H38">
            <v>0.04</v>
          </cell>
          <cell r="I38">
            <v>0.03</v>
          </cell>
          <cell r="J38">
            <v>3.0000000000000002E-2</v>
          </cell>
          <cell r="K38">
            <v>-0.02</v>
          </cell>
          <cell r="L38">
            <v>-0.01</v>
          </cell>
          <cell r="M38">
            <v>0</v>
          </cell>
          <cell r="N38">
            <v>1.8786703832752615E-2</v>
          </cell>
          <cell r="O38">
            <v>-4.9511922503725804E-3</v>
          </cell>
          <cell r="P38">
            <v>3.1837914386594252E-2</v>
          </cell>
          <cell r="Q38">
            <v>1.9848035588815663E-2</v>
          </cell>
          <cell r="R38">
            <v>1.9512034553283316E-2</v>
          </cell>
          <cell r="S38">
            <v>1.9188404474682941E-2</v>
          </cell>
          <cell r="T38">
            <v>1.8879508429995841E-2</v>
          </cell>
          <cell r="U38">
            <v>1.8587587585895508E-2</v>
          </cell>
          <cell r="W38">
            <v>2.8130147630950307E-2</v>
          </cell>
          <cell r="X38">
            <v>-3.3081339881322891E-2</v>
          </cell>
          <cell r="AD38">
            <v>0.08</v>
          </cell>
          <cell r="AE38">
            <v>5.9999999999999991E-2</v>
          </cell>
          <cell r="AF38">
            <v>0.02</v>
          </cell>
          <cell r="AG38">
            <v>0.03</v>
          </cell>
          <cell r="AH38">
            <v>0</v>
          </cell>
          <cell r="AI38">
            <v>0.05</v>
          </cell>
          <cell r="AJ38">
            <v>0.08</v>
          </cell>
          <cell r="AK38">
            <v>0.03</v>
          </cell>
          <cell r="AL38">
            <v>6.9999999999999993E-2</v>
          </cell>
          <cell r="AM38">
            <v>0.03</v>
          </cell>
          <cell r="AN38">
            <v>6.0000000000000005E-2</v>
          </cell>
          <cell r="AO38">
            <v>6.9999999999999993E-2</v>
          </cell>
          <cell r="AP38">
            <v>0.04</v>
          </cell>
          <cell r="AQ38">
            <v>0.04</v>
          </cell>
          <cell r="AR38">
            <v>0.03</v>
          </cell>
          <cell r="AS38">
            <v>0.03</v>
          </cell>
          <cell r="AT38">
            <v>0.06</v>
          </cell>
          <cell r="AU38">
            <v>0.03</v>
          </cell>
          <cell r="AV38">
            <v>-0.01</v>
          </cell>
          <cell r="AW38">
            <v>2.0000000000000004E-2</v>
          </cell>
          <cell r="AX38">
            <v>-0.03</v>
          </cell>
          <cell r="AY38">
            <v>-0.03</v>
          </cell>
          <cell r="AZ38">
            <v>2.0000000000000004E-2</v>
          </cell>
          <cell r="BA38">
            <v>-0.02</v>
          </cell>
          <cell r="BB38">
            <v>-1.9999999999999997E-2</v>
          </cell>
          <cell r="BC38">
            <v>-0.02</v>
          </cell>
          <cell r="BD38">
            <v>-0.01</v>
          </cell>
          <cell r="BE38">
            <v>0.01</v>
          </cell>
          <cell r="BF38">
            <v>-2.0000000000000004E-2</v>
          </cell>
          <cell r="BG38">
            <v>-0.01</v>
          </cell>
          <cell r="BH38">
            <v>8.2735797021511459E-3</v>
          </cell>
          <cell r="BI38">
            <v>0.03</v>
          </cell>
          <cell r="BJ38">
            <v>8.2084367245657541E-3</v>
          </cell>
          <cell r="BK38">
            <v>9.8919197117858983E-3</v>
          </cell>
          <cell r="BL38">
            <v>4.4810954063604247E-2</v>
          </cell>
          <cell r="BM38">
            <v>1.5105727452271232E-2</v>
          </cell>
          <cell r="BN38">
            <v>-4.1430361006719041E-2</v>
          </cell>
          <cell r="BO38">
            <v>2.117188759509623E-2</v>
          </cell>
          <cell r="BP38">
            <v>-1.0875143204190269E-2</v>
          </cell>
          <cell r="BQ38">
            <v>1.546174885625853E-2</v>
          </cell>
          <cell r="BR38">
            <v>2.1643715010643071E-2</v>
          </cell>
          <cell r="BS38">
            <v>-9.2544270734057476E-3</v>
          </cell>
          <cell r="BT38">
            <v>-1.2753752867696523E-3</v>
          </cell>
          <cell r="BU38">
            <v>1.3543663756175918E-2</v>
          </cell>
          <cell r="BW38">
            <v>2.2525745043047385E-2</v>
          </cell>
          <cell r="BX38">
            <v>-1.6924215931931719E-2</v>
          </cell>
          <cell r="BY38">
            <v>1.8029970539739093E-2</v>
          </cell>
          <cell r="BZ38">
            <v>2.4466179407370392E-2</v>
          </cell>
          <cell r="CA38">
            <v>-2.2343788878874671E-3</v>
          </cell>
          <cell r="CB38">
            <v>-1.0395711873929625E-2</v>
          </cell>
          <cell r="CC38">
            <v>8.3334748577381657E-3</v>
          </cell>
          <cell r="CD38">
            <v>1.616905573345484E-3</v>
          </cell>
          <cell r="CE38">
            <v>-5.9958410599709744E-3</v>
          </cell>
          <cell r="CF38">
            <v>-1.0350509931877916E-4</v>
          </cell>
          <cell r="CG38">
            <v>2.6379696197138314E-2</v>
          </cell>
          <cell r="CH38">
            <v>2.2525745043047385E-2</v>
          </cell>
        </row>
        <row r="39">
          <cell r="A39" t="str">
            <v>Total CPB Sales Growth</v>
          </cell>
          <cell r="B39" t="str">
            <v>NM</v>
          </cell>
          <cell r="C39">
            <v>6.2727430254721828E-2</v>
          </cell>
          <cell r="D39">
            <v>8.8863525191586579E-2</v>
          </cell>
          <cell r="E39">
            <v>6.4540281521413556E-2</v>
          </cell>
          <cell r="F39">
            <v>6.1752707835138532E-2</v>
          </cell>
          <cell r="G39">
            <v>1.7620561738208806E-2</v>
          </cell>
          <cell r="H39">
            <v>2.4736362452805638E-2</v>
          </cell>
          <cell r="I39">
            <v>8.3006093432633765E-2</v>
          </cell>
          <cell r="J39">
            <v>-5.1512878219554858E-2</v>
          </cell>
          <cell r="K39">
            <v>1.1863959926179835E-2</v>
          </cell>
          <cell r="L39">
            <v>5.6018759770712911E-3</v>
          </cell>
          <cell r="M39">
            <v>-1.7347234759768071E-18</v>
          </cell>
          <cell r="N39">
            <v>0.12270071329331315</v>
          </cell>
          <cell r="O39">
            <v>3.6195431998806038E-2</v>
          </cell>
          <cell r="P39">
            <v>1.59538934473973E-2</v>
          </cell>
          <cell r="Q39">
            <v>2.1466945134153929E-2</v>
          </cell>
          <cell r="R39">
            <v>2.1166447116647634E-2</v>
          </cell>
          <cell r="S39">
            <v>2.0879596164058319E-2</v>
          </cell>
          <cell r="T39">
            <v>2.0608782641569061E-2</v>
          </cell>
          <cell r="U39">
            <v>2.0356271054896385E-2</v>
          </cell>
          <cell r="W39">
            <v>2.8130147630950307E-2</v>
          </cell>
          <cell r="X39">
            <v>8.0652843678557309E-3</v>
          </cell>
          <cell r="AD39">
            <v>0.1</v>
          </cell>
          <cell r="AE39">
            <v>0.08</v>
          </cell>
          <cell r="AF39">
            <v>0.04</v>
          </cell>
          <cell r="AG39">
            <v>0.05</v>
          </cell>
          <cell r="AH39">
            <v>0.01</v>
          </cell>
          <cell r="AI39">
            <v>0.03</v>
          </cell>
          <cell r="AJ39">
            <v>0.06</v>
          </cell>
          <cell r="AK39">
            <v>0.04</v>
          </cell>
          <cell r="AL39">
            <v>0.08</v>
          </cell>
          <cell r="AM39">
            <v>0.04</v>
          </cell>
          <cell r="AN39">
            <v>0.08</v>
          </cell>
          <cell r="AO39">
            <v>0.1</v>
          </cell>
          <cell r="AP39">
            <v>7.0000000000000007E-2</v>
          </cell>
          <cell r="AQ39">
            <v>7.0000000000000007E-2</v>
          </cell>
          <cell r="AR39">
            <v>7.0000000000000007E-2</v>
          </cell>
          <cell r="AS39">
            <v>0.13</v>
          </cell>
          <cell r="AT39">
            <v>0.03</v>
          </cell>
          <cell r="AU39">
            <v>-0.04</v>
          </cell>
          <cell r="AV39">
            <v>-0.1</v>
          </cell>
          <cell r="AW39">
            <v>-0.11</v>
          </cell>
          <cell r="AX39">
            <v>-1.9999999999999997E-2</v>
          </cell>
          <cell r="AY39">
            <v>1.4608859566446641E-2</v>
          </cell>
          <cell r="AZ39">
            <v>6.8801897983392646E-2</v>
          </cell>
          <cell r="BA39">
            <v>-6.5445026178010401E-3</v>
          </cell>
          <cell r="BB39">
            <v>-1.4071720381298225E-2</v>
          </cell>
          <cell r="BC39">
            <v>-1.207617278216444E-2</v>
          </cell>
          <cell r="BD39">
            <v>6.1043285238624456E-3</v>
          </cell>
          <cell r="BE39">
            <v>5.8629776021080326E-2</v>
          </cell>
          <cell r="BF39">
            <v>-7.228360957642721E-2</v>
          </cell>
          <cell r="BG39">
            <v>-8.6506817113305101E-2</v>
          </cell>
          <cell r="BH39">
            <v>-6.3430777716491971E-2</v>
          </cell>
          <cell r="BI39">
            <v>0</v>
          </cell>
          <cell r="BJ39">
            <v>8.9454094292803973E-2</v>
          </cell>
          <cell r="BK39">
            <v>0.11414359238291302</v>
          </cell>
          <cell r="BL39">
            <v>0.16024087161366313</v>
          </cell>
          <cell r="BM39">
            <v>0.13578513356123889</v>
          </cell>
          <cell r="BN39">
            <v>-1.9012868693770626E-2</v>
          </cell>
          <cell r="BO39">
            <v>3.1459195655097652E-2</v>
          </cell>
          <cell r="BP39">
            <v>1.5917205244742674E-2</v>
          </cell>
          <cell r="BQ39">
            <v>0.12487027625460159</v>
          </cell>
          <cell r="BR39">
            <v>2.2161473908666393E-2</v>
          </cell>
          <cell r="BS39">
            <v>-8.7877620718348603E-3</v>
          </cell>
          <cell r="BT39">
            <v>-3.1884382169241384E-4</v>
          </cell>
          <cell r="BU39">
            <v>-5.4711866323782596E-2</v>
          </cell>
        </row>
        <row r="40">
          <cell r="A40" t="str">
            <v>2-yr organic</v>
          </cell>
          <cell r="L40">
            <v>-1.5012690437079868E-2</v>
          </cell>
          <cell r="M40">
            <v>-5.0125628933800348E-3</v>
          </cell>
          <cell r="N40">
            <v>9.3496439949600774E-3</v>
          </cell>
          <cell r="O40">
            <v>5.6751001309898186E-3</v>
          </cell>
          <cell r="P40">
            <v>-7.4919745122647985E-4</v>
          </cell>
          <cell r="Q40">
            <v>9.6143391257623723E-3</v>
          </cell>
          <cell r="R40">
            <v>1.6708593846232356E-2</v>
          </cell>
          <cell r="S40">
            <v>2.0025095195584708E-2</v>
          </cell>
          <cell r="T40">
            <v>2.0081490265351665E-2</v>
          </cell>
          <cell r="U40">
            <v>2.0137910535906967E-2</v>
          </cell>
          <cell r="AX40">
            <v>1.4001972384669381E-2</v>
          </cell>
          <cell r="AY40">
            <v>-4.5010129558820111E-4</v>
          </cell>
          <cell r="AZ40">
            <v>4.8880534666535524E-3</v>
          </cell>
          <cell r="BA40">
            <v>-2.0002000400098918E-4</v>
          </cell>
          <cell r="BB40">
            <v>-2.5012820597111629E-2</v>
          </cell>
          <cell r="BC40">
            <v>-2.5012820597111629E-2</v>
          </cell>
          <cell r="BD40">
            <v>4.8880534666535524E-3</v>
          </cell>
          <cell r="BE40">
            <v>-5.1130717513673263E-3</v>
          </cell>
          <cell r="BF40">
            <v>-2.0000000000000018E-2</v>
          </cell>
          <cell r="BG40">
            <v>-1.5012690437079868E-2</v>
          </cell>
          <cell r="BH40">
            <v>-9.0498754866685793E-4</v>
          </cell>
          <cell r="BI40">
            <v>1.9950979214197417E-2</v>
          </cell>
          <cell r="BJ40">
            <v>-5.9958410599709744E-3</v>
          </cell>
          <cell r="BK40">
            <v>-1.0350509931877916E-4</v>
          </cell>
          <cell r="BL40">
            <v>2.6379696197138314E-2</v>
          </cell>
          <cell r="BM40">
            <v>2.2525745043047385E-2</v>
          </cell>
          <cell r="BN40">
            <v>-1.6924215931931719E-2</v>
          </cell>
          <cell r="BO40">
            <v>1.5516242075487297E-2</v>
          </cell>
          <cell r="BP40">
            <v>1.6586683621645504E-2</v>
          </cell>
          <cell r="BQ40">
            <v>1.528372254886845E-2</v>
          </cell>
          <cell r="BR40">
            <v>-1.0395711873929625E-2</v>
          </cell>
          <cell r="BS40">
            <v>8.3334748577381657E-3</v>
          </cell>
          <cell r="BT40">
            <v>1.616905573345484E-3</v>
          </cell>
          <cell r="BU40">
            <v>-3.0023646572817642E-3</v>
          </cell>
        </row>
        <row r="42">
          <cell r="A42" t="str">
            <v>US Soups, Sauces, and Beverages</v>
          </cell>
          <cell r="B42">
            <v>2001</v>
          </cell>
          <cell r="C42">
            <v>2002</v>
          </cell>
          <cell r="D42">
            <v>2003</v>
          </cell>
          <cell r="E42">
            <v>2004</v>
          </cell>
          <cell r="F42">
            <v>2005</v>
          </cell>
          <cell r="G42">
            <v>2006</v>
          </cell>
          <cell r="H42">
            <v>2007</v>
          </cell>
          <cell r="I42">
            <v>2008</v>
          </cell>
          <cell r="J42" t="str">
            <v>2009</v>
          </cell>
          <cell r="K42">
            <v>2010</v>
          </cell>
          <cell r="L42">
            <v>2011</v>
          </cell>
          <cell r="M42">
            <v>2012</v>
          </cell>
          <cell r="N42">
            <v>2013</v>
          </cell>
          <cell r="O42" t="str">
            <v>2014E</v>
          </cell>
          <cell r="P42" t="str">
            <v>2015E</v>
          </cell>
          <cell r="Q42" t="str">
            <v>2016E</v>
          </cell>
          <cell r="R42" t="str">
            <v>2017E</v>
          </cell>
          <cell r="S42" t="str">
            <v>2018E</v>
          </cell>
          <cell r="T42" t="str">
            <v>2019E</v>
          </cell>
          <cell r="U42" t="str">
            <v>2020E</v>
          </cell>
          <cell r="W42" t="str">
            <v>2014E</v>
          </cell>
          <cell r="AD42" t="str">
            <v>1Q05</v>
          </cell>
          <cell r="AE42" t="str">
            <v>2Q05</v>
          </cell>
          <cell r="AF42" t="str">
            <v>3Q05</v>
          </cell>
          <cell r="AG42" t="str">
            <v>4Q05</v>
          </cell>
          <cell r="AH42" t="str">
            <v>1Q06</v>
          </cell>
          <cell r="AI42" t="str">
            <v>2Q06</v>
          </cell>
          <cell r="AJ42" t="str">
            <v>3Q06</v>
          </cell>
          <cell r="AK42" t="str">
            <v>4Q06</v>
          </cell>
          <cell r="AL42" t="str">
            <v>1Q07</v>
          </cell>
          <cell r="AM42" t="str">
            <v>2Q07</v>
          </cell>
          <cell r="AN42" t="str">
            <v>3Q07</v>
          </cell>
          <cell r="AO42" t="str">
            <v>4Q07</v>
          </cell>
          <cell r="AP42" t="str">
            <v>1Q08</v>
          </cell>
          <cell r="AQ42" t="str">
            <v>2Q08</v>
          </cell>
          <cell r="AR42" t="str">
            <v>3Q08</v>
          </cell>
          <cell r="AS42" t="str">
            <v>4Q08</v>
          </cell>
          <cell r="AT42" t="str">
            <v>1Q09</v>
          </cell>
          <cell r="AU42" t="str">
            <v>2Q09</v>
          </cell>
          <cell r="AV42" t="str">
            <v>3Q09</v>
          </cell>
          <cell r="AW42" t="str">
            <v>4Q09</v>
          </cell>
          <cell r="AX42" t="str">
            <v>1Q10</v>
          </cell>
          <cell r="AY42" t="str">
            <v>2Q10</v>
          </cell>
          <cell r="AZ42" t="str">
            <v>3Q10</v>
          </cell>
          <cell r="BA42" t="str">
            <v>4Q10</v>
          </cell>
          <cell r="BB42" t="str">
            <v>1Q11</v>
          </cell>
          <cell r="BC42" t="str">
            <v>2Q11</v>
          </cell>
          <cell r="BD42" t="str">
            <v>3Q11</v>
          </cell>
          <cell r="BE42" t="str">
            <v>4Q11</v>
          </cell>
          <cell r="BF42" t="str">
            <v>1Q12</v>
          </cell>
          <cell r="BG42" t="str">
            <v>2Q12</v>
          </cell>
          <cell r="BH42" t="str">
            <v>3Q12</v>
          </cell>
          <cell r="BI42" t="str">
            <v>4Q12</v>
          </cell>
          <cell r="BJ42" t="str">
            <v>1Q13</v>
          </cell>
          <cell r="BK42" t="str">
            <v>2Q13</v>
          </cell>
          <cell r="BL42" t="str">
            <v>3Q13</v>
          </cell>
          <cell r="BM42" t="str">
            <v>4Q13</v>
          </cell>
          <cell r="BN42" t="str">
            <v>1Q14</v>
          </cell>
          <cell r="BO42" t="str">
            <v>2Q14E</v>
          </cell>
          <cell r="BP42" t="str">
            <v>3Q14E</v>
          </cell>
          <cell r="BQ42" t="str">
            <v>4Q14E</v>
          </cell>
        </row>
        <row r="43">
          <cell r="A43" t="str">
            <v>Volume and Mix</v>
          </cell>
          <cell r="B43">
            <v>0.06</v>
          </cell>
          <cell r="C43">
            <v>0.01</v>
          </cell>
          <cell r="D43">
            <v>0.01</v>
          </cell>
          <cell r="E43">
            <v>0.01</v>
          </cell>
          <cell r="F43">
            <v>0.02</v>
          </cell>
          <cell r="G43">
            <v>-0.01</v>
          </cell>
          <cell r="H43">
            <v>0.05</v>
          </cell>
          <cell r="I43">
            <v>0.03</v>
          </cell>
          <cell r="J43">
            <v>-0.02</v>
          </cell>
          <cell r="K43">
            <v>-0.01</v>
          </cell>
          <cell r="L43">
            <v>-3.5583783783783789E-2</v>
          </cell>
          <cell r="M43">
            <v>-2.4863247863247867E-2</v>
          </cell>
          <cell r="N43">
            <v>1.8063514285714288E-2</v>
          </cell>
          <cell r="O43">
            <v>-3.0165692007797274E-2</v>
          </cell>
          <cell r="P43">
            <v>2.5000000000000001E-2</v>
          </cell>
          <cell r="Q43">
            <v>5.9812783855042123E-3</v>
          </cell>
          <cell r="R43">
            <v>6.0033725435385725E-3</v>
          </cell>
          <cell r="S43">
            <v>6.0258410374963919E-3</v>
          </cell>
          <cell r="T43">
            <v>6.0486844995252705E-3</v>
          </cell>
          <cell r="U43">
            <v>6.071903284727646E-3</v>
          </cell>
          <cell r="W43">
            <v>1.1074764155097949E-2</v>
          </cell>
          <cell r="X43">
            <v>-4.124045616289522E-2</v>
          </cell>
          <cell r="AD43">
            <v>0.13</v>
          </cell>
          <cell r="AE43">
            <v>0.03</v>
          </cell>
          <cell r="AF43">
            <v>-0.06</v>
          </cell>
          <cell r="AG43">
            <v>-0.05</v>
          </cell>
          <cell r="AH43">
            <v>-7.0000000000000007E-2</v>
          </cell>
          <cell r="AI43">
            <v>-0.01</v>
          </cell>
          <cell r="AJ43">
            <v>0.08</v>
          </cell>
          <cell r="AK43">
            <v>0.01</v>
          </cell>
          <cell r="AL43">
            <v>0.04</v>
          </cell>
          <cell r="AM43">
            <v>-0.02</v>
          </cell>
          <cell r="AN43">
            <v>0.11</v>
          </cell>
          <cell r="AO43">
            <v>0.08</v>
          </cell>
          <cell r="AP43">
            <v>0.06</v>
          </cell>
          <cell r="AQ43">
            <v>0.06</v>
          </cell>
          <cell r="AR43">
            <v>-0.01</v>
          </cell>
          <cell r="AS43">
            <v>0</v>
          </cell>
          <cell r="AT43">
            <v>0.04</v>
          </cell>
          <cell r="AU43">
            <v>-0.03</v>
          </cell>
          <cell r="AV43">
            <v>-7.0000000000000007E-2</v>
          </cell>
          <cell r="AW43">
            <v>-0.01</v>
          </cell>
          <cell r="AX43">
            <v>-0.06</v>
          </cell>
          <cell r="AY43">
            <v>-0.04</v>
          </cell>
          <cell r="AZ43">
            <v>0.08</v>
          </cell>
          <cell r="BA43">
            <v>0.01</v>
          </cell>
          <cell r="BB43">
            <v>0</v>
          </cell>
          <cell r="BC43">
            <v>-0.01</v>
          </cell>
          <cell r="BD43">
            <v>-8.2547169811320709E-2</v>
          </cell>
          <cell r="BE43">
            <v>-7.1521739130434775E-2</v>
          </cell>
          <cell r="BF43">
            <v>-5.5131459655485049E-2</v>
          </cell>
          <cell r="BG43">
            <v>-3.7671232876712327E-2</v>
          </cell>
          <cell r="BH43">
            <v>-1.9460154241645242E-2</v>
          </cell>
          <cell r="BI43">
            <v>3.7100494233937402E-2</v>
          </cell>
          <cell r="BJ43">
            <v>7.6492537313432862E-4</v>
          </cell>
          <cell r="BK43">
            <v>-1.3699307616221564E-2</v>
          </cell>
          <cell r="BL43">
            <v>7.7993548387096781E-2</v>
          </cell>
          <cell r="BM43">
            <v>2.4621962616822431E-2</v>
          </cell>
          <cell r="BN43">
            <v>-6.5225806451612897E-2</v>
          </cell>
          <cell r="BO43">
            <v>2.5655172413793104E-2</v>
          </cell>
          <cell r="BP43">
            <v>-6.5200000000000008E-2</v>
          </cell>
          <cell r="BQ43">
            <v>-1.4722222222222222E-2</v>
          </cell>
          <cell r="BR43">
            <v>3.3276863504356234E-2</v>
          </cell>
          <cell r="BS43">
            <v>-2.2467289719626169E-2</v>
          </cell>
          <cell r="BT43">
            <v>-2.2204176334106727E-2</v>
          </cell>
          <cell r="BU43">
            <v>2.6139601139601202E-3</v>
          </cell>
        </row>
        <row r="44">
          <cell r="A44" t="str">
            <v>Price and Sales Allowances</v>
          </cell>
          <cell r="B44">
            <v>0</v>
          </cell>
          <cell r="C44">
            <v>0</v>
          </cell>
          <cell r="D44">
            <v>0.01</v>
          </cell>
          <cell r="E44">
            <v>0.03</v>
          </cell>
          <cell r="F44">
            <v>0.01</v>
          </cell>
          <cell r="G44">
            <v>0.06</v>
          </cell>
          <cell r="H44">
            <v>0.02</v>
          </cell>
          <cell r="I44">
            <v>0.02</v>
          </cell>
          <cell r="J44">
            <v>0.08</v>
          </cell>
          <cell r="K44">
            <v>0.01</v>
          </cell>
          <cell r="L44">
            <v>0</v>
          </cell>
          <cell r="M44">
            <v>2.3512820512820512E-2</v>
          </cell>
          <cell r="N44">
            <v>1.388017142857143E-2</v>
          </cell>
          <cell r="O44">
            <v>1.6900584795321638E-2</v>
          </cell>
          <cell r="P44">
            <v>1.5000000000000001E-2</v>
          </cell>
          <cell r="Q44">
            <v>1.0981278385504212E-2</v>
          </cell>
          <cell r="R44">
            <v>1.1003372543538573E-2</v>
          </cell>
          <cell r="S44">
            <v>1.1025841037496391E-2</v>
          </cell>
          <cell r="T44">
            <v>1.104868449952527E-2</v>
          </cell>
          <cell r="U44">
            <v>1.1071903284727645E-2</v>
          </cell>
          <cell r="W44">
            <v>1.3925235844902052E-2</v>
          </cell>
          <cell r="X44">
            <v>2.975348950419586E-3</v>
          </cell>
          <cell r="AD44">
            <v>-0.02</v>
          </cell>
          <cell r="AE44">
            <v>0</v>
          </cell>
          <cell r="AF44">
            <v>0.02</v>
          </cell>
          <cell r="AG44">
            <v>0.05</v>
          </cell>
          <cell r="AH44">
            <v>0.05</v>
          </cell>
          <cell r="AI44">
            <v>0.06</v>
          </cell>
          <cell r="AJ44">
            <v>0.06</v>
          </cell>
          <cell r="AK44">
            <v>0.04</v>
          </cell>
          <cell r="AL44">
            <v>0.03</v>
          </cell>
          <cell r="AM44">
            <v>0.03</v>
          </cell>
          <cell r="AN44">
            <v>0.02</v>
          </cell>
          <cell r="AO44">
            <v>0.01</v>
          </cell>
          <cell r="AP44">
            <v>0</v>
          </cell>
          <cell r="AQ44">
            <v>0.01</v>
          </cell>
          <cell r="AR44">
            <v>0.02</v>
          </cell>
          <cell r="AS44">
            <v>0.05</v>
          </cell>
          <cell r="AT44">
            <v>0.08</v>
          </cell>
          <cell r="AU44">
            <v>0.1</v>
          </cell>
          <cell r="AV44">
            <v>0.05</v>
          </cell>
          <cell r="AW44">
            <v>0.05</v>
          </cell>
          <cell r="AX44">
            <v>0.02</v>
          </cell>
          <cell r="AY44">
            <v>0.01</v>
          </cell>
          <cell r="AZ44">
            <v>0.01</v>
          </cell>
          <cell r="BA44">
            <v>0.01</v>
          </cell>
          <cell r="BB44">
            <v>0</v>
          </cell>
          <cell r="BC44">
            <v>0</v>
          </cell>
          <cell r="BD44">
            <v>0</v>
          </cell>
          <cell r="BE44">
            <v>-2.7484472049689439E-3</v>
          </cell>
          <cell r="BF44">
            <v>4.0707162284678154E-2</v>
          </cell>
          <cell r="BG44">
            <v>2.6477495107632094E-2</v>
          </cell>
          <cell r="BH44">
            <v>2.9820051413881749E-2</v>
          </cell>
          <cell r="BI44">
            <v>2.1301482701812192E-2</v>
          </cell>
          <cell r="BJ44">
            <v>1.630597014925373E-2</v>
          </cell>
          <cell r="BK44">
            <v>1.6300692383778438E-2</v>
          </cell>
          <cell r="BL44">
            <v>9.3032258064516121E-3</v>
          </cell>
          <cell r="BM44">
            <v>1.1542990654205608E-2</v>
          </cell>
          <cell r="BN44">
            <v>1.4774193548387098E-2</v>
          </cell>
          <cell r="BO44">
            <v>1.6413793103448277E-2</v>
          </cell>
          <cell r="BP44">
            <v>1.8800000000000001E-2</v>
          </cell>
          <cell r="BQ44">
            <v>1.8753753753753766E-2</v>
          </cell>
          <cell r="BR44">
            <v>4.1626331074540168E-3</v>
          </cell>
          <cell r="BS44">
            <v>4.1775700934579439E-3</v>
          </cell>
          <cell r="BT44">
            <v>3.8979118329466357E-3</v>
          </cell>
          <cell r="BU44">
            <v>3.6894586894586916E-3</v>
          </cell>
        </row>
        <row r="45">
          <cell r="A45" t="str">
            <v>Promotional Spending</v>
          </cell>
          <cell r="B45">
            <v>-0.01</v>
          </cell>
          <cell r="C45">
            <v>-0.01</v>
          </cell>
          <cell r="D45">
            <v>0.01</v>
          </cell>
          <cell r="E45">
            <v>-0.01</v>
          </cell>
          <cell r="F45">
            <v>0</v>
          </cell>
          <cell r="G45">
            <v>0</v>
          </cell>
          <cell r="H45">
            <v>0</v>
          </cell>
          <cell r="I45">
            <v>-0.01</v>
          </cell>
          <cell r="J45">
            <v>-0.02</v>
          </cell>
          <cell r="K45">
            <v>-0.02</v>
          </cell>
          <cell r="L45">
            <v>-1.205945945945946E-2</v>
          </cell>
          <cell r="M45">
            <v>-2.1623931623931622E-3</v>
          </cell>
          <cell r="N45">
            <v>-8.436657142857143E-3</v>
          </cell>
          <cell r="O45">
            <v>-3.9668615984405457E-3</v>
          </cell>
          <cell r="P45">
            <v>0</v>
          </cell>
          <cell r="Q45">
            <v>0</v>
          </cell>
          <cell r="R45">
            <v>0</v>
          </cell>
          <cell r="S45">
            <v>0</v>
          </cell>
          <cell r="T45">
            <v>0</v>
          </cell>
          <cell r="U45">
            <v>0</v>
          </cell>
          <cell r="W45">
            <v>0</v>
          </cell>
          <cell r="X45">
            <v>-3.9668615984405457E-3</v>
          </cell>
          <cell r="AD45">
            <v>-0.01</v>
          </cell>
          <cell r="AE45">
            <v>-0.02</v>
          </cell>
          <cell r="AF45">
            <v>0.02</v>
          </cell>
          <cell r="AG45">
            <v>0.02</v>
          </cell>
          <cell r="AH45">
            <v>0</v>
          </cell>
          <cell r="AI45">
            <v>0</v>
          </cell>
          <cell r="AJ45">
            <v>0</v>
          </cell>
          <cell r="AK45">
            <v>0.02</v>
          </cell>
          <cell r="AL45">
            <v>0.01</v>
          </cell>
          <cell r="AM45">
            <v>0</v>
          </cell>
          <cell r="AN45">
            <v>0</v>
          </cell>
          <cell r="AO45">
            <v>-0.01</v>
          </cell>
          <cell r="AP45">
            <v>-0.02</v>
          </cell>
          <cell r="AQ45">
            <v>-0.01</v>
          </cell>
          <cell r="AR45">
            <v>-0.01</v>
          </cell>
          <cell r="AS45">
            <v>-0.01</v>
          </cell>
          <cell r="AT45">
            <v>-0.03</v>
          </cell>
          <cell r="AU45">
            <v>-0.04</v>
          </cell>
          <cell r="AV45">
            <v>0.01</v>
          </cell>
          <cell r="AW45">
            <v>0</v>
          </cell>
          <cell r="AX45">
            <v>-0.01</v>
          </cell>
          <cell r="AY45">
            <v>-0.02</v>
          </cell>
          <cell r="AZ45">
            <v>-0.04</v>
          </cell>
          <cell r="BA45">
            <v>-0.03</v>
          </cell>
          <cell r="BB45">
            <v>-0.03</v>
          </cell>
          <cell r="BC45">
            <v>-0.03</v>
          </cell>
          <cell r="BD45">
            <v>0</v>
          </cell>
          <cell r="BE45">
            <v>1.3509316770186333E-2</v>
          </cell>
          <cell r="BF45">
            <v>-1.5575702629193109E-2</v>
          </cell>
          <cell r="BG45">
            <v>-1.7612524461839531E-3</v>
          </cell>
          <cell r="BH45">
            <v>-1.2544987146529563E-2</v>
          </cell>
          <cell r="BI45">
            <v>0</v>
          </cell>
          <cell r="BJ45">
            <v>-1.8470149253731344E-3</v>
          </cell>
          <cell r="BK45">
            <v>0</v>
          </cell>
          <cell r="BL45">
            <v>-2.0033548387096773E-2</v>
          </cell>
          <cell r="BM45">
            <v>-1.8726323987538943E-2</v>
          </cell>
          <cell r="BN45">
            <v>-1.303225806451613E-2</v>
          </cell>
          <cell r="BO45">
            <v>-6.1551724137931026E-3</v>
          </cell>
          <cell r="BP45">
            <v>2.3999999999999998E-3</v>
          </cell>
          <cell r="BQ45">
            <v>6.2499999999999995E-3</v>
          </cell>
          <cell r="BR45">
            <v>-4.1626331074540168E-3</v>
          </cell>
          <cell r="BS45">
            <v>-4.1775700934579439E-3</v>
          </cell>
          <cell r="BT45">
            <v>-3.8979118329466357E-3</v>
          </cell>
          <cell r="BU45">
            <v>-3.6894586894586916E-3</v>
          </cell>
        </row>
        <row r="46">
          <cell r="A46" t="str">
            <v>Currency</v>
          </cell>
          <cell r="B46">
            <v>-0.01</v>
          </cell>
          <cell r="C46">
            <v>0</v>
          </cell>
          <cell r="D46">
            <v>0</v>
          </cell>
          <cell r="E46">
            <v>0.02</v>
          </cell>
          <cell r="F46">
            <v>0</v>
          </cell>
          <cell r="G46">
            <v>0</v>
          </cell>
          <cell r="H46">
            <v>0</v>
          </cell>
          <cell r="I46">
            <v>0</v>
          </cell>
          <cell r="J46">
            <v>0</v>
          </cell>
          <cell r="K46">
            <v>0</v>
          </cell>
          <cell r="L46">
            <v>0</v>
          </cell>
          <cell r="M46">
            <v>5.1282051282051282E-4</v>
          </cell>
          <cell r="N46">
            <v>0</v>
          </cell>
          <cell r="O46">
            <v>0</v>
          </cell>
          <cell r="P46">
            <v>0</v>
          </cell>
          <cell r="Q46">
            <v>0</v>
          </cell>
          <cell r="R46">
            <v>0</v>
          </cell>
          <cell r="S46">
            <v>0</v>
          </cell>
          <cell r="T46">
            <v>0</v>
          </cell>
          <cell r="U46">
            <v>0</v>
          </cell>
          <cell r="W46">
            <v>0</v>
          </cell>
          <cell r="X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4.8629776021080318E-2</v>
          </cell>
          <cell r="BF46">
            <v>0</v>
          </cell>
          <cell r="BG46">
            <v>1.7612524461839531E-3</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row>
        <row r="47">
          <cell r="A47" t="str">
            <v>Acquisitions/Divestitures</v>
          </cell>
          <cell r="B47">
            <v>0</v>
          </cell>
          <cell r="C47">
            <v>0</v>
          </cell>
          <cell r="D47">
            <v>0</v>
          </cell>
          <cell r="E47">
            <v>0</v>
          </cell>
          <cell r="F47">
            <v>0</v>
          </cell>
          <cell r="G47">
            <v>0</v>
          </cell>
          <cell r="H47">
            <v>0</v>
          </cell>
          <cell r="I47">
            <v>0</v>
          </cell>
          <cell r="J47">
            <v>0</v>
          </cell>
          <cell r="K47">
            <v>0</v>
          </cell>
          <cell r="L47">
            <v>0</v>
          </cell>
          <cell r="M47">
            <v>0</v>
          </cell>
          <cell r="N47">
            <v>3.9528857142857145E-3</v>
          </cell>
          <cell r="O47">
            <v>2.3670286828181564E-2</v>
          </cell>
          <cell r="P47">
            <v>0</v>
          </cell>
          <cell r="Q47">
            <v>0</v>
          </cell>
          <cell r="R47">
            <v>0</v>
          </cell>
          <cell r="S47">
            <v>0</v>
          </cell>
          <cell r="T47">
            <v>0</v>
          </cell>
          <cell r="U47">
            <v>0</v>
          </cell>
          <cell r="W47">
            <v>0</v>
          </cell>
          <cell r="X47">
            <v>2.3670286828181564E-2</v>
          </cell>
          <cell r="AV47">
            <v>0.01</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2.155E-2</v>
          </cell>
          <cell r="BN47">
            <v>1.4038709677419357E-2</v>
          </cell>
          <cell r="BO47">
            <v>7.1487684729064039E-3</v>
          </cell>
          <cell r="BP47">
            <v>3.7886060606060604E-2</v>
          </cell>
          <cell r="BQ47">
            <v>4.6930930930930932E-2</v>
          </cell>
          <cell r="BR47">
            <v>0</v>
          </cell>
          <cell r="BS47">
            <v>0</v>
          </cell>
          <cell r="BT47">
            <v>0</v>
          </cell>
          <cell r="BU47">
            <v>0</v>
          </cell>
        </row>
        <row r="48">
          <cell r="A48" t="str">
            <v>53rd week</v>
          </cell>
          <cell r="E48">
            <v>-0.01</v>
          </cell>
          <cell r="F48">
            <v>0</v>
          </cell>
          <cell r="G48">
            <v>0</v>
          </cell>
          <cell r="H48">
            <v>0</v>
          </cell>
          <cell r="I48">
            <v>0.01</v>
          </cell>
          <cell r="J48">
            <v>-0.01</v>
          </cell>
          <cell r="L48">
            <v>0</v>
          </cell>
          <cell r="M48">
            <v>0</v>
          </cell>
          <cell r="N48">
            <v>0</v>
          </cell>
          <cell r="O48">
            <v>1.4266435319066897E-2</v>
          </cell>
          <cell r="P48">
            <v>-1.3974404598040727E-2</v>
          </cell>
          <cell r="Q48">
            <v>3.6485667698209628E-3</v>
          </cell>
          <cell r="R48">
            <v>3.7317071445415956E-3</v>
          </cell>
          <cell r="S48">
            <v>3.8162659429588665E-3</v>
          </cell>
          <cell r="T48">
            <v>3.90224574790398E-3</v>
          </cell>
          <cell r="U48">
            <v>3.989648096854064E-3</v>
          </cell>
          <cell r="AS48">
            <v>0.08</v>
          </cell>
          <cell r="AW48">
            <v>-7.0000000000000007E-2</v>
          </cell>
          <cell r="BJ48">
            <v>0</v>
          </cell>
          <cell r="BK48">
            <v>0</v>
          </cell>
          <cell r="BL48">
            <v>0</v>
          </cell>
          <cell r="BM48">
            <v>0</v>
          </cell>
          <cell r="BN48">
            <v>0</v>
          </cell>
          <cell r="BO48">
            <v>0</v>
          </cell>
          <cell r="BP48">
            <v>0</v>
          </cell>
          <cell r="BQ48">
            <v>7.6923076923076913E-2</v>
          </cell>
          <cell r="BR48">
            <v>0</v>
          </cell>
          <cell r="BS48">
            <v>0</v>
          </cell>
          <cell r="BT48">
            <v>0</v>
          </cell>
          <cell r="BU48">
            <v>-6.6410256410256413E-2</v>
          </cell>
        </row>
        <row r="49">
          <cell r="A49" t="str">
            <v>Organic</v>
          </cell>
          <cell r="B49">
            <v>4.9999999999999996E-2</v>
          </cell>
          <cell r="C49">
            <v>0</v>
          </cell>
          <cell r="D49">
            <v>0.03</v>
          </cell>
          <cell r="E49">
            <v>0.03</v>
          </cell>
          <cell r="F49">
            <v>0.03</v>
          </cell>
          <cell r="G49">
            <v>4.9999999999999996E-2</v>
          </cell>
          <cell r="H49">
            <v>7.0000000000000007E-2</v>
          </cell>
          <cell r="I49">
            <v>0.04</v>
          </cell>
          <cell r="J49">
            <v>3.9999999999999994E-2</v>
          </cell>
          <cell r="K49">
            <v>-0.02</v>
          </cell>
          <cell r="L49">
            <v>-4.7643243243243247E-2</v>
          </cell>
          <cell r="M49">
            <v>-3.5128205128205172E-3</v>
          </cell>
          <cell r="N49">
            <v>2.3507028571428577E-2</v>
          </cell>
          <cell r="O49">
            <v>-1.7231968810916182E-2</v>
          </cell>
          <cell r="P49">
            <v>0.04</v>
          </cell>
          <cell r="Q49">
            <v>1.6962556771008424E-2</v>
          </cell>
          <cell r="R49">
            <v>1.7006745087077144E-2</v>
          </cell>
          <cell r="S49">
            <v>1.7051682074992781E-2</v>
          </cell>
          <cell r="T49">
            <v>1.7097368999050538E-2</v>
          </cell>
          <cell r="U49">
            <v>1.7143806569455293E-2</v>
          </cell>
          <cell r="W49">
            <v>2.5000000000000001E-2</v>
          </cell>
          <cell r="X49">
            <v>-4.2231968810916183E-2</v>
          </cell>
          <cell r="AD49">
            <v>0.1</v>
          </cell>
          <cell r="AE49">
            <v>9.9999999999999985E-3</v>
          </cell>
          <cell r="AF49">
            <v>-1.9999999999999993E-2</v>
          </cell>
          <cell r="AG49">
            <v>0.02</v>
          </cell>
          <cell r="AH49">
            <v>-2.0000000000000004E-2</v>
          </cell>
          <cell r="AI49">
            <v>4.9999999999999996E-2</v>
          </cell>
          <cell r="AJ49">
            <v>0.14000000000000001</v>
          </cell>
          <cell r="AK49">
            <v>7.0000000000000007E-2</v>
          </cell>
          <cell r="AL49">
            <v>0.08</v>
          </cell>
          <cell r="AM49">
            <v>9.9999999999999985E-3</v>
          </cell>
          <cell r="AN49">
            <v>0.13</v>
          </cell>
          <cell r="AO49">
            <v>0.08</v>
          </cell>
          <cell r="AP49">
            <v>3.9999999999999994E-2</v>
          </cell>
          <cell r="AQ49">
            <v>5.9999999999999991E-2</v>
          </cell>
          <cell r="AR49">
            <v>0</v>
          </cell>
          <cell r="AS49">
            <v>0.04</v>
          </cell>
          <cell r="AT49">
            <v>0.09</v>
          </cell>
          <cell r="AU49">
            <v>3.0000000000000006E-2</v>
          </cell>
          <cell r="AV49">
            <v>-1.0000000000000004E-2</v>
          </cell>
          <cell r="AW49">
            <v>0.04</v>
          </cell>
          <cell r="AX49">
            <v>-4.9999999999999996E-2</v>
          </cell>
          <cell r="AY49">
            <v>-0.05</v>
          </cell>
          <cell r="AZ49">
            <v>4.9999999999999996E-2</v>
          </cell>
          <cell r="BA49">
            <v>-9.9999999999999985E-3</v>
          </cell>
          <cell r="BB49">
            <v>-0.03</v>
          </cell>
          <cell r="BC49">
            <v>-0.04</v>
          </cell>
          <cell r="BD49">
            <v>-8.2547169811320709E-2</v>
          </cell>
          <cell r="BE49">
            <v>-6.0760869565217389E-2</v>
          </cell>
          <cell r="BF49">
            <v>-3.0000000000000006E-2</v>
          </cell>
          <cell r="BG49">
            <v>-1.2954990215264185E-2</v>
          </cell>
          <cell r="BH49">
            <v>-2.1850899742930571E-3</v>
          </cell>
          <cell r="BI49">
            <v>5.8401976935749597E-2</v>
          </cell>
          <cell r="BJ49">
            <v>1.5223880597014924E-2</v>
          </cell>
          <cell r="BK49">
            <v>2.601384767556874E-3</v>
          </cell>
          <cell r="BL49">
            <v>6.7263225806451624E-2</v>
          </cell>
          <cell r="BM49">
            <v>1.7438629283489097E-2</v>
          </cell>
          <cell r="BN49">
            <v>-6.3483870967741926E-2</v>
          </cell>
          <cell r="BO49">
            <v>3.5913793103448277E-2</v>
          </cell>
          <cell r="BP49">
            <v>-4.4000000000000011E-2</v>
          </cell>
          <cell r="BQ49">
            <v>1.0281531531531544E-2</v>
          </cell>
          <cell r="BR49">
            <v>3.3276863504356234E-2</v>
          </cell>
          <cell r="BS49">
            <v>-2.2467289719626169E-2</v>
          </cell>
          <cell r="BT49">
            <v>-2.2204176334106727E-2</v>
          </cell>
          <cell r="BU49">
            <v>2.6139601139601207E-3</v>
          </cell>
        </row>
        <row r="50">
          <cell r="A50" t="str">
            <v>US Soups, Sauces, and Beverages Total Sales Growth</v>
          </cell>
          <cell r="B50" t="str">
            <v>NM</v>
          </cell>
          <cell r="C50">
            <v>-3.1595576619273258E-3</v>
          </cell>
          <cell r="D50">
            <v>0.16640253565768615</v>
          </cell>
          <cell r="E50">
            <v>1.8342391304347894E-2</v>
          </cell>
          <cell r="F50">
            <v>3.3355570380253496E-2</v>
          </cell>
          <cell r="G50">
            <v>5.1323434473854013E-2</v>
          </cell>
          <cell r="H50">
            <v>7.1231194350629412E-2</v>
          </cell>
          <cell r="I50">
            <v>5.3023789051304115E-2</v>
          </cell>
          <cell r="J50">
            <v>2.9940119760478945E-2</v>
          </cell>
          <cell r="K50">
            <v>-2.2198731501057112E-2</v>
          </cell>
          <cell r="L50">
            <v>-4.7643243243243247E-2</v>
          </cell>
          <cell r="M50">
            <v>-3.0000000000000044E-3</v>
          </cell>
          <cell r="N50">
            <v>2.7459914285714291E-2</v>
          </cell>
          <cell r="O50">
            <v>2.0704753336332281E-2</v>
          </cell>
          <cell r="P50">
            <v>2.6025595401959273E-2</v>
          </cell>
          <cell r="Q50">
            <v>2.0611123540829387E-2</v>
          </cell>
          <cell r="R50">
            <v>2.0738452231618739E-2</v>
          </cell>
          <cell r="S50">
            <v>2.0867948017951648E-2</v>
          </cell>
          <cell r="T50">
            <v>2.0999614746954519E-2</v>
          </cell>
          <cell r="U50">
            <v>2.1133454666309358E-2</v>
          </cell>
          <cell r="W50">
            <v>2.5000000000000001E-2</v>
          </cell>
          <cell r="X50">
            <v>-4.2952466636677206E-3</v>
          </cell>
          <cell r="AD50">
            <v>0.10444444444444434</v>
          </cell>
          <cell r="AE50">
            <v>6.3157894736842746E-3</v>
          </cell>
          <cell r="AF50">
            <v>-1.5698587127158548E-2</v>
          </cell>
          <cell r="AG50">
            <v>0.99217221135029354</v>
          </cell>
          <cell r="AH50">
            <v>-2.4144869215291798E-2</v>
          </cell>
          <cell r="AI50">
            <v>6.4853556485355623E-2</v>
          </cell>
          <cell r="AJ50">
            <v>0.13716108452950548</v>
          </cell>
          <cell r="AK50">
            <v>-0.4538310412573674</v>
          </cell>
          <cell r="AL50">
            <v>8.4536082474226726E-2</v>
          </cell>
          <cell r="AM50">
            <v>9.8231827111985304E-3</v>
          </cell>
          <cell r="AN50">
            <v>0.13604488078541377</v>
          </cell>
          <cell r="AO50">
            <v>7.7338129496402841E-2</v>
          </cell>
          <cell r="AP50">
            <v>4.2775665399239493E-2</v>
          </cell>
          <cell r="AQ50">
            <v>6.3229571984435795E-2</v>
          </cell>
          <cell r="AR50">
            <v>1.2345679012346622E-3</v>
          </cell>
          <cell r="AS50">
            <v>0.12353923205342232</v>
          </cell>
          <cell r="AT50">
            <v>9.206927985414759E-2</v>
          </cell>
          <cell r="AU50">
            <v>3.20219579139982E-2</v>
          </cell>
          <cell r="AV50">
            <v>-3.6991368680641123E-3</v>
          </cell>
          <cell r="AW50">
            <v>-3.4175334323922724E-2</v>
          </cell>
          <cell r="AX50">
            <v>-4.8414023372287174E-2</v>
          </cell>
          <cell r="AY50">
            <v>-5.3191489361702149E-2</v>
          </cell>
          <cell r="AZ50">
            <v>4.9504950495049549E-2</v>
          </cell>
          <cell r="BA50">
            <v>-9.2307692307692646E-3</v>
          </cell>
          <cell r="BB50">
            <v>-3.2456140350877183E-2</v>
          </cell>
          <cell r="BC50">
            <v>-4.3071161048689133E-2</v>
          </cell>
          <cell r="BD50">
            <v>-8.2547169811320709E-2</v>
          </cell>
          <cell r="BE50">
            <v>-5.7453416149068293E-2</v>
          </cell>
          <cell r="BF50">
            <v>-2.810516772438798E-2</v>
          </cell>
          <cell r="BG50">
            <v>-1.0763209393346407E-2</v>
          </cell>
          <cell r="BH50">
            <v>-2.1850899742930571E-3</v>
          </cell>
          <cell r="BI50">
            <v>5.8401976935749597E-2</v>
          </cell>
          <cell r="BJ50">
            <v>1.5223880597014924E-2</v>
          </cell>
          <cell r="BK50">
            <v>2.601384767556874E-3</v>
          </cell>
          <cell r="BL50">
            <v>6.7263225806451624E-2</v>
          </cell>
          <cell r="BM50">
            <v>3.8988629283489097E-2</v>
          </cell>
          <cell r="BN50">
            <v>-4.9445161290322573E-2</v>
          </cell>
          <cell r="BO50">
            <v>4.3062561576354678E-2</v>
          </cell>
          <cell r="BP50">
            <v>-6.1139393939394077E-3</v>
          </cell>
          <cell r="BQ50">
            <v>0.1341355393855394</v>
          </cell>
          <cell r="BR50">
            <v>3.3276863504356234E-2</v>
          </cell>
          <cell r="BS50">
            <v>-2.2467289719626169E-2</v>
          </cell>
          <cell r="BT50">
            <v>-2.2204176334106727E-2</v>
          </cell>
          <cell r="BU50">
            <v>-6.3796296296296295E-2</v>
          </cell>
        </row>
        <row r="51">
          <cell r="A51" t="str">
            <v>2-yr organic</v>
          </cell>
          <cell r="L51">
            <v>-3.3920488975352714E-2</v>
          </cell>
          <cell r="M51">
            <v>-2.5827890767705086E-2</v>
          </cell>
          <cell r="N51">
            <v>9.9067442523823601E-3</v>
          </cell>
          <cell r="O51">
            <v>4.8754958566019635E-3</v>
          </cell>
          <cell r="P51">
            <v>-7.6755116780327093E-3</v>
          </cell>
          <cell r="Q51">
            <v>4.0319996595390428E-3</v>
          </cell>
          <cell r="R51">
            <v>1.4038257167616752E-2</v>
          </cell>
          <cell r="S51">
            <v>1.8100240940464252E-2</v>
          </cell>
          <cell r="T51">
            <v>1.8115355806911371E-2</v>
          </cell>
          <cell r="U51">
            <v>1.8130378173350836E-2</v>
          </cell>
          <cell r="AX51">
            <v>1.7595204391215757E-2</v>
          </cell>
          <cell r="AY51">
            <v>-1.0808410872797602E-2</v>
          </cell>
          <cell r="AZ51">
            <v>1.9558728077985643E-2</v>
          </cell>
          <cell r="BA51">
            <v>1.4692071517265815E-2</v>
          </cell>
          <cell r="BB51">
            <v>-4.0052084746260874E-2</v>
          </cell>
          <cell r="BC51">
            <v>-4.5013089094934289E-2</v>
          </cell>
          <cell r="BD51">
            <v>-1.8508547312757639E-2</v>
          </cell>
          <cell r="BE51">
            <v>-3.5714389233960087E-2</v>
          </cell>
          <cell r="BF51">
            <v>-3.0000000000000027E-2</v>
          </cell>
          <cell r="BG51">
            <v>-2.6571415360455708E-2</v>
          </cell>
          <cell r="BH51">
            <v>-4.3209472660004189E-2</v>
          </cell>
          <cell r="BI51">
            <v>-2.9580989408779512E-3</v>
          </cell>
          <cell r="BJ51">
            <v>-7.6456458607618849E-3</v>
          </cell>
          <cell r="BK51">
            <v>-5.2072107026093217E-3</v>
          </cell>
          <cell r="BL51">
            <v>3.1955018221148102E-2</v>
          </cell>
          <cell r="BM51">
            <v>3.7718197125040209E-2</v>
          </cell>
          <cell r="BN51">
            <v>-2.4923829253414853E-2</v>
          </cell>
          <cell r="BO51">
            <v>1.9121486117003483E-2</v>
          </cell>
          <cell r="BP51">
            <v>1.01008087666139E-2</v>
          </cell>
          <cell r="BQ51">
            <v>1.3853764914775857E-2</v>
          </cell>
          <cell r="BR51">
            <v>-1.6292498540499745E-2</v>
          </cell>
          <cell r="BS51">
            <v>6.1743425498101967E-3</v>
          </cell>
          <cell r="BT51">
            <v>-4.6594911597925837E-3</v>
          </cell>
          <cell r="BU51">
            <v>-1.8724904746532656E-2</v>
          </cell>
        </row>
        <row r="53">
          <cell r="A53" t="str">
            <v>US Simple Meals</v>
          </cell>
          <cell r="I53">
            <v>2008</v>
          </cell>
          <cell r="J53" t="str">
            <v>2009</v>
          </cell>
          <cell r="K53">
            <v>2010</v>
          </cell>
          <cell r="L53">
            <v>2011</v>
          </cell>
          <cell r="M53">
            <v>2012</v>
          </cell>
          <cell r="N53" t="str">
            <v>2013E</v>
          </cell>
          <cell r="O53" t="str">
            <v>2014E</v>
          </cell>
          <cell r="P53" t="str">
            <v>2015E</v>
          </cell>
          <cell r="Q53" t="str">
            <v>2016E</v>
          </cell>
          <cell r="R53" t="str">
            <v>2017E</v>
          </cell>
          <cell r="S53" t="str">
            <v>2018E</v>
          </cell>
          <cell r="T53" t="str">
            <v>2019E</v>
          </cell>
          <cell r="U53" t="str">
            <v>2020E</v>
          </cell>
          <cell r="W53" t="str">
            <v>2014E</v>
          </cell>
          <cell r="AD53">
            <v>0</v>
          </cell>
          <cell r="AE53">
            <v>0</v>
          </cell>
          <cell r="AF53">
            <v>0</v>
          </cell>
          <cell r="AG53">
            <v>0</v>
          </cell>
          <cell r="AH53">
            <v>0</v>
          </cell>
          <cell r="AI53">
            <v>0</v>
          </cell>
          <cell r="AJ53">
            <v>0</v>
          </cell>
          <cell r="AK53">
            <v>0</v>
          </cell>
          <cell r="AL53">
            <v>0</v>
          </cell>
          <cell r="AM53">
            <v>0</v>
          </cell>
          <cell r="AN53">
            <v>0</v>
          </cell>
          <cell r="AO53">
            <v>0</v>
          </cell>
          <cell r="AQ53" t="str">
            <v>2Q08</v>
          </cell>
          <cell r="AR53" t="str">
            <v>3Q08</v>
          </cell>
          <cell r="AS53" t="str">
            <v>4Q08</v>
          </cell>
          <cell r="AT53" t="str">
            <v>1Q09</v>
          </cell>
          <cell r="AU53" t="str">
            <v>2Q09</v>
          </cell>
          <cell r="AV53" t="str">
            <v>3Q09</v>
          </cell>
          <cell r="AW53" t="str">
            <v>4Q09</v>
          </cell>
          <cell r="AX53" t="str">
            <v>1Q10%</v>
          </cell>
          <cell r="AY53" t="str">
            <v>2Q10</v>
          </cell>
          <cell r="AZ53" t="str">
            <v>3Q10</v>
          </cell>
          <cell r="BA53" t="str">
            <v>4Q10</v>
          </cell>
          <cell r="BB53" t="str">
            <v>1Q11</v>
          </cell>
          <cell r="BC53" t="str">
            <v>2Q11</v>
          </cell>
          <cell r="BD53" t="str">
            <v>3Q11</v>
          </cell>
          <cell r="BE53" t="str">
            <v>4Q11</v>
          </cell>
          <cell r="BF53" t="str">
            <v>1Q12</v>
          </cell>
          <cell r="BG53" t="str">
            <v>2Q12</v>
          </cell>
          <cell r="BH53" t="str">
            <v>3Q12</v>
          </cell>
          <cell r="BI53" t="str">
            <v>4Q12</v>
          </cell>
          <cell r="BJ53" t="str">
            <v>1Q13</v>
          </cell>
          <cell r="BK53" t="str">
            <v>2Q13</v>
          </cell>
          <cell r="BL53" t="str">
            <v>3Q13</v>
          </cell>
          <cell r="BM53" t="str">
            <v>4Q13</v>
          </cell>
          <cell r="BN53" t="str">
            <v>1Q14</v>
          </cell>
          <cell r="BO53" t="str">
            <v>2Q14E</v>
          </cell>
          <cell r="BP53" t="str">
            <v>3Q14E</v>
          </cell>
          <cell r="BQ53" t="str">
            <v>4Q14E</v>
          </cell>
        </row>
        <row r="54">
          <cell r="A54" t="str">
            <v>Volume and Mix</v>
          </cell>
          <cell r="L54">
            <v>-0.05</v>
          </cell>
          <cell r="M54">
            <v>-0.04</v>
          </cell>
          <cell r="N54">
            <v>3.1578319882611887E-2</v>
          </cell>
          <cell r="O54">
            <v>-2.5000000000000001E-2</v>
          </cell>
          <cell r="P54">
            <v>2.5000000000000001E-2</v>
          </cell>
          <cell r="Q54">
            <v>5.0000000000000001E-3</v>
          </cell>
          <cell r="R54">
            <v>5.0000000000000001E-3</v>
          </cell>
          <cell r="S54">
            <v>5.0000000000000001E-3</v>
          </cell>
          <cell r="T54">
            <v>5.0000000000000001E-3</v>
          </cell>
          <cell r="U54">
            <v>5.0000000000000001E-3</v>
          </cell>
          <cell r="W54">
            <v>0.01</v>
          </cell>
          <cell r="X54">
            <v>-3.5000000000000003E-2</v>
          </cell>
          <cell r="BE54">
            <v>-0.11</v>
          </cell>
          <cell r="BF54">
            <v>-7.0000000000000007E-2</v>
          </cell>
          <cell r="BG54">
            <v>-0.05</v>
          </cell>
          <cell r="BH54">
            <v>-0.05</v>
          </cell>
          <cell r="BI54">
            <v>0.04</v>
          </cell>
          <cell r="BJ54">
            <v>0.01</v>
          </cell>
          <cell r="BK54">
            <v>-0.01</v>
          </cell>
          <cell r="BL54">
            <v>0.11</v>
          </cell>
          <cell r="BM54">
            <v>0.05</v>
          </cell>
          <cell r="BN54">
            <v>-0.06</v>
          </cell>
          <cell r="BO54">
            <v>0.04</v>
          </cell>
          <cell r="BP54">
            <v>-7.0000000000000007E-2</v>
          </cell>
          <cell r="BQ54">
            <v>-1.3985801217038532E-2</v>
          </cell>
          <cell r="BR54">
            <v>4.4999999999999998E-2</v>
          </cell>
          <cell r="BS54">
            <v>-0.02</v>
          </cell>
          <cell r="BT54">
            <v>-0.02</v>
          </cell>
          <cell r="BU54">
            <v>1.4169884169884177E-2</v>
          </cell>
          <cell r="BW54">
            <v>4.4988038209050618E-2</v>
          </cell>
          <cell r="BX54">
            <v>-2.5628407639056827E-2</v>
          </cell>
          <cell r="BY54">
            <v>1.4692071517265815E-2</v>
          </cell>
          <cell r="BZ54">
            <v>7.443008148506336E-2</v>
          </cell>
          <cell r="CA54">
            <v>-1.2507822280910519E-3</v>
          </cell>
          <cell r="CB54">
            <v>-2.5320565519103666E-2</v>
          </cell>
          <cell r="CC54">
            <v>-2.5320565519103666E-2</v>
          </cell>
          <cell r="CD54">
            <v>-3.7918922335544503E-2</v>
          </cell>
          <cell r="CE54">
            <v>-2.5628407639056827E-2</v>
          </cell>
          <cell r="CF54">
            <v>1.4692071517265815E-2</v>
          </cell>
          <cell r="CG54">
            <v>1.6021653312565887E-2</v>
          </cell>
          <cell r="CH54">
            <v>1.7504254891403281E-2</v>
          </cell>
          <cell r="CI54">
            <v>-2.5628407639056827E-2</v>
          </cell>
          <cell r="CJ54">
            <v>1.4692071517265815E-2</v>
          </cell>
          <cell r="CK54">
            <v>1.6021653312565887E-2</v>
          </cell>
          <cell r="CL54">
            <v>1.7504254891403281E-2</v>
          </cell>
        </row>
        <row r="55">
          <cell r="A55" t="str">
            <v>Price and Sales Allowances</v>
          </cell>
          <cell r="L55">
            <v>0</v>
          </cell>
          <cell r="M55">
            <v>0.03</v>
          </cell>
          <cell r="N55">
            <v>2.001151870873074E-2</v>
          </cell>
          <cell r="O55">
            <v>0.02</v>
          </cell>
          <cell r="P55">
            <v>1.4999999999999999E-2</v>
          </cell>
          <cell r="Q55">
            <v>0.01</v>
          </cell>
          <cell r="R55">
            <v>0.01</v>
          </cell>
          <cell r="S55">
            <v>0.01</v>
          </cell>
          <cell r="T55">
            <v>0.01</v>
          </cell>
          <cell r="U55">
            <v>0.01</v>
          </cell>
          <cell r="W55">
            <v>1.4999999999999999E-2</v>
          </cell>
          <cell r="X55">
            <v>5.000000000000001E-3</v>
          </cell>
          <cell r="BE55">
            <v>0</v>
          </cell>
          <cell r="BF55">
            <v>0.05</v>
          </cell>
          <cell r="BG55">
            <v>0.03</v>
          </cell>
          <cell r="BH55">
            <v>0.04</v>
          </cell>
          <cell r="BI55">
            <v>0.03</v>
          </cell>
          <cell r="BJ55">
            <v>0.02</v>
          </cell>
          <cell r="BK55">
            <v>0.02</v>
          </cell>
          <cell r="BL55">
            <v>0.02</v>
          </cell>
          <cell r="BM55">
            <v>0.02</v>
          </cell>
          <cell r="BN55">
            <v>0.02</v>
          </cell>
          <cell r="BO55">
            <v>0.02</v>
          </cell>
          <cell r="BP55">
            <v>0.02</v>
          </cell>
          <cell r="BQ55">
            <v>2.0000000000000014E-2</v>
          </cell>
          <cell r="BR55">
            <v>5.0000000000000001E-3</v>
          </cell>
          <cell r="BS55">
            <v>5.0000000000000001E-3</v>
          </cell>
          <cell r="BT55">
            <v>5.0000000000000001E-3</v>
          </cell>
          <cell r="BU55">
            <v>5.0000000000000036E-3</v>
          </cell>
          <cell r="BW55">
            <v>2.4987804805501002E-2</v>
          </cell>
          <cell r="BX55">
            <v>2.0000000000000018E-2</v>
          </cell>
          <cell r="BY55">
            <v>2.0000000000000018E-2</v>
          </cell>
          <cell r="BZ55">
            <v>2.0000000000000018E-2</v>
          </cell>
          <cell r="CA55">
            <v>1.4987684654350852E-2</v>
          </cell>
          <cell r="CB55">
            <v>1.4889156509221957E-2</v>
          </cell>
          <cell r="CC55">
            <v>1.9803902718557032E-2</v>
          </cell>
          <cell r="CD55">
            <v>1.4889156509221957E-2</v>
          </cell>
          <cell r="CE55">
            <v>2.0000000000000018E-2</v>
          </cell>
          <cell r="CF55">
            <v>2.0000000000000018E-2</v>
          </cell>
          <cell r="CG55">
            <v>2.0000000000000018E-2</v>
          </cell>
          <cell r="CH55">
            <v>2.0000000000000018E-2</v>
          </cell>
          <cell r="CI55">
            <v>2.0000000000000018E-2</v>
          </cell>
          <cell r="CJ55">
            <v>2.0000000000000018E-2</v>
          </cell>
          <cell r="CK55">
            <v>2.0000000000000018E-2</v>
          </cell>
          <cell r="CL55">
            <v>2.0000000000000018E-2</v>
          </cell>
        </row>
        <row r="56">
          <cell r="A56" t="str">
            <v>Promotional Spending</v>
          </cell>
          <cell r="L56">
            <v>-0.01</v>
          </cell>
          <cell r="M56">
            <v>0</v>
          </cell>
          <cell r="N56">
            <v>-9.2454512105649301E-3</v>
          </cell>
          <cell r="O56">
            <v>-5.0000000000000001E-3</v>
          </cell>
          <cell r="P56">
            <v>0</v>
          </cell>
          <cell r="Q56">
            <v>0</v>
          </cell>
          <cell r="R56">
            <v>0</v>
          </cell>
          <cell r="S56">
            <v>0</v>
          </cell>
          <cell r="T56">
            <v>0</v>
          </cell>
          <cell r="U56">
            <v>0</v>
          </cell>
          <cell r="W56">
            <v>0</v>
          </cell>
          <cell r="X56">
            <v>-5.0000000000000001E-3</v>
          </cell>
          <cell r="BE56">
            <v>0.03</v>
          </cell>
          <cell r="BF56">
            <v>-0.01</v>
          </cell>
          <cell r="BG56">
            <v>0</v>
          </cell>
          <cell r="BH56">
            <v>-0.01</v>
          </cell>
          <cell r="BI56">
            <v>0</v>
          </cell>
          <cell r="BJ56">
            <v>0</v>
          </cell>
          <cell r="BK56">
            <v>0</v>
          </cell>
          <cell r="BL56">
            <v>-0.02</v>
          </cell>
          <cell r="BM56">
            <v>-0.03</v>
          </cell>
          <cell r="BN56">
            <v>-0.02</v>
          </cell>
          <cell r="BO56">
            <v>-7.4999999999999997E-3</v>
          </cell>
          <cell r="BP56">
            <v>0</v>
          </cell>
          <cell r="BQ56">
            <v>2.012677484787018E-2</v>
          </cell>
          <cell r="BR56">
            <v>-5.0000000000000001E-3</v>
          </cell>
          <cell r="BS56">
            <v>-5.0000000000000001E-3</v>
          </cell>
          <cell r="BT56">
            <v>-5.0000000000000001E-3</v>
          </cell>
          <cell r="BU56">
            <v>-5.0000000000000036E-3</v>
          </cell>
          <cell r="BW56">
            <v>-1.5114219820389518E-2</v>
          </cell>
          <cell r="BX56">
            <v>-1.005050633883342E-2</v>
          </cell>
          <cell r="BY56">
            <v>-5.0125628933800348E-3</v>
          </cell>
          <cell r="BZ56">
            <v>-2.5012820597111629E-2</v>
          </cell>
          <cell r="CA56">
            <v>-2.005102173633555E-2</v>
          </cell>
          <cell r="CB56">
            <v>0</v>
          </cell>
          <cell r="CC56">
            <v>-5.0125628933800348E-3</v>
          </cell>
          <cell r="CD56">
            <v>1.4889156509221957E-2</v>
          </cell>
          <cell r="CE56">
            <v>-1.005050633883342E-2</v>
          </cell>
          <cell r="CF56">
            <v>-3.7570577414361983E-3</v>
          </cell>
          <cell r="CG56">
            <v>-1.005050633883342E-2</v>
          </cell>
          <cell r="CH56">
            <v>-5.2523075661677909E-3</v>
          </cell>
          <cell r="CI56">
            <v>-1.005050633883342E-2</v>
          </cell>
          <cell r="CJ56">
            <v>-3.7570577414361983E-3</v>
          </cell>
          <cell r="CK56">
            <v>-1.005050633883342E-2</v>
          </cell>
          <cell r="CL56">
            <v>-5.2523075661677909E-3</v>
          </cell>
        </row>
        <row r="57">
          <cell r="A57" t="str">
            <v>Currency</v>
          </cell>
          <cell r="L57">
            <v>0</v>
          </cell>
          <cell r="M57">
            <v>0</v>
          </cell>
          <cell r="N57">
            <v>0</v>
          </cell>
          <cell r="O57">
            <v>0</v>
          </cell>
          <cell r="P57">
            <v>0</v>
          </cell>
          <cell r="Q57">
            <v>0</v>
          </cell>
          <cell r="R57">
            <v>0</v>
          </cell>
          <cell r="S57">
            <v>0</v>
          </cell>
          <cell r="T57">
            <v>0</v>
          </cell>
          <cell r="U57">
            <v>0</v>
          </cell>
          <cell r="W57">
            <v>0</v>
          </cell>
          <cell r="X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row>
        <row r="58">
          <cell r="A58" t="str">
            <v>Acquisitions/Divestitures</v>
          </cell>
          <cell r="L58">
            <v>0</v>
          </cell>
          <cell r="M58">
            <v>0</v>
          </cell>
          <cell r="N58">
            <v>0</v>
          </cell>
          <cell r="O58">
            <v>2.9835029835029836E-2</v>
          </cell>
          <cell r="P58">
            <v>0</v>
          </cell>
          <cell r="Q58">
            <v>0</v>
          </cell>
          <cell r="R58">
            <v>0</v>
          </cell>
          <cell r="S58">
            <v>0</v>
          </cell>
          <cell r="T58">
            <v>0</v>
          </cell>
          <cell r="U58">
            <v>0</v>
          </cell>
          <cell r="W58">
            <v>0</v>
          </cell>
          <cell r="X58">
            <v>2.9835029835029836E-2</v>
          </cell>
          <cell r="BE58">
            <v>0</v>
          </cell>
          <cell r="BF58">
            <v>0</v>
          </cell>
          <cell r="BG58">
            <v>0</v>
          </cell>
          <cell r="BH58">
            <v>0</v>
          </cell>
          <cell r="BI58">
            <v>0</v>
          </cell>
          <cell r="BJ58">
            <v>0</v>
          </cell>
          <cell r="BK58">
            <v>0</v>
          </cell>
          <cell r="BL58">
            <v>0</v>
          </cell>
          <cell r="BM58">
            <v>0.03</v>
          </cell>
          <cell r="BN58">
            <v>1.7000000000000001E-2</v>
          </cell>
          <cell r="BO58">
            <v>8.7106842737094837E-3</v>
          </cell>
          <cell r="BP58">
            <v>4.9850079744816589E-2</v>
          </cell>
          <cell r="BQ58">
            <v>6.3399594320486821E-2</v>
          </cell>
          <cell r="BR58">
            <v>0</v>
          </cell>
          <cell r="BS58">
            <v>0</v>
          </cell>
          <cell r="BT58">
            <v>0</v>
          </cell>
          <cell r="BU58">
            <v>0</v>
          </cell>
        </row>
        <row r="59">
          <cell r="A59" t="str">
            <v>53rd week</v>
          </cell>
          <cell r="L59">
            <v>0</v>
          </cell>
          <cell r="M59">
            <v>0</v>
          </cell>
          <cell r="N59">
            <v>0</v>
          </cell>
          <cell r="O59">
            <v>1.3311013311013311E-2</v>
          </cell>
          <cell r="P59">
            <v>-1.2883960984334619E-2</v>
          </cell>
          <cell r="Q59">
            <v>0</v>
          </cell>
          <cell r="R59">
            <v>0</v>
          </cell>
          <cell r="S59">
            <v>0</v>
          </cell>
          <cell r="T59">
            <v>0</v>
          </cell>
          <cell r="U59">
            <v>0</v>
          </cell>
          <cell r="BF59">
            <v>0</v>
          </cell>
          <cell r="BG59">
            <v>0</v>
          </cell>
          <cell r="BH59">
            <v>0</v>
          </cell>
          <cell r="BI59">
            <v>0</v>
          </cell>
          <cell r="BJ59">
            <v>0</v>
          </cell>
          <cell r="BK59">
            <v>0</v>
          </cell>
          <cell r="BL59">
            <v>0</v>
          </cell>
          <cell r="BM59">
            <v>0</v>
          </cell>
          <cell r="BN59">
            <v>0</v>
          </cell>
          <cell r="BO59">
            <v>0</v>
          </cell>
          <cell r="BP59">
            <v>0</v>
          </cell>
          <cell r="BQ59">
            <v>7.6923076923076913E-2</v>
          </cell>
          <cell r="BR59">
            <v>0</v>
          </cell>
          <cell r="BS59">
            <v>0</v>
          </cell>
          <cell r="BT59">
            <v>0</v>
          </cell>
          <cell r="BU59">
            <v>-6.6621621621621635E-2</v>
          </cell>
        </row>
        <row r="60">
          <cell r="A60" t="str">
            <v>Organic</v>
          </cell>
          <cell r="L60">
            <v>-6.0000000000000005E-2</v>
          </cell>
          <cell r="M60">
            <v>-1.0000000000000002E-2</v>
          </cell>
          <cell r="N60">
            <v>4.2344387380777698E-2</v>
          </cell>
          <cell r="O60">
            <v>-1.0000000000000002E-2</v>
          </cell>
          <cell r="P60">
            <v>0.04</v>
          </cell>
          <cell r="Q60">
            <v>1.4999999999999999E-2</v>
          </cell>
          <cell r="R60">
            <v>1.4999999999999999E-2</v>
          </cell>
          <cell r="S60">
            <v>1.4999999999999999E-2</v>
          </cell>
          <cell r="T60">
            <v>1.4999999999999999E-2</v>
          </cell>
          <cell r="U60">
            <v>1.4999999999999999E-2</v>
          </cell>
          <cell r="W60">
            <v>2.5000000000000001E-2</v>
          </cell>
          <cell r="X60">
            <v>-3.5000000000000003E-2</v>
          </cell>
          <cell r="BE60">
            <v>-0.08</v>
          </cell>
          <cell r="BF60">
            <v>-3.0000000000000006E-2</v>
          </cell>
          <cell r="BG60">
            <v>-2.0000000000000004E-2</v>
          </cell>
          <cell r="BH60">
            <v>-2.0000000000000004E-2</v>
          </cell>
          <cell r="BI60">
            <v>7.0000000000000007E-2</v>
          </cell>
          <cell r="BJ60">
            <v>0.03</v>
          </cell>
          <cell r="BK60">
            <v>0.01</v>
          </cell>
          <cell r="BL60">
            <v>0.11</v>
          </cell>
          <cell r="BM60">
            <v>4.0000000000000008E-2</v>
          </cell>
          <cell r="BN60">
            <v>-0.06</v>
          </cell>
          <cell r="BO60">
            <v>5.2499999999999998E-2</v>
          </cell>
          <cell r="BP60">
            <v>-0.05</v>
          </cell>
          <cell r="BQ60">
            <v>2.6140973630831663E-2</v>
          </cell>
          <cell r="BR60">
            <v>4.4999999999999998E-2</v>
          </cell>
          <cell r="BS60">
            <v>-0.02</v>
          </cell>
          <cell r="BT60">
            <v>-0.02</v>
          </cell>
          <cell r="BU60">
            <v>1.4169884169884177E-2</v>
          </cell>
          <cell r="BW60">
            <v>5.4893359539247566E-2</v>
          </cell>
          <cell r="BX60">
            <v>-1.6028455695999311E-2</v>
          </cell>
          <cell r="BY60">
            <v>2.9805806936433976E-2</v>
          </cell>
          <cell r="BZ60">
            <v>6.9252075050593609E-2</v>
          </cell>
          <cell r="CA60">
            <v>-6.0181088168658192E-3</v>
          </cell>
          <cell r="CB60">
            <v>-1.005050633883342E-2</v>
          </cell>
          <cell r="CC60">
            <v>-1.005050633883342E-2</v>
          </cell>
          <cell r="CD60">
            <v>-7.830659615002955E-3</v>
          </cell>
          <cell r="CE60">
            <v>-1.6028455695999311E-2</v>
          </cell>
          <cell r="CF60">
            <v>3.1031037360175651E-2</v>
          </cell>
          <cell r="CG60">
            <v>2.6888504171704186E-2</v>
          </cell>
          <cell r="CH60">
            <v>3.3047246052214652E-2</v>
          </cell>
          <cell r="CI60">
            <v>-1.6028455695999311E-2</v>
          </cell>
          <cell r="CJ60">
            <v>3.1031037360175651E-2</v>
          </cell>
          <cell r="CK60">
            <v>2.6888504171704186E-2</v>
          </cell>
          <cell r="CL60">
            <v>3.3047246052214652E-2</v>
          </cell>
        </row>
        <row r="61">
          <cell r="A61" t="str">
            <v>US Simple Meals Total Sales Growth</v>
          </cell>
          <cell r="L61">
            <v>-6.0000000000000005E-2</v>
          </cell>
          <cell r="M61">
            <v>-1.0000000000000002E-2</v>
          </cell>
          <cell r="N61">
            <v>4.2344387380777698E-2</v>
          </cell>
          <cell r="O61">
            <v>3.3146043146043143E-2</v>
          </cell>
          <cell r="P61">
            <v>2.711603901566538E-2</v>
          </cell>
          <cell r="Q61">
            <v>1.4999999999999999E-2</v>
          </cell>
          <cell r="R61">
            <v>1.4999999999999999E-2</v>
          </cell>
          <cell r="S61">
            <v>1.4999999999999999E-2</v>
          </cell>
          <cell r="T61">
            <v>1.4999999999999999E-2</v>
          </cell>
          <cell r="U61">
            <v>1.4999999999999999E-2</v>
          </cell>
          <cell r="W61">
            <v>2.5000000000000001E-2</v>
          </cell>
          <cell r="X61">
            <v>8.1460431460431415E-3</v>
          </cell>
          <cell r="BE61">
            <v>-7.7087794432548207E-2</v>
          </cell>
          <cell r="BF61">
            <v>-2.6726057906458767E-2</v>
          </cell>
          <cell r="BG61">
            <v>-2.1377672209026088E-2</v>
          </cell>
          <cell r="BH61">
            <v>-2.0000000000000004E-2</v>
          </cell>
          <cell r="BI61">
            <v>7.0000000000000007E-2</v>
          </cell>
          <cell r="BJ61">
            <v>0.03</v>
          </cell>
          <cell r="BK61">
            <v>0.01</v>
          </cell>
          <cell r="BL61">
            <v>0.11</v>
          </cell>
          <cell r="BM61">
            <v>7.0000000000000007E-2</v>
          </cell>
          <cell r="BN61">
            <v>-4.2999999999999997E-2</v>
          </cell>
          <cell r="BO61">
            <v>6.121068427370948E-2</v>
          </cell>
          <cell r="BP61">
            <v>-1.499202551834139E-4</v>
          </cell>
          <cell r="BQ61">
            <v>0.16646364487439541</v>
          </cell>
          <cell r="BR61">
            <v>4.4999999999999998E-2</v>
          </cell>
          <cell r="BS61">
            <v>-0.02</v>
          </cell>
          <cell r="BT61">
            <v>-0.02</v>
          </cell>
          <cell r="BU61">
            <v>-5.2451737451737458E-2</v>
          </cell>
          <cell r="BW61">
            <v>7.0000000000000062E-2</v>
          </cell>
          <cell r="BX61">
            <v>-7.1707095376365437E-3</v>
          </cell>
          <cell r="BY61">
            <v>3.9567217643957875E-2</v>
          </cell>
          <cell r="BZ61">
            <v>8.9816498315198112E-2</v>
          </cell>
          <cell r="CA61">
            <v>5.9952829139108488E-2</v>
          </cell>
          <cell r="CB61">
            <v>-1.005050633883342E-2</v>
          </cell>
          <cell r="CC61">
            <v>-1.005050633883342E-2</v>
          </cell>
          <cell r="CD61">
            <v>-7.830659615002955E-3</v>
          </cell>
          <cell r="CE61">
            <v>-1.6028455695999311E-2</v>
          </cell>
          <cell r="CF61">
            <v>3.1031037360175651E-2</v>
          </cell>
          <cell r="CG61">
            <v>2.6888504171704186E-2</v>
          </cell>
          <cell r="CH61">
            <v>3.3047246052214652E-2</v>
          </cell>
          <cell r="CI61">
            <v>-1.6028455695999311E-2</v>
          </cell>
          <cell r="CJ61">
            <v>3.1031037360175651E-2</v>
          </cell>
          <cell r="CK61">
            <v>2.6888504171704186E-2</v>
          </cell>
          <cell r="CL61">
            <v>3.3047246052214652E-2</v>
          </cell>
        </row>
        <row r="62">
          <cell r="A62" t="str">
            <v>2-yr organic</v>
          </cell>
          <cell r="L62">
            <v>-3.0464028516734243E-2</v>
          </cell>
          <cell r="M62">
            <v>-3.5323888551188398E-2</v>
          </cell>
          <cell r="N62">
            <v>1.5835096611142907E-2</v>
          </cell>
          <cell r="O62">
            <v>1.7731370312450867E-2</v>
          </cell>
          <cell r="P62">
            <v>-6.6620120300076024E-4</v>
          </cell>
          <cell r="Q62">
            <v>7.4968982582526156E-3</v>
          </cell>
          <cell r="R62">
            <v>1.4987684654350852E-2</v>
          </cell>
          <cell r="S62">
            <v>2.0000000000000018E-2</v>
          </cell>
          <cell r="T62">
            <v>2.0000000000000018E-2</v>
          </cell>
          <cell r="U62">
            <v>2.0000000000000018E-2</v>
          </cell>
          <cell r="AX62">
            <v>0</v>
          </cell>
          <cell r="AY62">
            <v>0</v>
          </cell>
          <cell r="AZ62">
            <v>0</v>
          </cell>
          <cell r="BA62">
            <v>0</v>
          </cell>
          <cell r="BB62">
            <v>0</v>
          </cell>
          <cell r="BC62">
            <v>0</v>
          </cell>
          <cell r="BD62">
            <v>0</v>
          </cell>
          <cell r="BE62">
            <v>-4.0833695337456066E-2</v>
          </cell>
          <cell r="BF62">
            <v>-1.5114219820389518E-2</v>
          </cell>
          <cell r="BG62">
            <v>-1.005050633883342E-2</v>
          </cell>
          <cell r="BH62">
            <v>-1.005050633883342E-2</v>
          </cell>
          <cell r="BI62">
            <v>-7.830659615002955E-3</v>
          </cell>
          <cell r="BJ62">
            <v>-4.5010129558820111E-4</v>
          </cell>
          <cell r="BK62">
            <v>-5.1130717513673263E-3</v>
          </cell>
          <cell r="BL62">
            <v>4.2976509802593821E-2</v>
          </cell>
          <cell r="BM62">
            <v>5.4893359539247566E-2</v>
          </cell>
          <cell r="BN62">
            <v>-1.6028455695999311E-2</v>
          </cell>
          <cell r="BO62">
            <v>3.1031037360175651E-2</v>
          </cell>
          <cell r="BP62">
            <v>2.6888504171704186E-2</v>
          </cell>
          <cell r="BQ62">
            <v>3.3047246052214652E-2</v>
          </cell>
          <cell r="BR62">
            <v>-8.8895117092142595E-3</v>
          </cell>
          <cell r="BS62">
            <v>1.4396372233260735E-2</v>
          </cell>
          <cell r="BT62">
            <v>4.6890066085127913E-3</v>
          </cell>
          <cell r="BU62">
            <v>-1.8439309078959742E-2</v>
          </cell>
        </row>
        <row r="64">
          <cell r="A64" t="str">
            <v>US Beverages</v>
          </cell>
          <cell r="I64">
            <v>2008</v>
          </cell>
          <cell r="J64" t="str">
            <v>2009</v>
          </cell>
          <cell r="K64">
            <v>2010</v>
          </cell>
          <cell r="L64">
            <v>2011</v>
          </cell>
          <cell r="M64">
            <v>2012</v>
          </cell>
          <cell r="N64" t="str">
            <v>2013E</v>
          </cell>
          <cell r="O64" t="str">
            <v>2014E</v>
          </cell>
          <cell r="P64" t="str">
            <v>2015E</v>
          </cell>
          <cell r="Q64" t="str">
            <v>2016E</v>
          </cell>
          <cell r="R64" t="str">
            <v>2017E</v>
          </cell>
          <cell r="S64" t="str">
            <v>2018E</v>
          </cell>
          <cell r="T64" t="str">
            <v>2019E</v>
          </cell>
          <cell r="U64" t="str">
            <v>2020E</v>
          </cell>
          <cell r="W64" t="str">
            <v>2014E</v>
          </cell>
          <cell r="AD64">
            <v>0</v>
          </cell>
          <cell r="AE64">
            <v>0</v>
          </cell>
          <cell r="AF64">
            <v>0</v>
          </cell>
          <cell r="AG64">
            <v>0</v>
          </cell>
          <cell r="AH64">
            <v>0</v>
          </cell>
          <cell r="AI64">
            <v>0</v>
          </cell>
          <cell r="AJ64">
            <v>0</v>
          </cell>
          <cell r="AK64">
            <v>0</v>
          </cell>
          <cell r="AL64">
            <v>0</v>
          </cell>
          <cell r="AM64">
            <v>0</v>
          </cell>
          <cell r="AN64">
            <v>0</v>
          </cell>
          <cell r="AO64">
            <v>0</v>
          </cell>
          <cell r="AQ64" t="str">
            <v>2Q08</v>
          </cell>
          <cell r="AR64" t="str">
            <v>3Q08</v>
          </cell>
          <cell r="AS64" t="str">
            <v>4Q08</v>
          </cell>
          <cell r="AT64" t="str">
            <v>1Q09</v>
          </cell>
          <cell r="AU64" t="str">
            <v>2Q09</v>
          </cell>
          <cell r="AV64" t="str">
            <v>3Q09</v>
          </cell>
          <cell r="AW64" t="str">
            <v>4Q09</v>
          </cell>
          <cell r="AX64">
            <v>0</v>
          </cell>
          <cell r="AY64" t="str">
            <v>2Q10</v>
          </cell>
          <cell r="AZ64" t="str">
            <v>3Q10</v>
          </cell>
          <cell r="BA64" t="str">
            <v>4Q10</v>
          </cell>
          <cell r="BB64" t="str">
            <v>1Q11</v>
          </cell>
          <cell r="BC64" t="str">
            <v>2Q11</v>
          </cell>
          <cell r="BD64" t="str">
            <v>3Q11</v>
          </cell>
          <cell r="BE64" t="str">
            <v>4Q11</v>
          </cell>
          <cell r="BF64" t="str">
            <v>1Q12</v>
          </cell>
          <cell r="BG64" t="str">
            <v>2Q12</v>
          </cell>
          <cell r="BH64" t="str">
            <v>3Q12</v>
          </cell>
          <cell r="BI64" t="str">
            <v>4Q12</v>
          </cell>
          <cell r="BJ64" t="str">
            <v>1Q13</v>
          </cell>
          <cell r="BK64" t="str">
            <v>2Q13</v>
          </cell>
          <cell r="BL64" t="str">
            <v>3Q13</v>
          </cell>
          <cell r="BM64" t="str">
            <v>4Q13</v>
          </cell>
          <cell r="BN64" t="str">
            <v>1Q14</v>
          </cell>
          <cell r="BO64" t="str">
            <v>2Q14E</v>
          </cell>
          <cell r="BP64" t="str">
            <v>3Q14E</v>
          </cell>
          <cell r="BQ64" t="str">
            <v>4Q14E</v>
          </cell>
        </row>
        <row r="65">
          <cell r="A65" t="str">
            <v>Volume and Mix</v>
          </cell>
          <cell r="L65">
            <v>0.02</v>
          </cell>
          <cell r="M65">
            <v>0.03</v>
          </cell>
          <cell r="N65">
            <v>-2.9535142118863052E-2</v>
          </cell>
          <cell r="O65">
            <v>-0.05</v>
          </cell>
          <cell r="P65">
            <v>2.5000000000000001E-2</v>
          </cell>
          <cell r="Q65">
            <v>0.01</v>
          </cell>
          <cell r="R65">
            <v>0.01</v>
          </cell>
          <cell r="S65">
            <v>0.01</v>
          </cell>
          <cell r="T65">
            <v>0.01</v>
          </cell>
          <cell r="U65">
            <v>0.01</v>
          </cell>
          <cell r="W65">
            <v>1.4999999999999999E-2</v>
          </cell>
          <cell r="X65">
            <v>-6.5000000000000002E-2</v>
          </cell>
          <cell r="BE65">
            <v>0.03</v>
          </cell>
          <cell r="BF65">
            <v>0.01</v>
          </cell>
          <cell r="BG65">
            <v>0.02</v>
          </cell>
          <cell r="BH65">
            <v>7.0000000000000007E-2</v>
          </cell>
          <cell r="BI65">
            <v>0.03</v>
          </cell>
          <cell r="BJ65">
            <v>-0.04</v>
          </cell>
          <cell r="BK65">
            <v>-0.03</v>
          </cell>
          <cell r="BL65">
            <v>-0.01</v>
          </cell>
          <cell r="BM65">
            <v>-0.04</v>
          </cell>
          <cell r="BN65">
            <v>-0.09</v>
          </cell>
          <cell r="BO65">
            <v>-0.04</v>
          </cell>
          <cell r="BP65">
            <v>-0.05</v>
          </cell>
          <cell r="BQ65">
            <v>-1.6820809248554936E-2</v>
          </cell>
          <cell r="BR65">
            <v>-2.5000000000000001E-2</v>
          </cell>
          <cell r="BS65">
            <v>-3.5000000000000003E-2</v>
          </cell>
          <cell r="BT65">
            <v>-0.03</v>
          </cell>
          <cell r="BU65">
            <v>-2.991847826086956E-2</v>
          </cell>
          <cell r="BW65">
            <v>-5.615768427515766E-3</v>
          </cell>
          <cell r="BX65">
            <v>-6.5334284356166172E-2</v>
          </cell>
          <cell r="BY65">
            <v>-2.5012820597111629E-2</v>
          </cell>
          <cell r="BZ65">
            <v>-2.5115391443684798E-2</v>
          </cell>
          <cell r="CA65">
            <v>-3.5012953454814588E-2</v>
          </cell>
          <cell r="CB65">
            <v>9.9504938362078299E-3</v>
          </cell>
          <cell r="CC65">
            <v>3.4408043278860045E-2</v>
          </cell>
          <cell r="CD65">
            <v>3.0000000000000027E-2</v>
          </cell>
          <cell r="CE65">
            <v>-6.5334284356166172E-2</v>
          </cell>
          <cell r="CF65">
            <v>-3.5012953454814588E-2</v>
          </cell>
          <cell r="CG65">
            <v>-3.0206207485323211E-2</v>
          </cell>
          <cell r="CH65">
            <v>-2.8479530261257269E-2</v>
          </cell>
          <cell r="CI65">
            <v>-6.5334284356166172E-2</v>
          </cell>
          <cell r="CJ65">
            <v>-3.5012953454814588E-2</v>
          </cell>
          <cell r="CK65">
            <v>-3.0206207485323211E-2</v>
          </cell>
          <cell r="CL65">
            <v>-2.8479530261257269E-2</v>
          </cell>
        </row>
        <row r="66">
          <cell r="A66" t="str">
            <v>Price and Sales Allowances</v>
          </cell>
          <cell r="L66">
            <v>0</v>
          </cell>
          <cell r="M66">
            <v>0</v>
          </cell>
          <cell r="N66">
            <v>-7.71421188630491E-3</v>
          </cell>
          <cell r="O66">
            <v>5.0000000000000001E-3</v>
          </cell>
          <cell r="P66">
            <v>1.4999999999999999E-2</v>
          </cell>
          <cell r="Q66">
            <v>1.4999999999999999E-2</v>
          </cell>
          <cell r="R66">
            <v>1.4999999999999999E-2</v>
          </cell>
          <cell r="S66">
            <v>1.4999999999999999E-2</v>
          </cell>
          <cell r="T66">
            <v>1.4999999999999999E-2</v>
          </cell>
          <cell r="U66">
            <v>1.4999999999999999E-2</v>
          </cell>
          <cell r="W66">
            <v>0.01</v>
          </cell>
          <cell r="X66">
            <v>-5.0000000000000001E-3</v>
          </cell>
          <cell r="BE66">
            <v>-0.01</v>
          </cell>
          <cell r="BF66">
            <v>0</v>
          </cell>
          <cell r="BG66">
            <v>0.01</v>
          </cell>
          <cell r="BH66">
            <v>0</v>
          </cell>
          <cell r="BI66">
            <v>0</v>
          </cell>
          <cell r="BJ66">
            <v>0</v>
          </cell>
          <cell r="BK66">
            <v>0</v>
          </cell>
          <cell r="BL66">
            <v>-0.02</v>
          </cell>
          <cell r="BM66">
            <v>-0.01</v>
          </cell>
          <cell r="BN66">
            <v>-0.01</v>
          </cell>
          <cell r="BO66">
            <v>0</v>
          </cell>
          <cell r="BP66">
            <v>1.4999999999999999E-2</v>
          </cell>
          <cell r="BQ66">
            <v>1.5202312138728327E-2</v>
          </cell>
          <cell r="BR66">
            <v>0</v>
          </cell>
          <cell r="BS66">
            <v>0</v>
          </cell>
          <cell r="BT66">
            <v>0</v>
          </cell>
          <cell r="BU66">
            <v>0</v>
          </cell>
          <cell r="BW66">
            <v>-5.0125628933800348E-3</v>
          </cell>
          <cell r="BX66">
            <v>-5.0125628933800348E-3</v>
          </cell>
          <cell r="BY66">
            <v>-5.0125628933800348E-3</v>
          </cell>
          <cell r="BZ66">
            <v>-1.005050633883342E-2</v>
          </cell>
          <cell r="CA66">
            <v>-5.0001250062492453E-5</v>
          </cell>
          <cell r="CB66">
            <v>4.9875621120889502E-3</v>
          </cell>
          <cell r="CC66">
            <v>0</v>
          </cell>
          <cell r="CD66">
            <v>-5.0125628933800348E-3</v>
          </cell>
          <cell r="CE66">
            <v>-5.0125628933800348E-3</v>
          </cell>
          <cell r="CF66">
            <v>0</v>
          </cell>
          <cell r="CG66">
            <v>-2.6535205857495248E-3</v>
          </cell>
          <cell r="CH66">
            <v>2.5219643565626004E-3</v>
          </cell>
          <cell r="CI66">
            <v>-5.0125628933800348E-3</v>
          </cell>
          <cell r="CJ66">
            <v>0</v>
          </cell>
          <cell r="CK66">
            <v>-2.6535205857495248E-3</v>
          </cell>
          <cell r="CL66">
            <v>2.5219643565626004E-3</v>
          </cell>
        </row>
        <row r="67">
          <cell r="A67" t="str">
            <v>Promotional Spending</v>
          </cell>
          <cell r="L67">
            <v>-0.02</v>
          </cell>
          <cell r="M67">
            <v>-0.01</v>
          </cell>
          <cell r="N67">
            <v>-5.5881136950904388E-3</v>
          </cell>
          <cell r="O67">
            <v>0</v>
          </cell>
          <cell r="P67">
            <v>0</v>
          </cell>
          <cell r="Q67">
            <v>0</v>
          </cell>
          <cell r="R67">
            <v>0</v>
          </cell>
          <cell r="S67">
            <v>0</v>
          </cell>
          <cell r="T67">
            <v>0</v>
          </cell>
          <cell r="U67">
            <v>0</v>
          </cell>
          <cell r="W67">
            <v>0</v>
          </cell>
          <cell r="X67">
            <v>0</v>
          </cell>
          <cell r="BE67">
            <v>-0.03</v>
          </cell>
          <cell r="BF67">
            <v>-0.04</v>
          </cell>
          <cell r="BG67">
            <v>-0.01</v>
          </cell>
          <cell r="BH67">
            <v>-0.02</v>
          </cell>
          <cell r="BI67">
            <v>0</v>
          </cell>
          <cell r="BJ67">
            <v>-0.01</v>
          </cell>
          <cell r="BK67">
            <v>0</v>
          </cell>
          <cell r="BL67">
            <v>-0.02</v>
          </cell>
          <cell r="BM67">
            <v>0.01</v>
          </cell>
          <cell r="BN67">
            <v>0.02</v>
          </cell>
          <cell r="BO67">
            <v>0</v>
          </cell>
          <cell r="BP67">
            <v>0.01</v>
          </cell>
          <cell r="BQ67">
            <v>-3.3294797687861269E-2</v>
          </cell>
          <cell r="BR67">
            <v>0</v>
          </cell>
          <cell r="BS67">
            <v>0</v>
          </cell>
          <cell r="BT67">
            <v>0</v>
          </cell>
          <cell r="BU67">
            <v>0</v>
          </cell>
          <cell r="BW67">
            <v>4.9875621120889502E-3</v>
          </cell>
          <cell r="BX67">
            <v>4.8880534666535524E-3</v>
          </cell>
          <cell r="BY67">
            <v>0</v>
          </cell>
          <cell r="BZ67">
            <v>-1.005050633883342E-2</v>
          </cell>
          <cell r="CA67">
            <v>1.0000000000000009E-2</v>
          </cell>
          <cell r="CB67">
            <v>-5.0125628933800348E-3</v>
          </cell>
          <cell r="CC67">
            <v>-1.005050633883342E-2</v>
          </cell>
          <cell r="CD67">
            <v>-1.5114219820389518E-2</v>
          </cell>
          <cell r="CE67">
            <v>4.8880534666535524E-3</v>
          </cell>
          <cell r="CF67">
            <v>0</v>
          </cell>
          <cell r="CG67">
            <v>-5.1130717513673263E-3</v>
          </cell>
          <cell r="CH67">
            <v>-1.1884493424346609E-2</v>
          </cell>
          <cell r="CI67">
            <v>4.8880534666535524E-3</v>
          </cell>
          <cell r="CJ67">
            <v>0</v>
          </cell>
          <cell r="CK67">
            <v>-5.1130717513673263E-3</v>
          </cell>
          <cell r="CL67">
            <v>-1.1884493424346609E-2</v>
          </cell>
        </row>
        <row r="68">
          <cell r="A68" t="str">
            <v>Currency</v>
          </cell>
          <cell r="L68">
            <v>0</v>
          </cell>
          <cell r="M68">
            <v>2.3999999999999998E-3</v>
          </cell>
          <cell r="N68">
            <v>0</v>
          </cell>
          <cell r="O68">
            <v>0</v>
          </cell>
          <cell r="P68">
            <v>0</v>
          </cell>
          <cell r="Q68">
            <v>0</v>
          </cell>
          <cell r="R68">
            <v>0</v>
          </cell>
          <cell r="S68">
            <v>0</v>
          </cell>
          <cell r="T68">
            <v>0</v>
          </cell>
          <cell r="U68">
            <v>0</v>
          </cell>
          <cell r="W68">
            <v>0</v>
          </cell>
          <cell r="X68">
            <v>0</v>
          </cell>
          <cell r="BE68">
            <v>0</v>
          </cell>
          <cell r="BF68">
            <v>0</v>
          </cell>
          <cell r="BG68">
            <v>0.01</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row>
        <row r="69">
          <cell r="A69" t="str">
            <v>Acquisitions/Divestitures</v>
          </cell>
          <cell r="L69">
            <v>0</v>
          </cell>
          <cell r="M69">
            <v>0</v>
          </cell>
          <cell r="N69">
            <v>0</v>
          </cell>
          <cell r="O69">
            <v>0</v>
          </cell>
          <cell r="P69">
            <v>0</v>
          </cell>
          <cell r="Q69">
            <v>0</v>
          </cell>
          <cell r="R69">
            <v>0</v>
          </cell>
          <cell r="S69">
            <v>0</v>
          </cell>
          <cell r="T69">
            <v>0</v>
          </cell>
          <cell r="U69">
            <v>0</v>
          </cell>
          <cell r="W69">
            <v>0</v>
          </cell>
          <cell r="X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row>
        <row r="70">
          <cell r="A70" t="str">
            <v>53rd week</v>
          </cell>
          <cell r="L70">
            <v>0</v>
          </cell>
          <cell r="M70">
            <v>0</v>
          </cell>
          <cell r="N70">
            <v>0</v>
          </cell>
          <cell r="O70">
            <v>1.8867924528301886E-2</v>
          </cell>
          <cell r="P70">
            <v>-1.8416147448405515E-2</v>
          </cell>
          <cell r="Q70">
            <v>1.8590885235621569E-2</v>
          </cell>
          <cell r="R70">
            <v>1.8595820508407905E-2</v>
          </cell>
          <cell r="S70">
            <v>1.8600669126440032E-2</v>
          </cell>
          <cell r="T70">
            <v>1.8605432566565494E-2</v>
          </cell>
          <cell r="U70">
            <v>1.8610112282041236E-2</v>
          </cell>
          <cell r="BJ70">
            <v>0</v>
          </cell>
          <cell r="BK70">
            <v>0</v>
          </cell>
          <cell r="BL70">
            <v>0</v>
          </cell>
          <cell r="BM70">
            <v>0</v>
          </cell>
          <cell r="BN70">
            <v>0</v>
          </cell>
          <cell r="BO70">
            <v>0</v>
          </cell>
          <cell r="BP70">
            <v>0</v>
          </cell>
          <cell r="BQ70">
            <v>7.6923076923076927E-2</v>
          </cell>
          <cell r="BR70">
            <v>0</v>
          </cell>
          <cell r="BS70">
            <v>0</v>
          </cell>
          <cell r="BT70">
            <v>0</v>
          </cell>
          <cell r="BU70">
            <v>-6.5815217391304359E-2</v>
          </cell>
        </row>
        <row r="71">
          <cell r="A71" t="str">
            <v>Organic</v>
          </cell>
          <cell r="L71">
            <v>0</v>
          </cell>
          <cell r="M71">
            <v>1.9999999999999997E-2</v>
          </cell>
          <cell r="N71">
            <v>-4.2837467700258397E-2</v>
          </cell>
          <cell r="O71">
            <v>-4.5000000000000005E-2</v>
          </cell>
          <cell r="P71">
            <v>0.04</v>
          </cell>
          <cell r="Q71">
            <v>2.5000000000000001E-2</v>
          </cell>
          <cell r="R71">
            <v>2.5000000000000001E-2</v>
          </cell>
          <cell r="S71">
            <v>2.5000000000000001E-2</v>
          </cell>
          <cell r="T71">
            <v>2.5000000000000001E-2</v>
          </cell>
          <cell r="U71">
            <v>2.5000000000000001E-2</v>
          </cell>
          <cell r="W71">
            <v>2.5000000000000001E-2</v>
          </cell>
          <cell r="X71">
            <v>-7.0000000000000007E-2</v>
          </cell>
          <cell r="BE71">
            <v>-1.0000000000000002E-2</v>
          </cell>
          <cell r="BF71">
            <v>-0.03</v>
          </cell>
          <cell r="BG71">
            <v>1.9999999999999997E-2</v>
          </cell>
          <cell r="BH71">
            <v>0.05</v>
          </cell>
          <cell r="BI71">
            <v>0.03</v>
          </cell>
          <cell r="BJ71">
            <v>-0.05</v>
          </cell>
          <cell r="BK71">
            <v>-0.03</v>
          </cell>
          <cell r="BL71">
            <v>-0.05</v>
          </cell>
          <cell r="BM71">
            <v>-0.04</v>
          </cell>
          <cell r="BN71">
            <v>-7.9999999999999988E-2</v>
          </cell>
          <cell r="BO71">
            <v>-0.04</v>
          </cell>
          <cell r="BP71">
            <v>-2.5000000000000001E-2</v>
          </cell>
          <cell r="BQ71">
            <v>-3.4913294797687879E-2</v>
          </cell>
          <cell r="BR71">
            <v>-2.5000000000000001E-2</v>
          </cell>
          <cell r="BS71">
            <v>-3.5000000000000003E-2</v>
          </cell>
          <cell r="BT71">
            <v>-0.03</v>
          </cell>
          <cell r="BU71">
            <v>-2.991847826086956E-2</v>
          </cell>
          <cell r="BW71">
            <v>-5.615768427515766E-3</v>
          </cell>
          <cell r="BX71">
            <v>-6.5120328598380572E-2</v>
          </cell>
          <cell r="BY71">
            <v>-3.0000000000000027E-2</v>
          </cell>
          <cell r="BZ71">
            <v>-4.5013089094934289E-2</v>
          </cell>
          <cell r="CA71">
            <v>-2.5115391443684798E-2</v>
          </cell>
          <cell r="CB71">
            <v>-5.2899160595874073E-2</v>
          </cell>
          <cell r="CC71">
            <v>-3.2503229979551795E-2</v>
          </cell>
          <cell r="CD71">
            <v>-3.5012953454814588E-2</v>
          </cell>
          <cell r="CE71">
            <v>-6.5120328598380572E-2</v>
          </cell>
          <cell r="CF71">
            <v>-3.5012953454814588E-2</v>
          </cell>
          <cell r="CG71">
            <v>-3.7581172253992157E-2</v>
          </cell>
          <cell r="CH71">
            <v>-3.7460007587103106E-2</v>
          </cell>
          <cell r="CI71">
            <v>-6.5120328598380572E-2</v>
          </cell>
          <cell r="CJ71">
            <v>-3.5012953454814588E-2</v>
          </cell>
          <cell r="CK71">
            <v>-3.7581172253992157E-2</v>
          </cell>
          <cell r="CL71">
            <v>-3.7460007587103106E-2</v>
          </cell>
        </row>
        <row r="72">
          <cell r="A72" t="str">
            <v>US Beverages Total Sales Growth</v>
          </cell>
          <cell r="L72">
            <v>0</v>
          </cell>
          <cell r="M72">
            <v>2.2399999999999996E-2</v>
          </cell>
          <cell r="N72">
            <v>-4.2837467700258397E-2</v>
          </cell>
          <cell r="O72">
            <v>-2.6132075471698119E-2</v>
          </cell>
          <cell r="P72">
            <v>2.1583852551594486E-2</v>
          </cell>
          <cell r="Q72">
            <v>4.3590885235621574E-2</v>
          </cell>
          <cell r="R72">
            <v>4.3595820508407906E-2</v>
          </cell>
          <cell r="S72">
            <v>4.3600669126440034E-2</v>
          </cell>
          <cell r="T72">
            <v>4.3605432566565495E-2</v>
          </cell>
          <cell r="U72">
            <v>4.3610112282041237E-2</v>
          </cell>
          <cell r="W72">
            <v>2.5000000000000001E-2</v>
          </cell>
          <cell r="X72">
            <v>-5.1132075471698124E-2</v>
          </cell>
          <cell r="BE72">
            <v>-5.6497175141242417E-3</v>
          </cell>
          <cell r="BF72">
            <v>-3.4146341463414664E-2</v>
          </cell>
          <cell r="BG72">
            <v>3.8888888888888973E-2</v>
          </cell>
          <cell r="BH72">
            <v>0.05</v>
          </cell>
          <cell r="BI72">
            <v>0.03</v>
          </cell>
          <cell r="BJ72">
            <v>-0.05</v>
          </cell>
          <cell r="BK72">
            <v>-0.03</v>
          </cell>
          <cell r="BL72">
            <v>-0.05</v>
          </cell>
          <cell r="BM72">
            <v>-0.04</v>
          </cell>
          <cell r="BN72">
            <v>-7.9999999999999988E-2</v>
          </cell>
          <cell r="BO72">
            <v>-0.04</v>
          </cell>
          <cell r="BP72">
            <v>-2.5000000000000001E-2</v>
          </cell>
          <cell r="BQ72">
            <v>4.2009782125389049E-2</v>
          </cell>
          <cell r="BR72">
            <v>-2.5000000000000001E-2</v>
          </cell>
          <cell r="BS72">
            <v>-3.5000000000000003E-2</v>
          </cell>
          <cell r="BT72">
            <v>-0.03</v>
          </cell>
          <cell r="BU72">
            <v>-9.573369565217392E-2</v>
          </cell>
          <cell r="BW72">
            <v>-5.615768427515766E-3</v>
          </cell>
          <cell r="BX72">
            <v>-6.5120328598380572E-2</v>
          </cell>
          <cell r="BY72">
            <v>-3.0000000000000027E-2</v>
          </cell>
          <cell r="BZ72">
            <v>-4.5013089094934289E-2</v>
          </cell>
          <cell r="CA72">
            <v>8.7616170334794408E-3</v>
          </cell>
          <cell r="CB72">
            <v>-5.2899160595874073E-2</v>
          </cell>
          <cell r="CC72">
            <v>-3.2503229979551795E-2</v>
          </cell>
          <cell r="CD72">
            <v>-3.5012953454814588E-2</v>
          </cell>
          <cell r="CE72">
            <v>-4.2105968486202516E-2</v>
          </cell>
          <cell r="CF72">
            <v>3.8536856645106088E-3</v>
          </cell>
          <cell r="CG72">
            <v>-1.2507822280910519E-3</v>
          </cell>
          <cell r="CH72">
            <v>-5.615768427515766E-3</v>
          </cell>
          <cell r="CI72">
            <v>-6.5120328598380572E-2</v>
          </cell>
          <cell r="CJ72">
            <v>-3.5012953454814588E-2</v>
          </cell>
          <cell r="CK72">
            <v>-3.7581172253992157E-2</v>
          </cell>
          <cell r="CL72">
            <v>1.6468186012907893E-4</v>
          </cell>
        </row>
        <row r="73">
          <cell r="A73" t="str">
            <v>2-yr organic</v>
          </cell>
          <cell r="L73">
            <v>0</v>
          </cell>
          <cell r="M73">
            <v>9.9504938362078299E-3</v>
          </cell>
          <cell r="N73">
            <v>-1.1918129431707225E-2</v>
          </cell>
          <cell r="O73">
            <v>-4.1789927022519602E-2</v>
          </cell>
          <cell r="P73">
            <v>-3.5385570652925469E-2</v>
          </cell>
          <cell r="Q73">
            <v>-1.0202040818430458E-2</v>
          </cell>
          <cell r="R73">
            <v>1.0000000000000009E-2</v>
          </cell>
          <cell r="S73">
            <v>1.0000000000000009E-2</v>
          </cell>
          <cell r="T73">
            <v>1.0000000000000009E-2</v>
          </cell>
          <cell r="U73">
            <v>1.0000000000000009E-2</v>
          </cell>
          <cell r="AX73">
            <v>0</v>
          </cell>
          <cell r="AY73">
            <v>0</v>
          </cell>
          <cell r="AZ73">
            <v>0</v>
          </cell>
          <cell r="BA73">
            <v>0</v>
          </cell>
          <cell r="BB73">
            <v>0</v>
          </cell>
          <cell r="BC73">
            <v>0</v>
          </cell>
          <cell r="BD73">
            <v>0</v>
          </cell>
          <cell r="BE73">
            <v>-5.0125628933800348E-3</v>
          </cell>
          <cell r="BF73">
            <v>-1.5114219820389518E-2</v>
          </cell>
          <cell r="BG73">
            <v>9.9504938362078299E-3</v>
          </cell>
          <cell r="BH73">
            <v>2.4695076595959931E-2</v>
          </cell>
          <cell r="BI73">
            <v>9.8019607824100241E-3</v>
          </cell>
          <cell r="BJ73">
            <v>-4.0052084746260874E-2</v>
          </cell>
          <cell r="BK73">
            <v>-5.3141199353435864E-3</v>
          </cell>
          <cell r="BL73">
            <v>-1.2507822280910519E-3</v>
          </cell>
          <cell r="BM73">
            <v>-5.615768427515766E-3</v>
          </cell>
          <cell r="BN73">
            <v>-6.5120328598380572E-2</v>
          </cell>
          <cell r="BO73">
            <v>-3.5012953454814588E-2</v>
          </cell>
          <cell r="BP73">
            <v>-3.7581172253992157E-2</v>
          </cell>
          <cell r="BQ73">
            <v>-3.7460007587103106E-2</v>
          </cell>
          <cell r="BR73">
            <v>-5.2899160595874073E-2</v>
          </cell>
          <cell r="BS73">
            <v>-3.2503229979551795E-2</v>
          </cell>
          <cell r="BT73">
            <v>-3.5012953454814588E-2</v>
          </cell>
          <cell r="BU73">
            <v>-2.0009843660795168E-2</v>
          </cell>
        </row>
        <row r="75">
          <cell r="A75" t="str">
            <v>Global Baking and Snacking</v>
          </cell>
          <cell r="B75">
            <v>2001</v>
          </cell>
          <cell r="C75">
            <v>2002</v>
          </cell>
          <cell r="D75">
            <v>2003</v>
          </cell>
          <cell r="E75">
            <v>2004</v>
          </cell>
          <cell r="F75">
            <v>2005</v>
          </cell>
          <cell r="G75">
            <v>2006</v>
          </cell>
          <cell r="H75">
            <v>2007</v>
          </cell>
          <cell r="I75">
            <v>2008</v>
          </cell>
          <cell r="J75" t="str">
            <v>2009</v>
          </cell>
          <cell r="K75">
            <v>2010</v>
          </cell>
          <cell r="L75">
            <v>2011</v>
          </cell>
          <cell r="M75">
            <v>2012</v>
          </cell>
          <cell r="N75">
            <v>2013</v>
          </cell>
          <cell r="O75" t="str">
            <v>2014E</v>
          </cell>
          <cell r="P75" t="str">
            <v>2015E</v>
          </cell>
          <cell r="Q75" t="str">
            <v>2016E</v>
          </cell>
          <cell r="R75" t="str">
            <v>2017E</v>
          </cell>
          <cell r="S75" t="str">
            <v>2018E</v>
          </cell>
          <cell r="T75" t="str">
            <v>2019E</v>
          </cell>
          <cell r="U75" t="str">
            <v>2020E</v>
          </cell>
          <cell r="W75" t="str">
            <v>2014E</v>
          </cell>
          <cell r="AD75" t="str">
            <v>1Q05</v>
          </cell>
          <cell r="AE75" t="str">
            <v>2Q05</v>
          </cell>
          <cell r="AF75" t="str">
            <v>3Q05</v>
          </cell>
          <cell r="AG75" t="str">
            <v>4Q05</v>
          </cell>
          <cell r="AH75" t="str">
            <v>1Q06</v>
          </cell>
          <cell r="AI75" t="str">
            <v>2Q06</v>
          </cell>
          <cell r="AJ75" t="str">
            <v>3Q06</v>
          </cell>
          <cell r="AK75" t="str">
            <v>4Q06</v>
          </cell>
          <cell r="AL75" t="str">
            <v>1Q07</v>
          </cell>
          <cell r="AM75" t="str">
            <v>2Q07</v>
          </cell>
          <cell r="AN75" t="str">
            <v>3Q07</v>
          </cell>
          <cell r="AO75" t="str">
            <v>4Q07</v>
          </cell>
          <cell r="AP75" t="str">
            <v>1Q08</v>
          </cell>
          <cell r="AQ75" t="str">
            <v>2Q08</v>
          </cell>
          <cell r="AR75" t="str">
            <v>3Q08</v>
          </cell>
          <cell r="AS75" t="str">
            <v>4Q08</v>
          </cell>
          <cell r="AT75" t="str">
            <v>1Q09</v>
          </cell>
          <cell r="AU75" t="str">
            <v>2Q09</v>
          </cell>
          <cell r="AV75" t="str">
            <v>3Q09</v>
          </cell>
          <cell r="AW75" t="str">
            <v>4Q09</v>
          </cell>
          <cell r="AX75" t="str">
            <v>1Q10</v>
          </cell>
          <cell r="AY75" t="str">
            <v>2Q10</v>
          </cell>
          <cell r="AZ75" t="str">
            <v>3Q10</v>
          </cell>
          <cell r="BA75" t="str">
            <v>4Q10</v>
          </cell>
          <cell r="BB75" t="str">
            <v>1Q11</v>
          </cell>
          <cell r="BC75" t="str">
            <v>2Q11</v>
          </cell>
          <cell r="BD75" t="str">
            <v>3Q11</v>
          </cell>
          <cell r="BE75" t="str">
            <v>4Q11</v>
          </cell>
          <cell r="BF75" t="str">
            <v>1Q12</v>
          </cell>
          <cell r="BG75" t="str">
            <v>2Q12</v>
          </cell>
          <cell r="BH75" t="str">
            <v>3Q12</v>
          </cell>
          <cell r="BI75" t="str">
            <v>4Q12</v>
          </cell>
          <cell r="BJ75" t="str">
            <v>1Q13</v>
          </cell>
          <cell r="BK75" t="str">
            <v>2Q13</v>
          </cell>
          <cell r="BL75" t="str">
            <v>3Q13</v>
          </cell>
          <cell r="BM75" t="str">
            <v>4Q13</v>
          </cell>
          <cell r="BN75" t="str">
            <v>1Q14</v>
          </cell>
          <cell r="BO75" t="str">
            <v>2Q14E</v>
          </cell>
          <cell r="BP75" t="str">
            <v>3Q14E</v>
          </cell>
          <cell r="BQ75" t="str">
            <v>4Q14E</v>
          </cell>
        </row>
        <row r="76">
          <cell r="A76" t="str">
            <v>Volume and Mix</v>
          </cell>
          <cell r="B76">
            <v>0.09</v>
          </cell>
          <cell r="C76">
            <v>0.04</v>
          </cell>
          <cell r="D76">
            <v>0.03</v>
          </cell>
          <cell r="E76">
            <v>0.04</v>
          </cell>
          <cell r="F76">
            <v>0.04</v>
          </cell>
          <cell r="G76">
            <v>0</v>
          </cell>
          <cell r="H76">
            <v>0.02</v>
          </cell>
          <cell r="I76">
            <v>0.02</v>
          </cell>
          <cell r="J76">
            <v>-0.01</v>
          </cell>
          <cell r="K76">
            <v>0.02</v>
          </cell>
          <cell r="L76">
            <v>0.03</v>
          </cell>
          <cell r="M76">
            <v>-0.01</v>
          </cell>
          <cell r="N76">
            <v>4.2093023255813954E-2</v>
          </cell>
          <cell r="O76">
            <v>5.0000000000000001E-3</v>
          </cell>
          <cell r="P76">
            <v>0.02</v>
          </cell>
          <cell r="Q76">
            <v>1.4999999999999999E-2</v>
          </cell>
          <cell r="R76">
            <v>1.4999999999999999E-2</v>
          </cell>
          <cell r="S76">
            <v>1.4999999999999999E-2</v>
          </cell>
          <cell r="T76">
            <v>1.4999999999999999E-2</v>
          </cell>
          <cell r="U76">
            <v>1.4999999999999999E-2</v>
          </cell>
          <cell r="W76">
            <v>0.02</v>
          </cell>
          <cell r="X76">
            <v>-1.4999999999999999E-2</v>
          </cell>
          <cell r="AD76">
            <v>0.05</v>
          </cell>
          <cell r="AE76">
            <v>0.05</v>
          </cell>
          <cell r="AF76">
            <v>0.04</v>
          </cell>
          <cell r="AG76">
            <v>0.01</v>
          </cell>
          <cell r="AH76">
            <v>-0.02</v>
          </cell>
          <cell r="AI76">
            <v>-0.01</v>
          </cell>
          <cell r="AJ76">
            <v>0.03</v>
          </cell>
          <cell r="AK76">
            <v>0.02</v>
          </cell>
          <cell r="AL76">
            <v>0.04</v>
          </cell>
          <cell r="AM76">
            <v>0.01</v>
          </cell>
          <cell r="AN76">
            <v>0.01</v>
          </cell>
          <cell r="AO76">
            <v>0.02</v>
          </cell>
          <cell r="AP76">
            <v>0.03</v>
          </cell>
          <cell r="AQ76">
            <v>0</v>
          </cell>
          <cell r="AR76">
            <v>0.04</v>
          </cell>
          <cell r="AS76">
            <v>0.01</v>
          </cell>
          <cell r="AT76">
            <v>-0.01</v>
          </cell>
          <cell r="AU76">
            <v>-0.01</v>
          </cell>
          <cell r="AV76">
            <v>-0.02</v>
          </cell>
          <cell r="AW76">
            <v>-0.01</v>
          </cell>
          <cell r="AX76">
            <v>0.01</v>
          </cell>
          <cell r="AY76">
            <v>0.03</v>
          </cell>
          <cell r="AZ76">
            <v>0.03</v>
          </cell>
          <cell r="BA76">
            <v>0</v>
          </cell>
          <cell r="BB76">
            <v>0.01</v>
          </cell>
          <cell r="BC76">
            <v>0.04</v>
          </cell>
          <cell r="BD76">
            <v>0.04</v>
          </cell>
          <cell r="BE76">
            <v>0.03</v>
          </cell>
          <cell r="BF76">
            <v>-0.03</v>
          </cell>
          <cell r="BG76">
            <v>-0.04</v>
          </cell>
          <cell r="BH76">
            <v>0</v>
          </cell>
          <cell r="BI76">
            <v>0.03</v>
          </cell>
          <cell r="BJ76">
            <v>0.02</v>
          </cell>
          <cell r="BK76">
            <v>0.06</v>
          </cell>
          <cell r="BL76">
            <v>0.05</v>
          </cell>
          <cell r="BM76">
            <v>0.04</v>
          </cell>
          <cell r="BN76">
            <v>0</v>
          </cell>
          <cell r="BO76">
            <v>-5.0000000000000001E-3</v>
          </cell>
          <cell r="BP76">
            <v>0.01</v>
          </cell>
          <cell r="BQ76">
            <v>1.4894736842105263E-2</v>
          </cell>
          <cell r="BR76">
            <v>0.02</v>
          </cell>
          <cell r="BS76">
            <v>0.02</v>
          </cell>
          <cell r="BT76">
            <v>0.01</v>
          </cell>
          <cell r="BU76">
            <v>9.5541401273885346E-3</v>
          </cell>
          <cell r="BW76">
            <v>3.4987922634849067E-2</v>
          </cell>
          <cell r="BX76">
            <v>9.9504938362078299E-3</v>
          </cell>
          <cell r="BY76">
            <v>3.4698023579826875E-2</v>
          </cell>
          <cell r="BZ76">
            <v>3.9951921965626358E-2</v>
          </cell>
          <cell r="CA76">
            <v>3.4987922634849067E-2</v>
          </cell>
          <cell r="CB76">
            <v>-8.0032025625631498E-4</v>
          </cell>
          <cell r="CC76">
            <v>1.9803902718557032E-2</v>
          </cell>
          <cell r="CD76">
            <v>3.0000000000000027E-2</v>
          </cell>
          <cell r="CE76">
            <v>9.9504938362078299E-3</v>
          </cell>
          <cell r="CF76">
            <v>2.6985881110348942E-2</v>
          </cell>
          <cell r="CG76">
            <v>2.9805806936433976E-2</v>
          </cell>
          <cell r="CH76">
            <v>2.7370685933655325E-2</v>
          </cell>
          <cell r="CI76">
            <v>9.9504938362078299E-3</v>
          </cell>
          <cell r="CJ76">
            <v>2.6985881110348942E-2</v>
          </cell>
          <cell r="CK76">
            <v>2.9805806936433976E-2</v>
          </cell>
          <cell r="CL76">
            <v>2.7370685933655325E-2</v>
          </cell>
        </row>
        <row r="77">
          <cell r="A77" t="str">
            <v>Price and Sales Allowances</v>
          </cell>
          <cell r="B77">
            <v>0.01</v>
          </cell>
          <cell r="C77">
            <v>0.01</v>
          </cell>
          <cell r="D77">
            <v>0.04</v>
          </cell>
          <cell r="E77">
            <v>0.02</v>
          </cell>
          <cell r="F77">
            <v>0.03</v>
          </cell>
          <cell r="G77">
            <v>0.03</v>
          </cell>
          <cell r="H77">
            <v>0.02</v>
          </cell>
          <cell r="I77">
            <v>0.06</v>
          </cell>
          <cell r="J77">
            <v>7.0000000000000007E-2</v>
          </cell>
          <cell r="K77">
            <v>0.01</v>
          </cell>
          <cell r="L77">
            <v>0.02</v>
          </cell>
          <cell r="M77">
            <v>0.05</v>
          </cell>
          <cell r="N77">
            <v>1.7660738714090286E-2</v>
          </cell>
          <cell r="O77">
            <v>1.2500000000000001E-2</v>
          </cell>
          <cell r="P77">
            <v>1.4999999999999999E-2</v>
          </cell>
          <cell r="Q77">
            <v>1.4999999999999999E-2</v>
          </cell>
          <cell r="R77">
            <v>1.4999999999999999E-2</v>
          </cell>
          <cell r="S77">
            <v>1.4999999999999999E-2</v>
          </cell>
          <cell r="T77">
            <v>1.4999999999999999E-2</v>
          </cell>
          <cell r="U77">
            <v>1.4999999999999999E-2</v>
          </cell>
          <cell r="W77">
            <v>0.02</v>
          </cell>
          <cell r="X77">
            <v>-7.4999999999999997E-3</v>
          </cell>
          <cell r="AD77">
            <v>0.02</v>
          </cell>
          <cell r="AE77">
            <v>0.04</v>
          </cell>
          <cell r="AF77">
            <v>0.04</v>
          </cell>
          <cell r="AG77">
            <v>0.02</v>
          </cell>
          <cell r="AH77">
            <v>0.03</v>
          </cell>
          <cell r="AI77">
            <v>0.02</v>
          </cell>
          <cell r="AJ77">
            <v>-0.03</v>
          </cell>
          <cell r="AK77">
            <v>0.02</v>
          </cell>
          <cell r="AL77">
            <v>0.02</v>
          </cell>
          <cell r="AM77">
            <v>0.03</v>
          </cell>
          <cell r="AN77">
            <v>0.02</v>
          </cell>
          <cell r="AO77">
            <v>0.02</v>
          </cell>
          <cell r="AP77">
            <v>0.03</v>
          </cell>
          <cell r="AQ77">
            <v>0.04</v>
          </cell>
          <cell r="AR77">
            <v>0.06</v>
          </cell>
          <cell r="AS77">
            <v>0.08</v>
          </cell>
          <cell r="AT77">
            <v>0.08</v>
          </cell>
          <cell r="AU77">
            <v>0.09</v>
          </cell>
          <cell r="AV77">
            <v>0.06</v>
          </cell>
          <cell r="AW77">
            <v>0.04</v>
          </cell>
          <cell r="AX77">
            <v>0.02</v>
          </cell>
          <cell r="AY77">
            <v>0</v>
          </cell>
          <cell r="AZ77">
            <v>0.01</v>
          </cell>
          <cell r="BA77">
            <v>0</v>
          </cell>
          <cell r="BB77">
            <v>0.01</v>
          </cell>
          <cell r="BC77">
            <v>0.02</v>
          </cell>
          <cell r="BD77">
            <v>0.02</v>
          </cell>
          <cell r="BE77">
            <v>0.05</v>
          </cell>
          <cell r="BF77">
            <v>0.05</v>
          </cell>
          <cell r="BG77">
            <v>0.05</v>
          </cell>
          <cell r="BH77">
            <v>0.06</v>
          </cell>
          <cell r="BI77">
            <v>0.04</v>
          </cell>
          <cell r="BJ77">
            <v>0.02</v>
          </cell>
          <cell r="BK77">
            <v>0.01</v>
          </cell>
          <cell r="BL77">
            <v>0.01</v>
          </cell>
          <cell r="BM77">
            <v>0.03</v>
          </cell>
          <cell r="BN77">
            <v>0.02</v>
          </cell>
          <cell r="BO77">
            <v>1.4999999999999999E-2</v>
          </cell>
          <cell r="BP77">
            <v>1.4999999999999999E-2</v>
          </cell>
          <cell r="BQ77">
            <v>-4.3859649122767128E-6</v>
          </cell>
          <cell r="BR77">
            <v>0</v>
          </cell>
          <cell r="BS77">
            <v>0</v>
          </cell>
          <cell r="BT77">
            <v>5.0000000000000001E-3</v>
          </cell>
          <cell r="BU77">
            <v>1.4936305732484077E-2</v>
          </cell>
          <cell r="BW77">
            <v>3.4987922634849067E-2</v>
          </cell>
          <cell r="BX77">
            <v>2.0000000000000018E-2</v>
          </cell>
          <cell r="BY77">
            <v>1.9950979214197417E-2</v>
          </cell>
          <cell r="BZ77">
            <v>1.4987684654350852E-2</v>
          </cell>
          <cell r="CA77">
            <v>1.4889156509221957E-2</v>
          </cell>
          <cell r="CB77">
            <v>3.4891298639620594E-2</v>
          </cell>
          <cell r="CC77">
            <v>3.9807674524476644E-2</v>
          </cell>
          <cell r="CD77">
            <v>4.4988038209050618E-2</v>
          </cell>
          <cell r="CE77">
            <v>2.0000000000000018E-2</v>
          </cell>
          <cell r="CF77">
            <v>1.2496913575542612E-2</v>
          </cell>
          <cell r="CG77">
            <v>1.2496913575542612E-2</v>
          </cell>
          <cell r="CH77">
            <v>1.488693087266646E-2</v>
          </cell>
          <cell r="CI77">
            <v>2.0000000000000018E-2</v>
          </cell>
          <cell r="CJ77">
            <v>1.2496913575542612E-2</v>
          </cell>
          <cell r="CK77">
            <v>1.2496913575542612E-2</v>
          </cell>
          <cell r="CL77">
            <v>1.488693087266646E-2</v>
          </cell>
        </row>
        <row r="78">
          <cell r="A78" t="str">
            <v>Promotional Spending</v>
          </cell>
          <cell r="B78">
            <v>-0.01</v>
          </cell>
          <cell r="C78">
            <v>0</v>
          </cell>
          <cell r="D78">
            <v>-0.01</v>
          </cell>
          <cell r="E78">
            <v>-0.01</v>
          </cell>
          <cell r="F78">
            <v>-0.01</v>
          </cell>
          <cell r="G78">
            <v>-0.02</v>
          </cell>
          <cell r="H78">
            <v>-0.01</v>
          </cell>
          <cell r="I78">
            <v>-0.01</v>
          </cell>
          <cell r="J78">
            <v>-0.02</v>
          </cell>
          <cell r="K78">
            <v>-0.03</v>
          </cell>
          <cell r="L78">
            <v>-0.01</v>
          </cell>
          <cell r="M78">
            <v>-0.03</v>
          </cell>
          <cell r="N78">
            <v>-1.5239398084815323E-2</v>
          </cell>
          <cell r="O78">
            <v>-0.01</v>
          </cell>
          <cell r="P78">
            <v>0</v>
          </cell>
          <cell r="Q78">
            <v>0</v>
          </cell>
          <cell r="R78">
            <v>0</v>
          </cell>
          <cell r="S78">
            <v>0</v>
          </cell>
          <cell r="T78">
            <v>0</v>
          </cell>
          <cell r="U78">
            <v>0</v>
          </cell>
          <cell r="W78">
            <v>0</v>
          </cell>
          <cell r="X78">
            <v>-0.01</v>
          </cell>
          <cell r="AE78">
            <v>-0.01</v>
          </cell>
          <cell r="AF78">
            <v>-0.01</v>
          </cell>
          <cell r="AG78">
            <v>0.01</v>
          </cell>
          <cell r="AH78">
            <v>-0.01</v>
          </cell>
          <cell r="AI78">
            <v>-0.01</v>
          </cell>
          <cell r="AJ78">
            <v>0</v>
          </cell>
          <cell r="AK78">
            <v>-0.03</v>
          </cell>
          <cell r="AL78">
            <v>0</v>
          </cell>
          <cell r="AM78">
            <v>0</v>
          </cell>
          <cell r="AN78">
            <v>-0.01</v>
          </cell>
          <cell r="AO78">
            <v>-0.01</v>
          </cell>
          <cell r="AP78">
            <v>0</v>
          </cell>
          <cell r="AQ78">
            <v>0</v>
          </cell>
          <cell r="AR78">
            <v>-0.01</v>
          </cell>
          <cell r="AS78">
            <v>-0.03</v>
          </cell>
          <cell r="AT78">
            <v>-0.02</v>
          </cell>
          <cell r="AU78">
            <v>-0.02</v>
          </cell>
          <cell r="AV78">
            <v>-0.01</v>
          </cell>
          <cell r="AW78">
            <v>-0.02</v>
          </cell>
          <cell r="AX78">
            <v>-0.03</v>
          </cell>
          <cell r="AY78">
            <v>-0.03</v>
          </cell>
          <cell r="AZ78">
            <v>-0.03</v>
          </cell>
          <cell r="BA78">
            <v>0</v>
          </cell>
          <cell r="BB78">
            <v>-0.02</v>
          </cell>
          <cell r="BC78">
            <v>-0.01</v>
          </cell>
          <cell r="BD78">
            <v>-0.01</v>
          </cell>
          <cell r="BE78">
            <v>-0.01</v>
          </cell>
          <cell r="BF78">
            <v>-0.01</v>
          </cell>
          <cell r="BG78">
            <v>-0.02</v>
          </cell>
          <cell r="BH78">
            <v>-0.04</v>
          </cell>
          <cell r="BI78">
            <v>-0.05</v>
          </cell>
          <cell r="BJ78">
            <v>-0.03</v>
          </cell>
          <cell r="BK78">
            <v>-0.01</v>
          </cell>
          <cell r="BL78">
            <v>0</v>
          </cell>
          <cell r="BM78">
            <v>-0.02</v>
          </cell>
          <cell r="BN78">
            <v>-0.02</v>
          </cell>
          <cell r="BO78">
            <v>-0.01</v>
          </cell>
          <cell r="BP78">
            <v>-1.4999999999999999E-2</v>
          </cell>
          <cell r="BQ78">
            <v>5.0526315789473667E-3</v>
          </cell>
          <cell r="BR78">
            <v>-0.02</v>
          </cell>
          <cell r="BS78">
            <v>-0.02</v>
          </cell>
          <cell r="BT78">
            <v>0</v>
          </cell>
          <cell r="BU78">
            <v>8.9171974522292787E-4</v>
          </cell>
          <cell r="BW78">
            <v>-3.5116587353684503E-2</v>
          </cell>
          <cell r="BX78">
            <v>-2.5012820597111629E-2</v>
          </cell>
          <cell r="BY78">
            <v>-1.5012690437079868E-2</v>
          </cell>
          <cell r="BZ78">
            <v>-2.5320565519103666E-2</v>
          </cell>
          <cell r="CA78">
            <v>-3.5116587353684503E-2</v>
          </cell>
          <cell r="CB78">
            <v>-1.5012690437079868E-2</v>
          </cell>
          <cell r="CC78">
            <v>-2.5115391443684798E-2</v>
          </cell>
          <cell r="CD78">
            <v>-3.0206207485323211E-2</v>
          </cell>
          <cell r="CE78">
            <v>-2.5012820597111629E-2</v>
          </cell>
          <cell r="CF78">
            <v>-1.0000000000000009E-2</v>
          </cell>
          <cell r="CG78">
            <v>-7.5283379360395752E-3</v>
          </cell>
          <cell r="CH78">
            <v>-7.5527324097424131E-3</v>
          </cell>
          <cell r="CI78">
            <v>-2.5012820597111629E-2</v>
          </cell>
          <cell r="CJ78">
            <v>-1.0000000000000009E-2</v>
          </cell>
          <cell r="CK78">
            <v>-7.5283379360395752E-3</v>
          </cell>
          <cell r="CL78">
            <v>-7.5527324097424131E-3</v>
          </cell>
        </row>
        <row r="79">
          <cell r="A79" t="str">
            <v>Currency</v>
          </cell>
          <cell r="B79">
            <v>-0.05</v>
          </cell>
          <cell r="C79">
            <v>-0.01</v>
          </cell>
          <cell r="D79">
            <v>0.04</v>
          </cell>
          <cell r="E79">
            <v>7.0000000000000007E-2</v>
          </cell>
          <cell r="F79">
            <v>0.02</v>
          </cell>
          <cell r="G79">
            <v>-0.01</v>
          </cell>
          <cell r="H79">
            <v>0.03</v>
          </cell>
          <cell r="I79">
            <v>0.05</v>
          </cell>
          <cell r="J79">
            <v>-0.06</v>
          </cell>
          <cell r="K79">
            <v>0.06</v>
          </cell>
          <cell r="L79">
            <v>0.05</v>
          </cell>
          <cell r="M79">
            <v>0.01</v>
          </cell>
          <cell r="N79">
            <v>-5.5859553123575011E-3</v>
          </cell>
          <cell r="O79">
            <v>-2.5313993230947757E-2</v>
          </cell>
          <cell r="P79">
            <v>0</v>
          </cell>
          <cell r="Q79">
            <v>0</v>
          </cell>
          <cell r="R79">
            <v>0</v>
          </cell>
          <cell r="S79">
            <v>0</v>
          </cell>
          <cell r="T79">
            <v>0</v>
          </cell>
          <cell r="U79">
            <v>0</v>
          </cell>
          <cell r="W79">
            <v>0</v>
          </cell>
          <cell r="X79">
            <v>-2.5313993230947757E-2</v>
          </cell>
          <cell r="AD79">
            <v>0.03</v>
          </cell>
          <cell r="AE79">
            <v>0.01</v>
          </cell>
          <cell r="AF79">
            <v>0.01</v>
          </cell>
          <cell r="AG79">
            <v>0.03</v>
          </cell>
          <cell r="AH79">
            <v>0.02</v>
          </cell>
          <cell r="AI79">
            <v>-0.01</v>
          </cell>
          <cell r="AJ79">
            <v>-0.03</v>
          </cell>
          <cell r="AK79">
            <v>-0.01</v>
          </cell>
          <cell r="AL79">
            <v>0</v>
          </cell>
          <cell r="AM79">
            <v>0.02</v>
          </cell>
          <cell r="AN79">
            <v>0.03</v>
          </cell>
          <cell r="AO79">
            <v>0.06</v>
          </cell>
          <cell r="AP79">
            <v>0.05</v>
          </cell>
          <cell r="AQ79">
            <v>0.05</v>
          </cell>
          <cell r="AR79">
            <v>0.06</v>
          </cell>
          <cell r="AS79">
            <v>0.05</v>
          </cell>
          <cell r="AT79">
            <v>-0.02</v>
          </cell>
          <cell r="AU79">
            <v>-0.08</v>
          </cell>
          <cell r="AV79">
            <v>-0.09</v>
          </cell>
          <cell r="AW79">
            <v>-0.06</v>
          </cell>
          <cell r="AX79">
            <v>0.03</v>
          </cell>
          <cell r="AY79">
            <v>0.1</v>
          </cell>
          <cell r="AZ79">
            <v>0.09</v>
          </cell>
          <cell r="BA79">
            <v>2.8000000000000001E-2</v>
          </cell>
          <cell r="BB79">
            <v>0.03</v>
          </cell>
          <cell r="BC79">
            <v>0.03</v>
          </cell>
          <cell r="BD79">
            <v>0.05</v>
          </cell>
          <cell r="BE79">
            <v>0.1</v>
          </cell>
          <cell r="BF79">
            <v>0.03</v>
          </cell>
          <cell r="BG79">
            <v>0.01</v>
          </cell>
          <cell r="BH79">
            <v>0.01</v>
          </cell>
          <cell r="BI79">
            <v>-0.03</v>
          </cell>
          <cell r="BJ79">
            <v>0</v>
          </cell>
          <cell r="BK79">
            <v>0.01</v>
          </cell>
          <cell r="BL79">
            <v>-9.2081031307550652E-3</v>
          </cell>
          <cell r="BM79">
            <v>-2.2499999999999999E-2</v>
          </cell>
          <cell r="BN79">
            <v>-0.03</v>
          </cell>
          <cell r="BO79">
            <v>-3.40646438311464E-2</v>
          </cell>
          <cell r="BP79">
            <v>-3.232119969132239E-2</v>
          </cell>
          <cell r="BQ79">
            <v>-5.0000000000000001E-3</v>
          </cell>
          <cell r="BR79">
            <v>5.0000000000000001E-3</v>
          </cell>
          <cell r="BS79">
            <v>5.0000000000000001E-3</v>
          </cell>
          <cell r="BT79">
            <v>5.0000000000000001E-3</v>
          </cell>
          <cell r="BU79">
            <v>0</v>
          </cell>
        </row>
        <row r="80">
          <cell r="A80" t="str">
            <v>Acquisitions/Divestitures</v>
          </cell>
          <cell r="B80">
            <v>0</v>
          </cell>
          <cell r="C80">
            <v>0</v>
          </cell>
          <cell r="D80">
            <v>0.08</v>
          </cell>
          <cell r="E80">
            <v>0.02</v>
          </cell>
          <cell r="F80">
            <v>0</v>
          </cell>
          <cell r="G80">
            <v>0</v>
          </cell>
          <cell r="H80">
            <v>0</v>
          </cell>
          <cell r="I80">
            <v>-0.03</v>
          </cell>
          <cell r="J80">
            <v>-0.06</v>
          </cell>
          <cell r="K80">
            <v>0.01</v>
          </cell>
          <cell r="L80">
            <v>0</v>
          </cell>
          <cell r="M80">
            <v>0</v>
          </cell>
          <cell r="N80">
            <v>0</v>
          </cell>
          <cell r="O80">
            <v>8.7989441267047955E-2</v>
          </cell>
          <cell r="P80">
            <v>0</v>
          </cell>
          <cell r="Q80">
            <v>0</v>
          </cell>
          <cell r="R80">
            <v>0</v>
          </cell>
          <cell r="S80">
            <v>0</v>
          </cell>
          <cell r="T80">
            <v>0</v>
          </cell>
          <cell r="U80">
            <v>0</v>
          </cell>
          <cell r="W80">
            <v>0</v>
          </cell>
          <cell r="X80">
            <v>8.7989441267047955E-2</v>
          </cell>
          <cell r="AD80">
            <v>0.01</v>
          </cell>
          <cell r="AO80">
            <v>-0.01</v>
          </cell>
          <cell r="AP80">
            <v>-0.01</v>
          </cell>
          <cell r="AQ80">
            <v>-0.01</v>
          </cell>
          <cell r="AR80">
            <v>-0.01</v>
          </cell>
          <cell r="AS80">
            <v>-0.06</v>
          </cell>
          <cell r="AT80">
            <v>-7.0000000000000007E-2</v>
          </cell>
          <cell r="AU80">
            <v>-0.08</v>
          </cell>
          <cell r="AV80">
            <v>-0.08</v>
          </cell>
          <cell r="AW80">
            <v>-0.01</v>
          </cell>
          <cell r="AX80">
            <v>0.01</v>
          </cell>
          <cell r="AY80">
            <v>0.01</v>
          </cell>
          <cell r="AZ80">
            <v>0.01</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0.09</v>
          </cell>
          <cell r="BO80">
            <v>8.9126559714795009E-2</v>
          </cell>
          <cell r="BP80">
            <v>8.8028169014084501E-2</v>
          </cell>
          <cell r="BQ80">
            <v>8.480701754385965E-2</v>
          </cell>
          <cell r="BR80">
            <v>0</v>
          </cell>
          <cell r="BS80">
            <v>0</v>
          </cell>
          <cell r="BT80">
            <v>0</v>
          </cell>
          <cell r="BU80">
            <v>0</v>
          </cell>
        </row>
        <row r="81">
          <cell r="A81" t="str">
            <v>53rd week</v>
          </cell>
          <cell r="E81">
            <v>-0.02</v>
          </cell>
          <cell r="F81">
            <v>0</v>
          </cell>
          <cell r="G81">
            <v>0</v>
          </cell>
          <cell r="H81">
            <v>0</v>
          </cell>
          <cell r="I81">
            <v>0.02</v>
          </cell>
          <cell r="J81">
            <v>-0.02</v>
          </cell>
          <cell r="L81">
            <v>0</v>
          </cell>
          <cell r="M81">
            <v>0</v>
          </cell>
          <cell r="N81">
            <v>0</v>
          </cell>
          <cell r="O81">
            <v>1.9289992893160513E-2</v>
          </cell>
          <cell r="P81">
            <v>-1.7705924546543756E-2</v>
          </cell>
          <cell r="Q81">
            <v>0</v>
          </cell>
          <cell r="R81">
            <v>0</v>
          </cell>
          <cell r="S81">
            <v>0</v>
          </cell>
          <cell r="T81">
            <v>0</v>
          </cell>
          <cell r="U81">
            <v>0</v>
          </cell>
          <cell r="AS81">
            <v>0.08</v>
          </cell>
          <cell r="AW81">
            <v>-7.0000000000000007E-2</v>
          </cell>
          <cell r="BF81">
            <v>0</v>
          </cell>
          <cell r="BG81">
            <v>0</v>
          </cell>
          <cell r="BH81">
            <v>0</v>
          </cell>
          <cell r="BI81">
            <v>0</v>
          </cell>
          <cell r="BJ81">
            <v>0</v>
          </cell>
          <cell r="BK81">
            <v>0</v>
          </cell>
          <cell r="BL81">
            <v>0</v>
          </cell>
          <cell r="BM81">
            <v>0</v>
          </cell>
          <cell r="BN81">
            <v>0</v>
          </cell>
          <cell r="BO81">
            <v>0</v>
          </cell>
          <cell r="BP81">
            <v>0</v>
          </cell>
          <cell r="BQ81">
            <v>7.6923076923076927E-2</v>
          </cell>
          <cell r="BR81">
            <v>0</v>
          </cell>
          <cell r="BS81">
            <v>0</v>
          </cell>
          <cell r="BT81">
            <v>0</v>
          </cell>
          <cell r="BU81">
            <v>-6.3535031847133772E-2</v>
          </cell>
        </row>
        <row r="82">
          <cell r="A82" t="str">
            <v>Organic</v>
          </cell>
          <cell r="B82">
            <v>0.09</v>
          </cell>
          <cell r="C82">
            <v>0.05</v>
          </cell>
          <cell r="D82">
            <v>6.0000000000000005E-2</v>
          </cell>
          <cell r="E82">
            <v>4.9999999999999996E-2</v>
          </cell>
          <cell r="F82">
            <v>6.0000000000000005E-2</v>
          </cell>
          <cell r="G82">
            <v>9.9999999999999985E-3</v>
          </cell>
          <cell r="H82">
            <v>0.03</v>
          </cell>
          <cell r="I82">
            <v>7.0000000000000007E-2</v>
          </cell>
          <cell r="J82">
            <v>4.0000000000000008E-2</v>
          </cell>
          <cell r="K82">
            <v>0</v>
          </cell>
          <cell r="L82">
            <v>0.04</v>
          </cell>
          <cell r="M82">
            <v>1.0000000000000002E-2</v>
          </cell>
          <cell r="N82">
            <v>4.451436388508892E-2</v>
          </cell>
          <cell r="O82">
            <v>7.5000000000000015E-3</v>
          </cell>
          <cell r="P82">
            <v>3.5000000000000003E-2</v>
          </cell>
          <cell r="Q82">
            <v>0.03</v>
          </cell>
          <cell r="R82">
            <v>0.03</v>
          </cell>
          <cell r="S82">
            <v>0.03</v>
          </cell>
          <cell r="T82">
            <v>0.03</v>
          </cell>
          <cell r="U82">
            <v>0.03</v>
          </cell>
          <cell r="W82">
            <v>0.04</v>
          </cell>
          <cell r="X82">
            <v>-3.2500000000000001E-2</v>
          </cell>
          <cell r="AD82">
            <v>7.0000000000000007E-2</v>
          </cell>
          <cell r="AE82">
            <v>0.08</v>
          </cell>
          <cell r="AF82">
            <v>7.0000000000000007E-2</v>
          </cell>
          <cell r="AG82">
            <v>0.04</v>
          </cell>
          <cell r="AH82">
            <v>0</v>
          </cell>
          <cell r="AI82">
            <v>0</v>
          </cell>
          <cell r="AJ82">
            <v>0</v>
          </cell>
          <cell r="AK82">
            <v>1.0000000000000002E-2</v>
          </cell>
          <cell r="AL82">
            <v>0.06</v>
          </cell>
          <cell r="AM82">
            <v>0.04</v>
          </cell>
          <cell r="AN82">
            <v>1.9999999999999997E-2</v>
          </cell>
          <cell r="AO82">
            <v>0.03</v>
          </cell>
          <cell r="AP82">
            <v>0.06</v>
          </cell>
          <cell r="AQ82">
            <v>0.04</v>
          </cell>
          <cell r="AR82">
            <v>9.0000000000000011E-2</v>
          </cell>
          <cell r="AS82">
            <v>0.06</v>
          </cell>
          <cell r="AT82">
            <v>0.05</v>
          </cell>
          <cell r="AU82">
            <v>0.06</v>
          </cell>
          <cell r="AV82">
            <v>2.9999999999999992E-2</v>
          </cell>
          <cell r="AW82">
            <v>9.9999999999999985E-3</v>
          </cell>
          <cell r="AX82">
            <v>0</v>
          </cell>
          <cell r="AY82">
            <v>0</v>
          </cell>
          <cell r="AZ82">
            <v>1.0000000000000002E-2</v>
          </cell>
          <cell r="BA82">
            <v>0</v>
          </cell>
          <cell r="BB82">
            <v>0</v>
          </cell>
          <cell r="BC82">
            <v>4.9999999999999996E-2</v>
          </cell>
          <cell r="BD82">
            <v>4.9999999999999996E-2</v>
          </cell>
          <cell r="BE82">
            <v>7.0000000000000007E-2</v>
          </cell>
          <cell r="BF82">
            <v>1.0000000000000004E-2</v>
          </cell>
          <cell r="BG82">
            <v>-9.9999999999999985E-3</v>
          </cell>
          <cell r="BH82">
            <v>1.9999999999999997E-2</v>
          </cell>
          <cell r="BI82">
            <v>2.0000000000000004E-2</v>
          </cell>
          <cell r="BJ82">
            <v>1.0000000000000002E-2</v>
          </cell>
          <cell r="BK82">
            <v>5.9999999999999991E-2</v>
          </cell>
          <cell r="BL82">
            <v>6.0000000000000005E-2</v>
          </cell>
          <cell r="BM82">
            <v>0.05</v>
          </cell>
          <cell r="BN82">
            <v>0</v>
          </cell>
          <cell r="BO82">
            <v>0</v>
          </cell>
          <cell r="BP82">
            <v>1.0000000000000002E-2</v>
          </cell>
          <cell r="BQ82">
            <v>1.9942982456140353E-2</v>
          </cell>
          <cell r="BR82">
            <v>0</v>
          </cell>
          <cell r="BS82">
            <v>0</v>
          </cell>
          <cell r="BT82">
            <v>1.4999999999999999E-2</v>
          </cell>
          <cell r="BU82">
            <v>2.5382165605095538E-2</v>
          </cell>
          <cell r="BW82">
            <v>3.4891298639620594E-2</v>
          </cell>
          <cell r="BX82">
            <v>4.9875621120889502E-3</v>
          </cell>
          <cell r="BY82">
            <v>3.9807674524476644E-2</v>
          </cell>
          <cell r="BZ82">
            <v>2.9563014098699991E-2</v>
          </cell>
          <cell r="CA82">
            <v>1.4396372233260735E-2</v>
          </cell>
          <cell r="CB82">
            <v>0</v>
          </cell>
          <cell r="CC82">
            <v>9.9504938362078299E-3</v>
          </cell>
          <cell r="CD82">
            <v>7.4720839804942596E-3</v>
          </cell>
          <cell r="CE82">
            <v>4.9875621120889502E-3</v>
          </cell>
          <cell r="CF82">
            <v>2.9563014098699991E-2</v>
          </cell>
          <cell r="CG82">
            <v>3.4698023579826875E-2</v>
          </cell>
          <cell r="CH82">
            <v>3.4862373254988643E-2</v>
          </cell>
          <cell r="CI82">
            <v>4.9875621120889502E-3</v>
          </cell>
          <cell r="CJ82">
            <v>2.9563014098699991E-2</v>
          </cell>
          <cell r="CK82">
            <v>3.4698023579826875E-2</v>
          </cell>
          <cell r="CL82">
            <v>3.4862373254988643E-2</v>
          </cell>
        </row>
        <row r="83">
          <cell r="A83" t="str">
            <v>Baking and Snacking Total Sales Growth</v>
          </cell>
          <cell r="B83" t="str">
            <v>NM</v>
          </cell>
          <cell r="C83">
            <v>4.2185338865836863E-2</v>
          </cell>
          <cell r="D83">
            <v>-5.2422030524220342E-2</v>
          </cell>
          <cell r="E83">
            <v>0.1295518207282913</v>
          </cell>
          <cell r="F83">
            <v>7.9975201487910708E-2</v>
          </cell>
          <cell r="G83">
            <v>2.8702640642939148E-3</v>
          </cell>
          <cell r="H83">
            <v>5.8958214081282101E-2</v>
          </cell>
          <cell r="I83">
            <v>0.11243243243243239</v>
          </cell>
          <cell r="J83">
            <v>-0.10301263362487856</v>
          </cell>
          <cell r="K83">
            <v>6.9880823401950121E-2</v>
          </cell>
          <cell r="L83">
            <v>0.09</v>
          </cell>
          <cell r="M83">
            <v>2.0000000000000004E-2</v>
          </cell>
          <cell r="N83">
            <v>3.8928408572731416E-2</v>
          </cell>
          <cell r="O83">
            <v>8.9465440929260717E-2</v>
          </cell>
          <cell r="P83">
            <v>1.7294075453456247E-2</v>
          </cell>
          <cell r="Q83">
            <v>0.03</v>
          </cell>
          <cell r="R83">
            <v>0.03</v>
          </cell>
          <cell r="S83">
            <v>0.03</v>
          </cell>
          <cell r="T83">
            <v>0.03</v>
          </cell>
          <cell r="U83">
            <v>0.03</v>
          </cell>
          <cell r="W83">
            <v>0.04</v>
          </cell>
          <cell r="X83">
            <v>4.9465440929260716E-2</v>
          </cell>
          <cell r="AD83">
            <v>7.9326923076923128E-2</v>
          </cell>
          <cell r="AE83">
            <v>9.0680100755667459E-2</v>
          </cell>
          <cell r="AF83">
            <v>8.2262210796915092E-2</v>
          </cell>
          <cell r="AG83">
            <v>4.3795620437956151E-2</v>
          </cell>
          <cell r="AH83">
            <v>2.0044543429844186E-2</v>
          </cell>
          <cell r="AI83">
            <v>-9.2378752886835835E-3</v>
          </cell>
          <cell r="AJ83">
            <v>2.3752969121140222E-3</v>
          </cell>
          <cell r="AK83">
            <v>2.0979020979021046E-2</v>
          </cell>
          <cell r="AL83">
            <v>5.6768558951965087E-2</v>
          </cell>
          <cell r="AM83">
            <v>5.8275058275058189E-2</v>
          </cell>
          <cell r="AN83">
            <v>4.502369668246442E-2</v>
          </cell>
          <cell r="AO83">
            <v>7.5342465753424737E-2</v>
          </cell>
          <cell r="AP83">
            <v>9.9173553719008156E-2</v>
          </cell>
          <cell r="AQ83">
            <v>8.1497797356828272E-2</v>
          </cell>
          <cell r="AR83">
            <v>0.13832199546485269</v>
          </cell>
          <cell r="AS83">
            <v>0.13163481953290868</v>
          </cell>
          <cell r="AT83">
            <v>-4.3233082706766957E-2</v>
          </cell>
          <cell r="AU83">
            <v>-0.10386965376782076</v>
          </cell>
          <cell r="AV83">
            <v>-0.14143426294820716</v>
          </cell>
          <cell r="AW83">
            <v>-0.12570356472795496</v>
          </cell>
          <cell r="AX83">
            <v>4.1257367387033339E-2</v>
          </cell>
          <cell r="AY83">
            <v>0.11136363636363633</v>
          </cell>
          <cell r="AZ83">
            <v>0.10672853828306272</v>
          </cell>
          <cell r="BA83">
            <v>2.7896995708154515E-2</v>
          </cell>
          <cell r="BB83">
            <v>2.6415094339622636E-2</v>
          </cell>
          <cell r="BC83">
            <v>7.5664621676891697E-2</v>
          </cell>
          <cell r="BD83">
            <v>0.10482180293501053</v>
          </cell>
          <cell r="BE83">
            <v>0.16701461377870563</v>
          </cell>
          <cell r="BF83">
            <v>4.4117647058823595E-2</v>
          </cell>
          <cell r="BG83">
            <v>0</v>
          </cell>
          <cell r="BH83">
            <v>0.03</v>
          </cell>
          <cell r="BI83">
            <v>-9.999999999999995E-3</v>
          </cell>
          <cell r="BJ83">
            <v>1.0000000000000002E-2</v>
          </cell>
          <cell r="BK83">
            <v>6.9999999999999993E-2</v>
          </cell>
          <cell r="BL83">
            <v>5.0791896869244943E-2</v>
          </cell>
          <cell r="BM83">
            <v>2.7500000000000004E-2</v>
          </cell>
          <cell r="BN83">
            <v>0.06</v>
          </cell>
          <cell r="BO83">
            <v>5.5061915883648609E-2</v>
          </cell>
          <cell r="BP83">
            <v>6.5706969322762113E-2</v>
          </cell>
          <cell r="BQ83">
            <v>0.17667307692307693</v>
          </cell>
          <cell r="BR83">
            <v>5.0000000000000001E-3</v>
          </cell>
          <cell r="BS83">
            <v>5.0000000000000001E-3</v>
          </cell>
          <cell r="BT83">
            <v>0.02</v>
          </cell>
          <cell r="BU83">
            <v>-3.815286624203823E-2</v>
          </cell>
          <cell r="CE83">
            <v>2.6917145406294196E-2</v>
          </cell>
          <cell r="CF83">
            <v>3.4408043278860045E-2</v>
          </cell>
          <cell r="CG83">
            <v>4.0344007420296535E-2</v>
          </cell>
          <cell r="CH83">
            <v>8.5757284408543022E-3</v>
          </cell>
          <cell r="CI83">
            <v>3.4698023579826875E-2</v>
          </cell>
          <cell r="CJ83">
            <v>6.2504705869815824E-2</v>
          </cell>
          <cell r="CK83">
            <v>5.8223155955982486E-2</v>
          </cell>
          <cell r="CL83">
            <v>9.955972395248347E-2</v>
          </cell>
        </row>
        <row r="84">
          <cell r="A84" t="str">
            <v>2-yr organic</v>
          </cell>
          <cell r="L84">
            <v>1.9803902718557032E-2</v>
          </cell>
          <cell r="M84">
            <v>2.4890238025516487E-2</v>
          </cell>
          <cell r="N84">
            <v>2.7112217590629095E-2</v>
          </cell>
          <cell r="O84">
            <v>2.1974387288322683E-2</v>
          </cell>
          <cell r="P84">
            <v>4.947768591924584E-3</v>
          </cell>
          <cell r="Q84">
            <v>1.4987684654350852E-2</v>
          </cell>
          <cell r="R84">
            <v>2.4987804805501002E-2</v>
          </cell>
          <cell r="S84">
            <v>3.0000000000000027E-2</v>
          </cell>
          <cell r="T84">
            <v>3.0000000000000027E-2</v>
          </cell>
          <cell r="U84">
            <v>3.0000000000000027E-2</v>
          </cell>
          <cell r="AX84">
            <v>2.4695076595959931E-2</v>
          </cell>
          <cell r="AY84">
            <v>2.9563014098699991E-2</v>
          </cell>
          <cell r="AZ84">
            <v>1.9950979214197417E-2</v>
          </cell>
          <cell r="BA84">
            <v>4.9875621120889502E-3</v>
          </cell>
          <cell r="BB84">
            <v>0</v>
          </cell>
          <cell r="BC84">
            <v>2.4695076595959931E-2</v>
          </cell>
          <cell r="BD84">
            <v>2.9805806936433976E-2</v>
          </cell>
          <cell r="BE84">
            <v>3.4408043278860045E-2</v>
          </cell>
          <cell r="BF84">
            <v>4.9875621120889502E-3</v>
          </cell>
          <cell r="BG84">
            <v>1.9558728077985643E-2</v>
          </cell>
          <cell r="BH84">
            <v>3.4891298639620594E-2</v>
          </cell>
          <cell r="BI84">
            <v>4.4700914137630221E-2</v>
          </cell>
          <cell r="BJ84">
            <v>1.0000000000000009E-2</v>
          </cell>
          <cell r="BK84">
            <v>2.4402264737832358E-2</v>
          </cell>
          <cell r="BL84">
            <v>3.9807674524476644E-2</v>
          </cell>
          <cell r="BM84">
            <v>3.4891298639620594E-2</v>
          </cell>
          <cell r="BN84">
            <v>4.9875621120889502E-3</v>
          </cell>
          <cell r="BO84">
            <v>2.9563014098699991E-2</v>
          </cell>
          <cell r="BP84">
            <v>3.4698023579826875E-2</v>
          </cell>
          <cell r="BQ84">
            <v>3.4862373254988643E-2</v>
          </cell>
          <cell r="BR84">
            <v>0</v>
          </cell>
          <cell r="BS84">
            <v>9.9504938362078299E-3</v>
          </cell>
          <cell r="BT84">
            <v>7.4720839804942596E-3</v>
          </cell>
          <cell r="BU84">
            <v>2.434298242530053E-3</v>
          </cell>
        </row>
        <row r="86">
          <cell r="A86" t="str">
            <v xml:space="preserve">International Simple Meals and Beverages </v>
          </cell>
          <cell r="B86">
            <v>2001</v>
          </cell>
          <cell r="C86">
            <v>2002</v>
          </cell>
          <cell r="D86">
            <v>2003</v>
          </cell>
          <cell r="E86">
            <v>2004</v>
          </cell>
          <cell r="F86">
            <v>2005</v>
          </cell>
          <cell r="G86">
            <v>2006</v>
          </cell>
          <cell r="H86">
            <v>2007</v>
          </cell>
          <cell r="I86">
            <v>2008</v>
          </cell>
          <cell r="J86" t="str">
            <v>2009</v>
          </cell>
          <cell r="K86">
            <v>2010</v>
          </cell>
          <cell r="L86">
            <v>2011</v>
          </cell>
          <cell r="M86">
            <v>2012</v>
          </cell>
          <cell r="N86">
            <v>2013</v>
          </cell>
          <cell r="O86" t="str">
            <v>2014E</v>
          </cell>
          <cell r="P86" t="str">
            <v>2015E</v>
          </cell>
          <cell r="Q86" t="str">
            <v>2016E</v>
          </cell>
          <cell r="R86" t="str">
            <v>2017E</v>
          </cell>
          <cell r="S86" t="str">
            <v>2018E</v>
          </cell>
          <cell r="T86" t="str">
            <v>2019E</v>
          </cell>
          <cell r="U86" t="str">
            <v>2020E</v>
          </cell>
          <cell r="W86" t="str">
            <v>2014E</v>
          </cell>
          <cell r="AD86" t="str">
            <v>1Q05</v>
          </cell>
          <cell r="AE86" t="str">
            <v>2Q05</v>
          </cell>
          <cell r="AF86" t="str">
            <v>3Q05</v>
          </cell>
          <cell r="AG86" t="str">
            <v>4Q05</v>
          </cell>
          <cell r="AH86" t="str">
            <v>1Q06</v>
          </cell>
          <cell r="AI86" t="str">
            <v>2Q06</v>
          </cell>
          <cell r="AJ86" t="str">
            <v>3Q06</v>
          </cell>
          <cell r="AK86" t="str">
            <v>4Q06</v>
          </cell>
          <cell r="AL86" t="str">
            <v>1Q07</v>
          </cell>
          <cell r="AM86" t="str">
            <v>2Q07</v>
          </cell>
          <cell r="AN86" t="str">
            <v>3Q07</v>
          </cell>
          <cell r="AO86" t="str">
            <v>4Q07</v>
          </cell>
          <cell r="AP86" t="str">
            <v>1Q08</v>
          </cell>
          <cell r="AQ86" t="str">
            <v>2Q08</v>
          </cell>
          <cell r="AR86" t="str">
            <v>3Q08</v>
          </cell>
          <cell r="AS86" t="str">
            <v>4Q08</v>
          </cell>
          <cell r="AT86" t="str">
            <v>1Q09</v>
          </cell>
          <cell r="AU86" t="str">
            <v>2Q09</v>
          </cell>
          <cell r="AV86" t="str">
            <v>3Q09</v>
          </cell>
          <cell r="AW86" t="str">
            <v>4Q09</v>
          </cell>
          <cell r="AX86" t="str">
            <v>1Q10</v>
          </cell>
          <cell r="AY86" t="str">
            <v>2Q10</v>
          </cell>
          <cell r="AZ86" t="str">
            <v>3Q10</v>
          </cell>
          <cell r="BA86" t="str">
            <v>4Q10</v>
          </cell>
          <cell r="BB86" t="str">
            <v>1Q11</v>
          </cell>
          <cell r="BC86" t="str">
            <v>2Q11</v>
          </cell>
          <cell r="BD86" t="str">
            <v>3Q11</v>
          </cell>
          <cell r="BE86" t="str">
            <v>4Q11</v>
          </cell>
          <cell r="BF86" t="str">
            <v>1Q12</v>
          </cell>
          <cell r="BG86" t="str">
            <v>2Q12</v>
          </cell>
          <cell r="BH86" t="str">
            <v>3Q12</v>
          </cell>
          <cell r="BI86" t="str">
            <v>4Q12</v>
          </cell>
          <cell r="BJ86" t="str">
            <v>1Q13</v>
          </cell>
          <cell r="BK86" t="str">
            <v>2Q13</v>
          </cell>
          <cell r="BL86" t="str">
            <v>3Q13</v>
          </cell>
          <cell r="BM86" t="str">
            <v>4Q13</v>
          </cell>
          <cell r="BN86" t="str">
            <v>1Q14</v>
          </cell>
          <cell r="BO86" t="str">
            <v>2Q14E</v>
          </cell>
          <cell r="BP86" t="str">
            <v>3Q14E</v>
          </cell>
          <cell r="BQ86" t="str">
            <v>4Q14E</v>
          </cell>
        </row>
        <row r="87">
          <cell r="A87" t="str">
            <v>Volume and Mix</v>
          </cell>
          <cell r="B87">
            <v>0</v>
          </cell>
          <cell r="C87">
            <v>0</v>
          </cell>
          <cell r="D87">
            <v>0</v>
          </cell>
          <cell r="E87">
            <v>0.02</v>
          </cell>
          <cell r="F87">
            <v>0.02</v>
          </cell>
          <cell r="G87">
            <v>0.03</v>
          </cell>
          <cell r="H87">
            <v>0.05</v>
          </cell>
          <cell r="I87">
            <v>0.02</v>
          </cell>
          <cell r="J87">
            <v>-0.03</v>
          </cell>
          <cell r="K87">
            <v>-0.01</v>
          </cell>
          <cell r="L87">
            <v>0</v>
          </cell>
          <cell r="M87">
            <v>-0.03</v>
          </cell>
          <cell r="N87">
            <v>1.4220183486238554E-3</v>
          </cell>
          <cell r="O87">
            <v>0</v>
          </cell>
          <cell r="P87">
            <v>5.0000000000000001E-3</v>
          </cell>
          <cell r="Q87">
            <v>5.0000000000000001E-3</v>
          </cell>
          <cell r="R87">
            <v>5.0000000000000001E-3</v>
          </cell>
          <cell r="S87">
            <v>5.0000000000000001E-3</v>
          </cell>
          <cell r="T87">
            <v>5.0000000000000001E-3</v>
          </cell>
          <cell r="U87">
            <v>5.0000000000000001E-3</v>
          </cell>
          <cell r="W87">
            <v>0</v>
          </cell>
          <cell r="X87">
            <v>0</v>
          </cell>
          <cell r="AD87">
            <v>0.03</v>
          </cell>
          <cell r="AE87">
            <v>0.04</v>
          </cell>
          <cell r="AF87">
            <v>0.02</v>
          </cell>
          <cell r="AG87">
            <v>-0.01</v>
          </cell>
          <cell r="AH87">
            <v>0.1</v>
          </cell>
          <cell r="AI87">
            <v>0.01</v>
          </cell>
          <cell r="AJ87">
            <v>0.01</v>
          </cell>
          <cell r="AK87">
            <v>0</v>
          </cell>
          <cell r="AL87">
            <v>0.06</v>
          </cell>
          <cell r="AM87">
            <v>0.06</v>
          </cell>
          <cell r="AN87">
            <v>0.01</v>
          </cell>
          <cell r="AO87">
            <v>0.09</v>
          </cell>
          <cell r="AP87">
            <v>0.03</v>
          </cell>
          <cell r="AQ87">
            <v>0.03</v>
          </cell>
          <cell r="AR87">
            <v>0.03</v>
          </cell>
          <cell r="AS87">
            <v>-0.03</v>
          </cell>
          <cell r="AT87">
            <v>-0.01</v>
          </cell>
          <cell r="AU87">
            <v>-0.05</v>
          </cell>
          <cell r="AV87">
            <v>-7.0000000000000007E-2</v>
          </cell>
          <cell r="AW87">
            <v>-0.01</v>
          </cell>
          <cell r="AX87">
            <v>-0.03</v>
          </cell>
          <cell r="AY87">
            <v>-0.02</v>
          </cell>
          <cell r="AZ87">
            <v>-0.02</v>
          </cell>
          <cell r="BA87">
            <v>-0.01</v>
          </cell>
          <cell r="BB87">
            <v>0.03</v>
          </cell>
          <cell r="BC87">
            <v>0</v>
          </cell>
          <cell r="BD87">
            <v>0.01</v>
          </cell>
          <cell r="BE87">
            <v>-0.03</v>
          </cell>
          <cell r="BF87">
            <v>-7.0000000000000007E-2</v>
          </cell>
          <cell r="BG87">
            <v>-0.05</v>
          </cell>
          <cell r="BH87">
            <v>0</v>
          </cell>
          <cell r="BI87">
            <v>0.02</v>
          </cell>
          <cell r="BJ87">
            <v>-0.01</v>
          </cell>
          <cell r="BK87">
            <v>0.01</v>
          </cell>
          <cell r="BL87">
            <v>0.04</v>
          </cell>
          <cell r="BM87">
            <v>-0.04</v>
          </cell>
          <cell r="BN87">
            <v>-0.03</v>
          </cell>
          <cell r="BO87">
            <v>0.01</v>
          </cell>
          <cell r="BP87">
            <v>-0.01</v>
          </cell>
          <cell r="BQ87">
            <v>3.5294117647058823E-2</v>
          </cell>
          <cell r="BR87">
            <v>-1.4999999999999999E-2</v>
          </cell>
          <cell r="BS87">
            <v>-0.03</v>
          </cell>
          <cell r="BT87">
            <v>5.0000000000000001E-3</v>
          </cell>
          <cell r="BU87">
            <v>-1.7792553191489355E-2</v>
          </cell>
          <cell r="BW87">
            <v>-1.0454649851761477E-2</v>
          </cell>
          <cell r="BX87">
            <v>-2.005102173633555E-2</v>
          </cell>
          <cell r="BY87">
            <v>1.4987684654350852E-2</v>
          </cell>
          <cell r="BZ87">
            <v>-1.1263432455338007E-2</v>
          </cell>
          <cell r="CA87">
            <v>-4.0000000000000036E-2</v>
          </cell>
          <cell r="CB87">
            <v>-2.5320565519103666E-2</v>
          </cell>
          <cell r="CC87">
            <v>4.9875621120889502E-3</v>
          </cell>
          <cell r="CD87">
            <v>-5.3141199353435864E-3</v>
          </cell>
          <cell r="CE87">
            <v>-2.005102173633555E-2</v>
          </cell>
          <cell r="CF87">
            <v>1.0000000000000009E-2</v>
          </cell>
          <cell r="CG87">
            <v>1.4692071517265815E-2</v>
          </cell>
          <cell r="CH87">
            <v>-3.0635160948434548E-3</v>
          </cell>
          <cell r="CI87">
            <v>-2.005102173633555E-2</v>
          </cell>
          <cell r="CJ87">
            <v>1.0000000000000009E-2</v>
          </cell>
          <cell r="CK87">
            <v>1.4692071517265815E-2</v>
          </cell>
          <cell r="CL87">
            <v>-3.0635160948434548E-3</v>
          </cell>
          <cell r="CM87">
            <v>-1.7531904771247553E-2</v>
          </cell>
          <cell r="CN87">
            <v>-1.3686464737262094E-2</v>
          </cell>
          <cell r="CO87">
            <v>1.6525406633001838E-2</v>
          </cell>
          <cell r="CP87">
            <v>-1.7013138756995283E-2</v>
          </cell>
        </row>
        <row r="88">
          <cell r="A88" t="str">
            <v>Price and Sales Allowances</v>
          </cell>
          <cell r="B88">
            <v>0</v>
          </cell>
          <cell r="C88">
            <v>0</v>
          </cell>
          <cell r="D88">
            <v>0</v>
          </cell>
          <cell r="E88">
            <v>0</v>
          </cell>
          <cell r="F88">
            <v>0</v>
          </cell>
          <cell r="G88">
            <v>0</v>
          </cell>
          <cell r="H88">
            <v>0.01</v>
          </cell>
          <cell r="I88">
            <v>0</v>
          </cell>
          <cell r="J88">
            <v>0.05</v>
          </cell>
          <cell r="K88">
            <v>0.02</v>
          </cell>
          <cell r="L88">
            <v>0</v>
          </cell>
          <cell r="M88">
            <v>0.02</v>
          </cell>
          <cell r="N88">
            <v>1.2970183486238534E-2</v>
          </cell>
          <cell r="O88">
            <v>-5.0000000000000001E-3</v>
          </cell>
          <cell r="P88">
            <v>0.01</v>
          </cell>
          <cell r="Q88">
            <v>0.01</v>
          </cell>
          <cell r="R88">
            <v>0.01</v>
          </cell>
          <cell r="S88">
            <v>0.01</v>
          </cell>
          <cell r="T88">
            <v>0.01</v>
          </cell>
          <cell r="U88">
            <v>0.01</v>
          </cell>
          <cell r="W88">
            <v>0.02</v>
          </cell>
          <cell r="X88">
            <v>-2.5000000000000001E-2</v>
          </cell>
          <cell r="AD88">
            <v>-0.01</v>
          </cell>
          <cell r="AE88">
            <v>0</v>
          </cell>
          <cell r="AF88">
            <v>0</v>
          </cell>
          <cell r="AG88">
            <v>0.02</v>
          </cell>
          <cell r="AH88">
            <v>0.03</v>
          </cell>
          <cell r="AI88">
            <v>0</v>
          </cell>
          <cell r="AJ88">
            <v>0</v>
          </cell>
          <cell r="AK88">
            <v>0</v>
          </cell>
          <cell r="AL88">
            <v>0.01</v>
          </cell>
          <cell r="AM88">
            <v>0</v>
          </cell>
          <cell r="AN88">
            <v>0.02</v>
          </cell>
          <cell r="AO88">
            <v>0.02</v>
          </cell>
          <cell r="AP88">
            <v>0.01</v>
          </cell>
          <cell r="AQ88">
            <v>-0.01</v>
          </cell>
          <cell r="AR88">
            <v>-0.01</v>
          </cell>
          <cell r="AS88">
            <v>0.01</v>
          </cell>
          <cell r="AT88">
            <v>0.08</v>
          </cell>
          <cell r="AU88">
            <v>0.05</v>
          </cell>
          <cell r="AV88">
            <v>0.05</v>
          </cell>
          <cell r="AW88">
            <v>7.0000000000000007E-2</v>
          </cell>
          <cell r="AX88">
            <v>0.04</v>
          </cell>
          <cell r="AY88">
            <v>0.04</v>
          </cell>
          <cell r="AZ88">
            <v>0</v>
          </cell>
          <cell r="BA88">
            <v>0</v>
          </cell>
          <cell r="BB88">
            <v>0</v>
          </cell>
          <cell r="BC88">
            <v>-0.01</v>
          </cell>
          <cell r="BD88">
            <v>0.02</v>
          </cell>
          <cell r="BE88">
            <v>0.01</v>
          </cell>
          <cell r="BF88">
            <v>0</v>
          </cell>
          <cell r="BG88">
            <v>0.02</v>
          </cell>
          <cell r="BH88">
            <v>0.04</v>
          </cell>
          <cell r="BI88">
            <v>0.03</v>
          </cell>
          <cell r="BJ88">
            <v>0.03</v>
          </cell>
          <cell r="BK88">
            <v>0.02</v>
          </cell>
          <cell r="BL88">
            <v>0.01</v>
          </cell>
          <cell r="BM88">
            <v>-0.01</v>
          </cell>
          <cell r="BN88">
            <v>-0.02</v>
          </cell>
          <cell r="BO88">
            <v>0</v>
          </cell>
          <cell r="BP88">
            <v>5.0000000000000001E-3</v>
          </cell>
          <cell r="BQ88">
            <v>-5.4010695187165763E-3</v>
          </cell>
          <cell r="BR88">
            <v>0.01</v>
          </cell>
          <cell r="BS88">
            <v>0.01</v>
          </cell>
          <cell r="BT88">
            <v>0.01</v>
          </cell>
          <cell r="BU88">
            <v>0.01</v>
          </cell>
          <cell r="BW88">
            <v>9.8019607824100241E-3</v>
          </cell>
          <cell r="BX88">
            <v>4.6890066085127913E-3</v>
          </cell>
          <cell r="BY88">
            <v>-2.0002000400098918E-4</v>
          </cell>
          <cell r="BZ88">
            <v>4.9875621120889502E-3</v>
          </cell>
          <cell r="CA88">
            <v>-5.0001250062492453E-5</v>
          </cell>
          <cell r="CB88">
            <v>4.8880534666535524E-3</v>
          </cell>
          <cell r="CC88">
            <v>2.9951455166698615E-2</v>
          </cell>
          <cell r="CD88">
            <v>1.9950979214197417E-2</v>
          </cell>
          <cell r="CE88">
            <v>4.6890066085127913E-3</v>
          </cell>
          <cell r="CF88">
            <v>9.9504938362078299E-3</v>
          </cell>
          <cell r="CG88">
            <v>7.4968982582526156E-3</v>
          </cell>
          <cell r="CH88">
            <v>-7.7031990495632918E-3</v>
          </cell>
          <cell r="CI88">
            <v>4.6890066085127913E-3</v>
          </cell>
          <cell r="CJ88">
            <v>9.9504938362078299E-3</v>
          </cell>
          <cell r="CK88">
            <v>7.4968982582526156E-3</v>
          </cell>
          <cell r="CL88">
            <v>-7.7031990495632918E-3</v>
          </cell>
          <cell r="CM88">
            <v>9.9016340499609168E-3</v>
          </cell>
          <cell r="CN88">
            <v>9.9003267322375077E-3</v>
          </cell>
          <cell r="CO88">
            <v>2.3257559161607988E-2</v>
          </cell>
          <cell r="CP88">
            <v>9.8679695399841449E-3</v>
          </cell>
        </row>
        <row r="89">
          <cell r="A89" t="str">
            <v>Promotional Spending</v>
          </cell>
          <cell r="B89">
            <v>0</v>
          </cell>
          <cell r="C89">
            <v>0</v>
          </cell>
          <cell r="D89">
            <v>0</v>
          </cell>
          <cell r="E89">
            <v>0</v>
          </cell>
          <cell r="F89">
            <v>-0.01</v>
          </cell>
          <cell r="G89">
            <v>0</v>
          </cell>
          <cell r="H89">
            <v>0</v>
          </cell>
          <cell r="I89">
            <v>0</v>
          </cell>
          <cell r="J89">
            <v>-0.01</v>
          </cell>
          <cell r="K89">
            <v>-0.02</v>
          </cell>
          <cell r="L89">
            <v>-0.01</v>
          </cell>
          <cell r="M89">
            <v>-0.01</v>
          </cell>
          <cell r="N89">
            <v>-1.0527522935779816E-2</v>
          </cell>
          <cell r="O89">
            <v>-7.4999999999999997E-3</v>
          </cell>
          <cell r="P89">
            <v>0</v>
          </cell>
          <cell r="Q89">
            <v>0</v>
          </cell>
          <cell r="R89">
            <v>0</v>
          </cell>
          <cell r="S89">
            <v>0</v>
          </cell>
          <cell r="T89">
            <v>0</v>
          </cell>
          <cell r="U89">
            <v>0</v>
          </cell>
          <cell r="W89">
            <v>0</v>
          </cell>
          <cell r="X89">
            <v>-7.4999999999999997E-3</v>
          </cell>
          <cell r="AE89">
            <v>-0.01</v>
          </cell>
          <cell r="AF89">
            <v>-0.01</v>
          </cell>
          <cell r="AG89">
            <v>-0.01</v>
          </cell>
          <cell r="AH89">
            <v>0</v>
          </cell>
          <cell r="AI89">
            <v>0</v>
          </cell>
          <cell r="AJ89">
            <v>0.02</v>
          </cell>
          <cell r="AK89">
            <v>-0.01</v>
          </cell>
          <cell r="AL89">
            <v>0</v>
          </cell>
          <cell r="AM89">
            <v>0</v>
          </cell>
          <cell r="AN89">
            <v>-0.02</v>
          </cell>
          <cell r="AO89">
            <v>0.01</v>
          </cell>
          <cell r="AP89">
            <v>0</v>
          </cell>
          <cell r="AQ89">
            <v>-0.01</v>
          </cell>
          <cell r="AR89">
            <v>0.01</v>
          </cell>
          <cell r="AS89">
            <v>0</v>
          </cell>
          <cell r="AT89">
            <v>-0.02</v>
          </cell>
          <cell r="AU89">
            <v>0.01</v>
          </cell>
          <cell r="AV89">
            <v>-0.03</v>
          </cell>
          <cell r="AW89">
            <v>-0.01</v>
          </cell>
          <cell r="AX89">
            <v>-0.02</v>
          </cell>
          <cell r="AY89">
            <v>-0.02</v>
          </cell>
          <cell r="AZ89">
            <v>0</v>
          </cell>
          <cell r="BA89">
            <v>-0.03</v>
          </cell>
          <cell r="BB89">
            <v>-0.03</v>
          </cell>
          <cell r="BC89">
            <v>-0.02</v>
          </cell>
          <cell r="BD89">
            <v>-0.02</v>
          </cell>
          <cell r="BE89">
            <v>0.02</v>
          </cell>
          <cell r="BF89">
            <v>0</v>
          </cell>
          <cell r="BG89">
            <v>-0.01</v>
          </cell>
          <cell r="BH89">
            <v>-0.02</v>
          </cell>
          <cell r="BI89">
            <v>-0.04</v>
          </cell>
          <cell r="BJ89">
            <v>0</v>
          </cell>
          <cell r="BK89">
            <v>-0.02</v>
          </cell>
          <cell r="BL89">
            <v>-0.02</v>
          </cell>
          <cell r="BM89">
            <v>0</v>
          </cell>
          <cell r="BN89">
            <v>-0.02</v>
          </cell>
          <cell r="BO89">
            <v>0</v>
          </cell>
          <cell r="BP89">
            <v>0</v>
          </cell>
          <cell r="BQ89">
            <v>-1.1002673796791445E-2</v>
          </cell>
          <cell r="BR89">
            <v>0</v>
          </cell>
          <cell r="BS89">
            <v>0</v>
          </cell>
          <cell r="BT89">
            <v>0</v>
          </cell>
          <cell r="BU89">
            <v>0</v>
          </cell>
          <cell r="BW89">
            <v>-2.0204102886728803E-2</v>
          </cell>
          <cell r="BX89">
            <v>-1.005050633883342E-2</v>
          </cell>
          <cell r="BY89">
            <v>-5.1130717513673263E-3</v>
          </cell>
          <cell r="BZ89">
            <v>-1.5012690437079868E-2</v>
          </cell>
          <cell r="CA89">
            <v>-5.0125628933800348E-3</v>
          </cell>
          <cell r="CB89">
            <v>-1.5012690437079868E-2</v>
          </cell>
          <cell r="CC89">
            <v>-2.0000000000000018E-2</v>
          </cell>
          <cell r="CD89">
            <v>-1.0454649851761477E-2</v>
          </cell>
          <cell r="CE89">
            <v>-1.005050633883342E-2</v>
          </cell>
          <cell r="CF89">
            <v>-1.005050633883342E-2</v>
          </cell>
          <cell r="CG89">
            <v>-1.005050633883342E-2</v>
          </cell>
          <cell r="CH89">
            <v>-5.5165530773231275E-3</v>
          </cell>
          <cell r="CI89">
            <v>-1.005050633883342E-2</v>
          </cell>
          <cell r="CJ89">
            <v>-1.005050633883342E-2</v>
          </cell>
          <cell r="CK89">
            <v>-1.005050633883342E-2</v>
          </cell>
          <cell r="CL89">
            <v>-5.5165530773231275E-3</v>
          </cell>
        </row>
        <row r="90">
          <cell r="A90" t="str">
            <v>Currency</v>
          </cell>
          <cell r="B90">
            <v>0</v>
          </cell>
          <cell r="C90">
            <v>0.02</v>
          </cell>
          <cell r="D90">
            <v>0.12</v>
          </cell>
          <cell r="E90">
            <v>0.12</v>
          </cell>
          <cell r="F90">
            <v>0.06</v>
          </cell>
          <cell r="G90">
            <v>-0.01</v>
          </cell>
          <cell r="H90">
            <v>0.05</v>
          </cell>
          <cell r="I90">
            <v>0.11</v>
          </cell>
          <cell r="J90">
            <v>-0.11</v>
          </cell>
          <cell r="K90">
            <v>7.0000000000000007E-2</v>
          </cell>
          <cell r="L90">
            <v>0.04</v>
          </cell>
          <cell r="M90">
            <v>-0.02</v>
          </cell>
          <cell r="N90">
            <v>-1.2683486238532108E-2</v>
          </cell>
          <cell r="O90">
            <v>-3.3537270484696277E-2</v>
          </cell>
          <cell r="P90">
            <v>0</v>
          </cell>
          <cell r="Q90">
            <v>0</v>
          </cell>
          <cell r="R90">
            <v>0</v>
          </cell>
          <cell r="S90">
            <v>0</v>
          </cell>
          <cell r="T90">
            <v>0</v>
          </cell>
          <cell r="U90">
            <v>0</v>
          </cell>
          <cell r="W90">
            <v>0</v>
          </cell>
          <cell r="X90">
            <v>-3.3537270484696277E-2</v>
          </cell>
          <cell r="AD90">
            <v>7.0000000000000007E-2</v>
          </cell>
          <cell r="AE90">
            <v>7.0000000000000007E-2</v>
          </cell>
          <cell r="AF90">
            <v>0.05</v>
          </cell>
          <cell r="AG90">
            <v>0.03</v>
          </cell>
          <cell r="AH90">
            <v>0.01</v>
          </cell>
          <cell r="AI90">
            <v>-0.05</v>
          </cell>
          <cell r="AJ90">
            <v>-0.04</v>
          </cell>
          <cell r="AK90">
            <v>0.03</v>
          </cell>
          <cell r="AL90">
            <v>0.04</v>
          </cell>
          <cell r="AM90">
            <v>0.06</v>
          </cell>
          <cell r="AN90">
            <v>0.05</v>
          </cell>
          <cell r="AO90">
            <v>7.0000000000000007E-2</v>
          </cell>
          <cell r="AP90">
            <v>0.08</v>
          </cell>
          <cell r="AQ90">
            <v>0.12</v>
          </cell>
          <cell r="AR90">
            <v>0.14000000000000001</v>
          </cell>
          <cell r="AS90">
            <v>0.11</v>
          </cell>
          <cell r="AT90">
            <v>-0.02</v>
          </cell>
          <cell r="AU90">
            <v>-0.13</v>
          </cell>
          <cell r="AV90">
            <v>-0.16</v>
          </cell>
          <cell r="AW90">
            <v>-0.11</v>
          </cell>
          <cell r="AX90">
            <v>0.02</v>
          </cell>
          <cell r="AY90">
            <v>0.12</v>
          </cell>
          <cell r="AZ90">
            <v>0.13</v>
          </cell>
          <cell r="BA90">
            <v>0.01</v>
          </cell>
          <cell r="BB90">
            <v>-0.01</v>
          </cell>
          <cell r="BC90">
            <v>-0.01</v>
          </cell>
          <cell r="BD90">
            <v>0.06</v>
          </cell>
          <cell r="BE90">
            <v>0.12</v>
          </cell>
          <cell r="BF90">
            <v>0.04</v>
          </cell>
          <cell r="BG90">
            <v>-0.01</v>
          </cell>
          <cell r="BH90">
            <v>-0.03</v>
          </cell>
          <cell r="BI90">
            <v>-0.08</v>
          </cell>
          <cell r="BJ90">
            <v>-0.03</v>
          </cell>
          <cell r="BK90">
            <v>0.01</v>
          </cell>
          <cell r="BL90">
            <v>-1.7699115044247787E-2</v>
          </cell>
          <cell r="BM90">
            <v>-1.4999999999999999E-2</v>
          </cell>
          <cell r="BN90">
            <v>-0.05</v>
          </cell>
          <cell r="BO90">
            <v>-3.3866782939061452E-2</v>
          </cell>
          <cell r="BP90">
            <v>-2.8129159304269718E-2</v>
          </cell>
          <cell r="BQ90">
            <v>-0.02</v>
          </cell>
          <cell r="BR90">
            <v>-0.01</v>
          </cell>
          <cell r="BS90">
            <v>-0.01</v>
          </cell>
          <cell r="BT90">
            <v>-5.0000000000000001E-3</v>
          </cell>
          <cell r="BU90">
            <v>-5.0000000000000001E-3</v>
          </cell>
          <cell r="CB90">
            <v>-3.5445202489529981E-2</v>
          </cell>
          <cell r="CC90">
            <v>1.4939017278787547E-2</v>
          </cell>
          <cell r="CD90">
            <v>4.1822094270923538E-3</v>
          </cell>
          <cell r="CE90">
            <v>-2.5412521466656179E-2</v>
          </cell>
          <cell r="CF90">
            <v>9.8999874973744184E-3</v>
          </cell>
          <cell r="CG90">
            <v>1.213846343668501E-2</v>
          </cell>
          <cell r="CH90">
            <v>-1.6283268221729874E-2</v>
          </cell>
          <cell r="CI90">
            <v>-2.5412521466656179E-2</v>
          </cell>
          <cell r="CJ90">
            <v>9.8999874973744184E-3</v>
          </cell>
          <cell r="CK90">
            <v>1.213846343668501E-2</v>
          </cell>
          <cell r="CL90">
            <v>-1.6283268221729874E-2</v>
          </cell>
        </row>
        <row r="91">
          <cell r="A91" t="str">
            <v>Acquisitions/Divestitures</v>
          </cell>
          <cell r="B91">
            <v>0.02</v>
          </cell>
          <cell r="C91">
            <v>0.44</v>
          </cell>
          <cell r="D91">
            <v>0.02</v>
          </cell>
          <cell r="E91">
            <v>0</v>
          </cell>
          <cell r="F91">
            <v>0</v>
          </cell>
          <cell r="G91">
            <v>0</v>
          </cell>
          <cell r="H91">
            <v>0</v>
          </cell>
          <cell r="I91">
            <v>0</v>
          </cell>
          <cell r="J91">
            <v>-0.04</v>
          </cell>
          <cell r="K91">
            <v>-0.01</v>
          </cell>
          <cell r="L91">
            <v>0</v>
          </cell>
          <cell r="M91">
            <v>0</v>
          </cell>
          <cell r="N91">
            <v>0</v>
          </cell>
          <cell r="O91">
            <v>-2.5661680092059838E-3</v>
          </cell>
          <cell r="P91">
            <v>0</v>
          </cell>
          <cell r="Q91">
            <v>0</v>
          </cell>
          <cell r="R91">
            <v>0</v>
          </cell>
          <cell r="S91">
            <v>0</v>
          </cell>
          <cell r="T91">
            <v>0</v>
          </cell>
          <cell r="U91">
            <v>0</v>
          </cell>
          <cell r="W91">
            <v>0</v>
          </cell>
          <cell r="X91">
            <v>-2.5661680092059838E-3</v>
          </cell>
          <cell r="AT91">
            <v>-7.0000000000000007E-2</v>
          </cell>
          <cell r="AU91">
            <v>-0.03</v>
          </cell>
          <cell r="AV91">
            <v>-0.05</v>
          </cell>
          <cell r="AW91">
            <v>-7.0000000000000007E-2</v>
          </cell>
          <cell r="AX91">
            <v>-0.03</v>
          </cell>
          <cell r="AY91">
            <v>0</v>
          </cell>
          <cell r="AZ91">
            <v>0</v>
          </cell>
          <cell r="BA91">
            <v>0</v>
          </cell>
          <cell r="BF91">
            <v>0</v>
          </cell>
          <cell r="BG91">
            <v>0</v>
          </cell>
          <cell r="BH91">
            <v>0</v>
          </cell>
          <cell r="BI91">
            <v>0</v>
          </cell>
          <cell r="BJ91">
            <v>0</v>
          </cell>
          <cell r="BK91">
            <v>0</v>
          </cell>
          <cell r="BL91">
            <v>0</v>
          </cell>
          <cell r="BM91">
            <v>0</v>
          </cell>
          <cell r="BN91">
            <v>-0.01</v>
          </cell>
          <cell r="BO91">
            <v>0</v>
          </cell>
          <cell r="BP91">
            <v>0</v>
          </cell>
          <cell r="BQ91">
            <v>0</v>
          </cell>
          <cell r="BR91">
            <v>0</v>
          </cell>
          <cell r="BS91">
            <v>0</v>
          </cell>
          <cell r="BT91">
            <v>0</v>
          </cell>
          <cell r="BU91">
            <v>0</v>
          </cell>
        </row>
        <row r="92">
          <cell r="A92" t="str">
            <v>53rd week</v>
          </cell>
          <cell r="E92">
            <v>-0.02</v>
          </cell>
          <cell r="F92">
            <v>0</v>
          </cell>
          <cell r="I92">
            <v>0.02</v>
          </cell>
          <cell r="J92">
            <v>-0.02</v>
          </cell>
          <cell r="L92">
            <v>0</v>
          </cell>
          <cell r="M92">
            <v>0</v>
          </cell>
          <cell r="N92">
            <v>0</v>
          </cell>
          <cell r="O92">
            <v>1.6553067185978577E-2</v>
          </cell>
          <cell r="P92">
            <v>-1.7101165902967078E-2</v>
          </cell>
          <cell r="Q92">
            <v>0</v>
          </cell>
          <cell r="R92">
            <v>0</v>
          </cell>
          <cell r="S92">
            <v>0</v>
          </cell>
          <cell r="T92">
            <v>0</v>
          </cell>
          <cell r="U92">
            <v>0</v>
          </cell>
          <cell r="AS92">
            <v>0.08</v>
          </cell>
          <cell r="AW92">
            <v>-7.0000000000000007E-2</v>
          </cell>
          <cell r="BF92">
            <v>0</v>
          </cell>
          <cell r="BG92">
            <v>0</v>
          </cell>
          <cell r="BH92">
            <v>0</v>
          </cell>
          <cell r="BI92">
            <v>0</v>
          </cell>
          <cell r="BJ92">
            <v>0</v>
          </cell>
          <cell r="BK92">
            <v>0</v>
          </cell>
          <cell r="BL92">
            <v>0</v>
          </cell>
          <cell r="BM92">
            <v>0</v>
          </cell>
          <cell r="BN92">
            <v>0</v>
          </cell>
          <cell r="BO92">
            <v>0</v>
          </cell>
          <cell r="BP92">
            <v>0</v>
          </cell>
          <cell r="BQ92">
            <v>7.6923076923076927E-2</v>
          </cell>
          <cell r="BR92">
            <v>0</v>
          </cell>
          <cell r="BS92">
            <v>0</v>
          </cell>
          <cell r="BT92">
            <v>0</v>
          </cell>
          <cell r="BU92">
            <v>-7.957446808510639E-2</v>
          </cell>
        </row>
        <row r="93">
          <cell r="A93" t="str">
            <v>Organic</v>
          </cell>
          <cell r="B93">
            <v>0</v>
          </cell>
          <cell r="C93">
            <v>0</v>
          </cell>
          <cell r="D93">
            <v>0</v>
          </cell>
          <cell r="E93">
            <v>0.02</v>
          </cell>
          <cell r="F93">
            <v>0.01</v>
          </cell>
          <cell r="G93">
            <v>0.03</v>
          </cell>
          <cell r="H93">
            <v>6.0000000000000005E-2</v>
          </cell>
          <cell r="I93">
            <v>0.02</v>
          </cell>
          <cell r="J93">
            <v>1.0000000000000004E-2</v>
          </cell>
          <cell r="K93">
            <v>-0.01</v>
          </cell>
          <cell r="L93">
            <v>-0.01</v>
          </cell>
          <cell r="M93">
            <v>-1.9999999999999997E-2</v>
          </cell>
          <cell r="N93">
            <v>3.8646788990825739E-3</v>
          </cell>
          <cell r="O93">
            <v>-1.2500000000000001E-2</v>
          </cell>
          <cell r="P93">
            <v>1.4999999999999999E-2</v>
          </cell>
          <cell r="Q93">
            <v>1.4999999999999999E-2</v>
          </cell>
          <cell r="R93">
            <v>1.4999999999999999E-2</v>
          </cell>
          <cell r="S93">
            <v>1.4999999999999999E-2</v>
          </cell>
          <cell r="T93">
            <v>1.4999999999999999E-2</v>
          </cell>
          <cell r="U93">
            <v>1.4999999999999999E-2</v>
          </cell>
          <cell r="W93">
            <v>0.02</v>
          </cell>
          <cell r="X93">
            <v>-3.2500000000000001E-2</v>
          </cell>
          <cell r="AD93">
            <v>1.9999999999999997E-2</v>
          </cell>
          <cell r="AE93">
            <v>0.03</v>
          </cell>
          <cell r="AF93">
            <v>0.01</v>
          </cell>
          <cell r="AG93">
            <v>0</v>
          </cell>
          <cell r="AH93">
            <v>0.13</v>
          </cell>
          <cell r="AI93">
            <v>0.01</v>
          </cell>
          <cell r="AJ93">
            <v>0.03</v>
          </cell>
          <cell r="AK93">
            <v>-0.01</v>
          </cell>
          <cell r="AL93">
            <v>6.9999999999999993E-2</v>
          </cell>
          <cell r="AM93">
            <v>0.06</v>
          </cell>
          <cell r="AN93">
            <v>9.9999999999999985E-3</v>
          </cell>
          <cell r="AO93">
            <v>0.12</v>
          </cell>
          <cell r="AP93">
            <v>0.04</v>
          </cell>
          <cell r="AQ93">
            <v>9.9999999999999967E-3</v>
          </cell>
          <cell r="AR93">
            <v>0.03</v>
          </cell>
          <cell r="AS93">
            <v>-1.9999999999999997E-2</v>
          </cell>
          <cell r="AT93">
            <v>0.05</v>
          </cell>
          <cell r="AU93">
            <v>0.01</v>
          </cell>
          <cell r="AV93">
            <v>-0.05</v>
          </cell>
          <cell r="AW93">
            <v>0.05</v>
          </cell>
          <cell r="AX93">
            <v>-9.9999999999999985E-3</v>
          </cell>
          <cell r="AY93">
            <v>0</v>
          </cell>
          <cell r="AZ93">
            <v>-0.02</v>
          </cell>
          <cell r="BA93">
            <v>-0.04</v>
          </cell>
          <cell r="BB93">
            <v>0</v>
          </cell>
          <cell r="BC93">
            <v>-0.03</v>
          </cell>
          <cell r="BD93">
            <v>9.9999999999999985E-3</v>
          </cell>
          <cell r="BE93">
            <v>0</v>
          </cell>
          <cell r="BF93">
            <v>-7.0000000000000007E-2</v>
          </cell>
          <cell r="BG93">
            <v>-0.04</v>
          </cell>
          <cell r="BH93">
            <v>0.02</v>
          </cell>
          <cell r="BI93">
            <v>1.0000000000000002E-2</v>
          </cell>
          <cell r="BJ93">
            <v>1.9999999999999997E-2</v>
          </cell>
          <cell r="BK93">
            <v>9.9999999999999985E-3</v>
          </cell>
          <cell r="BL93">
            <v>3.0000000000000002E-2</v>
          </cell>
          <cell r="BM93">
            <v>-0.05</v>
          </cell>
          <cell r="BN93">
            <v>-7.0000000000000007E-2</v>
          </cell>
          <cell r="BO93">
            <v>0.01</v>
          </cell>
          <cell r="BP93">
            <v>-5.0000000000000001E-3</v>
          </cell>
          <cell r="BQ93">
            <v>1.8890374331550802E-2</v>
          </cell>
          <cell r="BR93">
            <v>-4.9999999999999992E-3</v>
          </cell>
          <cell r="BS93">
            <v>-1.9999999999999997E-2</v>
          </cell>
          <cell r="BT93">
            <v>1.4999999999999999E-2</v>
          </cell>
          <cell r="BU93">
            <v>-7.7925531914893546E-3</v>
          </cell>
          <cell r="BW93">
            <v>-2.0459291300254367E-2</v>
          </cell>
          <cell r="BX93">
            <v>-2.6039015155124412E-2</v>
          </cell>
          <cell r="BY93">
            <v>1.0000000000000009E-2</v>
          </cell>
          <cell r="BZ93">
            <v>-2.1276341350634276E-2</v>
          </cell>
          <cell r="CA93">
            <v>-4.5013089094934289E-2</v>
          </cell>
          <cell r="CB93">
            <v>-3.8048857789544588E-2</v>
          </cell>
          <cell r="CC93">
            <v>-5.1130717513673263E-3</v>
          </cell>
          <cell r="CD93">
            <v>-2.8429107064234849E-2</v>
          </cell>
          <cell r="CE93">
            <v>-2.6039015155124412E-2</v>
          </cell>
          <cell r="CF93">
            <v>1.0000000000000009E-2</v>
          </cell>
          <cell r="CG93">
            <v>1.2348754135648621E-2</v>
          </cell>
          <cell r="CH93">
            <v>-1.6157606313402906E-2</v>
          </cell>
          <cell r="CI93">
            <v>-2.5412521466656179E-2</v>
          </cell>
          <cell r="CJ93">
            <v>9.8999874973744184E-3</v>
          </cell>
          <cell r="CK93">
            <v>1.213846343668501E-2</v>
          </cell>
          <cell r="CL93">
            <v>-1.6283268221729874E-2</v>
          </cell>
        </row>
        <row r="94">
          <cell r="A94" t="str">
            <v>International Soup, Sauces, and Beverage Total Sales Growth</v>
          </cell>
          <cell r="B94" t="str">
            <v>NM</v>
          </cell>
          <cell r="C94">
            <v>0.45569620253164556</v>
          </cell>
          <cell r="D94">
            <v>0.56304347826086953</v>
          </cell>
          <cell r="E94">
            <v>0.10917941585535473</v>
          </cell>
          <cell r="F94">
            <v>6.7711598746081458E-2</v>
          </cell>
          <cell r="G94">
            <v>-6.4591896652965386E-2</v>
          </cell>
          <cell r="H94">
            <v>-0.12115505335844323</v>
          </cell>
          <cell r="I94">
            <v>0.14999999999999991</v>
          </cell>
          <cell r="J94">
            <v>-0.15714285714285714</v>
          </cell>
          <cell r="K94">
            <v>4.8636698599852535E-2</v>
          </cell>
          <cell r="L94">
            <v>0.03</v>
          </cell>
          <cell r="M94">
            <v>-3.9999999999999994E-2</v>
          </cell>
          <cell r="N94">
            <v>-8.8188073394495341E-3</v>
          </cell>
          <cell r="O94">
            <v>-3.2050371307923681E-2</v>
          </cell>
          <cell r="P94">
            <v>-2.1011659029670782E-3</v>
          </cell>
          <cell r="Q94">
            <v>1.4999999999999999E-2</v>
          </cell>
          <cell r="R94">
            <v>1.4999999999999999E-2</v>
          </cell>
          <cell r="S94">
            <v>1.4999999999999999E-2</v>
          </cell>
          <cell r="T94">
            <v>1.4999999999999999E-2</v>
          </cell>
          <cell r="U94">
            <v>1.4999999999999999E-2</v>
          </cell>
          <cell r="W94">
            <v>0.02</v>
          </cell>
          <cell r="X94">
            <v>-5.2050371307923685E-2</v>
          </cell>
          <cell r="AD94">
            <v>7.7720207253886064E-2</v>
          </cell>
          <cell r="AE94">
            <v>9.846827133479219E-2</v>
          </cell>
          <cell r="AF94">
            <v>5.5825242718446688E-2</v>
          </cell>
          <cell r="AG94">
            <v>0.42058823529411771</v>
          </cell>
          <cell r="AH94">
            <v>9.6153846153845812E-3</v>
          </cell>
          <cell r="AI94">
            <v>-3.7848605577689209E-2</v>
          </cell>
          <cell r="AJ94">
            <v>-1.1494252873563204E-2</v>
          </cell>
          <cell r="AK94">
            <v>-0.4616977225672878</v>
          </cell>
          <cell r="AL94">
            <v>-0.17619047619047623</v>
          </cell>
          <cell r="AM94">
            <v>-0.16356107660455488</v>
          </cell>
          <cell r="AN94">
            <v>-0.2069767441860465</v>
          </cell>
          <cell r="AO94">
            <v>0.18846153846153846</v>
          </cell>
          <cell r="AP94">
            <v>0.12427745664739875</v>
          </cell>
          <cell r="AQ94">
            <v>0.13366336633663356</v>
          </cell>
          <cell r="AR94">
            <v>0.17302052785923761</v>
          </cell>
          <cell r="AS94">
            <v>0.17152103559870557</v>
          </cell>
          <cell r="AT94">
            <v>-2.3136246786632397E-2</v>
          </cell>
          <cell r="AU94">
            <v>-0.14628820960698685</v>
          </cell>
          <cell r="AV94">
            <v>-0.25749999999999995</v>
          </cell>
          <cell r="AW94">
            <v>-0.2016574585635359</v>
          </cell>
          <cell r="AX94">
            <v>-1.5789473684210575E-2</v>
          </cell>
          <cell r="AY94">
            <v>0.11764705882352944</v>
          </cell>
          <cell r="AZ94">
            <v>0.1144781144781144</v>
          </cell>
          <cell r="BA94">
            <v>-2.7681660899653959E-2</v>
          </cell>
          <cell r="BB94">
            <v>-5.3475935828877219E-3</v>
          </cell>
          <cell r="BC94">
            <v>-3.6613272311212808E-2</v>
          </cell>
          <cell r="BD94">
            <v>6.9486404833836835E-2</v>
          </cell>
          <cell r="BE94">
            <v>0.12455516014234869</v>
          </cell>
          <cell r="BF94">
            <v>-3.0000000000000006E-2</v>
          </cell>
          <cell r="BG94">
            <v>-0.05</v>
          </cell>
          <cell r="BH94">
            <v>-9.9999999999999985E-3</v>
          </cell>
          <cell r="BI94">
            <v>-7.0000000000000007E-2</v>
          </cell>
          <cell r="BJ94">
            <v>-1.0000000000000002E-2</v>
          </cell>
          <cell r="BK94">
            <v>1.9999999999999997E-2</v>
          </cell>
          <cell r="BL94">
            <v>1.2300884955752215E-2</v>
          </cell>
          <cell r="BM94">
            <v>-6.5000000000000002E-2</v>
          </cell>
          <cell r="BN94">
            <v>-0.13</v>
          </cell>
          <cell r="BO94">
            <v>-2.386678293906145E-2</v>
          </cell>
          <cell r="BP94">
            <v>-3.3129159304269719E-2</v>
          </cell>
          <cell r="BQ94">
            <v>7.5813451254627726E-2</v>
          </cell>
          <cell r="BR94">
            <v>-1.4999999999999999E-2</v>
          </cell>
          <cell r="BS94">
            <v>-0.03</v>
          </cell>
          <cell r="BT94">
            <v>9.9999999999999985E-3</v>
          </cell>
          <cell r="BU94">
            <v>-9.236702127659574E-2</v>
          </cell>
        </row>
        <row r="95">
          <cell r="A95" t="str">
            <v>2-yr organic</v>
          </cell>
          <cell r="L95">
            <v>-1.0000000000000009E-2</v>
          </cell>
          <cell r="M95">
            <v>-1.5012690437079868E-2</v>
          </cell>
          <cell r="N95">
            <v>-8.1394325203260065E-3</v>
          </cell>
          <cell r="O95">
            <v>-1.933693248149404E-2</v>
          </cell>
          <cell r="P95">
            <v>-2.3676431703347878E-2</v>
          </cell>
          <cell r="Q95">
            <v>4.9502475247220623E-3</v>
          </cell>
          <cell r="R95">
            <v>1.4999999999999902E-2</v>
          </cell>
          <cell r="S95">
            <v>1.4999999999999902E-2</v>
          </cell>
          <cell r="T95">
            <v>1.4999999999999902E-2</v>
          </cell>
          <cell r="U95">
            <v>1.4999999999999902E-2</v>
          </cell>
          <cell r="AX95">
            <v>1.9558728077985643E-2</v>
          </cell>
          <cell r="AY95">
            <v>4.9875621120889502E-3</v>
          </cell>
          <cell r="AZ95">
            <v>-3.5116587353684503E-2</v>
          </cell>
          <cell r="BA95">
            <v>3.9920318408905864E-3</v>
          </cell>
          <cell r="BB95">
            <v>-5.0125628933800348E-3</v>
          </cell>
          <cell r="BC95">
            <v>-1.5114219820389518E-2</v>
          </cell>
          <cell r="BD95">
            <v>-5.1130717513673263E-3</v>
          </cell>
          <cell r="BE95">
            <v>-2.0204102886728803E-2</v>
          </cell>
          <cell r="BF95">
            <v>-3.5634923900704552E-2</v>
          </cell>
          <cell r="BG95">
            <v>-3.5012953454814588E-2</v>
          </cell>
          <cell r="BH95">
            <v>1.4987684654350852E-2</v>
          </cell>
          <cell r="BI95">
            <v>4.9875621120889502E-3</v>
          </cell>
          <cell r="BJ95">
            <v>-2.6039015155124412E-2</v>
          </cell>
          <cell r="BK95">
            <v>-1.5317309992706307E-2</v>
          </cell>
          <cell r="BL95">
            <v>2.4987804805501002E-2</v>
          </cell>
          <cell r="BM95">
            <v>-2.0459291300254367E-2</v>
          </cell>
          <cell r="BN95">
            <v>-2.6039015155124412E-2</v>
          </cell>
          <cell r="BO95">
            <v>1.0000000000000009E-2</v>
          </cell>
          <cell r="BP95">
            <v>1.2348754135648621E-2</v>
          </cell>
          <cell r="BQ95">
            <v>-1.6157606313402906E-2</v>
          </cell>
          <cell r="BR95">
            <v>-3.8048857789544588E-2</v>
          </cell>
          <cell r="BS95">
            <v>-5.1130717513673263E-3</v>
          </cell>
          <cell r="BT95">
            <v>-2.8429107064234849E-2</v>
          </cell>
          <cell r="BU95">
            <v>-2.4029124954965564E-2</v>
          </cell>
        </row>
        <row r="97">
          <cell r="A97" t="str">
            <v>North American Foodservice</v>
          </cell>
          <cell r="B97">
            <v>2001</v>
          </cell>
          <cell r="C97">
            <v>2002</v>
          </cell>
          <cell r="D97">
            <v>2003</v>
          </cell>
          <cell r="E97">
            <v>2004</v>
          </cell>
          <cell r="F97">
            <v>2005</v>
          </cell>
          <cell r="G97">
            <v>2006</v>
          </cell>
          <cell r="H97">
            <v>2007</v>
          </cell>
          <cell r="I97">
            <v>2008</v>
          </cell>
          <cell r="J97" t="str">
            <v>2009</v>
          </cell>
          <cell r="K97">
            <v>2010</v>
          </cell>
          <cell r="L97">
            <v>2011</v>
          </cell>
          <cell r="M97">
            <v>2012</v>
          </cell>
          <cell r="N97">
            <v>2013</v>
          </cell>
          <cell r="O97" t="str">
            <v>2014E</v>
          </cell>
          <cell r="P97" t="str">
            <v>2015E</v>
          </cell>
          <cell r="Q97" t="str">
            <v>2016E</v>
          </cell>
          <cell r="R97" t="str">
            <v>2017E</v>
          </cell>
          <cell r="S97" t="str">
            <v>2018E</v>
          </cell>
          <cell r="T97" t="str">
            <v>2019E</v>
          </cell>
          <cell r="U97" t="str">
            <v>2020E</v>
          </cell>
          <cell r="W97" t="str">
            <v>2014E</v>
          </cell>
          <cell r="AD97" t="str">
            <v>1Q05</v>
          </cell>
          <cell r="AE97" t="str">
            <v>2Q05</v>
          </cell>
          <cell r="AF97" t="str">
            <v>3Q05</v>
          </cell>
          <cell r="AG97" t="str">
            <v>4Q05</v>
          </cell>
          <cell r="AH97" t="str">
            <v>1Q06</v>
          </cell>
          <cell r="AI97" t="str">
            <v>2Q06</v>
          </cell>
          <cell r="AJ97" t="str">
            <v>3Q06</v>
          </cell>
          <cell r="AK97" t="str">
            <v>4Q06</v>
          </cell>
          <cell r="AL97" t="str">
            <v>1Q07</v>
          </cell>
          <cell r="AM97" t="str">
            <v>2Q07</v>
          </cell>
          <cell r="AN97" t="str">
            <v>3Q07</v>
          </cell>
          <cell r="AO97" t="str">
            <v>4Q07</v>
          </cell>
          <cell r="AP97" t="str">
            <v>1Q08</v>
          </cell>
          <cell r="AQ97" t="str">
            <v>2Q08</v>
          </cell>
          <cell r="AR97" t="str">
            <v>3Q08</v>
          </cell>
          <cell r="AS97" t="str">
            <v>4Q08</v>
          </cell>
          <cell r="AT97" t="str">
            <v>1Q09</v>
          </cell>
          <cell r="AU97" t="str">
            <v>2Q09</v>
          </cell>
          <cell r="AV97" t="str">
            <v>3Q09</v>
          </cell>
          <cell r="AW97" t="str">
            <v>4Q09</v>
          </cell>
          <cell r="AX97" t="str">
            <v>1Q10</v>
          </cell>
          <cell r="AY97" t="str">
            <v>2Q10</v>
          </cell>
          <cell r="AZ97" t="str">
            <v>3Q10</v>
          </cell>
          <cell r="BA97" t="str">
            <v>4Q10</v>
          </cell>
          <cell r="BB97" t="str">
            <v>1Q11</v>
          </cell>
          <cell r="BC97" t="str">
            <v>2Q11</v>
          </cell>
          <cell r="BD97" t="str">
            <v>3Q11</v>
          </cell>
          <cell r="BE97" t="str">
            <v>4Q11</v>
          </cell>
          <cell r="BF97" t="str">
            <v>1Q12</v>
          </cell>
          <cell r="BG97" t="str">
            <v>2Q12</v>
          </cell>
          <cell r="BH97" t="str">
            <v>3Q12</v>
          </cell>
          <cell r="BI97" t="str">
            <v>4Q12</v>
          </cell>
          <cell r="BJ97" t="str">
            <v>1Q13</v>
          </cell>
          <cell r="BK97" t="str">
            <v>2Q13</v>
          </cell>
          <cell r="BL97" t="str">
            <v>3Q13</v>
          </cell>
          <cell r="BM97" t="str">
            <v>4Q13</v>
          </cell>
          <cell r="BN97" t="str">
            <v>1Q14</v>
          </cell>
          <cell r="BO97" t="str">
            <v>2Q14E</v>
          </cell>
          <cell r="BP97" t="str">
            <v>3Q14E</v>
          </cell>
          <cell r="BQ97" t="str">
            <v>4Q14E</v>
          </cell>
        </row>
        <row r="98">
          <cell r="A98" t="str">
            <v>Volume and Mix</v>
          </cell>
          <cell r="B98">
            <v>0.06</v>
          </cell>
          <cell r="C98">
            <v>0.01</v>
          </cell>
          <cell r="D98">
            <v>0.01</v>
          </cell>
          <cell r="E98">
            <v>0.01</v>
          </cell>
          <cell r="F98">
            <v>7.0000000000000007E-2</v>
          </cell>
          <cell r="G98">
            <v>0.06</v>
          </cell>
          <cell r="H98">
            <v>-0.01</v>
          </cell>
          <cell r="I98">
            <v>-0.02</v>
          </cell>
          <cell r="J98">
            <v>-0.08</v>
          </cell>
          <cell r="K98">
            <v>-0.05</v>
          </cell>
          <cell r="L98">
            <v>-0.01</v>
          </cell>
          <cell r="M98">
            <v>0.02</v>
          </cell>
          <cell r="N98">
            <v>-5.6540983606557384E-2</v>
          </cell>
          <cell r="O98">
            <v>1.2E-2</v>
          </cell>
          <cell r="P98">
            <v>9.4999999999999998E-3</v>
          </cell>
          <cell r="Q98">
            <v>6.9999999999999993E-3</v>
          </cell>
          <cell r="R98">
            <v>4.4999999999999988E-3</v>
          </cell>
          <cell r="S98">
            <v>1.9999999999999987E-3</v>
          </cell>
          <cell r="T98">
            <v>-5.0000000000000131E-4</v>
          </cell>
          <cell r="U98">
            <v>-3.0000000000000014E-3</v>
          </cell>
          <cell r="W98">
            <v>1.4999999999999999E-2</v>
          </cell>
          <cell r="X98">
            <v>-2.9999999999999992E-3</v>
          </cell>
          <cell r="AD98">
            <v>0.08</v>
          </cell>
          <cell r="AE98">
            <v>7.0000000000000007E-2</v>
          </cell>
          <cell r="AF98">
            <v>0.05</v>
          </cell>
          <cell r="AG98">
            <v>0.06</v>
          </cell>
          <cell r="AH98">
            <v>0.1</v>
          </cell>
          <cell r="AI98">
            <v>0.05</v>
          </cell>
          <cell r="AJ98">
            <v>7.0000000000000007E-2</v>
          </cell>
          <cell r="AK98">
            <v>0.04</v>
          </cell>
          <cell r="AL98">
            <v>0</v>
          </cell>
          <cell r="AM98">
            <v>0.01</v>
          </cell>
          <cell r="AN98">
            <v>0.02</v>
          </cell>
          <cell r="AO98">
            <v>0.03</v>
          </cell>
          <cell r="AP98">
            <v>0.02</v>
          </cell>
          <cell r="AQ98">
            <v>-0.01</v>
          </cell>
          <cell r="AR98">
            <v>-0.01</v>
          </cell>
          <cell r="AS98">
            <v>-0.06</v>
          </cell>
          <cell r="AT98">
            <v>-0.06</v>
          </cell>
          <cell r="AU98">
            <v>-0.09</v>
          </cell>
          <cell r="AV98">
            <v>-0.08</v>
          </cell>
          <cell r="AW98">
            <v>-0.08</v>
          </cell>
          <cell r="AX98">
            <v>-0.04</v>
          </cell>
          <cell r="AY98">
            <v>-0.03</v>
          </cell>
          <cell r="AZ98">
            <v>-0.05</v>
          </cell>
          <cell r="BA98">
            <v>-0.06</v>
          </cell>
          <cell r="BB98">
            <v>-0.04</v>
          </cell>
          <cell r="BC98">
            <v>-0.03</v>
          </cell>
          <cell r="BD98">
            <v>0.03</v>
          </cell>
          <cell r="BE98">
            <v>0.01</v>
          </cell>
          <cell r="BF98">
            <v>0.02</v>
          </cell>
          <cell r="BG98">
            <v>7.0000000000000007E-2</v>
          </cell>
          <cell r="BH98">
            <v>-0.02</v>
          </cell>
          <cell r="BI98">
            <v>0.01</v>
          </cell>
          <cell r="BJ98">
            <v>-0.03</v>
          </cell>
          <cell r="BK98">
            <v>-0.06</v>
          </cell>
          <cell r="BL98">
            <v>-7.0000000000000007E-2</v>
          </cell>
          <cell r="BM98">
            <v>-7.0000000000000007E-2</v>
          </cell>
          <cell r="BN98">
            <v>-0.02</v>
          </cell>
          <cell r="BO98">
            <v>0.02</v>
          </cell>
          <cell r="BP98">
            <v>0.03</v>
          </cell>
          <cell r="BQ98">
            <v>1.6426666666666669E-2</v>
          </cell>
          <cell r="BR98">
            <v>4.4999999999999998E-2</v>
          </cell>
          <cell r="BS98">
            <v>2.5000000000000001E-2</v>
          </cell>
          <cell r="BT98">
            <v>0.02</v>
          </cell>
          <cell r="BU98">
            <v>3.1272455089820357E-2</v>
          </cell>
          <cell r="BW98">
            <v>-3.0825093184929875E-2</v>
          </cell>
          <cell r="BX98">
            <v>-2.5012820597111629E-2</v>
          </cell>
          <cell r="BY98">
            <v>-2.0816666808508244E-2</v>
          </cell>
          <cell r="BZ98">
            <v>-1.1819854479963809E-2</v>
          </cell>
          <cell r="CA98">
            <v>-1.1819854479963809E-2</v>
          </cell>
          <cell r="CB98">
            <v>1.877377272876446E-2</v>
          </cell>
          <cell r="CC98">
            <v>4.6890066085127913E-3</v>
          </cell>
          <cell r="CD98">
            <v>1.0000000000000009E-2</v>
          </cell>
          <cell r="CE98">
            <v>-2.5012820597111629E-2</v>
          </cell>
          <cell r="CF98">
            <v>-2.0816666808508244E-2</v>
          </cell>
          <cell r="CG98">
            <v>-2.1276341350634387E-2</v>
          </cell>
          <cell r="CH98">
            <v>-2.7746535105171333E-2</v>
          </cell>
          <cell r="CI98">
            <v>-2.5012820597111629E-2</v>
          </cell>
          <cell r="CJ98">
            <v>-2.0816666808508244E-2</v>
          </cell>
          <cell r="CK98">
            <v>-2.1276341350634387E-2</v>
          </cell>
          <cell r="CL98">
            <v>-2.7746535105171333E-2</v>
          </cell>
          <cell r="CM98">
            <v>-1.7013138756995283E-2</v>
          </cell>
          <cell r="CN98">
            <v>-8.1915855158055662E-3</v>
          </cell>
          <cell r="CO98">
            <v>-2.0851079039982734E-2</v>
          </cell>
          <cell r="CP98">
            <v>-1.740345657952691E-2</v>
          </cell>
        </row>
        <row r="99">
          <cell r="A99" t="str">
            <v>Price and Sales Allowances</v>
          </cell>
          <cell r="C99">
            <v>0</v>
          </cell>
          <cell r="E99">
            <v>0.02</v>
          </cell>
          <cell r="F99">
            <v>0.03</v>
          </cell>
          <cell r="G99">
            <v>0.03</v>
          </cell>
          <cell r="H99">
            <v>0.03</v>
          </cell>
          <cell r="I99">
            <v>0.02</v>
          </cell>
          <cell r="J99">
            <v>0.06</v>
          </cell>
          <cell r="K99">
            <v>0.01</v>
          </cell>
          <cell r="L99">
            <v>0</v>
          </cell>
          <cell r="M99">
            <v>0.02</v>
          </cell>
          <cell r="N99">
            <v>0</v>
          </cell>
          <cell r="O99">
            <v>5.0000000000000001E-3</v>
          </cell>
          <cell r="P99">
            <v>0.01</v>
          </cell>
          <cell r="Q99">
            <v>0.01</v>
          </cell>
          <cell r="R99">
            <v>0.01</v>
          </cell>
          <cell r="S99">
            <v>0.01</v>
          </cell>
          <cell r="T99">
            <v>0.01</v>
          </cell>
          <cell r="U99">
            <v>0.01</v>
          </cell>
          <cell r="W99">
            <v>0.01</v>
          </cell>
          <cell r="X99">
            <v>-5.0000000000000001E-3</v>
          </cell>
          <cell r="AD99">
            <v>0.03</v>
          </cell>
          <cell r="AE99">
            <v>0.04</v>
          </cell>
          <cell r="AF99">
            <v>0.04</v>
          </cell>
          <cell r="AG99">
            <v>0.03</v>
          </cell>
          <cell r="AH99">
            <v>0.03</v>
          </cell>
          <cell r="AI99">
            <v>0.02</v>
          </cell>
          <cell r="AJ99">
            <v>0.02</v>
          </cell>
          <cell r="AK99">
            <v>0.03</v>
          </cell>
          <cell r="AL99">
            <v>0.04</v>
          </cell>
          <cell r="AM99">
            <v>0.03</v>
          </cell>
          <cell r="AN99">
            <v>0.02</v>
          </cell>
          <cell r="AO99">
            <v>0.03</v>
          </cell>
          <cell r="AP99">
            <v>0.01</v>
          </cell>
          <cell r="AQ99">
            <v>0.01</v>
          </cell>
          <cell r="AR99">
            <v>0.02</v>
          </cell>
          <cell r="AS99">
            <v>0.04</v>
          </cell>
          <cell r="AT99">
            <v>0.06</v>
          </cell>
          <cell r="AU99">
            <v>0.06</v>
          </cell>
          <cell r="AV99">
            <v>0.06</v>
          </cell>
          <cell r="AW99">
            <v>0.05</v>
          </cell>
          <cell r="AX99">
            <v>0.02</v>
          </cell>
          <cell r="AY99">
            <v>0.04</v>
          </cell>
          <cell r="AZ99">
            <v>0</v>
          </cell>
          <cell r="BA99">
            <v>0</v>
          </cell>
          <cell r="BB99">
            <v>0</v>
          </cell>
          <cell r="BC99">
            <v>0.01</v>
          </cell>
          <cell r="BD99">
            <v>-0.01</v>
          </cell>
          <cell r="BE99">
            <v>-0.01</v>
          </cell>
          <cell r="BF99">
            <v>0.03</v>
          </cell>
          <cell r="BG99">
            <v>0.02</v>
          </cell>
          <cell r="BH99">
            <v>0.03</v>
          </cell>
          <cell r="BI99">
            <v>0.02</v>
          </cell>
          <cell r="BJ99">
            <v>0</v>
          </cell>
          <cell r="BK99">
            <v>0</v>
          </cell>
          <cell r="BL99">
            <v>0</v>
          </cell>
          <cell r="BM99">
            <v>0</v>
          </cell>
          <cell r="BN99">
            <v>0</v>
          </cell>
          <cell r="BO99">
            <v>5.0000000000000001E-3</v>
          </cell>
          <cell r="BP99">
            <v>5.0000000000000001E-3</v>
          </cell>
          <cell r="BQ99">
            <v>1.0383333333333333E-2</v>
          </cell>
          <cell r="BR99">
            <v>5.0000000000000001E-3</v>
          </cell>
          <cell r="BS99">
            <v>5.0000000000000001E-3</v>
          </cell>
          <cell r="BT99">
            <v>5.0000000000000001E-3</v>
          </cell>
          <cell r="BU99">
            <v>5.0000000000000001E-3</v>
          </cell>
          <cell r="BW99">
            <v>9.9504938362078299E-3</v>
          </cell>
          <cell r="BX99">
            <v>0</v>
          </cell>
          <cell r="BY99">
            <v>0</v>
          </cell>
          <cell r="BZ99">
            <v>4.9875621120889502E-3</v>
          </cell>
          <cell r="CA99">
            <v>0</v>
          </cell>
          <cell r="CB99">
            <v>1.4987684654350852E-2</v>
          </cell>
          <cell r="CC99">
            <v>9.8019607824100241E-3</v>
          </cell>
          <cell r="CD99">
            <v>4.8880534666535524E-3</v>
          </cell>
          <cell r="CE99">
            <v>0</v>
          </cell>
          <cell r="CF99">
            <v>2.496882788171062E-3</v>
          </cell>
          <cell r="CG99">
            <v>2.496882788171062E-3</v>
          </cell>
          <cell r="CH99">
            <v>5.178259481040115E-3</v>
          </cell>
          <cell r="CI99">
            <v>0</v>
          </cell>
          <cell r="CJ99">
            <v>2.496882788171062E-3</v>
          </cell>
          <cell r="CK99">
            <v>2.496882788171062E-3</v>
          </cell>
          <cell r="CL99">
            <v>5.178259481040115E-3</v>
          </cell>
          <cell r="CM99">
            <v>9.9016340499609168E-3</v>
          </cell>
          <cell r="CN99">
            <v>9.9669956211776434E-3</v>
          </cell>
          <cell r="CO99">
            <v>6.5240113822511159E-3</v>
          </cell>
          <cell r="CP99">
            <v>3.2560532769589923E-3</v>
          </cell>
        </row>
        <row r="100">
          <cell r="A100" t="str">
            <v>Promotional Spending</v>
          </cell>
          <cell r="B100">
            <v>0.01</v>
          </cell>
          <cell r="C100">
            <v>0</v>
          </cell>
          <cell r="D100">
            <v>0.01</v>
          </cell>
          <cell r="E100">
            <v>0</v>
          </cell>
          <cell r="F100">
            <v>0</v>
          </cell>
          <cell r="G100">
            <v>-0.01</v>
          </cell>
          <cell r="H100">
            <v>0</v>
          </cell>
          <cell r="I100">
            <v>-0.01</v>
          </cell>
          <cell r="J100">
            <v>-0.03</v>
          </cell>
          <cell r="K100">
            <v>-0.01</v>
          </cell>
          <cell r="L100">
            <v>0.02</v>
          </cell>
          <cell r="M100">
            <v>-0.01</v>
          </cell>
          <cell r="N100">
            <v>-2.2918032786885242E-2</v>
          </cell>
          <cell r="O100">
            <v>-5.0000000000000001E-3</v>
          </cell>
          <cell r="P100">
            <v>-5.0000000000000001E-3</v>
          </cell>
          <cell r="Q100">
            <v>-5.0000000000000001E-3</v>
          </cell>
          <cell r="R100">
            <v>-5.0000000000000001E-3</v>
          </cell>
          <cell r="S100">
            <v>-5.0000000000000001E-3</v>
          </cell>
          <cell r="T100">
            <v>-5.0000000000000001E-3</v>
          </cell>
          <cell r="U100">
            <v>-5.0000000000000001E-3</v>
          </cell>
          <cell r="W100">
            <v>0</v>
          </cell>
          <cell r="X100">
            <v>-5.0000000000000001E-3</v>
          </cell>
          <cell r="AE100">
            <v>0</v>
          </cell>
          <cell r="AF100">
            <v>0</v>
          </cell>
          <cell r="AG100">
            <v>0.01</v>
          </cell>
          <cell r="AH100">
            <v>0</v>
          </cell>
          <cell r="AI100">
            <v>0</v>
          </cell>
          <cell r="AJ100">
            <v>-0.01</v>
          </cell>
          <cell r="AK100">
            <v>0.02</v>
          </cell>
          <cell r="AL100">
            <v>-0.01</v>
          </cell>
          <cell r="AM100">
            <v>-0.01</v>
          </cell>
          <cell r="AN100">
            <v>0.01</v>
          </cell>
          <cell r="AO100">
            <v>0.01</v>
          </cell>
          <cell r="AP100">
            <v>-0.01</v>
          </cell>
          <cell r="AQ100">
            <v>-0.02</v>
          </cell>
          <cell r="AR100">
            <v>0.03</v>
          </cell>
          <cell r="AT100">
            <v>-0.01</v>
          </cell>
          <cell r="AU100">
            <v>-0.01</v>
          </cell>
          <cell r="AV100">
            <v>-0.05</v>
          </cell>
          <cell r="AW100">
            <v>-0.04</v>
          </cell>
          <cell r="AX100">
            <v>0</v>
          </cell>
          <cell r="AY100">
            <v>0</v>
          </cell>
          <cell r="AZ100">
            <v>-0.01</v>
          </cell>
          <cell r="BA100">
            <v>-0.03</v>
          </cell>
          <cell r="BB100">
            <v>-0.01</v>
          </cell>
          <cell r="BC100">
            <v>0</v>
          </cell>
          <cell r="BD100">
            <v>0.02</v>
          </cell>
          <cell r="BE100">
            <v>0.08</v>
          </cell>
          <cell r="BF100">
            <v>0.01</v>
          </cell>
          <cell r="BG100">
            <v>0</v>
          </cell>
          <cell r="BH100">
            <v>-0.01</v>
          </cell>
          <cell r="BI100">
            <v>-0.05</v>
          </cell>
          <cell r="BJ100">
            <v>-0.03</v>
          </cell>
          <cell r="BK100">
            <v>-0.04</v>
          </cell>
          <cell r="BL100">
            <v>-0.03</v>
          </cell>
          <cell r="BM100">
            <v>0.02</v>
          </cell>
          <cell r="BN100">
            <v>0</v>
          </cell>
          <cell r="BO100">
            <v>-5.0000000000000001E-3</v>
          </cell>
          <cell r="BP100">
            <v>-5.0000000000000001E-3</v>
          </cell>
          <cell r="BQ100">
            <v>-1.0383333333333333E-2</v>
          </cell>
          <cell r="BR100">
            <v>-0.01</v>
          </cell>
          <cell r="BS100">
            <v>-0.01</v>
          </cell>
          <cell r="BT100">
            <v>-0.01</v>
          </cell>
          <cell r="BU100">
            <v>-0.01</v>
          </cell>
          <cell r="BW100">
            <v>-1.5622023814023001E-2</v>
          </cell>
          <cell r="BX100">
            <v>-1.5114219820389518E-2</v>
          </cell>
          <cell r="BY100">
            <v>-2.0204102886728803E-2</v>
          </cell>
          <cell r="BZ100">
            <v>-2.5012820597111629E-2</v>
          </cell>
          <cell r="CA100">
            <v>4.8880534666535524E-3</v>
          </cell>
          <cell r="CB100">
            <v>0</v>
          </cell>
          <cell r="CC100">
            <v>4.8880534666535524E-3</v>
          </cell>
          <cell r="CD100">
            <v>1.2916580968048041E-2</v>
          </cell>
          <cell r="CE100">
            <v>-1.5114219820389518E-2</v>
          </cell>
          <cell r="CF100">
            <v>-2.2656662170350783E-2</v>
          </cell>
          <cell r="CG100">
            <v>-1.7579519757451312E-2</v>
          </cell>
          <cell r="CH100">
            <v>4.6934855964777533E-3</v>
          </cell>
          <cell r="CI100">
            <v>-1.5114219820389518E-2</v>
          </cell>
          <cell r="CJ100">
            <v>-2.2656662170350783E-2</v>
          </cell>
          <cell r="CK100">
            <v>-1.7579519757451312E-2</v>
          </cell>
          <cell r="CL100">
            <v>4.6934855964777533E-3</v>
          </cell>
        </row>
        <row r="101">
          <cell r="A101" t="str">
            <v>Currency</v>
          </cell>
          <cell r="B101">
            <v>-0.01</v>
          </cell>
          <cell r="C101">
            <v>0</v>
          </cell>
          <cell r="D101">
            <v>0.01</v>
          </cell>
          <cell r="E101">
            <v>0.02</v>
          </cell>
          <cell r="F101">
            <v>0.01</v>
          </cell>
          <cell r="G101">
            <v>0</v>
          </cell>
          <cell r="H101">
            <v>0</v>
          </cell>
          <cell r="I101">
            <v>0.02</v>
          </cell>
          <cell r="J101">
            <v>-0.02</v>
          </cell>
          <cell r="K101">
            <v>0.01</v>
          </cell>
          <cell r="L101">
            <v>0.01</v>
          </cell>
          <cell r="M101">
            <v>0</v>
          </cell>
          <cell r="N101">
            <v>-2.1446099144467302E-5</v>
          </cell>
          <cell r="O101">
            <v>-8.897896392726987E-3</v>
          </cell>
          <cell r="P101">
            <v>0</v>
          </cell>
          <cell r="Q101">
            <v>0</v>
          </cell>
          <cell r="R101">
            <v>0</v>
          </cell>
          <cell r="S101">
            <v>0</v>
          </cell>
          <cell r="T101">
            <v>0</v>
          </cell>
          <cell r="U101">
            <v>0</v>
          </cell>
          <cell r="W101">
            <v>0</v>
          </cell>
          <cell r="X101">
            <v>-8.897896392726987E-3</v>
          </cell>
          <cell r="AD101">
            <v>0.01</v>
          </cell>
          <cell r="AE101">
            <v>0.01</v>
          </cell>
          <cell r="AF101">
            <v>0.01</v>
          </cell>
          <cell r="AH101">
            <v>0</v>
          </cell>
          <cell r="AI101">
            <v>-0.01</v>
          </cell>
          <cell r="AJ101">
            <v>-0.01</v>
          </cell>
          <cell r="AK101">
            <v>0.01</v>
          </cell>
          <cell r="AL101">
            <v>0</v>
          </cell>
          <cell r="AM101">
            <v>0.01</v>
          </cell>
          <cell r="AN101">
            <v>0</v>
          </cell>
          <cell r="AO101">
            <v>0.01</v>
          </cell>
          <cell r="AP101">
            <v>0.01</v>
          </cell>
          <cell r="AQ101">
            <v>0.02</v>
          </cell>
          <cell r="AR101">
            <v>0.02</v>
          </cell>
          <cell r="AS101">
            <v>0.01</v>
          </cell>
          <cell r="AT101">
            <v>-0.01</v>
          </cell>
          <cell r="AU101">
            <v>-0.03</v>
          </cell>
          <cell r="AV101">
            <v>-0.03</v>
          </cell>
          <cell r="AW101">
            <v>-0.02</v>
          </cell>
          <cell r="AX101">
            <v>0</v>
          </cell>
          <cell r="AY101">
            <v>0.02</v>
          </cell>
          <cell r="AZ101">
            <v>0.03</v>
          </cell>
          <cell r="BA101">
            <v>0.02</v>
          </cell>
          <cell r="BB101">
            <v>0.01</v>
          </cell>
          <cell r="BC101">
            <v>0.01</v>
          </cell>
          <cell r="BD101">
            <v>0.01</v>
          </cell>
          <cell r="BE101">
            <v>0.02</v>
          </cell>
          <cell r="BF101">
            <v>0</v>
          </cell>
          <cell r="BG101">
            <v>0</v>
          </cell>
          <cell r="BH101">
            <v>0</v>
          </cell>
          <cell r="BI101">
            <v>-0.01</v>
          </cell>
          <cell r="BJ101">
            <v>0</v>
          </cell>
          <cell r="BK101">
            <v>0</v>
          </cell>
          <cell r="BL101">
            <v>0</v>
          </cell>
          <cell r="BM101">
            <v>-1.0811669816632276E-4</v>
          </cell>
          <cell r="BN101">
            <v>0</v>
          </cell>
          <cell r="BO101">
            <v>-2.2588461856672012E-2</v>
          </cell>
          <cell r="BP101">
            <v>-1.1003449908309154E-2</v>
          </cell>
          <cell r="BQ101">
            <v>0</v>
          </cell>
          <cell r="BR101">
            <v>0</v>
          </cell>
          <cell r="BS101">
            <v>0</v>
          </cell>
          <cell r="BT101">
            <v>0</v>
          </cell>
          <cell r="BU101">
            <v>0</v>
          </cell>
          <cell r="CB101">
            <v>3.3761457383115312E-2</v>
          </cell>
          <cell r="CC101">
            <v>1.9379020857576368E-2</v>
          </cell>
          <cell r="CD101">
            <v>2.7804634434701603E-2</v>
          </cell>
          <cell r="CE101">
            <v>-4.0127040417501147E-2</v>
          </cell>
          <cell r="CF101">
            <v>-4.0976446190687965E-2</v>
          </cell>
          <cell r="CG101">
            <v>-3.6358978319914637E-2</v>
          </cell>
          <cell r="CH101">
            <v>-1.7874790027653464E-2</v>
          </cell>
          <cell r="CI101">
            <v>-4.0127040417501147E-2</v>
          </cell>
          <cell r="CJ101">
            <v>-4.0976446190687965E-2</v>
          </cell>
          <cell r="CK101">
            <v>-3.6358978319914637E-2</v>
          </cell>
          <cell r="CL101">
            <v>-1.7874790027653464E-2</v>
          </cell>
        </row>
        <row r="102">
          <cell r="A102" t="str">
            <v>Acquisitions/Divestitures</v>
          </cell>
          <cell r="C102">
            <v>0</v>
          </cell>
          <cell r="E102">
            <v>0</v>
          </cell>
          <cell r="L102">
            <v>0</v>
          </cell>
          <cell r="M102">
            <v>0</v>
          </cell>
          <cell r="N102">
            <v>1.23782131147541</v>
          </cell>
          <cell r="O102">
            <v>1.0934857409459381E-2</v>
          </cell>
          <cell r="P102">
            <v>0</v>
          </cell>
          <cell r="Q102">
            <v>0</v>
          </cell>
          <cell r="R102">
            <v>0</v>
          </cell>
          <cell r="S102">
            <v>0</v>
          </cell>
          <cell r="T102">
            <v>0</v>
          </cell>
          <cell r="U102">
            <v>0</v>
          </cell>
          <cell r="W102">
            <v>0</v>
          </cell>
          <cell r="X102">
            <v>1.0934857409459381E-2</v>
          </cell>
          <cell r="AX102">
            <v>0</v>
          </cell>
          <cell r="AY102">
            <v>0</v>
          </cell>
          <cell r="AZ102">
            <v>0</v>
          </cell>
          <cell r="BA102">
            <v>0</v>
          </cell>
          <cell r="BB102">
            <v>0</v>
          </cell>
          <cell r="BC102">
            <v>0</v>
          </cell>
          <cell r="BD102">
            <v>0</v>
          </cell>
          <cell r="BE102">
            <v>0</v>
          </cell>
          <cell r="BF102">
            <v>0</v>
          </cell>
          <cell r="BG102">
            <v>0</v>
          </cell>
          <cell r="BH102">
            <v>0</v>
          </cell>
          <cell r="BI102">
            <v>0</v>
          </cell>
          <cell r="BJ102">
            <v>1.05</v>
          </cell>
          <cell r="BK102">
            <v>1.127</v>
          </cell>
          <cell r="BL102">
            <v>1.3311688311688312</v>
          </cell>
          <cell r="BM102">
            <v>1.5289256198347108</v>
          </cell>
          <cell r="BN102">
            <v>0.04</v>
          </cell>
          <cell r="BO102">
            <v>0</v>
          </cell>
          <cell r="BP102">
            <v>0</v>
          </cell>
          <cell r="BQ102">
            <v>5.0102564102564116E-3</v>
          </cell>
          <cell r="BR102">
            <v>0</v>
          </cell>
          <cell r="BS102">
            <v>0</v>
          </cell>
          <cell r="BT102">
            <v>0</v>
          </cell>
          <cell r="BU102">
            <v>0</v>
          </cell>
        </row>
        <row r="103">
          <cell r="A103" t="str">
            <v>53rd week</v>
          </cell>
          <cell r="E103">
            <v>-0.01</v>
          </cell>
          <cell r="I103">
            <v>0.02</v>
          </cell>
          <cell r="J103">
            <v>-0.02</v>
          </cell>
          <cell r="L103">
            <v>0</v>
          </cell>
          <cell r="M103">
            <v>0</v>
          </cell>
          <cell r="N103">
            <v>0</v>
          </cell>
          <cell r="O103">
            <v>1.7495771855135008E-2</v>
          </cell>
          <cell r="P103">
            <v>-1.6960946848894865E-2</v>
          </cell>
          <cell r="Q103">
            <v>0</v>
          </cell>
          <cell r="R103">
            <v>0</v>
          </cell>
          <cell r="S103">
            <v>0</v>
          </cell>
          <cell r="T103">
            <v>0</v>
          </cell>
          <cell r="U103">
            <v>0</v>
          </cell>
          <cell r="AS103">
            <v>0.08</v>
          </cell>
          <cell r="AW103">
            <v>-7.0000000000000007E-2</v>
          </cell>
          <cell r="BJ103">
            <v>0</v>
          </cell>
          <cell r="BK103">
            <v>0</v>
          </cell>
          <cell r="BL103">
            <v>0</v>
          </cell>
          <cell r="BM103">
            <v>0</v>
          </cell>
          <cell r="BN103">
            <v>0</v>
          </cell>
          <cell r="BO103">
            <v>0</v>
          </cell>
          <cell r="BP103">
            <v>0</v>
          </cell>
          <cell r="BQ103">
            <v>7.6923076923076927E-2</v>
          </cell>
          <cell r="BR103">
            <v>0</v>
          </cell>
          <cell r="BS103">
            <v>0</v>
          </cell>
          <cell r="BT103">
            <v>0</v>
          </cell>
          <cell r="BU103">
            <v>-7.1856287425149698E-2</v>
          </cell>
        </row>
        <row r="104">
          <cell r="A104" t="str">
            <v>Organic</v>
          </cell>
          <cell r="B104">
            <v>6.9999999999999993E-2</v>
          </cell>
          <cell r="C104">
            <v>0.01</v>
          </cell>
          <cell r="D104">
            <v>0.02</v>
          </cell>
          <cell r="E104">
            <v>0.03</v>
          </cell>
          <cell r="F104">
            <v>0.1</v>
          </cell>
          <cell r="G104">
            <v>0.08</v>
          </cell>
          <cell r="H104">
            <v>1.9999999999999997E-2</v>
          </cell>
          <cell r="I104">
            <v>-0.01</v>
          </cell>
          <cell r="J104">
            <v>-0.05</v>
          </cell>
          <cell r="K104">
            <v>-0.05</v>
          </cell>
          <cell r="L104">
            <v>0.01</v>
          </cell>
          <cell r="M104">
            <v>0.03</v>
          </cell>
          <cell r="N104">
            <v>-7.9459016393442633E-2</v>
          </cell>
          <cell r="O104">
            <v>1.2E-2</v>
          </cell>
          <cell r="P104">
            <v>1.4499999999999999E-2</v>
          </cell>
          <cell r="Q104">
            <v>1.2E-2</v>
          </cell>
          <cell r="R104">
            <v>9.499999999999998E-3</v>
          </cell>
          <cell r="S104">
            <v>6.9999999999999984E-3</v>
          </cell>
          <cell r="T104">
            <v>4.4999999999999979E-3</v>
          </cell>
          <cell r="U104">
            <v>1.9999999999999992E-3</v>
          </cell>
          <cell r="W104">
            <v>2.5000000000000001E-2</v>
          </cell>
          <cell r="X104">
            <v>-1.3000000000000001E-2</v>
          </cell>
          <cell r="AD104">
            <v>0.11</v>
          </cell>
          <cell r="AE104">
            <v>0.11000000000000001</v>
          </cell>
          <cell r="AF104">
            <v>0.09</v>
          </cell>
          <cell r="AG104">
            <v>9.9999999999999992E-2</v>
          </cell>
          <cell r="AH104">
            <v>0.13</v>
          </cell>
          <cell r="AI104">
            <v>7.0000000000000007E-2</v>
          </cell>
          <cell r="AJ104">
            <v>8.0000000000000016E-2</v>
          </cell>
          <cell r="AK104">
            <v>9.0000000000000011E-2</v>
          </cell>
          <cell r="AL104">
            <v>0.03</v>
          </cell>
          <cell r="AM104">
            <v>0.03</v>
          </cell>
          <cell r="AN104">
            <v>0.05</v>
          </cell>
          <cell r="AO104">
            <v>6.9999999999999993E-2</v>
          </cell>
          <cell r="AP104">
            <v>1.9999999999999997E-2</v>
          </cell>
          <cell r="AQ104">
            <v>-0.02</v>
          </cell>
          <cell r="AR104">
            <v>0.04</v>
          </cell>
          <cell r="AS104">
            <v>-1.9999999999999997E-2</v>
          </cell>
          <cell r="AT104">
            <v>-0.01</v>
          </cell>
          <cell r="AU104">
            <v>-0.04</v>
          </cell>
          <cell r="AV104">
            <v>-7.0000000000000007E-2</v>
          </cell>
          <cell r="AW104">
            <v>-7.0000000000000007E-2</v>
          </cell>
          <cell r="AX104">
            <v>-0.02</v>
          </cell>
          <cell r="AY104">
            <v>1.0000000000000002E-2</v>
          </cell>
          <cell r="AZ104">
            <v>-6.0000000000000005E-2</v>
          </cell>
          <cell r="BA104">
            <v>-0.09</v>
          </cell>
          <cell r="BB104">
            <v>-0.05</v>
          </cell>
          <cell r="BC104">
            <v>-1.9999999999999997E-2</v>
          </cell>
          <cell r="BD104">
            <v>3.9999999999999994E-2</v>
          </cell>
          <cell r="BE104">
            <v>0.08</v>
          </cell>
          <cell r="BF104">
            <v>6.0000000000000005E-2</v>
          </cell>
          <cell r="BG104">
            <v>9.0000000000000011E-2</v>
          </cell>
          <cell r="BH104">
            <v>0</v>
          </cell>
          <cell r="BI104">
            <v>-2.0000000000000004E-2</v>
          </cell>
          <cell r="BJ104">
            <v>-0.06</v>
          </cell>
          <cell r="BK104">
            <v>-0.1</v>
          </cell>
          <cell r="BL104">
            <v>-0.1</v>
          </cell>
          <cell r="BM104">
            <v>-0.05</v>
          </cell>
          <cell r="BN104">
            <v>-0.02</v>
          </cell>
          <cell r="BO104">
            <v>0.02</v>
          </cell>
          <cell r="BP104">
            <v>2.9999999999999995E-2</v>
          </cell>
          <cell r="BQ104">
            <v>1.6426666666666666E-2</v>
          </cell>
          <cell r="BR104">
            <v>3.9999999999999994E-2</v>
          </cell>
          <cell r="BS104">
            <v>2.0000000000000004E-2</v>
          </cell>
          <cell r="BT104">
            <v>1.5000000000000001E-2</v>
          </cell>
          <cell r="BU104">
            <v>2.6272455089820353E-2</v>
          </cell>
          <cell r="BW104">
            <v>-3.5116587353684503E-2</v>
          </cell>
          <cell r="BX104">
            <v>-4.0208355943853857E-2</v>
          </cell>
          <cell r="BY104">
            <v>-4.187683463972125E-2</v>
          </cell>
          <cell r="BZ104">
            <v>-3.252907020417406E-2</v>
          </cell>
          <cell r="CA104">
            <v>-6.0181088168658192E-3</v>
          </cell>
          <cell r="CB104">
            <v>3.3761457383115312E-2</v>
          </cell>
          <cell r="CC104">
            <v>1.9379020857576368E-2</v>
          </cell>
          <cell r="CD104">
            <v>2.7804634434701603E-2</v>
          </cell>
          <cell r="CE104">
            <v>-4.0208355943853857E-2</v>
          </cell>
          <cell r="CF104">
            <v>-4.187683463972125E-2</v>
          </cell>
          <cell r="CG104">
            <v>-3.7191607847127273E-2</v>
          </cell>
          <cell r="CH104">
            <v>-1.7347806529017462E-2</v>
          </cell>
          <cell r="CI104">
            <v>-4.0127040417501147E-2</v>
          </cell>
          <cell r="CJ104">
            <v>-4.0976446190687965E-2</v>
          </cell>
          <cell r="CK104">
            <v>-3.6358978319914637E-2</v>
          </cell>
          <cell r="CL104">
            <v>-1.7874790027653464E-2</v>
          </cell>
        </row>
        <row r="105">
          <cell r="A105" t="str">
            <v>North American Food Service Total Sales Growth</v>
          </cell>
          <cell r="B105" t="str">
            <v>NM</v>
          </cell>
          <cell r="C105">
            <v>1.8087855297157729E-2</v>
          </cell>
          <cell r="D105">
            <v>-0.26565143824027071</v>
          </cell>
          <cell r="E105">
            <v>4.0322580645161255E-2</v>
          </cell>
          <cell r="F105">
            <v>0.11295681063122931</v>
          </cell>
          <cell r="G105">
            <v>7.8606965174129462E-2</v>
          </cell>
          <cell r="H105">
            <v>4.4280442804428111E-2</v>
          </cell>
          <cell r="I105">
            <v>2.8213166144200663E-2</v>
          </cell>
          <cell r="J105">
            <v>-8.6890243902439046E-2</v>
          </cell>
          <cell r="K105">
            <v>-3.5058430717863076E-2</v>
          </cell>
          <cell r="L105">
            <v>0.02</v>
          </cell>
          <cell r="M105">
            <v>0.03</v>
          </cell>
          <cell r="N105">
            <v>1.1583408489828229</v>
          </cell>
          <cell r="O105">
            <v>3.1532732871867405E-2</v>
          </cell>
          <cell r="P105">
            <v>-2.4609468488948662E-3</v>
          </cell>
          <cell r="Q105">
            <v>1.2E-2</v>
          </cell>
          <cell r="R105">
            <v>9.499999999999998E-3</v>
          </cell>
          <cell r="S105">
            <v>6.9999999999999984E-3</v>
          </cell>
          <cell r="T105">
            <v>4.4999999999999979E-3</v>
          </cell>
          <cell r="U105">
            <v>1.9999999999999992E-3</v>
          </cell>
          <cell r="W105">
            <v>2.5000000000000001E-2</v>
          </cell>
          <cell r="X105">
            <v>6.5327328718674041E-3</v>
          </cell>
          <cell r="AD105">
            <v>0.12077294685990347</v>
          </cell>
          <cell r="AE105">
            <v>0.12162162162162171</v>
          </cell>
          <cell r="AF105">
            <v>0.10480349344978168</v>
          </cell>
          <cell r="AG105">
            <v>1.0526315789473686</v>
          </cell>
          <cell r="AH105">
            <v>0.1293103448275863</v>
          </cell>
          <cell r="AI105">
            <v>5.7228915662650648E-2</v>
          </cell>
          <cell r="AJ105">
            <v>7.1146245059288571E-2</v>
          </cell>
          <cell r="AK105">
            <v>-0.43019943019943019</v>
          </cell>
          <cell r="AL105">
            <v>3.4351145038167941E-2</v>
          </cell>
          <cell r="AM105">
            <v>4.2735042735042805E-2</v>
          </cell>
          <cell r="AN105">
            <v>3.3210332103321027E-2</v>
          </cell>
          <cell r="AO105">
            <v>7.4999999999999956E-2</v>
          </cell>
          <cell r="AP105">
            <v>3.3210332103321027E-2</v>
          </cell>
          <cell r="AQ105">
            <v>-2.732240437158473E-3</v>
          </cell>
          <cell r="AR105">
            <v>-8.2142857142857184E-2</v>
          </cell>
          <cell r="AS105">
            <v>6.5217391304347894E-2</v>
          </cell>
          <cell r="AT105">
            <v>-1.8072289156626509E-2</v>
          </cell>
          <cell r="AU105">
            <v>-7.3863636363636354E-2</v>
          </cell>
          <cell r="AV105">
            <v>-0.10179640718562877</v>
          </cell>
          <cell r="AW105">
            <v>-0.16326530612244894</v>
          </cell>
          <cell r="AX105">
            <v>-2.4539877300613466E-2</v>
          </cell>
          <cell r="AY105">
            <v>-2.4539877300613466E-2</v>
          </cell>
          <cell r="AZ105">
            <v>-2.6666666666666616E-2</v>
          </cell>
          <cell r="BA105">
            <v>-7.3170731707317027E-2</v>
          </cell>
          <cell r="BB105">
            <v>-3.7735849056603765E-2</v>
          </cell>
          <cell r="BC105">
            <v>-6.2893081761006275E-3</v>
          </cell>
          <cell r="BD105">
            <v>5.4794520547945202E-2</v>
          </cell>
          <cell r="BE105">
            <v>9.6491228070175517E-2</v>
          </cell>
          <cell r="BF105">
            <v>5.8823529411764719E-2</v>
          </cell>
          <cell r="BG105">
            <v>9.0000000000000011E-2</v>
          </cell>
          <cell r="BH105">
            <v>-1.7347234759768071E-18</v>
          </cell>
          <cell r="BI105">
            <v>-3.0000000000000006E-2</v>
          </cell>
          <cell r="BJ105">
            <v>0.99</v>
          </cell>
          <cell r="BK105">
            <v>1.0269999999999999</v>
          </cell>
          <cell r="BL105">
            <v>1.2311688311688311</v>
          </cell>
          <cell r="BM105">
            <v>1.4788175031365445</v>
          </cell>
          <cell r="BN105">
            <v>0.02</v>
          </cell>
          <cell r="BO105">
            <v>-2.5884618566720113E-3</v>
          </cell>
          <cell r="BP105">
            <v>1.8996550091690843E-2</v>
          </cell>
          <cell r="BQ105">
            <v>9.8360000000000003E-2</v>
          </cell>
          <cell r="BR105">
            <v>3.9999999999999994E-2</v>
          </cell>
          <cell r="BS105">
            <v>2.0000000000000004E-2</v>
          </cell>
          <cell r="BT105">
            <v>1.5000000000000001E-2</v>
          </cell>
          <cell r="BU105">
            <v>-4.5583832335329345E-2</v>
          </cell>
        </row>
        <row r="106">
          <cell r="A106" t="str">
            <v>2-yr organic</v>
          </cell>
          <cell r="L106">
            <v>-2.0459291300254367E-2</v>
          </cell>
          <cell r="M106">
            <v>1.9950979214197417E-2</v>
          </cell>
          <cell r="N106">
            <v>-2.626635412205558E-2</v>
          </cell>
          <cell r="O106">
            <v>-3.1019150370538928E-2</v>
          </cell>
          <cell r="P106">
            <v>2.2481743526669318E-2</v>
          </cell>
          <cell r="Q106">
            <v>1.7472358346898753E-2</v>
          </cell>
          <cell r="R106">
            <v>1.0000000000000009E-2</v>
          </cell>
          <cell r="S106">
            <v>1.0000000000000009E-2</v>
          </cell>
          <cell r="T106">
            <v>1.0000000000000009E-2</v>
          </cell>
          <cell r="U106">
            <v>1.0000000000000009E-2</v>
          </cell>
          <cell r="AX106">
            <v>-1.5012690437079868E-2</v>
          </cell>
          <cell r="AY106">
            <v>-1.5317309992706307E-2</v>
          </cell>
          <cell r="AZ106">
            <v>-6.5013369079536032E-2</v>
          </cell>
          <cell r="BA106">
            <v>-8.005434943144607E-2</v>
          </cell>
          <cell r="BB106">
            <v>-3.5116587353684503E-2</v>
          </cell>
          <cell r="BC106">
            <v>-5.1130717513673263E-3</v>
          </cell>
          <cell r="BD106">
            <v>-1.1263432455338007E-2</v>
          </cell>
          <cell r="BE106">
            <v>-8.6373014885016142E-3</v>
          </cell>
          <cell r="BF106">
            <v>3.4938963441679682E-3</v>
          </cell>
          <cell r="BG106">
            <v>3.3537614216338163E-2</v>
          </cell>
          <cell r="BH106">
            <v>1.9803902718557032E-2</v>
          </cell>
          <cell r="BI106">
            <v>2.8785691968934879E-2</v>
          </cell>
          <cell r="BJ106">
            <v>-1.8016229225775726E-3</v>
          </cell>
          <cell r="BK106">
            <v>-9.5455588468492669E-3</v>
          </cell>
          <cell r="BL106">
            <v>-5.1316701949486232E-2</v>
          </cell>
          <cell r="BM106">
            <v>-3.5116587353684503E-2</v>
          </cell>
          <cell r="BN106">
            <v>-4.0208355943853857E-2</v>
          </cell>
          <cell r="BO106">
            <v>-4.187683463972125E-2</v>
          </cell>
          <cell r="BP106">
            <v>-3.7191607847127273E-2</v>
          </cell>
          <cell r="BQ106">
            <v>-1.7347806529017462E-2</v>
          </cell>
          <cell r="BR106">
            <v>9.5543571299170349E-3</v>
          </cell>
          <cell r="BS106">
            <v>2.0000000000000018E-2</v>
          </cell>
          <cell r="BT106">
            <v>2.742396312330575E-2</v>
          </cell>
          <cell r="BU106">
            <v>3.3113427118926397E-2</v>
          </cell>
        </row>
        <row r="108">
          <cell r="A108" t="str">
            <v>US Soup</v>
          </cell>
          <cell r="B108">
            <v>2001</v>
          </cell>
          <cell r="C108">
            <v>2002</v>
          </cell>
          <cell r="D108">
            <v>2003</v>
          </cell>
          <cell r="E108">
            <v>2004</v>
          </cell>
          <cell r="F108">
            <v>2005</v>
          </cell>
          <cell r="G108">
            <v>2006</v>
          </cell>
          <cell r="H108">
            <v>2007</v>
          </cell>
          <cell r="I108">
            <v>2008</v>
          </cell>
          <cell r="J108" t="str">
            <v>2009</v>
          </cell>
          <cell r="K108">
            <v>2010</v>
          </cell>
          <cell r="L108">
            <v>2011</v>
          </cell>
          <cell r="M108">
            <v>2012</v>
          </cell>
          <cell r="N108">
            <v>2013</v>
          </cell>
          <cell r="AD108" t="str">
            <v>1Q05</v>
          </cell>
          <cell r="AE108" t="str">
            <v>2Q05</v>
          </cell>
          <cell r="AF108" t="str">
            <v>3Q05</v>
          </cell>
          <cell r="AG108" t="str">
            <v>4Q05</v>
          </cell>
          <cell r="AH108" t="str">
            <v>1Q06</v>
          </cell>
          <cell r="AI108" t="str">
            <v>2Q06</v>
          </cell>
          <cell r="AJ108" t="str">
            <v>3Q06</v>
          </cell>
          <cell r="AK108" t="str">
            <v>4Q06</v>
          </cell>
          <cell r="AL108" t="str">
            <v>1Q07</v>
          </cell>
          <cell r="AM108" t="str">
            <v>2Q07</v>
          </cell>
          <cell r="AN108" t="str">
            <v>3Q07</v>
          </cell>
          <cell r="AO108" t="str">
            <v>4Q07</v>
          </cell>
          <cell r="AP108" t="str">
            <v>1Q08</v>
          </cell>
          <cell r="AQ108" t="str">
            <v>2Q08</v>
          </cell>
          <cell r="AR108" t="str">
            <v>3Q08</v>
          </cell>
          <cell r="AS108" t="str">
            <v>4Q08</v>
          </cell>
          <cell r="AT108" t="str">
            <v>1Q09</v>
          </cell>
          <cell r="AU108" t="str">
            <v>2Q09</v>
          </cell>
          <cell r="AV108" t="str">
            <v>3Q09</v>
          </cell>
          <cell r="AW108" t="str">
            <v>4Q09</v>
          </cell>
          <cell r="AX108" t="str">
            <v>1Q10</v>
          </cell>
          <cell r="AY108" t="str">
            <v>2Q10</v>
          </cell>
          <cell r="AZ108" t="str">
            <v>3Q10</v>
          </cell>
          <cell r="BA108" t="str">
            <v>4Q10</v>
          </cell>
          <cell r="BB108" t="str">
            <v>1Q11</v>
          </cell>
          <cell r="BC108" t="str">
            <v>2Q11</v>
          </cell>
          <cell r="BD108" t="str">
            <v>3Q11</v>
          </cell>
          <cell r="BE108" t="str">
            <v>4Q11</v>
          </cell>
          <cell r="BF108" t="str">
            <v>1Q12</v>
          </cell>
          <cell r="BG108" t="str">
            <v>2Q12</v>
          </cell>
          <cell r="BH108" t="str">
            <v>3Q12</v>
          </cell>
          <cell r="BI108" t="str">
            <v>4Q12</v>
          </cell>
          <cell r="BJ108" t="str">
            <v>1Q13</v>
          </cell>
          <cell r="BK108" t="str">
            <v>2Q13</v>
          </cell>
          <cell r="BL108" t="str">
            <v>3Q13</v>
          </cell>
          <cell r="BM108" t="str">
            <v>4Q13</v>
          </cell>
          <cell r="BN108" t="str">
            <v>1Q14</v>
          </cell>
          <cell r="BO108" t="str">
            <v>2Q14E</v>
          </cell>
          <cell r="BP108" t="str">
            <v>3Q14E</v>
          </cell>
          <cell r="BQ108" t="str">
            <v>4Q14E</v>
          </cell>
        </row>
        <row r="109">
          <cell r="A109" t="str">
            <v>Condensed</v>
          </cell>
          <cell r="B109">
            <v>-0.02</v>
          </cell>
          <cell r="C109">
            <v>-0.05</v>
          </cell>
          <cell r="D109">
            <v>-0.06</v>
          </cell>
          <cell r="E109">
            <v>0.06</v>
          </cell>
          <cell r="F109">
            <v>0.08</v>
          </cell>
          <cell r="G109">
            <v>0.05</v>
          </cell>
          <cell r="H109">
            <v>0.03</v>
          </cell>
          <cell r="I109">
            <v>0</v>
          </cell>
          <cell r="J109">
            <v>0.06</v>
          </cell>
          <cell r="K109">
            <v>-0.02</v>
          </cell>
          <cell r="L109">
            <v>-0.04</v>
          </cell>
          <cell r="M109">
            <v>0.01</v>
          </cell>
          <cell r="N109">
            <v>0.02</v>
          </cell>
          <cell r="O109">
            <v>-0.03</v>
          </cell>
          <cell r="AD109">
            <v>0.1</v>
          </cell>
          <cell r="AE109">
            <v>0.04</v>
          </cell>
          <cell r="AF109">
            <v>0.04</v>
          </cell>
          <cell r="AG109">
            <v>0.19</v>
          </cell>
          <cell r="AH109">
            <v>0.01</v>
          </cell>
          <cell r="AI109">
            <v>0.06</v>
          </cell>
          <cell r="AJ109">
            <v>0.11</v>
          </cell>
          <cell r="AK109">
            <v>0.04</v>
          </cell>
          <cell r="AL109">
            <v>7.0000000000000007E-2</v>
          </cell>
          <cell r="AM109">
            <v>0</v>
          </cell>
          <cell r="AN109">
            <v>0.04</v>
          </cell>
          <cell r="AO109">
            <v>0.01</v>
          </cell>
          <cell r="AP109">
            <v>-0.02</v>
          </cell>
          <cell r="AQ109">
            <v>-0.01</v>
          </cell>
          <cell r="AR109">
            <v>0</v>
          </cell>
          <cell r="AS109">
            <v>0.06</v>
          </cell>
          <cell r="AT109">
            <v>0.14000000000000001</v>
          </cell>
          <cell r="AU109">
            <v>0.01</v>
          </cell>
          <cell r="AV109">
            <v>0.02</v>
          </cell>
          <cell r="AW109">
            <v>0.04</v>
          </cell>
          <cell r="AX109">
            <v>-0.01</v>
          </cell>
          <cell r="AY109">
            <v>0</v>
          </cell>
          <cell r="AZ109">
            <v>-0.01</v>
          </cell>
          <cell r="BA109">
            <v>-7.0000000000000007E-2</v>
          </cell>
          <cell r="BB109">
            <v>-0.01</v>
          </cell>
          <cell r="BC109">
            <v>-7.0000000000000007E-2</v>
          </cell>
          <cell r="BD109">
            <v>-0.02</v>
          </cell>
          <cell r="BE109">
            <v>-0.1</v>
          </cell>
          <cell r="BF109">
            <v>-0.04</v>
          </cell>
          <cell r="BG109">
            <v>0.05</v>
          </cell>
          <cell r="BH109">
            <v>-0.05</v>
          </cell>
          <cell r="BI109">
            <v>0.14000000000000001</v>
          </cell>
          <cell r="BJ109">
            <v>-0.01</v>
          </cell>
          <cell r="BK109">
            <v>0.01</v>
          </cell>
          <cell r="BL109">
            <v>0.11</v>
          </cell>
          <cell r="BM109">
            <v>0</v>
          </cell>
          <cell r="BN109">
            <v>-7.0000000000000007E-2</v>
          </cell>
          <cell r="BO109">
            <v>0.04</v>
          </cell>
          <cell r="BP109">
            <v>-0.03</v>
          </cell>
          <cell r="BQ109">
            <v>0.01</v>
          </cell>
        </row>
        <row r="110">
          <cell r="A110" t="str">
            <v>RTS</v>
          </cell>
          <cell r="B110">
            <v>0.2</v>
          </cell>
          <cell r="C110">
            <v>0.09</v>
          </cell>
          <cell r="D110">
            <v>0.08</v>
          </cell>
          <cell r="E110">
            <v>-0.04</v>
          </cell>
          <cell r="F110">
            <v>-0.01</v>
          </cell>
          <cell r="G110">
            <v>0.01</v>
          </cell>
          <cell r="H110">
            <v>0.05</v>
          </cell>
          <cell r="I110">
            <v>0.01</v>
          </cell>
          <cell r="J110">
            <v>0.04</v>
          </cell>
          <cell r="K110">
            <v>-0.09</v>
          </cell>
          <cell r="L110">
            <v>-0.09</v>
          </cell>
          <cell r="M110">
            <v>-7.0000000000000007E-2</v>
          </cell>
          <cell r="N110">
            <v>0.09</v>
          </cell>
          <cell r="O110">
            <v>-0.06</v>
          </cell>
          <cell r="AD110">
            <v>0.18</v>
          </cell>
          <cell r="AE110">
            <v>-0.09</v>
          </cell>
          <cell r="AF110">
            <v>-0.06</v>
          </cell>
          <cell r="AG110">
            <v>-0.18</v>
          </cell>
          <cell r="AH110">
            <v>-0.17</v>
          </cell>
          <cell r="AI110">
            <v>0.09</v>
          </cell>
          <cell r="AJ110">
            <v>0.17</v>
          </cell>
          <cell r="AK110">
            <v>0.2</v>
          </cell>
          <cell r="AL110">
            <v>0.15</v>
          </cell>
          <cell r="AM110">
            <v>-0.06</v>
          </cell>
          <cell r="AN110">
            <v>0.17</v>
          </cell>
          <cell r="AO110">
            <v>-0.04</v>
          </cell>
          <cell r="AP110">
            <v>-0.02</v>
          </cell>
          <cell r="AQ110">
            <v>0.08</v>
          </cell>
          <cell r="AR110">
            <v>-0.09</v>
          </cell>
          <cell r="AS110">
            <v>0.05</v>
          </cell>
          <cell r="AT110">
            <v>7.0000000000000007E-2</v>
          </cell>
          <cell r="AU110">
            <v>7.0000000000000007E-2</v>
          </cell>
          <cell r="AV110">
            <v>-7.0000000000000007E-2</v>
          </cell>
          <cell r="AW110">
            <v>0.14000000000000001</v>
          </cell>
          <cell r="AX110">
            <v>-7.0000000000000007E-2</v>
          </cell>
          <cell r="AY110">
            <v>-0.18</v>
          </cell>
          <cell r="AZ110">
            <v>0.04</v>
          </cell>
          <cell r="BA110">
            <v>-7.0000000000000007E-2</v>
          </cell>
          <cell r="BB110">
            <v>-0.13</v>
          </cell>
          <cell r="BC110">
            <v>-0.04</v>
          </cell>
          <cell r="BD110">
            <v>-0.15</v>
          </cell>
          <cell r="BE110">
            <v>-0.05</v>
          </cell>
          <cell r="BF110">
            <v>-0.09</v>
          </cell>
          <cell r="BG110">
            <v>-0.12</v>
          </cell>
          <cell r="BH110">
            <v>-0.01</v>
          </cell>
          <cell r="BI110">
            <v>0.01</v>
          </cell>
          <cell r="BJ110">
            <v>0.04</v>
          </cell>
          <cell r="BK110">
            <v>0.08</v>
          </cell>
          <cell r="BL110">
            <v>0.18</v>
          </cell>
          <cell r="BM110">
            <v>0.09</v>
          </cell>
          <cell r="BN110">
            <v>-0.11</v>
          </cell>
          <cell r="BO110">
            <v>0</v>
          </cell>
          <cell r="BP110">
            <v>-0.01</v>
          </cell>
          <cell r="BQ110">
            <v>-0.08</v>
          </cell>
        </row>
        <row r="111">
          <cell r="A111" t="str">
            <v>Broth</v>
          </cell>
          <cell r="C111">
            <v>0.04</v>
          </cell>
          <cell r="D111">
            <v>0.13</v>
          </cell>
          <cell r="E111">
            <v>0.05</v>
          </cell>
          <cell r="F111">
            <v>0.12</v>
          </cell>
          <cell r="G111">
            <v>0.11</v>
          </cell>
          <cell r="H111">
            <v>0.12</v>
          </cell>
          <cell r="I111">
            <v>0.11</v>
          </cell>
          <cell r="J111">
            <v>0.08</v>
          </cell>
          <cell r="K111">
            <v>0.03</v>
          </cell>
          <cell r="L111">
            <v>-0.01</v>
          </cell>
          <cell r="M111">
            <v>0.03</v>
          </cell>
          <cell r="N111">
            <v>0.04</v>
          </cell>
          <cell r="O111">
            <v>0.08</v>
          </cell>
          <cell r="AD111">
            <v>7.0000000000000007E-2</v>
          </cell>
          <cell r="AE111">
            <v>0.15</v>
          </cell>
          <cell r="AF111">
            <v>7.0000000000000007E-2</v>
          </cell>
          <cell r="AG111">
            <v>0.28000000000000003</v>
          </cell>
          <cell r="AH111">
            <v>0.09</v>
          </cell>
          <cell r="AI111">
            <v>0.06</v>
          </cell>
          <cell r="AJ111">
            <v>0.3</v>
          </cell>
          <cell r="AK111">
            <v>0.05</v>
          </cell>
          <cell r="AL111">
            <v>0.08</v>
          </cell>
          <cell r="AM111">
            <v>0.15</v>
          </cell>
          <cell r="AN111">
            <v>0.17</v>
          </cell>
          <cell r="AO111">
            <v>0.08</v>
          </cell>
          <cell r="AP111">
            <v>0.08</v>
          </cell>
          <cell r="AQ111">
            <v>0.18</v>
          </cell>
          <cell r="AR111">
            <v>0.05</v>
          </cell>
          <cell r="AS111">
            <v>0.13</v>
          </cell>
          <cell r="AT111">
            <v>0.23</v>
          </cell>
          <cell r="AU111">
            <v>0.03</v>
          </cell>
          <cell r="AV111">
            <v>-0.02</v>
          </cell>
          <cell r="AW111">
            <v>7.0000000000000007E-2</v>
          </cell>
          <cell r="AX111">
            <v>0</v>
          </cell>
          <cell r="AY111">
            <v>0.01</v>
          </cell>
          <cell r="AZ111">
            <v>0.09</v>
          </cell>
          <cell r="BA111">
            <v>0.09</v>
          </cell>
          <cell r="BB111">
            <v>0.02</v>
          </cell>
          <cell r="BC111">
            <v>7.0000000000000007E-2</v>
          </cell>
          <cell r="BD111">
            <v>-0.02</v>
          </cell>
          <cell r="BE111">
            <v>-0.11</v>
          </cell>
          <cell r="BF111">
            <v>0.06</v>
          </cell>
          <cell r="BG111">
            <v>0.03</v>
          </cell>
          <cell r="BH111">
            <v>-0.04</v>
          </cell>
          <cell r="BI111">
            <v>0.04</v>
          </cell>
          <cell r="BJ111">
            <v>0.09</v>
          </cell>
          <cell r="BK111">
            <v>-0.12</v>
          </cell>
          <cell r="BL111">
            <v>0.18</v>
          </cell>
          <cell r="BM111">
            <v>0.13</v>
          </cell>
          <cell r="BN111">
            <v>0.03</v>
          </cell>
          <cell r="BO111">
            <v>0.21</v>
          </cell>
          <cell r="BP111">
            <v>0.14000000000000001</v>
          </cell>
          <cell r="BQ111">
            <v>-0.08</v>
          </cell>
        </row>
        <row r="112">
          <cell r="A112" t="str">
            <v>Total US Soup</v>
          </cell>
          <cell r="B112">
            <v>9.0000000000000011E-2</v>
          </cell>
          <cell r="C112">
            <v>2.6666666666666661E-2</v>
          </cell>
          <cell r="D112">
            <v>5.000000000000001E-2</v>
          </cell>
          <cell r="E112">
            <v>2.3333333333333334E-2</v>
          </cell>
          <cell r="F112">
            <v>6.3333333333333339E-2</v>
          </cell>
          <cell r="G112">
            <v>0.04</v>
          </cell>
          <cell r="H112">
            <v>0.05</v>
          </cell>
          <cell r="I112">
            <v>0.01</v>
          </cell>
          <cell r="J112">
            <v>0.05</v>
          </cell>
          <cell r="K112">
            <v>-0.04</v>
          </cell>
          <cell r="L112">
            <v>-0.06</v>
          </cell>
          <cell r="M112">
            <v>-0.02</v>
          </cell>
          <cell r="N112">
            <v>0.05</v>
          </cell>
          <cell r="O112">
            <v>-0.02</v>
          </cell>
          <cell r="AH112">
            <v>-0.06</v>
          </cell>
          <cell r="AI112">
            <v>7.0000000000000007E-2</v>
          </cell>
          <cell r="AJ112">
            <v>0.15</v>
          </cell>
          <cell r="AK112">
            <v>0.09</v>
          </cell>
          <cell r="AL112">
            <v>0.1</v>
          </cell>
          <cell r="AM112">
            <v>-0.01</v>
          </cell>
          <cell r="AN112">
            <v>0.1</v>
          </cell>
          <cell r="AO112">
            <v>0</v>
          </cell>
          <cell r="AP112">
            <v>-0.01</v>
          </cell>
          <cell r="AQ112">
            <v>0.04</v>
          </cell>
          <cell r="AR112">
            <v>-0.03</v>
          </cell>
          <cell r="AS112">
            <v>0.06</v>
          </cell>
          <cell r="AT112">
            <v>0.12</v>
          </cell>
          <cell r="AU112">
            <v>0.04</v>
          </cell>
          <cell r="AV112">
            <v>-0.02</v>
          </cell>
          <cell r="AW112">
            <v>7.0000000000000007E-2</v>
          </cell>
          <cell r="AX112">
            <v>-0.03</v>
          </cell>
          <cell r="AY112">
            <v>-0.08</v>
          </cell>
          <cell r="AZ112">
            <v>0.02</v>
          </cell>
          <cell r="BA112">
            <v>-0.05</v>
          </cell>
          <cell r="BB112">
            <v>-0.05</v>
          </cell>
          <cell r="BC112">
            <v>-0.04</v>
          </cell>
          <cell r="BD112">
            <v>-7.0000000000000007E-2</v>
          </cell>
          <cell r="BE112">
            <v>-0.09</v>
          </cell>
          <cell r="BF112">
            <v>-0.04</v>
          </cell>
          <cell r="BG112">
            <v>-0.02</v>
          </cell>
          <cell r="BH112">
            <v>-0.03</v>
          </cell>
          <cell r="BI112">
            <v>0.09</v>
          </cell>
          <cell r="BJ112">
            <v>0.02</v>
          </cell>
          <cell r="BK112">
            <v>0.01</v>
          </cell>
          <cell r="BL112">
            <v>0.14000000000000001</v>
          </cell>
          <cell r="BM112">
            <v>0.04</v>
          </cell>
          <cell r="BN112">
            <v>-0.06</v>
          </cell>
          <cell r="BO112">
            <v>0.05</v>
          </cell>
          <cell r="BP112">
            <v>0</v>
          </cell>
          <cell r="BQ112">
            <v>-0.03</v>
          </cell>
        </row>
        <row r="113">
          <cell r="BF113">
            <v>-3.0000000000000006E-2</v>
          </cell>
          <cell r="BG113">
            <v>-2.0000000000000004E-2</v>
          </cell>
          <cell r="BH113">
            <v>-2.0000000000000004E-2</v>
          </cell>
          <cell r="BI113">
            <v>7.0000000000000007E-2</v>
          </cell>
          <cell r="BJ113">
            <v>0.03</v>
          </cell>
          <cell r="BK113">
            <v>0.01</v>
          </cell>
          <cell r="BL113">
            <v>0.11</v>
          </cell>
          <cell r="BM113">
            <v>4.0000000000000008E-2</v>
          </cell>
          <cell r="BN113">
            <v>-0.06</v>
          </cell>
        </row>
        <row r="114">
          <cell r="A114" t="str">
            <v>2-yr Sales CAGR</v>
          </cell>
        </row>
        <row r="115">
          <cell r="A115" t="str">
            <v>Condensed</v>
          </cell>
          <cell r="C115">
            <v>-3.5116587353684503E-2</v>
          </cell>
          <cell r="D115">
            <v>-5.5013227605804071E-2</v>
          </cell>
          <cell r="E115">
            <v>-1.8016229225775726E-3</v>
          </cell>
          <cell r="F115">
            <v>6.9953270007620416E-2</v>
          </cell>
          <cell r="G115">
            <v>6.4894360957930886E-2</v>
          </cell>
          <cell r="H115">
            <v>3.9951921965626358E-2</v>
          </cell>
          <cell r="I115">
            <v>1.4889156509221957E-2</v>
          </cell>
          <cell r="J115">
            <v>2.9563014098699991E-2</v>
          </cell>
          <cell r="K115">
            <v>1.9215384499272625E-2</v>
          </cell>
          <cell r="L115">
            <v>-3.005154776142871E-2</v>
          </cell>
          <cell r="M115">
            <v>-1.5317309992706307E-2</v>
          </cell>
          <cell r="N115">
            <v>1.4987684654350852E-2</v>
          </cell>
          <cell r="O115">
            <v>-5.3141199353435864E-3</v>
          </cell>
          <cell r="AH115">
            <v>5.4039847444108835E-2</v>
          </cell>
          <cell r="AI115">
            <v>4.995237987253498E-2</v>
          </cell>
          <cell r="AJ115">
            <v>7.443008148506336E-2</v>
          </cell>
          <cell r="AK115">
            <v>0.11247471881387039</v>
          </cell>
          <cell r="AL115">
            <v>3.9567217643957875E-2</v>
          </cell>
          <cell r="AM115">
            <v>2.9563014098699991E-2</v>
          </cell>
          <cell r="AN115">
            <v>7.443008148506336E-2</v>
          </cell>
          <cell r="AO115">
            <v>2.4890238025516487E-2</v>
          </cell>
          <cell r="AP115">
            <v>2.4011718682945604E-2</v>
          </cell>
          <cell r="AQ115">
            <v>-5.0125628933800348E-3</v>
          </cell>
          <cell r="AR115">
            <v>1.9803902718557032E-2</v>
          </cell>
          <cell r="AS115">
            <v>3.4698023579826875E-2</v>
          </cell>
          <cell r="AT115">
            <v>5.6976820937905126E-2</v>
          </cell>
          <cell r="AU115">
            <v>-5.0001250062492453E-5</v>
          </cell>
          <cell r="AV115">
            <v>9.9504938362078299E-3</v>
          </cell>
          <cell r="AW115">
            <v>4.995237987253498E-2</v>
          </cell>
          <cell r="AX115">
            <v>6.2355872577546378E-2</v>
          </cell>
          <cell r="AY115">
            <v>4.9875621120889502E-3</v>
          </cell>
          <cell r="AZ115">
            <v>4.8880534666535524E-3</v>
          </cell>
          <cell r="BA115">
            <v>-1.6536731748460265E-2</v>
          </cell>
          <cell r="BB115">
            <v>-1.0000000000000009E-2</v>
          </cell>
          <cell r="BC115">
            <v>-3.5634923900704552E-2</v>
          </cell>
          <cell r="BD115">
            <v>-1.5012690437079868E-2</v>
          </cell>
          <cell r="BE115">
            <v>-8.5122959081385674E-2</v>
          </cell>
          <cell r="BF115">
            <v>-2.5115391443684798E-2</v>
          </cell>
          <cell r="BG115">
            <v>-1.1819854479963809E-2</v>
          </cell>
          <cell r="BH115">
            <v>-3.5116587353684503E-2</v>
          </cell>
          <cell r="BI115">
            <v>1.2916580968048041E-2</v>
          </cell>
          <cell r="BJ115">
            <v>-2.5115391443684798E-2</v>
          </cell>
          <cell r="BK115">
            <v>2.9805806936433976E-2</v>
          </cell>
          <cell r="BL115">
            <v>2.6888504171704186E-2</v>
          </cell>
          <cell r="BM115">
            <v>6.7707825203131122E-2</v>
          </cell>
          <cell r="BN115">
            <v>-4.0468864496831514E-2</v>
          </cell>
          <cell r="BO115">
            <v>2.4890238025516487E-2</v>
          </cell>
          <cell r="BP115">
            <v>3.7641556608061011E-2</v>
          </cell>
          <cell r="BQ115">
            <v>4.9875621120889502E-3</v>
          </cell>
        </row>
        <row r="116">
          <cell r="A116" t="str">
            <v>RTS</v>
          </cell>
          <cell r="C116">
            <v>0.1436782764396638</v>
          </cell>
          <cell r="D116">
            <v>8.498847920150765E-2</v>
          </cell>
          <cell r="E116">
            <v>1.823376490862838E-2</v>
          </cell>
          <cell r="F116">
            <v>-2.5115391443684798E-2</v>
          </cell>
          <cell r="G116">
            <v>-5.0001250062492453E-5</v>
          </cell>
          <cell r="H116">
            <v>2.9805806936433976E-2</v>
          </cell>
          <cell r="I116">
            <v>2.9805806936433976E-2</v>
          </cell>
          <cell r="J116">
            <v>2.4890238025516487E-2</v>
          </cell>
          <cell r="K116">
            <v>-2.7169079438775223E-2</v>
          </cell>
          <cell r="L116">
            <v>-8.9999999999999969E-2</v>
          </cell>
          <cell r="M116">
            <v>-8.005434943144607E-2</v>
          </cell>
          <cell r="N116">
            <v>6.826698096549233E-3</v>
          </cell>
          <cell r="O116">
            <v>1.2225271369965318E-2</v>
          </cell>
          <cell r="AH116">
            <v>-1.0353598500959516E-2</v>
          </cell>
          <cell r="AI116">
            <v>-4.0582346341729858E-3</v>
          </cell>
          <cell r="AJ116">
            <v>4.8713497576912124E-2</v>
          </cell>
          <cell r="AK116">
            <v>-8.0322585890204579E-3</v>
          </cell>
          <cell r="AL116">
            <v>-2.301484146380206E-2</v>
          </cell>
          <cell r="AM116">
            <v>1.2225271369965318E-2</v>
          </cell>
          <cell r="AN116">
            <v>0.16999999999999993</v>
          </cell>
          <cell r="AO116">
            <v>7.3312629199899115E-2</v>
          </cell>
          <cell r="AP116">
            <v>6.1602562167217156E-2</v>
          </cell>
          <cell r="AQ116">
            <v>7.5713374247998733E-3</v>
          </cell>
          <cell r="AR116">
            <v>3.1843011315190406E-2</v>
          </cell>
          <cell r="AS116">
            <v>3.9920318408905864E-3</v>
          </cell>
          <cell r="AT116">
            <v>2.4011718682945604E-2</v>
          </cell>
          <cell r="AU116">
            <v>7.4988372030135197E-2</v>
          </cell>
          <cell r="AV116">
            <v>-8.005434943144607E-2</v>
          </cell>
          <cell r="AW116">
            <v>9.4074951728628342E-2</v>
          </cell>
          <cell r="AX116">
            <v>-2.4530086256587813E-3</v>
          </cell>
          <cell r="AY116">
            <v>-6.3303677812280523E-2</v>
          </cell>
          <cell r="AZ116">
            <v>-1.6536731748460265E-2</v>
          </cell>
          <cell r="BA116">
            <v>2.9660138103830835E-2</v>
          </cell>
          <cell r="BB116">
            <v>-0.10050013896610299</v>
          </cell>
          <cell r="BC116">
            <v>-0.11275707948724667</v>
          </cell>
          <cell r="BD116">
            <v>-5.9787258116547282E-2</v>
          </cell>
          <cell r="BE116">
            <v>-6.005319299441203E-2</v>
          </cell>
          <cell r="BF116">
            <v>-0.11022474747833089</v>
          </cell>
          <cell r="BG116">
            <v>-8.0869976553915368E-2</v>
          </cell>
          <cell r="BH116">
            <v>-8.2666908914760695E-2</v>
          </cell>
          <cell r="BI116">
            <v>-2.0459291300254367E-2</v>
          </cell>
          <cell r="BJ116">
            <v>-2.7169079438775223E-2</v>
          </cell>
          <cell r="BK116">
            <v>-2.5115391443684798E-2</v>
          </cell>
          <cell r="BL116">
            <v>8.0833012079109201E-2</v>
          </cell>
          <cell r="BM116">
            <v>4.9237818609298989E-2</v>
          </cell>
          <cell r="BN116">
            <v>-3.7918922335544503E-2</v>
          </cell>
          <cell r="BO116">
            <v>3.9230484541326494E-2</v>
          </cell>
          <cell r="BP116">
            <v>8.0833012079109201E-2</v>
          </cell>
          <cell r="BQ116">
            <v>1.3990213696037923E-3</v>
          </cell>
        </row>
        <row r="117">
          <cell r="A117" t="str">
            <v>Broth</v>
          </cell>
          <cell r="C117">
            <v>1.9803902718557032E-2</v>
          </cell>
          <cell r="D117">
            <v>8.4066418629412221E-2</v>
          </cell>
          <cell r="E117">
            <v>8.9265807780635198E-2</v>
          </cell>
          <cell r="F117">
            <v>8.443533693807681E-2</v>
          </cell>
          <cell r="G117">
            <v>0.11498878918130839</v>
          </cell>
          <cell r="H117">
            <v>0.11498878918130839</v>
          </cell>
          <cell r="I117">
            <v>0.11498878918130839</v>
          </cell>
          <cell r="J117">
            <v>9.4897255453679552E-2</v>
          </cell>
          <cell r="K117">
            <v>5.4703749874816854E-2</v>
          </cell>
          <cell r="L117">
            <v>9.8019607824100241E-3</v>
          </cell>
          <cell r="M117">
            <v>9.8019607824100241E-3</v>
          </cell>
          <cell r="N117">
            <v>3.4987922634849067E-2</v>
          </cell>
          <cell r="O117">
            <v>5.9811303959341755E-2</v>
          </cell>
          <cell r="AH117">
            <v>7.9953702711370811E-2</v>
          </cell>
          <cell r="AI117">
            <v>0.10408333018844185</v>
          </cell>
          <cell r="AJ117">
            <v>0.1794066304714419</v>
          </cell>
          <cell r="AK117">
            <v>0.15931013969515506</v>
          </cell>
          <cell r="AL117">
            <v>8.498847920150765E-2</v>
          </cell>
          <cell r="AM117">
            <v>0.10408333018844185</v>
          </cell>
          <cell r="AN117">
            <v>0.23328828746566788</v>
          </cell>
          <cell r="AO117">
            <v>6.4894360957930886E-2</v>
          </cell>
          <cell r="AP117">
            <v>8.0000000000000071E-2</v>
          </cell>
          <cell r="AQ117">
            <v>0.16490342947387693</v>
          </cell>
          <cell r="AR117">
            <v>0.1083771921146699</v>
          </cell>
          <cell r="AS117">
            <v>0.10471715837131801</v>
          </cell>
          <cell r="AT117">
            <v>0.15256236273791268</v>
          </cell>
          <cell r="AU117">
            <v>0.10245181300590178</v>
          </cell>
          <cell r="AV117">
            <v>1.4396372233260735E-2</v>
          </cell>
          <cell r="AW117">
            <v>9.9590832991981681E-2</v>
          </cell>
          <cell r="AX117">
            <v>0.10905365064094164</v>
          </cell>
          <cell r="AY117">
            <v>1.9950979214197417E-2</v>
          </cell>
          <cell r="AZ117">
            <v>3.3537614216338163E-2</v>
          </cell>
          <cell r="BA117">
            <v>7.9953702711370811E-2</v>
          </cell>
          <cell r="BB117">
            <v>9.9504938362078299E-3</v>
          </cell>
          <cell r="BC117">
            <v>3.9567217643957875E-2</v>
          </cell>
          <cell r="BD117">
            <v>3.3537614216338163E-2</v>
          </cell>
          <cell r="BE117">
            <v>-1.5063453820501116E-2</v>
          </cell>
          <cell r="BF117">
            <v>3.9807674524476644E-2</v>
          </cell>
          <cell r="BG117">
            <v>4.9809506529637115E-2</v>
          </cell>
          <cell r="BH117">
            <v>-3.005154776142871E-2</v>
          </cell>
          <cell r="BI117">
            <v>-3.7918922335544503E-2</v>
          </cell>
          <cell r="BJ117">
            <v>7.4895343742822362E-2</v>
          </cell>
          <cell r="BK117">
            <v>-4.7949581167047617E-2</v>
          </cell>
          <cell r="BL117">
            <v>6.4330775652005512E-2</v>
          </cell>
          <cell r="BM117">
            <v>8.4066418629412221E-2</v>
          </cell>
          <cell r="BN117">
            <v>5.9575386652596762E-2</v>
          </cell>
          <cell r="BO117">
            <v>3.1891467161154541E-2</v>
          </cell>
          <cell r="BP117">
            <v>0.1598275733918384</v>
          </cell>
          <cell r="BQ117">
            <v>1.9607767722470637E-2</v>
          </cell>
        </row>
        <row r="118">
          <cell r="A118" t="str">
            <v>Total US Soup</v>
          </cell>
          <cell r="C118">
            <v>5.7859473969329667E-2</v>
          </cell>
          <cell r="D118">
            <v>3.8267788193392827E-2</v>
          </cell>
          <cell r="E118">
            <v>3.6580918211405411E-2</v>
          </cell>
          <cell r="F118">
            <v>4.3141622429305748E-2</v>
          </cell>
          <cell r="G118">
            <v>5.1601952578382404E-2</v>
          </cell>
          <cell r="H118">
            <v>4.4988038209050618E-2</v>
          </cell>
          <cell r="I118">
            <v>2.9805806936433976E-2</v>
          </cell>
          <cell r="J118">
            <v>2.9805806936433976E-2</v>
          </cell>
          <cell r="K118">
            <v>3.9920318408905864E-3</v>
          </cell>
          <cell r="L118">
            <v>-5.0052633036966721E-2</v>
          </cell>
          <cell r="M118">
            <v>-4.0208355943853857E-2</v>
          </cell>
          <cell r="N118">
            <v>1.4396372233260735E-2</v>
          </cell>
          <cell r="O118">
            <v>0.10458742252194408</v>
          </cell>
          <cell r="AH118">
            <v>-3.0464028516734243E-2</v>
          </cell>
          <cell r="AI118">
            <v>3.4408043278860045E-2</v>
          </cell>
          <cell r="AJ118">
            <v>7.2380529476360866E-2</v>
          </cell>
          <cell r="AK118">
            <v>4.4030650891055068E-2</v>
          </cell>
          <cell r="AL118">
            <v>1.6857905510892834E-2</v>
          </cell>
          <cell r="AM118">
            <v>2.9223007904506604E-2</v>
          </cell>
          <cell r="AN118">
            <v>0.12472218792019918</v>
          </cell>
          <cell r="AO118">
            <v>4.4030650891055068E-2</v>
          </cell>
          <cell r="AP118">
            <v>4.3551627855565211E-2</v>
          </cell>
          <cell r="AQ118">
            <v>1.4692071517265815E-2</v>
          </cell>
          <cell r="AR118">
            <v>3.2956920689338309E-2</v>
          </cell>
          <cell r="AS118">
            <v>2.9563014098699991E-2</v>
          </cell>
          <cell r="AT118">
            <v>5.299572648705464E-2</v>
          </cell>
          <cell r="AU118">
            <v>4.0000000000000036E-2</v>
          </cell>
          <cell r="AV118">
            <v>-2.5012820597111629E-2</v>
          </cell>
          <cell r="AW118">
            <v>6.4988262846121803E-2</v>
          </cell>
          <cell r="AX118">
            <v>4.2305137663630754E-2</v>
          </cell>
          <cell r="AY118">
            <v>-2.1838459149001288E-2</v>
          </cell>
          <cell r="AZ118">
            <v>-2.0002000400098918E-4</v>
          </cell>
          <cell r="BA118">
            <v>8.2162466455297789E-3</v>
          </cell>
          <cell r="BB118">
            <v>-4.0052084746260874E-2</v>
          </cell>
          <cell r="BC118">
            <v>-6.0212790042341591E-2</v>
          </cell>
          <cell r="BD118">
            <v>-2.6039015155124412E-2</v>
          </cell>
          <cell r="BE118">
            <v>-7.021507863377352E-2</v>
          </cell>
          <cell r="BF118">
            <v>-4.5013089094934289E-2</v>
          </cell>
          <cell r="BG118">
            <v>-3.005154776142871E-2</v>
          </cell>
          <cell r="BH118">
            <v>-5.0210549647975999E-2</v>
          </cell>
          <cell r="BI118">
            <v>-4.0582346341729858E-3</v>
          </cell>
          <cell r="BJ118">
            <v>-1.0454649851761477E-2</v>
          </cell>
          <cell r="BK118">
            <v>-5.1130717513673263E-3</v>
          </cell>
          <cell r="BL118">
            <v>5.1570254429061047E-2</v>
          </cell>
          <cell r="BM118">
            <v>6.4706532336493261E-2</v>
          </cell>
          <cell r="BN118">
            <v>-2.0816666808508244E-2</v>
          </cell>
          <cell r="BO118">
            <v>2.9805806936433976E-2</v>
          </cell>
          <cell r="BP118">
            <v>6.7707825203131122E-2</v>
          </cell>
          <cell r="BQ118">
            <v>4.3903623591774465E-3</v>
          </cell>
        </row>
        <row r="120">
          <cell r="BO120">
            <v>1.4388826752099486E-2</v>
          </cell>
        </row>
        <row r="121">
          <cell r="A121" t="str">
            <v>By Division (Absolute $)</v>
          </cell>
          <cell r="BO121">
            <v>8.0698312196293281E-3</v>
          </cell>
        </row>
        <row r="123">
          <cell r="A123" t="str">
            <v>Total CPB</v>
          </cell>
          <cell r="BF123" t="str">
            <v>1Q12</v>
          </cell>
          <cell r="BG123" t="str">
            <v>2Q12</v>
          </cell>
          <cell r="BH123" t="str">
            <v>3Q12</v>
          </cell>
          <cell r="BI123" t="str">
            <v>4Q12</v>
          </cell>
          <cell r="BJ123" t="str">
            <v>1Q13</v>
          </cell>
          <cell r="BK123" t="str">
            <v>2Q13</v>
          </cell>
          <cell r="BL123" t="str">
            <v>3Q13</v>
          </cell>
          <cell r="BM123" t="str">
            <v>4Q13</v>
          </cell>
          <cell r="BN123" t="str">
            <v>1Q14</v>
          </cell>
          <cell r="BO123" t="str">
            <v>2Q14E</v>
          </cell>
          <cell r="BP123" t="str">
            <v>3Q14E</v>
          </cell>
          <cell r="BQ123" t="str">
            <v>4Q14E</v>
          </cell>
        </row>
        <row r="124">
          <cell r="A124" t="str">
            <v>Volume and Mix</v>
          </cell>
          <cell r="C124">
            <v>115.42</v>
          </cell>
          <cell r="D124">
            <v>183.98999999999998</v>
          </cell>
          <cell r="E124">
            <v>133.56</v>
          </cell>
          <cell r="F124">
            <v>213.26999999999998</v>
          </cell>
          <cell r="G124">
            <v>226.44</v>
          </cell>
          <cell r="H124">
            <v>153.62</v>
          </cell>
          <cell r="I124">
            <v>157.42000000000002</v>
          </cell>
          <cell r="J124">
            <v>-159.96</v>
          </cell>
          <cell r="K124">
            <v>-75.86</v>
          </cell>
          <cell r="L124">
            <v>-76.760000000000005</v>
          </cell>
          <cell r="M124">
            <v>-140.92000000000002</v>
          </cell>
          <cell r="N124">
            <v>122.28230000000002</v>
          </cell>
          <cell r="O124">
            <v>-81.132000000000019</v>
          </cell>
          <cell r="P124">
            <v>158.3095379136391</v>
          </cell>
          <cell r="Q124">
            <v>73.983629433234725</v>
          </cell>
          <cell r="R124">
            <v>72.408931744019455</v>
          </cell>
          <cell r="S124">
            <v>70.798742261041227</v>
          </cell>
          <cell r="T124">
            <v>69.179102087121478</v>
          </cell>
          <cell r="U124">
            <v>67.577080464336248</v>
          </cell>
          <cell r="W124">
            <v>103.89755973694291</v>
          </cell>
          <cell r="X124">
            <v>-185.02955973694293</v>
          </cell>
          <cell r="AD124">
            <v>165.94000000000003</v>
          </cell>
          <cell r="AE124">
            <v>87.35</v>
          </cell>
          <cell r="AF124">
            <v>-2.9699999999999953</v>
          </cell>
          <cell r="AG124">
            <v>-14.58</v>
          </cell>
          <cell r="AH124">
            <v>-13.760000000000012</v>
          </cell>
          <cell r="AI124">
            <v>7.73</v>
          </cell>
          <cell r="AJ124">
            <v>84.85</v>
          </cell>
          <cell r="AK124">
            <v>32.799999999999997</v>
          </cell>
          <cell r="AL124">
            <v>82.320000000000007</v>
          </cell>
          <cell r="AM124">
            <v>16.420000000000002</v>
          </cell>
          <cell r="AN124">
            <v>92.37</v>
          </cell>
          <cell r="AO124">
            <v>82.64</v>
          </cell>
          <cell r="AP124">
            <v>93.44</v>
          </cell>
          <cell r="AQ124">
            <v>70.14</v>
          </cell>
          <cell r="AR124">
            <v>16.970000000000002</v>
          </cell>
          <cell r="AS124">
            <v>-17.46</v>
          </cell>
          <cell r="AT124">
            <v>17.87</v>
          </cell>
          <cell r="AU124">
            <v>-93.450000000000017</v>
          </cell>
          <cell r="AV124">
            <v>-115.37</v>
          </cell>
          <cell r="AW124">
            <v>-27.439999999999998</v>
          </cell>
          <cell r="AX124">
            <v>-84.71</v>
          </cell>
          <cell r="AY124">
            <v>-42.44</v>
          </cell>
          <cell r="AZ124">
            <v>67.44</v>
          </cell>
          <cell r="BA124">
            <v>0</v>
          </cell>
          <cell r="BB124">
            <v>22.03</v>
          </cell>
          <cell r="BC124">
            <v>0</v>
          </cell>
          <cell r="BD124">
            <v>-36.04</v>
          </cell>
          <cell r="BE124">
            <v>-30.36</v>
          </cell>
          <cell r="BF124">
            <v>-108.60000000000001</v>
          </cell>
          <cell r="BG124">
            <v>-69.53</v>
          </cell>
          <cell r="BH124">
            <v>-18.22</v>
          </cell>
          <cell r="BI124">
            <v>46.860000000000007</v>
          </cell>
          <cell r="BJ124">
            <v>5.1900000000000013</v>
          </cell>
          <cell r="BK124">
            <v>9.66</v>
          </cell>
          <cell r="BL124">
            <v>85.855000000000004</v>
          </cell>
          <cell r="BM124">
            <v>21.577300000000008</v>
          </cell>
          <cell r="BN124">
            <v>-83.919999999999987</v>
          </cell>
          <cell r="BO124">
            <v>32.615000000000002</v>
          </cell>
          <cell r="BP124">
            <v>-40.040000000000006</v>
          </cell>
          <cell r="BQ124">
            <v>10.213000000000001</v>
          </cell>
          <cell r="BR124">
            <v>58.509999999999991</v>
          </cell>
          <cell r="BS124">
            <v>-8.6749999999999989</v>
          </cell>
          <cell r="BT124">
            <v>-5.41</v>
          </cell>
          <cell r="BU124">
            <v>14.935000000000006</v>
          </cell>
        </row>
        <row r="125">
          <cell r="A125" t="str">
            <v>Price and Sales Allowances</v>
          </cell>
          <cell r="C125">
            <v>57.71</v>
          </cell>
          <cell r="D125">
            <v>61.33</v>
          </cell>
          <cell r="E125">
            <v>133.56</v>
          </cell>
          <cell r="F125">
            <v>142.18</v>
          </cell>
          <cell r="G125">
            <v>0</v>
          </cell>
          <cell r="H125">
            <v>153.62</v>
          </cell>
          <cell r="I125">
            <v>157.42000000000002</v>
          </cell>
          <cell r="J125">
            <v>559.86</v>
          </cell>
          <cell r="K125">
            <v>75.86</v>
          </cell>
          <cell r="L125">
            <v>76.760000000000005</v>
          </cell>
          <cell r="M125">
            <v>231.39000000000001</v>
          </cell>
          <cell r="N125">
            <v>98.620599999999996</v>
          </cell>
          <cell r="O125">
            <v>91.352500000000006</v>
          </cell>
          <cell r="P125">
            <v>114.15336938224338</v>
          </cell>
          <cell r="Q125">
            <v>101.05953375646571</v>
          </cell>
          <cell r="R125">
            <v>103.41811498550506</v>
          </cell>
          <cell r="S125">
            <v>105.80811000069309</v>
          </cell>
          <cell r="T125">
            <v>108.23055199864388</v>
          </cell>
          <cell r="U125">
            <v>110.68678540188941</v>
          </cell>
          <cell r="W125">
            <v>134.97263217759635</v>
          </cell>
          <cell r="X125">
            <v>-43.620132177596346</v>
          </cell>
          <cell r="AD125">
            <v>-7.3299999999999992</v>
          </cell>
          <cell r="AE125">
            <v>27.72</v>
          </cell>
          <cell r="AF125">
            <v>37.46</v>
          </cell>
          <cell r="AG125">
            <v>45.7</v>
          </cell>
          <cell r="AH125">
            <v>82.61</v>
          </cell>
          <cell r="AI125">
            <v>72.66</v>
          </cell>
          <cell r="AJ125">
            <v>30.049999999999997</v>
          </cell>
          <cell r="AK125">
            <v>59.83</v>
          </cell>
          <cell r="AL125">
            <v>52.94</v>
          </cell>
          <cell r="AM125">
            <v>53.94</v>
          </cell>
          <cell r="AN125">
            <v>36.72</v>
          </cell>
          <cell r="AO125">
            <v>25.52</v>
          </cell>
          <cell r="AP125">
            <v>20.69</v>
          </cell>
          <cell r="AQ125">
            <v>28.06</v>
          </cell>
          <cell r="AR125">
            <v>44.85</v>
          </cell>
          <cell r="AS125">
            <v>79.319999999999993</v>
          </cell>
          <cell r="AT125">
            <v>178.24</v>
          </cell>
          <cell r="AU125">
            <v>198.29000000000002</v>
          </cell>
          <cell r="AV125">
            <v>106.09</v>
          </cell>
          <cell r="AW125">
            <v>87.66</v>
          </cell>
          <cell r="AX125">
            <v>52.6</v>
          </cell>
          <cell r="AY125">
            <v>21.22</v>
          </cell>
          <cell r="AZ125">
            <v>16.86</v>
          </cell>
          <cell r="BA125">
            <v>0</v>
          </cell>
          <cell r="BB125">
            <v>0</v>
          </cell>
          <cell r="BC125">
            <v>0</v>
          </cell>
          <cell r="BD125">
            <v>18.02</v>
          </cell>
          <cell r="BE125">
            <v>30.36</v>
          </cell>
          <cell r="BF125">
            <v>86.88</v>
          </cell>
          <cell r="BG125">
            <v>64.94</v>
          </cell>
          <cell r="BH125">
            <v>73.599999999999994</v>
          </cell>
          <cell r="BI125">
            <v>47.269999999999996</v>
          </cell>
          <cell r="BJ125">
            <v>35.229999999999997</v>
          </cell>
          <cell r="BK125">
            <v>26.400000000000002</v>
          </cell>
          <cell r="BL125">
            <v>14.9</v>
          </cell>
          <cell r="BM125">
            <v>22.090599999999998</v>
          </cell>
          <cell r="BN125">
            <v>23.05</v>
          </cell>
          <cell r="BO125">
            <v>26.835000000000001</v>
          </cell>
          <cell r="BP125">
            <v>26.875</v>
          </cell>
          <cell r="BQ125">
            <v>14.59250000000001</v>
          </cell>
          <cell r="BR125">
            <v>7.88</v>
          </cell>
          <cell r="BS125">
            <v>8.3949999999999996</v>
          </cell>
          <cell r="BT125">
            <v>9.8299999999999983</v>
          </cell>
          <cell r="BU125">
            <v>15.520000000000001</v>
          </cell>
        </row>
        <row r="126">
          <cell r="A126" t="str">
            <v>Promotional Spending</v>
          </cell>
          <cell r="C126">
            <v>-57.71</v>
          </cell>
          <cell r="D126">
            <v>0</v>
          </cell>
          <cell r="E126">
            <v>-23.172660000000004</v>
          </cell>
          <cell r="F126">
            <v>-71.09</v>
          </cell>
          <cell r="G126">
            <v>0</v>
          </cell>
          <cell r="H126">
            <v>0</v>
          </cell>
          <cell r="I126">
            <v>-78.710000000000008</v>
          </cell>
          <cell r="J126">
            <v>-159.96</v>
          </cell>
          <cell r="K126">
            <v>-151.72</v>
          </cell>
          <cell r="L126">
            <v>-76.760000000000005</v>
          </cell>
          <cell r="M126">
            <v>-92.8</v>
          </cell>
          <cell r="N126">
            <v>-86.1083</v>
          </cell>
          <cell r="O126">
            <v>-50.087499999999999</v>
          </cell>
          <cell r="P126">
            <v>-6.8029583732899654</v>
          </cell>
          <cell r="Q126">
            <v>-6.7862166543180544</v>
          </cell>
          <cell r="R126">
            <v>-6.8676512541698722</v>
          </cell>
          <cell r="S126">
            <v>-6.9328939410844868</v>
          </cell>
          <cell r="T126">
            <v>-6.9814241986720766</v>
          </cell>
          <cell r="U126">
            <v>-7.0128406075661012</v>
          </cell>
          <cell r="W126">
            <v>0</v>
          </cell>
          <cell r="X126">
            <v>-50.087499999999999</v>
          </cell>
          <cell r="AD126">
            <v>-9</v>
          </cell>
          <cell r="AE126">
            <v>-27.54</v>
          </cell>
          <cell r="AF126">
            <v>4.7299999999999995</v>
          </cell>
          <cell r="AG126">
            <v>12.64</v>
          </cell>
          <cell r="AH126">
            <v>-4.49</v>
          </cell>
          <cell r="AI126">
            <v>-4.33</v>
          </cell>
          <cell r="AJ126">
            <v>6.1700000000000008</v>
          </cell>
          <cell r="AK126">
            <v>9.68</v>
          </cell>
          <cell r="AL126">
            <v>7.080000000000001</v>
          </cell>
          <cell r="AM126">
            <v>-3.5100000000000002</v>
          </cell>
          <cell r="AN126">
            <v>-10.11</v>
          </cell>
          <cell r="AO126">
            <v>-5.3400000000000016</v>
          </cell>
          <cell r="AP126">
            <v>-23.75</v>
          </cell>
          <cell r="AQ126">
            <v>-21.64</v>
          </cell>
          <cell r="AR126">
            <v>-0.69999999999999929</v>
          </cell>
          <cell r="AS126">
            <v>-20.119999999999997</v>
          </cell>
          <cell r="AT126">
            <v>-54.129999999999995</v>
          </cell>
          <cell r="AU126">
            <v>-52.61</v>
          </cell>
          <cell r="AV126">
            <v>-21.76</v>
          </cell>
          <cell r="AW126">
            <v>-20.16</v>
          </cell>
          <cell r="AX126">
            <v>-34.85</v>
          </cell>
          <cell r="AY126">
            <v>-42.44</v>
          </cell>
          <cell r="AZ126">
            <v>-50.58</v>
          </cell>
          <cell r="BA126">
            <v>-30.560000000000002</v>
          </cell>
          <cell r="BB126">
            <v>-66.09</v>
          </cell>
          <cell r="BC126">
            <v>-43.06</v>
          </cell>
          <cell r="BD126">
            <v>0</v>
          </cell>
          <cell r="BE126">
            <v>15.18</v>
          </cell>
          <cell r="BF126">
            <v>-21.72</v>
          </cell>
          <cell r="BG126">
            <v>-16.53</v>
          </cell>
          <cell r="BH126">
            <v>-39.46</v>
          </cell>
          <cell r="BI126">
            <v>-46.84</v>
          </cell>
          <cell r="BJ126">
            <v>-23.88</v>
          </cell>
          <cell r="BK126">
            <v>-16.84</v>
          </cell>
          <cell r="BL126">
            <v>-24.666</v>
          </cell>
          <cell r="BM126">
            <v>-20.722300000000004</v>
          </cell>
          <cell r="BN126">
            <v>-30.080000000000002</v>
          </cell>
          <cell r="BO126">
            <v>-13.6175</v>
          </cell>
          <cell r="BP126">
            <v>-8.26</v>
          </cell>
          <cell r="BQ126">
            <v>1.8699999999999988</v>
          </cell>
          <cell r="BR126">
            <v>-19.78</v>
          </cell>
          <cell r="BS126">
            <v>-20.84</v>
          </cell>
          <cell r="BT126">
            <v>-6.9399999999999995</v>
          </cell>
          <cell r="BU126">
            <v>-5.3700000000000028</v>
          </cell>
        </row>
        <row r="127">
          <cell r="A127" t="str">
            <v>Currency</v>
          </cell>
          <cell r="C127">
            <v>0</v>
          </cell>
          <cell r="D127">
            <v>183.98999999999998</v>
          </cell>
          <cell r="E127">
            <v>267.12</v>
          </cell>
          <cell r="F127">
            <v>142.18</v>
          </cell>
          <cell r="G127">
            <v>0</v>
          </cell>
          <cell r="H127">
            <v>0</v>
          </cell>
          <cell r="I127">
            <v>314.84000000000003</v>
          </cell>
          <cell r="J127">
            <v>-319.92</v>
          </cell>
          <cell r="K127">
            <v>227.57999999999998</v>
          </cell>
          <cell r="L127">
            <v>153.52000000000001</v>
          </cell>
          <cell r="M127">
            <v>-14.599999999999998</v>
          </cell>
          <cell r="N127">
            <v>-23.323082120478123</v>
          </cell>
          <cell r="O127">
            <v>-98.418920007152209</v>
          </cell>
          <cell r="P127">
            <v>0</v>
          </cell>
          <cell r="Q127">
            <v>0</v>
          </cell>
          <cell r="R127">
            <v>0</v>
          </cell>
          <cell r="S127">
            <v>0</v>
          </cell>
          <cell r="T127">
            <v>0</v>
          </cell>
          <cell r="U127">
            <v>0</v>
          </cell>
          <cell r="W127">
            <v>0</v>
          </cell>
          <cell r="X127">
            <v>-98.418920007152209</v>
          </cell>
          <cell r="AD127">
            <v>41.57</v>
          </cell>
          <cell r="AE127">
            <v>38.92</v>
          </cell>
          <cell r="AF127">
            <v>26.78</v>
          </cell>
          <cell r="AG127">
            <v>22.53</v>
          </cell>
          <cell r="AH127">
            <v>13.14</v>
          </cell>
          <cell r="AI127">
            <v>-32.75</v>
          </cell>
          <cell r="AJ127">
            <v>-32.56</v>
          </cell>
          <cell r="AK127">
            <v>13.709999999999999</v>
          </cell>
          <cell r="AL127">
            <v>16.8</v>
          </cell>
          <cell r="AM127">
            <v>41.07</v>
          </cell>
          <cell r="AN127">
            <v>34.159999999999997</v>
          </cell>
          <cell r="AO127">
            <v>46.480000000000004</v>
          </cell>
          <cell r="AP127">
            <v>54.59</v>
          </cell>
          <cell r="AQ127">
            <v>78.5</v>
          </cell>
          <cell r="AR127">
            <v>79.8</v>
          </cell>
          <cell r="AS127">
            <v>59.690000000000005</v>
          </cell>
          <cell r="AT127">
            <v>-21.220000000000002</v>
          </cell>
          <cell r="AU127">
            <v>-109.77</v>
          </cell>
          <cell r="AV127">
            <v>-116.89</v>
          </cell>
          <cell r="AW127">
            <v>-74.739999999999995</v>
          </cell>
          <cell r="AX127">
            <v>22.87</v>
          </cell>
          <cell r="AY127">
            <v>84.88</v>
          </cell>
          <cell r="AZ127">
            <v>84.300000000000011</v>
          </cell>
          <cell r="BA127">
            <v>15.280000000000001</v>
          </cell>
          <cell r="BB127">
            <v>22.03</v>
          </cell>
          <cell r="BC127">
            <v>21.53</v>
          </cell>
          <cell r="BD127">
            <v>36.04</v>
          </cell>
          <cell r="BE127">
            <v>73.819999999999922</v>
          </cell>
          <cell r="BF127">
            <v>-113.55999999999989</v>
          </cell>
          <cell r="BG127">
            <v>2.8499999999999996</v>
          </cell>
          <cell r="BH127">
            <v>-5.3499999999999988</v>
          </cell>
          <cell r="BI127">
            <v>-43.3</v>
          </cell>
          <cell r="BJ127">
            <v>-6.39</v>
          </cell>
          <cell r="BK127">
            <v>7.59</v>
          </cell>
          <cell r="BL127">
            <v>-9</v>
          </cell>
          <cell r="BM127">
            <v>-15.523082120478124</v>
          </cell>
          <cell r="BN127">
            <v>-28.369999999999997</v>
          </cell>
          <cell r="BO127">
            <v>-34.986230970562062</v>
          </cell>
          <cell r="BP127">
            <v>-28.47268903659015</v>
          </cell>
          <cell r="BQ127">
            <v>-6.59</v>
          </cell>
          <cell r="BR127">
            <v>1.115</v>
          </cell>
          <cell r="BS127">
            <v>1.0650000000000004</v>
          </cell>
          <cell r="BT127">
            <v>1.8899999999999997</v>
          </cell>
          <cell r="BU127">
            <v>-0.94000000000000006</v>
          </cell>
        </row>
        <row r="128">
          <cell r="A128" t="str">
            <v>Acquisitions/Divestitures</v>
          </cell>
          <cell r="C128">
            <v>230.84</v>
          </cell>
          <cell r="D128">
            <v>132.16761500606557</v>
          </cell>
          <cell r="E128">
            <v>0</v>
          </cell>
          <cell r="F128">
            <v>0</v>
          </cell>
          <cell r="G128">
            <v>0</v>
          </cell>
          <cell r="H128">
            <v>0</v>
          </cell>
          <cell r="I128">
            <v>-604.71</v>
          </cell>
          <cell r="J128">
            <v>-159.96</v>
          </cell>
          <cell r="K128">
            <v>0</v>
          </cell>
          <cell r="L128">
            <v>0</v>
          </cell>
          <cell r="M128">
            <v>0</v>
          </cell>
          <cell r="N128">
            <v>768.90610000000004</v>
          </cell>
          <cell r="O128">
            <v>297.19307692307689</v>
          </cell>
          <cell r="P128">
            <v>0</v>
          </cell>
          <cell r="Q128">
            <v>0</v>
          </cell>
          <cell r="R128">
            <v>0</v>
          </cell>
          <cell r="S128">
            <v>0</v>
          </cell>
          <cell r="T128">
            <v>0</v>
          </cell>
          <cell r="U128">
            <v>0</v>
          </cell>
          <cell r="W128">
            <v>0</v>
          </cell>
          <cell r="X128">
            <v>297.19307692307689</v>
          </cell>
          <cell r="AD128">
            <v>4.16</v>
          </cell>
          <cell r="AE128">
            <v>0</v>
          </cell>
          <cell r="AF128">
            <v>0</v>
          </cell>
          <cell r="AG128">
            <v>0</v>
          </cell>
          <cell r="AH128">
            <v>0</v>
          </cell>
          <cell r="AI128">
            <v>0</v>
          </cell>
          <cell r="AJ128">
            <v>0</v>
          </cell>
          <cell r="AK128">
            <v>0</v>
          </cell>
          <cell r="AL128">
            <v>0</v>
          </cell>
          <cell r="AM128">
            <v>0</v>
          </cell>
          <cell r="AN128">
            <v>0</v>
          </cell>
          <cell r="AO128">
            <v>-4.38</v>
          </cell>
          <cell r="AP128">
            <v>-4.84</v>
          </cell>
          <cell r="AQ128">
            <v>-4.54</v>
          </cell>
          <cell r="AR128">
            <v>-4.41</v>
          </cell>
          <cell r="AS128">
            <v>-110.25999999999999</v>
          </cell>
          <cell r="AT128">
            <v>-176.47</v>
          </cell>
          <cell r="AU128">
            <v>-228.02</v>
          </cell>
          <cell r="AV128">
            <v>-133.05000000000001</v>
          </cell>
          <cell r="AW128">
            <v>-30.67</v>
          </cell>
          <cell r="AX128">
            <v>-6.3100000000000005</v>
          </cell>
          <cell r="AY128">
            <v>0</v>
          </cell>
          <cell r="AZ128">
            <v>0</v>
          </cell>
          <cell r="BA128">
            <v>0</v>
          </cell>
          <cell r="BB128">
            <v>0</v>
          </cell>
          <cell r="BC128">
            <v>0</v>
          </cell>
          <cell r="BD128">
            <v>0</v>
          </cell>
          <cell r="BE128">
            <v>0</v>
          </cell>
          <cell r="BF128">
            <v>0</v>
          </cell>
          <cell r="BG128">
            <v>0</v>
          </cell>
          <cell r="BH128">
            <v>0</v>
          </cell>
          <cell r="BI128">
            <v>0</v>
          </cell>
          <cell r="BJ128">
            <v>170.1</v>
          </cell>
          <cell r="BK128">
            <v>194.971</v>
          </cell>
          <cell r="BL128">
            <v>205</v>
          </cell>
          <cell r="BM128">
            <v>198.83510000000001</v>
          </cell>
          <cell r="BN128">
            <v>77.581999999999994</v>
          </cell>
          <cell r="BO128">
            <v>57.256</v>
          </cell>
          <cell r="BP128">
            <v>81.256</v>
          </cell>
          <cell r="BQ128">
            <v>81.099076923076922</v>
          </cell>
          <cell r="BR128">
            <v>0</v>
          </cell>
          <cell r="BS128">
            <v>0</v>
          </cell>
          <cell r="BT128">
            <v>0</v>
          </cell>
          <cell r="BU128">
            <v>0</v>
          </cell>
        </row>
        <row r="129">
          <cell r="A129" t="str">
            <v>53rd week</v>
          </cell>
          <cell r="C129">
            <v>0</v>
          </cell>
          <cell r="D129">
            <v>91.99499999999999</v>
          </cell>
          <cell r="E129">
            <v>-133.56</v>
          </cell>
          <cell r="F129">
            <v>0</v>
          </cell>
          <cell r="G129">
            <v>0</v>
          </cell>
          <cell r="H129">
            <v>0</v>
          </cell>
          <cell r="I129">
            <v>157.42000000000002</v>
          </cell>
          <cell r="J129">
            <v>-159.96</v>
          </cell>
          <cell r="K129">
            <v>0</v>
          </cell>
          <cell r="L129">
            <v>0</v>
          </cell>
          <cell r="M129">
            <v>0</v>
          </cell>
          <cell r="N129">
            <v>0</v>
          </cell>
          <cell r="O129">
            <v>132.53846153846152</v>
          </cell>
          <cell r="P129">
            <v>-132.53846153846152</v>
          </cell>
          <cell r="Q129">
            <v>13.723916182873731</v>
          </cell>
          <cell r="R129">
            <v>14.325955902216773</v>
          </cell>
          <cell r="S129">
            <v>14.954405854531002</v>
          </cell>
          <cell r="T129">
            <v>15.610424601923159</v>
          </cell>
          <cell r="U129">
            <v>16.29522153021507</v>
          </cell>
          <cell r="W129">
            <v>0</v>
          </cell>
          <cell r="X129">
            <v>132.53846153846152</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127.52</v>
          </cell>
          <cell r="AT129">
            <v>0</v>
          </cell>
          <cell r="AU129">
            <v>0</v>
          </cell>
          <cell r="AV129">
            <v>0</v>
          </cell>
          <cell r="AW129">
            <v>-120.05000000000003</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132.53846153846152</v>
          </cell>
          <cell r="BR129">
            <v>0</v>
          </cell>
          <cell r="BS129">
            <v>0</v>
          </cell>
          <cell r="BT129">
            <v>0</v>
          </cell>
          <cell r="BU129">
            <v>-125.48000000000002</v>
          </cell>
        </row>
        <row r="130">
          <cell r="A130" t="str">
            <v>Rounding</v>
          </cell>
          <cell r="C130">
            <v>15.73999999999968</v>
          </cell>
          <cell r="D130">
            <v>-108.47261500606511</v>
          </cell>
          <cell r="E130">
            <v>53.492659999999745</v>
          </cell>
          <cell r="F130">
            <v>12.459999999999837</v>
          </cell>
          <cell r="G130">
            <v>-93.439999999999927</v>
          </cell>
          <cell r="H130">
            <v>-117.2399999999999</v>
          </cell>
          <cell r="I130">
            <v>23.660961408260352</v>
          </cell>
          <cell r="J130">
            <v>-12.099999999999735</v>
          </cell>
          <cell r="K130">
            <v>14.140000000000237</v>
          </cell>
          <cell r="L130">
            <v>-33.760000000000773</v>
          </cell>
          <cell r="M130">
            <v>0</v>
          </cell>
          <cell r="N130">
            <v>0</v>
          </cell>
          <cell r="O130">
            <v>0</v>
          </cell>
          <cell r="P130">
            <v>0</v>
          </cell>
          <cell r="Q130">
            <v>0</v>
          </cell>
          <cell r="R130">
            <v>0</v>
          </cell>
          <cell r="S130">
            <v>0</v>
          </cell>
          <cell r="T130">
            <v>0</v>
          </cell>
          <cell r="U130">
            <v>0</v>
          </cell>
          <cell r="W130">
            <v>0</v>
          </cell>
          <cell r="X130">
            <v>0</v>
          </cell>
          <cell r="AD130">
            <v>-13.340000000000037</v>
          </cell>
          <cell r="AE130">
            <v>-3.4499999999999029</v>
          </cell>
          <cell r="AF130">
            <v>3.0000000000000115</v>
          </cell>
          <cell r="AG130">
            <v>781.71</v>
          </cell>
          <cell r="AH130">
            <v>-58.500000000000007</v>
          </cell>
          <cell r="AI130">
            <v>14.690000000000021</v>
          </cell>
          <cell r="AJ130">
            <v>11.489999999999942</v>
          </cell>
          <cell r="AK130">
            <v>-943.0200000000001</v>
          </cell>
          <cell r="AL130">
            <v>-116.14000000000009</v>
          </cell>
          <cell r="AM130">
            <v>-136.9199999999999</v>
          </cell>
          <cell r="AN130">
            <v>-117.14</v>
          </cell>
          <cell r="AO130">
            <v>-4.9199999999999955</v>
          </cell>
          <cell r="AP130">
            <v>4.8699999999998678</v>
          </cell>
          <cell r="AQ130">
            <v>4.4799999999999978</v>
          </cell>
          <cell r="AR130">
            <v>-38.509999999999884</v>
          </cell>
          <cell r="AS130">
            <v>2.3317391304347796</v>
          </cell>
          <cell r="AT130">
            <v>7.6497590361444718</v>
          </cell>
          <cell r="AU130">
            <v>0.5997727272728024</v>
          </cell>
          <cell r="AV130">
            <v>-3.18167664670655</v>
          </cell>
          <cell r="AW130">
            <v>-1.5999999999999619</v>
          </cell>
          <cell r="AX130">
            <v>3.3999999999999151</v>
          </cell>
          <cell r="AY130">
            <v>9.7799999999997684</v>
          </cell>
          <cell r="AZ130">
            <v>-2.0200000000000102</v>
          </cell>
          <cell r="BA130">
            <v>5.2800000000000109</v>
          </cell>
          <cell r="BB130">
            <v>-8.9699999999999971</v>
          </cell>
          <cell r="BC130">
            <v>-4.4700000000000397</v>
          </cell>
          <cell r="BD130">
            <v>-7.0199999999998735</v>
          </cell>
          <cell r="BE130">
            <v>1.0533240946131173E-14</v>
          </cell>
          <cell r="BF130">
            <v>0</v>
          </cell>
          <cell r="BG130">
            <v>0.44000000000005102</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row>
        <row r="132">
          <cell r="A132" t="str">
            <v>CPB Organic Sales</v>
          </cell>
          <cell r="C132">
            <v>115.41999999999999</v>
          </cell>
          <cell r="D132">
            <v>245.32</v>
          </cell>
          <cell r="E132">
            <v>243.94734</v>
          </cell>
          <cell r="F132">
            <v>284.36</v>
          </cell>
          <cell r="G132">
            <v>226.44</v>
          </cell>
          <cell r="H132">
            <v>307.24</v>
          </cell>
          <cell r="I132">
            <v>236.13000000000002</v>
          </cell>
          <cell r="J132">
            <v>239.93999999999997</v>
          </cell>
          <cell r="K132">
            <v>-151.72</v>
          </cell>
          <cell r="L132">
            <v>-76.760000000000005</v>
          </cell>
          <cell r="M132">
            <v>-2.3299999999999983</v>
          </cell>
          <cell r="N132">
            <v>134.7946</v>
          </cell>
          <cell r="O132">
            <v>-39.867000000000012</v>
          </cell>
          <cell r="P132">
            <v>265.65994892259249</v>
          </cell>
          <cell r="Q132">
            <v>168.25694653538238</v>
          </cell>
          <cell r="R132">
            <v>168.95939547535463</v>
          </cell>
          <cell r="S132">
            <v>169.67395832064983</v>
          </cell>
          <cell r="T132">
            <v>170.42822988709327</v>
          </cell>
          <cell r="U132">
            <v>171.25102525865958</v>
          </cell>
          <cell r="W132">
            <v>238.87019191453925</v>
          </cell>
          <cell r="X132">
            <v>-278.73719191453927</v>
          </cell>
          <cell r="AD132">
            <v>149.61000000000001</v>
          </cell>
          <cell r="AE132">
            <v>87.53</v>
          </cell>
          <cell r="AF132">
            <v>39.220000000000006</v>
          </cell>
          <cell r="AG132">
            <v>43.760000000000005</v>
          </cell>
          <cell r="AH132">
            <v>64.36</v>
          </cell>
          <cell r="AI132">
            <v>76.06</v>
          </cell>
          <cell r="AJ132">
            <v>121.07</v>
          </cell>
          <cell r="AK132">
            <v>102.31</v>
          </cell>
          <cell r="AL132">
            <v>142.34</v>
          </cell>
          <cell r="AM132">
            <v>66.849999999999994</v>
          </cell>
          <cell r="AN132">
            <v>118.98</v>
          </cell>
          <cell r="AO132">
            <v>102.82</v>
          </cell>
          <cell r="AP132">
            <v>90.38</v>
          </cell>
          <cell r="AQ132">
            <v>76.56</v>
          </cell>
          <cell r="AR132">
            <v>61.120000000000005</v>
          </cell>
          <cell r="AS132">
            <v>41.739999999999995</v>
          </cell>
          <cell r="AT132">
            <v>141.98000000000002</v>
          </cell>
          <cell r="AU132">
            <v>52.230000000000004</v>
          </cell>
          <cell r="AV132">
            <v>-31.040000000000003</v>
          </cell>
          <cell r="AW132">
            <v>40.06</v>
          </cell>
          <cell r="AX132">
            <v>-66.959999999999994</v>
          </cell>
          <cell r="AY132">
            <v>-63.66</v>
          </cell>
          <cell r="AZ132">
            <v>33.72</v>
          </cell>
          <cell r="BA132">
            <v>-30.560000000000002</v>
          </cell>
          <cell r="BB132">
            <v>-44.06</v>
          </cell>
          <cell r="BC132">
            <v>-43.06</v>
          </cell>
          <cell r="BD132">
            <v>-18.02</v>
          </cell>
          <cell r="BE132">
            <v>15.18</v>
          </cell>
          <cell r="BF132">
            <v>-43.440000000000012</v>
          </cell>
          <cell r="BG132">
            <v>-21.120000000000005</v>
          </cell>
          <cell r="BH132">
            <v>15.919999999999995</v>
          </cell>
          <cell r="BI132">
            <v>47.289999999999992</v>
          </cell>
          <cell r="BJ132">
            <v>16.540000000000003</v>
          </cell>
          <cell r="BK132">
            <v>19.220000000000002</v>
          </cell>
          <cell r="BL132">
            <v>76.089000000000013</v>
          </cell>
          <cell r="BM132">
            <v>22.945599999999999</v>
          </cell>
          <cell r="BN132">
            <v>-90.949999999999989</v>
          </cell>
          <cell r="BO132">
            <v>45.832500000000003</v>
          </cell>
          <cell r="BP132">
            <v>-21.425000000000004</v>
          </cell>
          <cell r="BQ132">
            <v>26.675500000000007</v>
          </cell>
          <cell r="BR132">
            <v>46.609999999999985</v>
          </cell>
          <cell r="BS132">
            <v>-21.119999999999997</v>
          </cell>
          <cell r="BT132">
            <v>-2.5200000000000014</v>
          </cell>
          <cell r="BU132">
            <v>25.085000000000001</v>
          </cell>
        </row>
        <row r="133">
          <cell r="A133" t="str">
            <v>Total CPB Sales</v>
          </cell>
          <cell r="C133">
            <v>361.99999999999966</v>
          </cell>
          <cell r="D133">
            <v>545.00000000000045</v>
          </cell>
          <cell r="E133">
            <v>430.99999999999977</v>
          </cell>
          <cell r="F133">
            <v>438.99999999999989</v>
          </cell>
          <cell r="G133">
            <v>133.00000000000006</v>
          </cell>
          <cell r="H133">
            <v>190.00000000000011</v>
          </cell>
          <cell r="I133">
            <v>127.34096140826036</v>
          </cell>
          <cell r="J133">
            <v>-411.99999999999983</v>
          </cell>
          <cell r="K133">
            <v>90.000000000000227</v>
          </cell>
          <cell r="L133">
            <v>42.999999999999233</v>
          </cell>
          <cell r="M133">
            <v>-16.929999999999996</v>
          </cell>
          <cell r="N133">
            <v>880.37761787952195</v>
          </cell>
          <cell r="O133">
            <v>291.44561845438619</v>
          </cell>
          <cell r="P133">
            <v>133.12148738413097</v>
          </cell>
          <cell r="Q133">
            <v>181.98086271825611</v>
          </cell>
          <cell r="R133">
            <v>183.2853513775714</v>
          </cell>
          <cell r="S133">
            <v>184.62836417518082</v>
          </cell>
          <cell r="T133">
            <v>186.03865448901644</v>
          </cell>
          <cell r="U133">
            <v>187.54624678887464</v>
          </cell>
          <cell r="W133">
            <v>238.87019191453925</v>
          </cell>
          <cell r="X133">
            <v>52.575426539846944</v>
          </cell>
          <cell r="AD133">
            <v>181.99999999999997</v>
          </cell>
          <cell r="AE133">
            <v>123.0000000000001</v>
          </cell>
          <cell r="AF133">
            <v>69.000000000000014</v>
          </cell>
          <cell r="AG133">
            <v>848</v>
          </cell>
          <cell r="AH133">
            <v>18.999999999999993</v>
          </cell>
          <cell r="AI133">
            <v>58.000000000000021</v>
          </cell>
          <cell r="AJ133">
            <v>99.999999999999929</v>
          </cell>
          <cell r="AK133">
            <v>-827.00000000000011</v>
          </cell>
          <cell r="AL133">
            <v>42.999999999999929</v>
          </cell>
          <cell r="AM133">
            <v>-28.999999999999915</v>
          </cell>
          <cell r="AN133">
            <v>35.999999999999986</v>
          </cell>
          <cell r="AO133">
            <v>140.00000000000003</v>
          </cell>
          <cell r="AP133">
            <v>144.99999999999986</v>
          </cell>
          <cell r="AQ133">
            <v>155</v>
          </cell>
          <cell r="AR133">
            <v>98.000000000000142</v>
          </cell>
          <cell r="AS133">
            <v>121.0217391304348</v>
          </cell>
          <cell r="AT133">
            <v>-48.060240963855506</v>
          </cell>
          <cell r="AU133">
            <v>-284.9602272727272</v>
          </cell>
          <cell r="AV133">
            <v>-284.16167664670655</v>
          </cell>
          <cell r="AW133">
            <v>-187</v>
          </cell>
          <cell r="AX133">
            <v>-47.000000000000078</v>
          </cell>
          <cell r="AY133">
            <v>30.999999999999766</v>
          </cell>
          <cell r="AZ133">
            <v>116</v>
          </cell>
          <cell r="BA133">
            <v>-9.9999999999999893</v>
          </cell>
          <cell r="BB133">
            <v>-31</v>
          </cell>
          <cell r="BC133">
            <v>-26.000000000000043</v>
          </cell>
          <cell r="BD133">
            <v>11.000000000000126</v>
          </cell>
          <cell r="BE133">
            <v>88.999999999999929</v>
          </cell>
          <cell r="BF133">
            <v>-156.99999999999989</v>
          </cell>
          <cell r="BG133">
            <v>-17.829999999999952</v>
          </cell>
          <cell r="BH133">
            <v>10.569999999999997</v>
          </cell>
          <cell r="BI133">
            <v>3.9899999999999949</v>
          </cell>
          <cell r="BJ133">
            <v>180.25</v>
          </cell>
          <cell r="BK133">
            <v>221.78100000000001</v>
          </cell>
          <cell r="BL133">
            <v>272.089</v>
          </cell>
          <cell r="BM133">
            <v>206.25761787952189</v>
          </cell>
          <cell r="BN133">
            <v>-41.738</v>
          </cell>
          <cell r="BO133">
            <v>68.102269029437934</v>
          </cell>
          <cell r="BP133">
            <v>31.358310963409849</v>
          </cell>
          <cell r="BQ133">
            <v>233.72303846153847</v>
          </cell>
          <cell r="BR133">
            <v>47.724999999999987</v>
          </cell>
          <cell r="BS133">
            <v>-20.054999999999996</v>
          </cell>
          <cell r="BT133">
            <v>-0.63000000000000167</v>
          </cell>
          <cell r="BU133">
            <v>-101.33500000000002</v>
          </cell>
        </row>
        <row r="134">
          <cell r="A134" t="str">
            <v>Reported</v>
          </cell>
          <cell r="B134">
            <v>5771</v>
          </cell>
          <cell r="C134">
            <v>6133</v>
          </cell>
          <cell r="D134">
            <v>6678</v>
          </cell>
          <cell r="E134">
            <v>7109</v>
          </cell>
          <cell r="F134">
            <v>7548</v>
          </cell>
          <cell r="G134">
            <v>7681</v>
          </cell>
          <cell r="H134">
            <v>7871</v>
          </cell>
          <cell r="I134">
            <v>7998</v>
          </cell>
          <cell r="J134">
            <v>7586</v>
          </cell>
          <cell r="K134">
            <v>7676</v>
          </cell>
          <cell r="L134">
            <v>7719</v>
          </cell>
          <cell r="M134">
            <v>7175</v>
          </cell>
          <cell r="N134">
            <v>8052</v>
          </cell>
          <cell r="O134">
            <v>8344.1379261466936</v>
          </cell>
          <cell r="P134">
            <v>8477.2594135308245</v>
          </cell>
          <cell r="Q134">
            <v>8659.2402762490801</v>
          </cell>
          <cell r="R134">
            <v>8842.5256276266518</v>
          </cell>
          <cell r="S134">
            <v>9027.1539918018316</v>
          </cell>
          <cell r="T134">
            <v>9213.1926462908486</v>
          </cell>
          <cell r="U134">
            <v>9400.7388930797224</v>
          </cell>
          <cell r="W134">
            <v>8730.4783785605759</v>
          </cell>
          <cell r="X134">
            <v>-386.3404524138823</v>
          </cell>
          <cell r="Z134">
            <v>1909</v>
          </cell>
          <cell r="AA134">
            <v>2100</v>
          </cell>
          <cell r="AB134">
            <v>1667</v>
          </cell>
          <cell r="AC134">
            <v>1433</v>
          </cell>
          <cell r="AD134">
            <v>2091</v>
          </cell>
          <cell r="AE134">
            <v>2223</v>
          </cell>
          <cell r="AF134">
            <v>1736</v>
          </cell>
          <cell r="AG134">
            <v>2281</v>
          </cell>
          <cell r="AH134">
            <v>2110</v>
          </cell>
          <cell r="AI134">
            <v>2281</v>
          </cell>
          <cell r="AJ134">
            <v>1836</v>
          </cell>
          <cell r="AK134">
            <v>1454</v>
          </cell>
          <cell r="AL134">
            <v>2153</v>
          </cell>
          <cell r="AM134">
            <v>2252</v>
          </cell>
          <cell r="AN134">
            <v>1872</v>
          </cell>
          <cell r="AO134">
            <v>1594</v>
          </cell>
          <cell r="AP134">
            <v>2298</v>
          </cell>
          <cell r="AQ134">
            <v>2407</v>
          </cell>
          <cell r="AR134">
            <v>1970</v>
          </cell>
          <cell r="AS134">
            <v>1715</v>
          </cell>
          <cell r="AT134">
            <v>2250</v>
          </cell>
          <cell r="AU134">
            <v>2122</v>
          </cell>
          <cell r="AV134">
            <v>1686</v>
          </cell>
          <cell r="AW134">
            <v>1528</v>
          </cell>
          <cell r="AX134">
            <v>2203</v>
          </cell>
          <cell r="AY134">
            <v>2153</v>
          </cell>
          <cell r="AZ134">
            <v>1802</v>
          </cell>
          <cell r="BA134">
            <v>1518</v>
          </cell>
          <cell r="BB134">
            <v>2172</v>
          </cell>
          <cell r="BC134">
            <v>2127</v>
          </cell>
          <cell r="BD134">
            <v>1813</v>
          </cell>
          <cell r="BE134">
            <v>1607</v>
          </cell>
          <cell r="BF134">
            <v>2015</v>
          </cell>
          <cell r="BG134">
            <v>1943</v>
          </cell>
          <cell r="BH134">
            <v>1698</v>
          </cell>
          <cell r="BI134">
            <v>1519</v>
          </cell>
          <cell r="BJ134">
            <v>2195.25</v>
          </cell>
          <cell r="BK134">
            <v>2164.7809999999999</v>
          </cell>
          <cell r="BL134">
            <v>1970.0889999999999</v>
          </cell>
          <cell r="BM134">
            <v>1725.2576178795218</v>
          </cell>
          <cell r="BN134">
            <v>2153.5120000000002</v>
          </cell>
          <cell r="BO134">
            <v>2232.883269029438</v>
          </cell>
          <cell r="BP134">
            <v>2001.4473109634098</v>
          </cell>
          <cell r="BQ134">
            <v>1958.9806563410602</v>
          </cell>
          <cell r="BR134">
            <v>2201.2370000000001</v>
          </cell>
          <cell r="BS134">
            <v>2262.096</v>
          </cell>
          <cell r="BT134">
            <v>1975.2589999999998</v>
          </cell>
          <cell r="BU134">
            <v>1750.8226178795219</v>
          </cell>
        </row>
        <row r="135">
          <cell r="A135" t="str">
            <v>Check</v>
          </cell>
          <cell r="C135">
            <v>0</v>
          </cell>
          <cell r="D135">
            <v>0</v>
          </cell>
          <cell r="E135">
            <v>0</v>
          </cell>
          <cell r="F135">
            <v>0</v>
          </cell>
          <cell r="G135">
            <v>0</v>
          </cell>
          <cell r="H135">
            <v>0</v>
          </cell>
          <cell r="I135">
            <v>-0.34096140826035537</v>
          </cell>
          <cell r="J135">
            <v>0</v>
          </cell>
          <cell r="K135">
            <v>-2.2737367544323206E-13</v>
          </cell>
          <cell r="L135">
            <v>7.673861546209082E-13</v>
          </cell>
          <cell r="M135">
            <v>-527.07000000000005</v>
          </cell>
          <cell r="N135">
            <v>-3.3776178795219494</v>
          </cell>
          <cell r="O135">
            <v>0.69230769230745182</v>
          </cell>
          <cell r="P135">
            <v>0</v>
          </cell>
          <cell r="Q135">
            <v>-5.1159076974727213E-13</v>
          </cell>
          <cell r="R135">
            <v>3.1263880373444408E-13</v>
          </cell>
          <cell r="S135">
            <v>-1.0800249583553523E-12</v>
          </cell>
          <cell r="T135">
            <v>6.2527760746888816E-13</v>
          </cell>
          <cell r="U135">
            <v>-8.8107299234252423E-13</v>
          </cell>
          <cell r="W135">
            <v>-5.1159076974727213E-13</v>
          </cell>
          <cell r="X135">
            <v>0.69230769230796341</v>
          </cell>
          <cell r="AD135">
            <v>0</v>
          </cell>
          <cell r="AE135">
            <v>0</v>
          </cell>
          <cell r="AF135">
            <v>0</v>
          </cell>
          <cell r="AG135">
            <v>0</v>
          </cell>
          <cell r="AH135">
            <v>0</v>
          </cell>
          <cell r="AI135">
            <v>0</v>
          </cell>
          <cell r="AJ135">
            <v>0</v>
          </cell>
          <cell r="AK135">
            <v>0</v>
          </cell>
          <cell r="AL135">
            <v>7.1054273576010019E-14</v>
          </cell>
          <cell r="AM135">
            <v>-8.5265128291212022E-14</v>
          </cell>
          <cell r="AN135">
            <v>0</v>
          </cell>
          <cell r="AO135">
            <v>0</v>
          </cell>
          <cell r="AP135">
            <v>0</v>
          </cell>
          <cell r="AQ135">
            <v>0</v>
          </cell>
          <cell r="AR135">
            <v>-1.4210854715202004E-13</v>
          </cell>
          <cell r="AS135">
            <v>-2.1739130434795584E-2</v>
          </cell>
          <cell r="AT135">
            <v>6.0240963855505925E-2</v>
          </cell>
          <cell r="AU135">
            <v>-3.9772727272804786E-2</v>
          </cell>
          <cell r="AV135">
            <v>0.16167664670655313</v>
          </cell>
          <cell r="AW135">
            <v>0</v>
          </cell>
          <cell r="AX135">
            <v>7.815970093361102E-14</v>
          </cell>
          <cell r="AY135">
            <v>2.3447910280083306E-13</v>
          </cell>
          <cell r="AZ135">
            <v>0</v>
          </cell>
          <cell r="BA135">
            <v>0</v>
          </cell>
          <cell r="BB135">
            <v>0</v>
          </cell>
          <cell r="BC135">
            <v>4.2632564145606011E-14</v>
          </cell>
          <cell r="BD135">
            <v>-1.2612133559741778E-13</v>
          </cell>
          <cell r="BE135">
            <v>0</v>
          </cell>
          <cell r="BF135">
            <v>0</v>
          </cell>
          <cell r="BG135">
            <v>-166.17000000000004</v>
          </cell>
          <cell r="BH135">
            <v>-125.57</v>
          </cell>
          <cell r="BI135">
            <v>-91.99</v>
          </cell>
          <cell r="BJ135">
            <v>0</v>
          </cell>
          <cell r="BK135">
            <v>0</v>
          </cell>
          <cell r="BL135">
            <v>0</v>
          </cell>
          <cell r="BM135">
            <v>0</v>
          </cell>
          <cell r="BN135">
            <v>1.7053025658242404E-13</v>
          </cell>
          <cell r="BO135">
            <v>1.1368683772161603E-13</v>
          </cell>
          <cell r="BP135">
            <v>0</v>
          </cell>
          <cell r="BQ135">
            <v>0</v>
          </cell>
          <cell r="BR135">
            <v>-7.815970093361102E-14</v>
          </cell>
          <cell r="BS135">
            <v>1.5987211554602254E-13</v>
          </cell>
          <cell r="BT135">
            <v>-1.0746958878371515E-13</v>
          </cell>
          <cell r="BU135">
            <v>0</v>
          </cell>
        </row>
        <row r="137">
          <cell r="A137" t="str">
            <v>US Soups, Sauces, and Beverages</v>
          </cell>
          <cell r="BF137" t="str">
            <v>1Q12</v>
          </cell>
          <cell r="BG137" t="str">
            <v>2Q12</v>
          </cell>
          <cell r="BH137" t="str">
            <v>3Q12</v>
          </cell>
          <cell r="BI137" t="str">
            <v>4Q12</v>
          </cell>
          <cell r="BJ137" t="str">
            <v>1Q13</v>
          </cell>
          <cell r="BK137" t="str">
            <v>2Q13</v>
          </cell>
          <cell r="BL137" t="str">
            <v>3Q13</v>
          </cell>
          <cell r="BM137" t="str">
            <v>4Q13</v>
          </cell>
          <cell r="BN137" t="str">
            <v>1Q14</v>
          </cell>
          <cell r="BO137" t="str">
            <v>2Q14E</v>
          </cell>
          <cell r="BP137" t="str">
            <v>3Q14E</v>
          </cell>
          <cell r="BQ137" t="str">
            <v>4Q14E</v>
          </cell>
        </row>
        <row r="138">
          <cell r="A138" t="str">
            <v>Volume and Mix</v>
          </cell>
          <cell r="C138">
            <v>25.32</v>
          </cell>
          <cell r="D138">
            <v>25.240000000000002</v>
          </cell>
          <cell r="E138">
            <v>29.44</v>
          </cell>
          <cell r="F138">
            <v>59.96</v>
          </cell>
          <cell r="G138">
            <v>-30.98</v>
          </cell>
          <cell r="H138">
            <v>162.85000000000002</v>
          </cell>
          <cell r="I138">
            <v>104.67</v>
          </cell>
          <cell r="J138">
            <v>-73.48</v>
          </cell>
          <cell r="K138">
            <v>-37.840000000000003</v>
          </cell>
          <cell r="L138">
            <v>-131.66000000000003</v>
          </cell>
          <cell r="M138">
            <v>-87.27000000000001</v>
          </cell>
          <cell r="N138">
            <v>63.222300000000004</v>
          </cell>
          <cell r="O138">
            <v>-108.32500000000002</v>
          </cell>
          <cell r="P138">
            <v>91.651076923076928</v>
          </cell>
          <cell r="Q138">
            <v>22.498303692307694</v>
          </cell>
          <cell r="R138">
            <v>23.046838080290275</v>
          </cell>
          <cell r="S138">
            <v>23.612838789673546</v>
          </cell>
          <cell r="T138">
            <v>24.196972569289848</v>
          </cell>
          <cell r="U138">
            <v>24.799933912140411</v>
          </cell>
          <cell r="W138">
            <v>38.900891249999994</v>
          </cell>
          <cell r="X138">
            <v>-147.22589125000002</v>
          </cell>
          <cell r="AD138">
            <v>117</v>
          </cell>
          <cell r="AE138">
            <v>28.5</v>
          </cell>
          <cell r="AF138">
            <v>-38.22</v>
          </cell>
          <cell r="AG138">
            <v>-25.55</v>
          </cell>
          <cell r="AH138">
            <v>-69.580000000000013</v>
          </cell>
          <cell r="AI138">
            <v>-9.56</v>
          </cell>
          <cell r="AJ138">
            <v>50.160000000000004</v>
          </cell>
          <cell r="AK138">
            <v>10.18</v>
          </cell>
          <cell r="AL138">
            <v>38.800000000000004</v>
          </cell>
          <cell r="AM138">
            <v>-20.36</v>
          </cell>
          <cell r="AN138">
            <v>78.430000000000007</v>
          </cell>
          <cell r="AO138">
            <v>44.480000000000004</v>
          </cell>
          <cell r="AP138">
            <v>63.12</v>
          </cell>
          <cell r="AQ138">
            <v>61.68</v>
          </cell>
          <cell r="AR138">
            <v>-8.1</v>
          </cell>
          <cell r="AS138">
            <v>0</v>
          </cell>
          <cell r="AT138">
            <v>43.88</v>
          </cell>
          <cell r="AU138">
            <v>-32.79</v>
          </cell>
          <cell r="AV138">
            <v>-56.77</v>
          </cell>
          <cell r="AW138">
            <v>-6.73</v>
          </cell>
          <cell r="AX138">
            <v>-71.88</v>
          </cell>
          <cell r="AY138">
            <v>-45.12</v>
          </cell>
          <cell r="AZ138">
            <v>64.64</v>
          </cell>
          <cell r="BA138">
            <v>6.5</v>
          </cell>
          <cell r="BB138">
            <v>0</v>
          </cell>
          <cell r="BC138">
            <v>-10.68</v>
          </cell>
          <cell r="BD138">
            <v>-69.999999999999957</v>
          </cell>
          <cell r="BE138">
            <v>-46.059999999999995</v>
          </cell>
          <cell r="BF138">
            <v>-60.810000000000009</v>
          </cell>
          <cell r="BG138">
            <v>-38.5</v>
          </cell>
          <cell r="BH138">
            <v>-15.139999999999999</v>
          </cell>
          <cell r="BI138">
            <v>22.520000000000003</v>
          </cell>
          <cell r="BJ138">
            <v>0.82000000000000028</v>
          </cell>
          <cell r="BK138">
            <v>-13.850000000000001</v>
          </cell>
          <cell r="BL138">
            <v>60.445</v>
          </cell>
          <cell r="BM138">
            <v>15.807300000000001</v>
          </cell>
          <cell r="BN138">
            <v>-70.77</v>
          </cell>
          <cell r="BO138">
            <v>26.04</v>
          </cell>
          <cell r="BP138">
            <v>-53.790000000000006</v>
          </cell>
          <cell r="BQ138">
            <v>-9.8049999999999997</v>
          </cell>
          <cell r="BR138">
            <v>34.374999999999993</v>
          </cell>
          <cell r="BS138">
            <v>-24.04</v>
          </cell>
          <cell r="BT138">
            <v>-19.14</v>
          </cell>
          <cell r="BU138">
            <v>1.8350000000000044</v>
          </cell>
        </row>
        <row r="139">
          <cell r="A139" t="str">
            <v>Price and Sales Allowances</v>
          </cell>
          <cell r="C139">
            <v>0</v>
          </cell>
          <cell r="D139">
            <v>25.240000000000002</v>
          </cell>
          <cell r="E139">
            <v>88.32</v>
          </cell>
          <cell r="F139">
            <v>29.98</v>
          </cell>
          <cell r="G139">
            <v>185.88</v>
          </cell>
          <cell r="H139">
            <v>65.14</v>
          </cell>
          <cell r="I139">
            <v>69.78</v>
          </cell>
          <cell r="J139">
            <v>293.92</v>
          </cell>
          <cell r="K139">
            <v>37.840000000000003</v>
          </cell>
          <cell r="L139">
            <v>0</v>
          </cell>
          <cell r="M139">
            <v>82.53</v>
          </cell>
          <cell r="N139">
            <v>48.580600000000004</v>
          </cell>
          <cell r="O139">
            <v>60.690000000000005</v>
          </cell>
          <cell r="P139">
            <v>54.990646153846157</v>
          </cell>
          <cell r="Q139">
            <v>41.305573846153848</v>
          </cell>
          <cell r="R139">
            <v>42.241747202743106</v>
          </cell>
          <cell r="S139">
            <v>43.20582061805262</v>
          </cell>
          <cell r="T139">
            <v>44.198819723980208</v>
          </cell>
          <cell r="U139">
            <v>45.221812151306736</v>
          </cell>
          <cell r="W139">
            <v>48.913374374999997</v>
          </cell>
          <cell r="X139">
            <v>11.776625625000008</v>
          </cell>
          <cell r="AD139">
            <v>-18</v>
          </cell>
          <cell r="AE139">
            <v>0</v>
          </cell>
          <cell r="AF139">
            <v>12.74</v>
          </cell>
          <cell r="AG139">
            <v>25.55</v>
          </cell>
          <cell r="AH139">
            <v>49.7</v>
          </cell>
          <cell r="AI139">
            <v>57.36</v>
          </cell>
          <cell r="AJ139">
            <v>37.619999999999997</v>
          </cell>
          <cell r="AK139">
            <v>40.72</v>
          </cell>
          <cell r="AL139">
            <v>29.099999999999998</v>
          </cell>
          <cell r="AM139">
            <v>30.54</v>
          </cell>
          <cell r="AN139">
            <v>14.26</v>
          </cell>
          <cell r="AO139">
            <v>5.5600000000000005</v>
          </cell>
          <cell r="AP139">
            <v>0</v>
          </cell>
          <cell r="AQ139">
            <v>10.28</v>
          </cell>
          <cell r="AR139">
            <v>16.2</v>
          </cell>
          <cell r="AS139">
            <v>29.950000000000003</v>
          </cell>
          <cell r="AT139">
            <v>87.76</v>
          </cell>
          <cell r="AU139">
            <v>109.30000000000001</v>
          </cell>
          <cell r="AV139">
            <v>40.550000000000004</v>
          </cell>
          <cell r="AW139">
            <v>33.65</v>
          </cell>
          <cell r="AX139">
            <v>23.96</v>
          </cell>
          <cell r="AY139">
            <v>11.28</v>
          </cell>
          <cell r="AZ139">
            <v>8.08</v>
          </cell>
          <cell r="BA139">
            <v>6.5</v>
          </cell>
          <cell r="BB139">
            <v>0</v>
          </cell>
          <cell r="BC139">
            <v>0</v>
          </cell>
          <cell r="BD139">
            <v>0</v>
          </cell>
          <cell r="BE139">
            <v>-1.77</v>
          </cell>
          <cell r="BF139">
            <v>44.900000000000006</v>
          </cell>
          <cell r="BG139">
            <v>27.06</v>
          </cell>
          <cell r="BH139">
            <v>23.2</v>
          </cell>
          <cell r="BI139">
            <v>12.93</v>
          </cell>
          <cell r="BJ139">
            <v>17.48</v>
          </cell>
          <cell r="BK139">
            <v>16.48</v>
          </cell>
          <cell r="BL139">
            <v>7.21</v>
          </cell>
          <cell r="BM139">
            <v>7.4105999999999996</v>
          </cell>
          <cell r="BN139">
            <v>16.03</v>
          </cell>
          <cell r="BO139">
            <v>16.66</v>
          </cell>
          <cell r="BP139">
            <v>15.510000000000002</v>
          </cell>
          <cell r="BQ139">
            <v>12.490000000000007</v>
          </cell>
          <cell r="BR139">
            <v>4.3</v>
          </cell>
          <cell r="BS139">
            <v>4.47</v>
          </cell>
          <cell r="BT139">
            <v>3.36</v>
          </cell>
          <cell r="BU139">
            <v>2.5900000000000016</v>
          </cell>
        </row>
        <row r="140">
          <cell r="A140" t="str">
            <v>Promotional Spending</v>
          </cell>
          <cell r="C140">
            <v>-25.32</v>
          </cell>
          <cell r="D140">
            <v>25.240000000000002</v>
          </cell>
          <cell r="E140">
            <v>-29.44</v>
          </cell>
          <cell r="F140">
            <v>0</v>
          </cell>
          <cell r="G140">
            <v>0</v>
          </cell>
          <cell r="H140">
            <v>0</v>
          </cell>
          <cell r="I140">
            <v>-34.89</v>
          </cell>
          <cell r="J140">
            <v>-73.48</v>
          </cell>
          <cell r="K140">
            <v>-75.680000000000007</v>
          </cell>
          <cell r="L140">
            <v>-44.620000000000005</v>
          </cell>
          <cell r="M140">
            <v>-7.59</v>
          </cell>
          <cell r="N140">
            <v>-29.528299999999998</v>
          </cell>
          <cell r="O140">
            <v>-14.245000000000001</v>
          </cell>
          <cell r="P140">
            <v>0</v>
          </cell>
          <cell r="Q140">
            <v>0</v>
          </cell>
          <cell r="R140">
            <v>0</v>
          </cell>
          <cell r="S140">
            <v>0</v>
          </cell>
          <cell r="T140">
            <v>0</v>
          </cell>
          <cell r="U140">
            <v>0</v>
          </cell>
          <cell r="W140">
            <v>0</v>
          </cell>
          <cell r="X140">
            <v>-14.245000000000001</v>
          </cell>
          <cell r="AD140">
            <v>-9</v>
          </cell>
          <cell r="AE140">
            <v>-19</v>
          </cell>
          <cell r="AF140">
            <v>12.74</v>
          </cell>
          <cell r="AG140">
            <v>10.220000000000001</v>
          </cell>
          <cell r="AH140">
            <v>0</v>
          </cell>
          <cell r="AI140">
            <v>0</v>
          </cell>
          <cell r="AJ140">
            <v>0</v>
          </cell>
          <cell r="AK140">
            <v>20.36</v>
          </cell>
          <cell r="AL140">
            <v>9.7000000000000011</v>
          </cell>
          <cell r="AM140">
            <v>0</v>
          </cell>
          <cell r="AN140">
            <v>0</v>
          </cell>
          <cell r="AO140">
            <v>-5.5600000000000005</v>
          </cell>
          <cell r="AP140">
            <v>-21.04</v>
          </cell>
          <cell r="AQ140">
            <v>-10.28</v>
          </cell>
          <cell r="AR140">
            <v>-8.1</v>
          </cell>
          <cell r="AS140">
            <v>-5.99</v>
          </cell>
          <cell r="AT140">
            <v>-32.909999999999997</v>
          </cell>
          <cell r="AU140">
            <v>-43.72</v>
          </cell>
          <cell r="AV140">
            <v>8.11</v>
          </cell>
          <cell r="AW140">
            <v>0</v>
          </cell>
          <cell r="AX140">
            <v>-11.98</v>
          </cell>
          <cell r="AY140">
            <v>-22.56</v>
          </cell>
          <cell r="AZ140">
            <v>-32.32</v>
          </cell>
          <cell r="BA140">
            <v>-19.5</v>
          </cell>
          <cell r="BB140">
            <v>-34.199999999999996</v>
          </cell>
          <cell r="BC140">
            <v>-32.04</v>
          </cell>
          <cell r="BD140">
            <v>0</v>
          </cell>
          <cell r="BE140">
            <v>8.6999999999999993</v>
          </cell>
          <cell r="BF140">
            <v>-17.18</v>
          </cell>
          <cell r="BG140">
            <v>-1.8</v>
          </cell>
          <cell r="BH140">
            <v>-9.76</v>
          </cell>
          <cell r="BI140">
            <v>0</v>
          </cell>
          <cell r="BJ140">
            <v>-1.98</v>
          </cell>
          <cell r="BK140">
            <v>0</v>
          </cell>
          <cell r="BL140">
            <v>-15.526</v>
          </cell>
          <cell r="BM140">
            <v>-12.022300000000001</v>
          </cell>
          <cell r="BN140">
            <v>-14.14</v>
          </cell>
          <cell r="BO140">
            <v>-6.2474999999999996</v>
          </cell>
          <cell r="BP140">
            <v>1.98</v>
          </cell>
          <cell r="BQ140">
            <v>4.1624999999999996</v>
          </cell>
          <cell r="BR140">
            <v>-4.3</v>
          </cell>
          <cell r="BS140">
            <v>-4.47</v>
          </cell>
          <cell r="BT140">
            <v>-3.36</v>
          </cell>
          <cell r="BU140">
            <v>-2.5900000000000016</v>
          </cell>
        </row>
        <row r="141">
          <cell r="A141" t="str">
            <v>Currency</v>
          </cell>
          <cell r="C141">
            <v>0</v>
          </cell>
          <cell r="D141">
            <v>0</v>
          </cell>
          <cell r="E141">
            <v>58.88</v>
          </cell>
          <cell r="F141">
            <v>0</v>
          </cell>
          <cell r="G141">
            <v>0</v>
          </cell>
          <cell r="H141">
            <v>0</v>
          </cell>
          <cell r="I141">
            <v>0</v>
          </cell>
          <cell r="J141">
            <v>0</v>
          </cell>
          <cell r="K141">
            <v>0</v>
          </cell>
          <cell r="L141">
            <v>0</v>
          </cell>
          <cell r="M141">
            <v>1.8</v>
          </cell>
          <cell r="N141">
            <v>0</v>
          </cell>
          <cell r="O141">
            <v>0</v>
          </cell>
          <cell r="P141">
            <v>0</v>
          </cell>
          <cell r="Q141">
            <v>0</v>
          </cell>
          <cell r="R141">
            <v>0</v>
          </cell>
          <cell r="S141">
            <v>0</v>
          </cell>
          <cell r="T141">
            <v>0</v>
          </cell>
          <cell r="U141">
            <v>0</v>
          </cell>
          <cell r="W141">
            <v>0</v>
          </cell>
          <cell r="X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1.8</v>
          </cell>
          <cell r="BH141">
            <v>0</v>
          </cell>
          <cell r="BI141">
            <v>0</v>
          </cell>
          <cell r="BJ141">
            <v>0</v>
          </cell>
          <cell r="BK141">
            <v>0</v>
          </cell>
          <cell r="BL141">
            <v>0</v>
          </cell>
          <cell r="BM141">
            <v>0</v>
          </cell>
          <cell r="BN141">
            <v>0</v>
          </cell>
          <cell r="BO141">
            <v>0</v>
          </cell>
          <cell r="BP141">
            <v>0</v>
          </cell>
          <cell r="BQ141">
            <v>0</v>
          </cell>
          <cell r="BR141">
            <v>0</v>
          </cell>
          <cell r="BS141">
            <v>0</v>
          </cell>
          <cell r="BT141">
            <v>0</v>
          </cell>
          <cell r="BU141">
            <v>0</v>
          </cell>
        </row>
        <row r="142">
          <cell r="A142" t="str">
            <v>Acquisitions/Divestitures</v>
          </cell>
          <cell r="C142">
            <v>0</v>
          </cell>
          <cell r="D142">
            <v>0</v>
          </cell>
          <cell r="E142">
            <v>0</v>
          </cell>
          <cell r="F142">
            <v>0</v>
          </cell>
          <cell r="G142">
            <v>0</v>
          </cell>
          <cell r="H142">
            <v>0</v>
          </cell>
          <cell r="I142">
            <v>0</v>
          </cell>
          <cell r="J142">
            <v>0</v>
          </cell>
          <cell r="K142">
            <v>0</v>
          </cell>
          <cell r="L142">
            <v>0</v>
          </cell>
          <cell r="M142">
            <v>0</v>
          </cell>
          <cell r="N142">
            <v>13.835100000000001</v>
          </cell>
          <cell r="O142">
            <v>85</v>
          </cell>
          <cell r="P142">
            <v>0</v>
          </cell>
          <cell r="Q142">
            <v>0</v>
          </cell>
          <cell r="R142">
            <v>0</v>
          </cell>
          <cell r="S142">
            <v>0</v>
          </cell>
          <cell r="T142">
            <v>0</v>
          </cell>
          <cell r="U142">
            <v>0</v>
          </cell>
          <cell r="W142">
            <v>0</v>
          </cell>
          <cell r="X142">
            <v>85</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8.11</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13.835100000000001</v>
          </cell>
          <cell r="BN142">
            <v>15.232000000000001</v>
          </cell>
          <cell r="BO142">
            <v>7.2560000000000002</v>
          </cell>
          <cell r="BP142">
            <v>31.256</v>
          </cell>
          <cell r="BQ142">
            <v>31.256</v>
          </cell>
          <cell r="BR142">
            <v>0</v>
          </cell>
          <cell r="BS142">
            <v>0</v>
          </cell>
          <cell r="BT142">
            <v>0</v>
          </cell>
          <cell r="BU142">
            <v>0</v>
          </cell>
        </row>
        <row r="143">
          <cell r="A143" t="str">
            <v>53rd week</v>
          </cell>
          <cell r="C143">
            <v>0</v>
          </cell>
          <cell r="D143">
            <v>0</v>
          </cell>
          <cell r="E143">
            <v>-29.44</v>
          </cell>
          <cell r="F143">
            <v>0</v>
          </cell>
          <cell r="G143">
            <v>0</v>
          </cell>
          <cell r="H143">
            <v>0</v>
          </cell>
          <cell r="I143">
            <v>34.89</v>
          </cell>
          <cell r="J143">
            <v>-36.74</v>
          </cell>
          <cell r="K143">
            <v>0</v>
          </cell>
          <cell r="L143">
            <v>0</v>
          </cell>
          <cell r="M143">
            <v>0</v>
          </cell>
          <cell r="N143">
            <v>0</v>
          </cell>
          <cell r="O143">
            <v>51.230769230769226</v>
          </cell>
          <cell r="P143">
            <v>-51.230769230769226</v>
          </cell>
          <cell r="Q143">
            <v>13.723916182873731</v>
          </cell>
          <cell r="R143">
            <v>14.325955902216773</v>
          </cell>
          <cell r="S143">
            <v>14.954405854531002</v>
          </cell>
          <cell r="T143">
            <v>15.610424601923159</v>
          </cell>
          <cell r="U143">
            <v>16.29522153021507</v>
          </cell>
          <cell r="W143">
            <v>0</v>
          </cell>
          <cell r="X143">
            <v>51.230769230769226</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47.92</v>
          </cell>
          <cell r="AT143">
            <v>0</v>
          </cell>
          <cell r="AU143">
            <v>0</v>
          </cell>
          <cell r="AV143">
            <v>0</v>
          </cell>
          <cell r="AW143">
            <v>-47.110000000000007</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51.230769230769226</v>
          </cell>
          <cell r="BR143">
            <v>0</v>
          </cell>
          <cell r="BS143">
            <v>0</v>
          </cell>
          <cell r="BT143">
            <v>0</v>
          </cell>
          <cell r="BU143">
            <v>-46.620000000000005</v>
          </cell>
        </row>
        <row r="144">
          <cell r="A144" t="str">
            <v>Rounding</v>
          </cell>
          <cell r="C144">
            <v>-7.9999999999999893</v>
          </cell>
          <cell r="D144">
            <v>344.27999999999986</v>
          </cell>
          <cell r="E144">
            <v>-63.759999999999806</v>
          </cell>
          <cell r="F144">
            <v>10.059999999999986</v>
          </cell>
          <cell r="G144">
            <v>4.0999999999997438</v>
          </cell>
          <cell r="H144">
            <v>4.0099999999999731</v>
          </cell>
          <cell r="I144">
            <v>10.550000000000049</v>
          </cell>
          <cell r="J144">
            <v>-0.22000000000032705</v>
          </cell>
          <cell r="K144">
            <v>-8.3200000000001086</v>
          </cell>
          <cell r="L144">
            <v>0</v>
          </cell>
          <cell r="M144">
            <v>0</v>
          </cell>
          <cell r="N144">
            <v>0</v>
          </cell>
          <cell r="O144">
            <v>0</v>
          </cell>
          <cell r="P144">
            <v>0</v>
          </cell>
          <cell r="Q144">
            <v>0</v>
          </cell>
          <cell r="R144">
            <v>0</v>
          </cell>
          <cell r="S144">
            <v>0</v>
          </cell>
          <cell r="T144">
            <v>0</v>
          </cell>
          <cell r="U144">
            <v>0</v>
          </cell>
          <cell r="W144">
            <v>0</v>
          </cell>
          <cell r="X144">
            <v>0</v>
          </cell>
          <cell r="AD144">
            <v>3.999999999999901</v>
          </cell>
          <cell r="AE144">
            <v>-3.4999999999999378</v>
          </cell>
          <cell r="AF144">
            <v>2.7400000000000011</v>
          </cell>
          <cell r="AG144">
            <v>496.78</v>
          </cell>
          <cell r="AH144">
            <v>-4.1200000000000427</v>
          </cell>
          <cell r="AI144">
            <v>14.19999999999998</v>
          </cell>
          <cell r="AJ144">
            <v>-1.78000000000007</v>
          </cell>
          <cell r="AK144">
            <v>-533.2600000000001</v>
          </cell>
          <cell r="AL144">
            <v>4.3999999999999222</v>
          </cell>
          <cell r="AM144">
            <v>-0.17999999999989452</v>
          </cell>
          <cell r="AN144">
            <v>4.3100000000000138</v>
          </cell>
          <cell r="AO144">
            <v>-1.4800000000000213</v>
          </cell>
          <cell r="AP144">
            <v>2.9199999999999533</v>
          </cell>
          <cell r="AQ144">
            <v>3.3200000000000069</v>
          </cell>
          <cell r="AR144">
            <v>1.0000000000000764</v>
          </cell>
          <cell r="AS144">
            <v>2.119999999999973</v>
          </cell>
          <cell r="AT144">
            <v>2.2699999999999099</v>
          </cell>
          <cell r="AU144">
            <v>2.2100000000000266</v>
          </cell>
          <cell r="AV144">
            <v>-2.9999999999999951</v>
          </cell>
          <cell r="AW144">
            <v>-2.809999999999989</v>
          </cell>
          <cell r="AX144">
            <v>1.8999999999999608</v>
          </cell>
          <cell r="AY144">
            <v>-3.600000000000021</v>
          </cell>
          <cell r="AZ144">
            <v>-0.39999999999996111</v>
          </cell>
          <cell r="BA144">
            <v>0.49999999999997702</v>
          </cell>
          <cell r="BB144">
            <v>-2.7999999999999896</v>
          </cell>
          <cell r="BC144">
            <v>-3.2799999999999927</v>
          </cell>
          <cell r="BD144">
            <v>0</v>
          </cell>
          <cell r="BE144">
            <v>2.1299999999999981</v>
          </cell>
          <cell r="BF144">
            <v>2.0900000000000265</v>
          </cell>
          <cell r="BG144">
            <v>0.44000000000005191</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row>
        <row r="145">
          <cell r="O145">
            <v>3.438870590089167</v>
          </cell>
        </row>
        <row r="146">
          <cell r="A146" t="str">
            <v>US SSB Organic Sales</v>
          </cell>
          <cell r="C146">
            <v>0</v>
          </cell>
          <cell r="D146">
            <v>75.72</v>
          </cell>
          <cell r="E146">
            <v>88.32</v>
          </cell>
          <cell r="F146">
            <v>89.94</v>
          </cell>
          <cell r="G146">
            <v>154.9</v>
          </cell>
          <cell r="H146">
            <v>227.99</v>
          </cell>
          <cell r="I146">
            <v>139.56</v>
          </cell>
          <cell r="J146">
            <v>146.95999999999998</v>
          </cell>
          <cell r="K146">
            <v>-75.680000000000007</v>
          </cell>
          <cell r="L146">
            <v>-176.28000000000003</v>
          </cell>
          <cell r="M146">
            <v>-12.330000000000009</v>
          </cell>
          <cell r="N146">
            <v>82.274600000000007</v>
          </cell>
          <cell r="O146">
            <v>-61.88000000000001</v>
          </cell>
          <cell r="P146">
            <v>146.64172307692309</v>
          </cell>
          <cell r="Q146">
            <v>63.803877538461542</v>
          </cell>
          <cell r="R146">
            <v>65.288585283033385</v>
          </cell>
          <cell r="S146">
            <v>66.818659407726159</v>
          </cell>
          <cell r="T146">
            <v>68.395792293270063</v>
          </cell>
          <cell r="U146">
            <v>70.021746063447154</v>
          </cell>
          <cell r="W146">
            <v>87.81426562499999</v>
          </cell>
          <cell r="X146">
            <v>-149.69426562500001</v>
          </cell>
          <cell r="AD146">
            <v>90</v>
          </cell>
          <cell r="AE146">
            <v>9.5</v>
          </cell>
          <cell r="AF146">
            <v>-12.739999999999997</v>
          </cell>
          <cell r="AG146">
            <v>10.220000000000001</v>
          </cell>
          <cell r="AH146">
            <v>-19.88000000000001</v>
          </cell>
          <cell r="AI146">
            <v>47.8</v>
          </cell>
          <cell r="AJ146">
            <v>87.78</v>
          </cell>
          <cell r="AK146">
            <v>71.259999999999991</v>
          </cell>
          <cell r="AL146">
            <v>77.600000000000009</v>
          </cell>
          <cell r="AM146">
            <v>10.18</v>
          </cell>
          <cell r="AN146">
            <v>92.690000000000012</v>
          </cell>
          <cell r="AO146">
            <v>44.480000000000004</v>
          </cell>
          <cell r="AP146">
            <v>42.08</v>
          </cell>
          <cell r="AQ146">
            <v>61.679999999999993</v>
          </cell>
          <cell r="AR146">
            <v>0</v>
          </cell>
          <cell r="AS146">
            <v>23.96</v>
          </cell>
          <cell r="AT146">
            <v>98.730000000000018</v>
          </cell>
          <cell r="AU146">
            <v>32.79000000000002</v>
          </cell>
          <cell r="AV146">
            <v>-8.11</v>
          </cell>
          <cell r="AW146">
            <v>26.919999999999998</v>
          </cell>
          <cell r="AX146">
            <v>-59.899999999999991</v>
          </cell>
          <cell r="AY146">
            <v>-56.399999999999991</v>
          </cell>
          <cell r="AZ146">
            <v>40.4</v>
          </cell>
          <cell r="BA146">
            <v>-6.5</v>
          </cell>
          <cell r="BB146">
            <v>-34.199999999999996</v>
          </cell>
          <cell r="BC146">
            <v>-42.72</v>
          </cell>
          <cell r="BD146">
            <v>-69.999999999999957</v>
          </cell>
          <cell r="BE146">
            <v>-39.129999999999995</v>
          </cell>
          <cell r="BF146">
            <v>-33.090000000000003</v>
          </cell>
          <cell r="BG146">
            <v>-13.240000000000002</v>
          </cell>
          <cell r="BH146">
            <v>-1.6999999999999993</v>
          </cell>
          <cell r="BI146">
            <v>35.450000000000003</v>
          </cell>
          <cell r="BJ146">
            <v>16.32</v>
          </cell>
          <cell r="BK146">
            <v>2.629999999999999</v>
          </cell>
          <cell r="BL146">
            <v>52.129000000000005</v>
          </cell>
          <cell r="BM146">
            <v>11.195599999999999</v>
          </cell>
          <cell r="BN146">
            <v>-68.88</v>
          </cell>
          <cell r="BO146">
            <v>36.452500000000001</v>
          </cell>
          <cell r="BP146">
            <v>-36.300000000000004</v>
          </cell>
          <cell r="BQ146">
            <v>6.8475000000000072</v>
          </cell>
          <cell r="BR146">
            <v>34.374999999999993</v>
          </cell>
          <cell r="BS146">
            <v>-24.04</v>
          </cell>
          <cell r="BT146">
            <v>-19.14</v>
          </cell>
          <cell r="BU146">
            <v>1.8350000000000044</v>
          </cell>
        </row>
        <row r="147">
          <cell r="A147" t="str">
            <v>Total US SSB Sales</v>
          </cell>
          <cell r="C147">
            <v>-7.9999999999999893</v>
          </cell>
          <cell r="D147">
            <v>419.99999999999989</v>
          </cell>
          <cell r="E147">
            <v>54.000000000000185</v>
          </cell>
          <cell r="F147">
            <v>99.999999999999986</v>
          </cell>
          <cell r="G147">
            <v>158.99999999999974</v>
          </cell>
          <cell r="H147">
            <v>231.99999999999997</v>
          </cell>
          <cell r="I147">
            <v>185.00000000000003</v>
          </cell>
          <cell r="J147">
            <v>109.99999999999964</v>
          </cell>
          <cell r="K147">
            <v>-84.000000000000114</v>
          </cell>
          <cell r="L147">
            <v>-176.28000000000003</v>
          </cell>
          <cell r="M147">
            <v>-10.530000000000008</v>
          </cell>
          <cell r="N147">
            <v>96.109700000000004</v>
          </cell>
          <cell r="O147">
            <v>74.350769230769217</v>
          </cell>
          <cell r="P147">
            <v>95.410953846153859</v>
          </cell>
          <cell r="Q147">
            <v>77.527793721335271</v>
          </cell>
          <cell r="R147">
            <v>79.614541185250161</v>
          </cell>
          <cell r="S147">
            <v>81.773065262257163</v>
          </cell>
          <cell r="T147">
            <v>84.006216895193219</v>
          </cell>
          <cell r="U147">
            <v>86.316967593662227</v>
          </cell>
          <cell r="W147">
            <v>87.81426562499999</v>
          </cell>
          <cell r="X147">
            <v>-13.463496394230773</v>
          </cell>
          <cell r="AD147">
            <v>93.999999999999901</v>
          </cell>
          <cell r="AE147">
            <v>6.0000000000000622</v>
          </cell>
          <cell r="AF147">
            <v>-9.9999999999999964</v>
          </cell>
          <cell r="AG147">
            <v>507</v>
          </cell>
          <cell r="AH147">
            <v>-24.000000000000053</v>
          </cell>
          <cell r="AI147">
            <v>61.999999999999979</v>
          </cell>
          <cell r="AJ147">
            <v>85.999999999999929</v>
          </cell>
          <cell r="AK147">
            <v>-462.00000000000011</v>
          </cell>
          <cell r="AL147">
            <v>81.999999999999929</v>
          </cell>
          <cell r="AM147">
            <v>10.000000000000105</v>
          </cell>
          <cell r="AN147">
            <v>97.000000000000028</v>
          </cell>
          <cell r="AO147">
            <v>42.999999999999986</v>
          </cell>
          <cell r="AP147">
            <v>44.99999999999995</v>
          </cell>
          <cell r="AQ147">
            <v>65</v>
          </cell>
          <cell r="AR147">
            <v>1.0000000000000764</v>
          </cell>
          <cell r="AS147">
            <v>73.999999999999972</v>
          </cell>
          <cell r="AT147">
            <v>100.99999999999993</v>
          </cell>
          <cell r="AU147">
            <v>35.00000000000005</v>
          </cell>
          <cell r="AV147">
            <v>-2.9999999999999951</v>
          </cell>
          <cell r="AW147">
            <v>-22.999999999999996</v>
          </cell>
          <cell r="AX147">
            <v>-58.000000000000028</v>
          </cell>
          <cell r="AY147">
            <v>-60.000000000000014</v>
          </cell>
          <cell r="AZ147">
            <v>40.000000000000036</v>
          </cell>
          <cell r="BA147">
            <v>-6.0000000000000231</v>
          </cell>
          <cell r="BB147">
            <v>-36.999999999999986</v>
          </cell>
          <cell r="BC147">
            <v>-45.999999999999993</v>
          </cell>
          <cell r="BD147">
            <v>-69.999999999999957</v>
          </cell>
          <cell r="BE147">
            <v>-37</v>
          </cell>
          <cell r="BF147">
            <v>-30.999999999999979</v>
          </cell>
          <cell r="BG147">
            <v>-10.99999999999995</v>
          </cell>
          <cell r="BH147">
            <v>-1.6999999999999993</v>
          </cell>
          <cell r="BI147">
            <v>35.450000000000003</v>
          </cell>
          <cell r="BJ147">
            <v>16.32</v>
          </cell>
          <cell r="BK147">
            <v>2.629999999999999</v>
          </cell>
          <cell r="BL147">
            <v>52.129000000000005</v>
          </cell>
          <cell r="BM147">
            <v>25.0307</v>
          </cell>
          <cell r="BN147">
            <v>-53.647999999999996</v>
          </cell>
          <cell r="BO147">
            <v>43.708500000000001</v>
          </cell>
          <cell r="BP147">
            <v>-5.044000000000004</v>
          </cell>
          <cell r="BQ147">
            <v>89.334269230769237</v>
          </cell>
          <cell r="BR147">
            <v>34.374999999999993</v>
          </cell>
          <cell r="BS147">
            <v>-24.04</v>
          </cell>
          <cell r="BT147">
            <v>-19.14</v>
          </cell>
          <cell r="BU147">
            <v>-44.784999999999997</v>
          </cell>
        </row>
        <row r="148">
          <cell r="A148" t="str">
            <v>Reported</v>
          </cell>
          <cell r="B148">
            <v>2532</v>
          </cell>
          <cell r="C148">
            <v>2524</v>
          </cell>
          <cell r="D148">
            <v>2944</v>
          </cell>
          <cell r="E148">
            <v>2998</v>
          </cell>
          <cell r="F148">
            <v>3098</v>
          </cell>
          <cell r="G148">
            <v>3257</v>
          </cell>
          <cell r="H148">
            <v>3489</v>
          </cell>
          <cell r="I148">
            <v>3674</v>
          </cell>
          <cell r="J148">
            <v>3784</v>
          </cell>
          <cell r="K148">
            <v>3700</v>
          </cell>
          <cell r="L148">
            <v>3510</v>
          </cell>
          <cell r="M148">
            <v>3500</v>
          </cell>
          <cell r="N148">
            <v>3591</v>
          </cell>
          <cell r="O148">
            <v>3666.043076923077</v>
          </cell>
          <cell r="P148">
            <v>3761.4540307692305</v>
          </cell>
          <cell r="Q148">
            <v>3838.9818244905655</v>
          </cell>
          <cell r="R148">
            <v>3918.5963656758154</v>
          </cell>
          <cell r="S148">
            <v>4000.3694309380726</v>
          </cell>
          <cell r="T148">
            <v>4084.3756478332652</v>
          </cell>
          <cell r="U148">
            <v>4170.6926154269267</v>
          </cell>
          <cell r="W148">
            <v>3600.3848906249996</v>
          </cell>
          <cell r="X148">
            <v>65.658186298077453</v>
          </cell>
          <cell r="Z148">
            <v>900</v>
          </cell>
          <cell r="AA148">
            <v>950</v>
          </cell>
          <cell r="AB148">
            <v>637</v>
          </cell>
          <cell r="AC148">
            <v>511</v>
          </cell>
          <cell r="AD148">
            <v>994</v>
          </cell>
          <cell r="AE148">
            <v>956</v>
          </cell>
          <cell r="AF148">
            <v>627</v>
          </cell>
          <cell r="AG148">
            <v>1018</v>
          </cell>
          <cell r="AH148">
            <v>970</v>
          </cell>
          <cell r="AI148">
            <v>1018</v>
          </cell>
          <cell r="AJ148">
            <v>713</v>
          </cell>
          <cell r="AK148">
            <v>556</v>
          </cell>
          <cell r="AL148">
            <v>1052</v>
          </cell>
          <cell r="AM148">
            <v>1028</v>
          </cell>
          <cell r="AN148">
            <v>810</v>
          </cell>
          <cell r="AO148">
            <v>599</v>
          </cell>
          <cell r="AP148">
            <v>1097</v>
          </cell>
          <cell r="AQ148">
            <v>1093</v>
          </cell>
          <cell r="AR148">
            <v>811</v>
          </cell>
          <cell r="AS148">
            <v>673</v>
          </cell>
          <cell r="AT148">
            <v>1198</v>
          </cell>
          <cell r="AU148">
            <v>1128</v>
          </cell>
          <cell r="AV148">
            <v>808</v>
          </cell>
          <cell r="AW148">
            <v>650</v>
          </cell>
          <cell r="AX148">
            <v>1140</v>
          </cell>
          <cell r="AY148">
            <v>1068</v>
          </cell>
          <cell r="AZ148">
            <v>848</v>
          </cell>
          <cell r="BA148">
            <v>644</v>
          </cell>
          <cell r="BB148">
            <v>1103</v>
          </cell>
          <cell r="BC148">
            <v>1022</v>
          </cell>
          <cell r="BD148">
            <v>778</v>
          </cell>
          <cell r="BE148">
            <v>607</v>
          </cell>
          <cell r="BF148">
            <v>1072</v>
          </cell>
          <cell r="BG148">
            <v>1011</v>
          </cell>
          <cell r="BH148">
            <v>775</v>
          </cell>
          <cell r="BI148">
            <v>642</v>
          </cell>
          <cell r="BJ148">
            <v>1085</v>
          </cell>
          <cell r="BK148">
            <v>1015</v>
          </cell>
          <cell r="BL148">
            <v>825</v>
          </cell>
          <cell r="BM148">
            <v>666</v>
          </cell>
          <cell r="BN148">
            <v>1033</v>
          </cell>
          <cell r="BO148">
            <v>1058.7085</v>
          </cell>
          <cell r="BP148">
            <v>819.95600000000002</v>
          </cell>
          <cell r="BQ148">
            <v>755.33426923076922</v>
          </cell>
          <cell r="BR148">
            <v>1067.375</v>
          </cell>
          <cell r="BS148">
            <v>1045.96</v>
          </cell>
          <cell r="BT148">
            <v>842.86</v>
          </cell>
          <cell r="BU148">
            <v>657.21500000000003</v>
          </cell>
        </row>
        <row r="149">
          <cell r="A149" t="str">
            <v>Check</v>
          </cell>
          <cell r="C149">
            <v>0</v>
          </cell>
          <cell r="D149">
            <v>0</v>
          </cell>
          <cell r="E149">
            <v>-1.8474111129762605E-13</v>
          </cell>
          <cell r="F149">
            <v>0</v>
          </cell>
          <cell r="G149">
            <v>2.5579538487363607E-13</v>
          </cell>
          <cell r="H149">
            <v>0</v>
          </cell>
          <cell r="I149">
            <v>0</v>
          </cell>
          <cell r="J149">
            <v>3.5527136788005009E-13</v>
          </cell>
          <cell r="K149">
            <v>1.1368683772161603E-13</v>
          </cell>
          <cell r="L149">
            <v>-13.71999999999997</v>
          </cell>
          <cell r="M149">
            <v>0.53000000000000824</v>
          </cell>
          <cell r="N149">
            <v>-5.1097000000000037</v>
          </cell>
          <cell r="O149">
            <v>0.69230769230780709</v>
          </cell>
          <cell r="P149">
            <v>-3.979039320256561E-13</v>
          </cell>
          <cell r="Q149">
            <v>-2.7000623958883807E-13</v>
          </cell>
          <cell r="R149">
            <v>-2.7000623958883807E-13</v>
          </cell>
          <cell r="S149">
            <v>0</v>
          </cell>
          <cell r="T149">
            <v>-5.5422333389287814E-13</v>
          </cell>
          <cell r="U149">
            <v>-7.2475359047530219E-13</v>
          </cell>
          <cell r="W149">
            <v>1.9895196601282805E-13</v>
          </cell>
          <cell r="X149">
            <v>0.69230769230760814</v>
          </cell>
          <cell r="AD149">
            <v>0</v>
          </cell>
          <cell r="AE149">
            <v>-6.2172489379008766E-14</v>
          </cell>
          <cell r="AF149">
            <v>0</v>
          </cell>
          <cell r="AG149">
            <v>0</v>
          </cell>
          <cell r="AH149">
            <v>5.3290705182007514E-14</v>
          </cell>
          <cell r="AI149">
            <v>0</v>
          </cell>
          <cell r="AJ149">
            <v>0</v>
          </cell>
          <cell r="AK149">
            <v>0</v>
          </cell>
          <cell r="AL149">
            <v>0</v>
          </cell>
          <cell r="AM149">
            <v>-1.0480505352461478E-13</v>
          </cell>
          <cell r="AN149">
            <v>0</v>
          </cell>
          <cell r="AO149">
            <v>0</v>
          </cell>
          <cell r="AP149">
            <v>0</v>
          </cell>
          <cell r="AQ149">
            <v>0</v>
          </cell>
          <cell r="AR149">
            <v>-7.638334409421077E-14</v>
          </cell>
          <cell r="AS149">
            <v>0</v>
          </cell>
          <cell r="AT149">
            <v>0</v>
          </cell>
          <cell r="AU149">
            <v>0</v>
          </cell>
          <cell r="AV149">
            <v>-4.8849813083506888E-15</v>
          </cell>
          <cell r="AW149">
            <v>0</v>
          </cell>
          <cell r="AX149">
            <v>0</v>
          </cell>
          <cell r="AY149">
            <v>0</v>
          </cell>
          <cell r="AZ149">
            <v>0</v>
          </cell>
          <cell r="BA149">
            <v>2.3092638912203256E-14</v>
          </cell>
          <cell r="BB149">
            <v>0</v>
          </cell>
          <cell r="BC149">
            <v>0</v>
          </cell>
          <cell r="BD149">
            <v>0</v>
          </cell>
          <cell r="BE149">
            <v>0</v>
          </cell>
          <cell r="BF149">
            <v>0</v>
          </cell>
          <cell r="BG149">
            <v>-4.9737991503207013E-14</v>
          </cell>
          <cell r="BH149">
            <v>-1.3000000000000007</v>
          </cell>
          <cell r="BI149">
            <v>-0.45000000000000284</v>
          </cell>
          <cell r="BJ149">
            <v>-3.3200000000000003</v>
          </cell>
          <cell r="BK149">
            <v>1.370000000000001</v>
          </cell>
          <cell r="BL149">
            <v>-2.1290000000000049</v>
          </cell>
          <cell r="BM149">
            <v>-1.0306999999999995</v>
          </cell>
          <cell r="BN149">
            <v>1.6479999999999961</v>
          </cell>
          <cell r="BO149">
            <v>0</v>
          </cell>
          <cell r="BP149">
            <v>2.1316282072803006E-14</v>
          </cell>
          <cell r="BQ149">
            <v>0</v>
          </cell>
          <cell r="BR149">
            <v>0</v>
          </cell>
          <cell r="BS149">
            <v>3.5527136788005009E-14</v>
          </cell>
          <cell r="BT149">
            <v>0</v>
          </cell>
          <cell r="BU149">
            <v>0</v>
          </cell>
        </row>
        <row r="151">
          <cell r="A151" t="str">
            <v>US Simple Meals</v>
          </cell>
          <cell r="BF151" t="str">
            <v>1Q12</v>
          </cell>
          <cell r="BG151" t="str">
            <v>2Q12</v>
          </cell>
          <cell r="BH151" t="str">
            <v>3Q12</v>
          </cell>
          <cell r="BI151" t="str">
            <v>4Q12</v>
          </cell>
          <cell r="BJ151" t="str">
            <v>1Q13</v>
          </cell>
          <cell r="BK151" t="str">
            <v>2Q13</v>
          </cell>
          <cell r="BL151" t="str">
            <v>3Q13</v>
          </cell>
          <cell r="BM151" t="str">
            <v>4Q13</v>
          </cell>
          <cell r="BN151" t="str">
            <v>1Q14</v>
          </cell>
          <cell r="BO151" t="str">
            <v>2Q14E</v>
          </cell>
          <cell r="BP151" t="str">
            <v>3Q14E</v>
          </cell>
          <cell r="BQ151" t="str">
            <v>4Q14E</v>
          </cell>
        </row>
        <row r="152">
          <cell r="A152" t="str">
            <v>Volume and Mix</v>
          </cell>
          <cell r="L152">
            <v>-146.9</v>
          </cell>
          <cell r="M152">
            <v>-110.04</v>
          </cell>
          <cell r="N152">
            <v>86.08250000000001</v>
          </cell>
          <cell r="O152">
            <v>-71.225000000000009</v>
          </cell>
          <cell r="P152">
            <v>73.585826923076922</v>
          </cell>
          <cell r="Q152">
            <v>15.116236615384615</v>
          </cell>
          <cell r="R152">
            <v>15.342980164615383</v>
          </cell>
          <cell r="S152">
            <v>15.573124867084612</v>
          </cell>
          <cell r="T152">
            <v>15.806721740090881</v>
          </cell>
          <cell r="U152">
            <v>16.04382256619224</v>
          </cell>
          <cell r="W152">
            <v>27.575336249999996</v>
          </cell>
          <cell r="X152">
            <v>-98.800336250000001</v>
          </cell>
          <cell r="BE152">
            <v>-51.37</v>
          </cell>
          <cell r="BF152">
            <v>-62.860000000000007</v>
          </cell>
          <cell r="BG152">
            <v>-42.1</v>
          </cell>
          <cell r="BH152">
            <v>-29</v>
          </cell>
          <cell r="BI152">
            <v>17.240000000000002</v>
          </cell>
          <cell r="BJ152">
            <v>8.74</v>
          </cell>
          <cell r="BK152">
            <v>-8.24</v>
          </cell>
          <cell r="BL152">
            <v>62.524000000000001</v>
          </cell>
          <cell r="BM152">
            <v>23.058500000000002</v>
          </cell>
          <cell r="BN152">
            <v>-53.76</v>
          </cell>
          <cell r="BO152">
            <v>33.32</v>
          </cell>
          <cell r="BP152">
            <v>-43.890000000000008</v>
          </cell>
          <cell r="BQ152">
            <v>-6.894999999999996</v>
          </cell>
          <cell r="BR152">
            <v>38.699999999999996</v>
          </cell>
          <cell r="BS152">
            <v>-17.88</v>
          </cell>
          <cell r="BT152">
            <v>-13.44</v>
          </cell>
          <cell r="BU152">
            <v>7.3400000000000034</v>
          </cell>
        </row>
        <row r="153">
          <cell r="A153" t="str">
            <v>Price and Sales Allowances</v>
          </cell>
          <cell r="L153">
            <v>0</v>
          </cell>
          <cell r="M153">
            <v>82.53</v>
          </cell>
          <cell r="N153">
            <v>54.551400000000001</v>
          </cell>
          <cell r="O153">
            <v>56.980000000000004</v>
          </cell>
          <cell r="P153">
            <v>44.151496153846153</v>
          </cell>
          <cell r="Q153">
            <v>30.23247323076923</v>
          </cell>
          <cell r="R153">
            <v>30.685960329230767</v>
          </cell>
          <cell r="S153">
            <v>31.146249734169224</v>
          </cell>
          <cell r="T153">
            <v>31.613443480181761</v>
          </cell>
          <cell r="U153">
            <v>32.08764513238448</v>
          </cell>
          <cell r="W153">
            <v>41.363004374999996</v>
          </cell>
          <cell r="X153">
            <v>15.616995625000008</v>
          </cell>
          <cell r="BE153">
            <v>0</v>
          </cell>
          <cell r="BF153">
            <v>44.900000000000006</v>
          </cell>
          <cell r="BG153">
            <v>25.259999999999998</v>
          </cell>
          <cell r="BH153">
            <v>23.2</v>
          </cell>
          <cell r="BI153">
            <v>12.93</v>
          </cell>
          <cell r="BJ153">
            <v>17.48</v>
          </cell>
          <cell r="BK153">
            <v>16.48</v>
          </cell>
          <cell r="BL153">
            <v>11.368</v>
          </cell>
          <cell r="BM153">
            <v>9.2233999999999998</v>
          </cell>
          <cell r="BN153">
            <v>17.920000000000002</v>
          </cell>
          <cell r="BO153">
            <v>16.66</v>
          </cell>
          <cell r="BP153">
            <v>12.540000000000001</v>
          </cell>
          <cell r="BQ153">
            <v>9.8600000000000065</v>
          </cell>
          <cell r="BR153">
            <v>4.3</v>
          </cell>
          <cell r="BS153">
            <v>4.47</v>
          </cell>
          <cell r="BT153">
            <v>3.36</v>
          </cell>
          <cell r="BU153">
            <v>2.5900000000000016</v>
          </cell>
        </row>
        <row r="154">
          <cell r="A154" t="str">
            <v>Promotional Spending</v>
          </cell>
          <cell r="L154">
            <v>-29.38</v>
          </cell>
          <cell r="M154">
            <v>0</v>
          </cell>
          <cell r="N154">
            <v>-25.203099999999999</v>
          </cell>
          <cell r="O154">
            <v>-14.245000000000001</v>
          </cell>
          <cell r="P154">
            <v>0</v>
          </cell>
          <cell r="Q154">
            <v>0</v>
          </cell>
          <cell r="R154">
            <v>0</v>
          </cell>
          <cell r="S154">
            <v>0</v>
          </cell>
          <cell r="T154">
            <v>0</v>
          </cell>
          <cell r="U154">
            <v>0</v>
          </cell>
          <cell r="W154">
            <v>0</v>
          </cell>
          <cell r="X154">
            <v>-14.245000000000001</v>
          </cell>
          <cell r="BE154">
            <v>14.01</v>
          </cell>
          <cell r="BF154">
            <v>-8.98</v>
          </cell>
          <cell r="BG154">
            <v>0</v>
          </cell>
          <cell r="BH154">
            <v>-5.8</v>
          </cell>
          <cell r="BI154">
            <v>0</v>
          </cell>
          <cell r="BJ154">
            <v>0</v>
          </cell>
          <cell r="BK154">
            <v>0</v>
          </cell>
          <cell r="BL154">
            <v>-11.368</v>
          </cell>
          <cell r="BM154">
            <v>-13.835100000000001</v>
          </cell>
          <cell r="BN154">
            <v>-17.920000000000002</v>
          </cell>
          <cell r="BO154">
            <v>-6.2474999999999996</v>
          </cell>
          <cell r="BP154">
            <v>0</v>
          </cell>
          <cell r="BQ154">
            <v>9.9224999999999994</v>
          </cell>
          <cell r="BR154">
            <v>-4.3</v>
          </cell>
          <cell r="BS154">
            <v>-4.47</v>
          </cell>
          <cell r="BT154">
            <v>-3.36</v>
          </cell>
          <cell r="BU154">
            <v>-2.5900000000000016</v>
          </cell>
        </row>
        <row r="155">
          <cell r="A155" t="str">
            <v>Currency</v>
          </cell>
          <cell r="L155">
            <v>0</v>
          </cell>
          <cell r="M155">
            <v>0</v>
          </cell>
          <cell r="N155">
            <v>0</v>
          </cell>
          <cell r="O155">
            <v>0</v>
          </cell>
          <cell r="P155">
            <v>0</v>
          </cell>
          <cell r="Q155">
            <v>0</v>
          </cell>
          <cell r="R155">
            <v>0</v>
          </cell>
          <cell r="S155">
            <v>0</v>
          </cell>
          <cell r="T155">
            <v>0</v>
          </cell>
          <cell r="U155">
            <v>0</v>
          </cell>
          <cell r="W155">
            <v>0</v>
          </cell>
          <cell r="X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row>
        <row r="156">
          <cell r="A156" t="str">
            <v>Acquisitions/Divestitures</v>
          </cell>
          <cell r="L156">
            <v>0</v>
          </cell>
          <cell r="M156">
            <v>0</v>
          </cell>
          <cell r="N156">
            <v>13.835100000000001</v>
          </cell>
          <cell r="O156">
            <v>85</v>
          </cell>
          <cell r="P156">
            <v>0</v>
          </cell>
          <cell r="Q156">
            <v>0</v>
          </cell>
          <cell r="R156">
            <v>0</v>
          </cell>
          <cell r="S156">
            <v>0</v>
          </cell>
          <cell r="T156">
            <v>0</v>
          </cell>
          <cell r="U156">
            <v>0</v>
          </cell>
          <cell r="W156">
            <v>0</v>
          </cell>
          <cell r="X156">
            <v>85</v>
          </cell>
          <cell r="BE156">
            <v>0</v>
          </cell>
          <cell r="BF156">
            <v>0</v>
          </cell>
          <cell r="BG156">
            <v>0</v>
          </cell>
          <cell r="BH156">
            <v>0</v>
          </cell>
          <cell r="BI156">
            <v>0</v>
          </cell>
          <cell r="BJ156">
            <v>0</v>
          </cell>
          <cell r="BK156">
            <v>0</v>
          </cell>
          <cell r="BL156">
            <v>0</v>
          </cell>
          <cell r="BM156">
            <v>13.835100000000001</v>
          </cell>
          <cell r="BN156">
            <v>15.232000000000001</v>
          </cell>
          <cell r="BO156">
            <v>7.2560000000000002</v>
          </cell>
          <cell r="BP156">
            <v>31.256</v>
          </cell>
          <cell r="BQ156">
            <v>31.256</v>
          </cell>
          <cell r="BR156">
            <v>0</v>
          </cell>
          <cell r="BS156">
            <v>0</v>
          </cell>
          <cell r="BT156">
            <v>0</v>
          </cell>
          <cell r="BU156">
            <v>0</v>
          </cell>
        </row>
        <row r="157">
          <cell r="A157" t="str">
            <v>53rd week</v>
          </cell>
          <cell r="L157">
            <v>0</v>
          </cell>
          <cell r="M157">
            <v>0</v>
          </cell>
          <cell r="N157">
            <v>0</v>
          </cell>
          <cell r="O157">
            <v>37.92307692307692</v>
          </cell>
          <cell r="P157">
            <v>-37.92307692307692</v>
          </cell>
          <cell r="Q157">
            <v>0</v>
          </cell>
          <cell r="R157">
            <v>0</v>
          </cell>
          <cell r="S157">
            <v>0</v>
          </cell>
          <cell r="T157">
            <v>0</v>
          </cell>
          <cell r="U157">
            <v>0</v>
          </cell>
          <cell r="W157">
            <v>0</v>
          </cell>
          <cell r="X157">
            <v>37.92307692307692</v>
          </cell>
          <cell r="BE157">
            <v>0</v>
          </cell>
          <cell r="BF157">
            <v>0</v>
          </cell>
          <cell r="BG157">
            <v>0</v>
          </cell>
          <cell r="BH157">
            <v>0</v>
          </cell>
          <cell r="BI157">
            <v>0</v>
          </cell>
          <cell r="BJ157">
            <v>0</v>
          </cell>
          <cell r="BK157">
            <v>0</v>
          </cell>
          <cell r="BL157">
            <v>0</v>
          </cell>
          <cell r="BM157">
            <v>0</v>
          </cell>
          <cell r="BN157">
            <v>0</v>
          </cell>
          <cell r="BO157">
            <v>0</v>
          </cell>
          <cell r="BP157">
            <v>0</v>
          </cell>
          <cell r="BQ157">
            <v>37.92307692307692</v>
          </cell>
          <cell r="BR157">
            <v>0</v>
          </cell>
          <cell r="BS157">
            <v>0</v>
          </cell>
          <cell r="BT157">
            <v>0</v>
          </cell>
          <cell r="BU157">
            <v>-34.510000000000005</v>
          </cell>
        </row>
        <row r="158">
          <cell r="A158" t="str">
            <v>Rounding</v>
          </cell>
          <cell r="L158">
            <v>0</v>
          </cell>
          <cell r="M158">
            <v>0</v>
          </cell>
          <cell r="N158">
            <v>0</v>
          </cell>
          <cell r="O158">
            <v>0</v>
          </cell>
          <cell r="P158">
            <v>0</v>
          </cell>
          <cell r="Q158">
            <v>0</v>
          </cell>
          <cell r="R158">
            <v>0</v>
          </cell>
          <cell r="S158">
            <v>0</v>
          </cell>
          <cell r="T158">
            <v>0</v>
          </cell>
          <cell r="U158">
            <v>0</v>
          </cell>
          <cell r="W158">
            <v>0</v>
          </cell>
          <cell r="X158">
            <v>0</v>
          </cell>
          <cell r="BE158">
            <v>1.3599999999999883</v>
          </cell>
          <cell r="BF158">
            <v>2.9400000000000328</v>
          </cell>
          <cell r="BG158">
            <v>-1.1599999999999633</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row>
        <row r="160">
          <cell r="A160" t="str">
            <v>US Simple Meals Organic Sales</v>
          </cell>
          <cell r="L160">
            <v>-176.28</v>
          </cell>
          <cell r="M160">
            <v>-27.510000000000005</v>
          </cell>
          <cell r="N160">
            <v>115.4308</v>
          </cell>
          <cell r="O160">
            <v>-28.490000000000006</v>
          </cell>
          <cell r="P160">
            <v>117.73732307692308</v>
          </cell>
          <cell r="Q160">
            <v>45.348709846153845</v>
          </cell>
          <cell r="R160">
            <v>46.02894049384615</v>
          </cell>
          <cell r="S160">
            <v>46.719374601253833</v>
          </cell>
          <cell r="T160">
            <v>47.420165220272644</v>
          </cell>
          <cell r="U160">
            <v>48.131467698576721</v>
          </cell>
          <cell r="W160">
            <v>68.938340624999995</v>
          </cell>
          <cell r="X160">
            <v>-97.428340625000004</v>
          </cell>
          <cell r="BB160">
            <v>0</v>
          </cell>
          <cell r="BC160">
            <v>0</v>
          </cell>
          <cell r="BD160">
            <v>0</v>
          </cell>
          <cell r="BE160">
            <v>-37.36</v>
          </cell>
          <cell r="BF160">
            <v>-26.94</v>
          </cell>
          <cell r="BG160">
            <v>-16.840000000000003</v>
          </cell>
          <cell r="BH160">
            <v>-11.600000000000001</v>
          </cell>
          <cell r="BI160">
            <v>30.17</v>
          </cell>
          <cell r="BJ160">
            <v>26.22</v>
          </cell>
          <cell r="BK160">
            <v>8.24</v>
          </cell>
          <cell r="BL160">
            <v>62.523999999999994</v>
          </cell>
          <cell r="BM160">
            <v>18.4468</v>
          </cell>
          <cell r="BN160">
            <v>-53.76</v>
          </cell>
          <cell r="BO160">
            <v>43.732500000000002</v>
          </cell>
          <cell r="BP160">
            <v>-31.350000000000009</v>
          </cell>
          <cell r="BQ160">
            <v>12.88750000000001</v>
          </cell>
          <cell r="BR160">
            <v>38.699999999999996</v>
          </cell>
          <cell r="BS160">
            <v>-17.88</v>
          </cell>
          <cell r="BT160">
            <v>-13.44</v>
          </cell>
          <cell r="BU160">
            <v>7.3400000000000034</v>
          </cell>
        </row>
        <row r="161">
          <cell r="A161" t="str">
            <v>Total US Simple Meals Sales</v>
          </cell>
          <cell r="L161">
            <v>-176.28</v>
          </cell>
          <cell r="M161">
            <v>-27.510000000000005</v>
          </cell>
          <cell r="N161">
            <v>129.26590000000002</v>
          </cell>
          <cell r="O161">
            <v>94.433076923076911</v>
          </cell>
          <cell r="P161">
            <v>79.814246153846156</v>
          </cell>
          <cell r="Q161">
            <v>45.348709846153845</v>
          </cell>
          <cell r="R161">
            <v>46.02894049384615</v>
          </cell>
          <cell r="S161">
            <v>46.719374601253833</v>
          </cell>
          <cell r="T161">
            <v>47.420165220272644</v>
          </cell>
          <cell r="U161">
            <v>48.131467698576721</v>
          </cell>
          <cell r="W161">
            <v>68.938340624999995</v>
          </cell>
          <cell r="X161">
            <v>25.494736298076916</v>
          </cell>
          <cell r="BB161">
            <v>0</v>
          </cell>
          <cell r="BC161">
            <v>0</v>
          </cell>
          <cell r="BD161">
            <v>0</v>
          </cell>
          <cell r="BE161">
            <v>-36.000000000000014</v>
          </cell>
          <cell r="BF161">
            <v>-23.999999999999968</v>
          </cell>
          <cell r="BG161">
            <v>-17.999999999999968</v>
          </cell>
          <cell r="BH161">
            <v>-11.600000000000001</v>
          </cell>
          <cell r="BI161">
            <v>30.17</v>
          </cell>
          <cell r="BJ161">
            <v>26.22</v>
          </cell>
          <cell r="BK161">
            <v>8.24</v>
          </cell>
          <cell r="BL161">
            <v>62.523999999999994</v>
          </cell>
          <cell r="BM161">
            <v>32.2819</v>
          </cell>
          <cell r="BN161">
            <v>-38.527999999999999</v>
          </cell>
          <cell r="BO161">
            <v>50.988500000000002</v>
          </cell>
          <cell r="BP161">
            <v>-9.4000000000008299E-2</v>
          </cell>
          <cell r="BQ161">
            <v>82.066576923076923</v>
          </cell>
          <cell r="BR161">
            <v>38.699999999999996</v>
          </cell>
          <cell r="BS161">
            <v>-17.88</v>
          </cell>
          <cell r="BT161">
            <v>-13.44</v>
          </cell>
          <cell r="BU161">
            <v>-27.17</v>
          </cell>
        </row>
        <row r="162">
          <cell r="A162" t="str">
            <v>Reported</v>
          </cell>
          <cell r="K162">
            <v>2938</v>
          </cell>
          <cell r="L162">
            <v>2751</v>
          </cell>
          <cell r="M162">
            <v>2726</v>
          </cell>
          <cell r="N162">
            <v>2849</v>
          </cell>
          <cell r="O162">
            <v>2943.4330769230769</v>
          </cell>
          <cell r="P162">
            <v>3023.2473230769228</v>
          </cell>
          <cell r="Q162">
            <v>3068.5960329230766</v>
          </cell>
          <cell r="R162">
            <v>3114.6249734169223</v>
          </cell>
          <cell r="S162">
            <v>3161.3443480181759</v>
          </cell>
          <cell r="T162">
            <v>3208.7645132384482</v>
          </cell>
          <cell r="U162">
            <v>3256.8959809370244</v>
          </cell>
          <cell r="W162">
            <v>2826.4719656249995</v>
          </cell>
          <cell r="X162">
            <v>116.96111129807741</v>
          </cell>
          <cell r="BA162">
            <v>467</v>
          </cell>
          <cell r="BB162">
            <v>898</v>
          </cell>
          <cell r="BC162">
            <v>842</v>
          </cell>
          <cell r="BD162">
            <v>580</v>
          </cell>
          <cell r="BE162">
            <v>431</v>
          </cell>
          <cell r="BF162">
            <v>874</v>
          </cell>
          <cell r="BG162">
            <v>824</v>
          </cell>
          <cell r="BH162">
            <v>568.4</v>
          </cell>
          <cell r="BI162">
            <v>461.17</v>
          </cell>
          <cell r="BJ162">
            <v>896</v>
          </cell>
          <cell r="BK162">
            <v>833</v>
          </cell>
          <cell r="BL162">
            <v>627</v>
          </cell>
          <cell r="BM162">
            <v>493</v>
          </cell>
          <cell r="BN162">
            <v>860</v>
          </cell>
          <cell r="BO162">
            <v>883.98849999999993</v>
          </cell>
          <cell r="BP162">
            <v>626.90599999999995</v>
          </cell>
          <cell r="BQ162">
            <v>575.06657692307692</v>
          </cell>
          <cell r="BR162">
            <v>898.69999999999993</v>
          </cell>
          <cell r="BS162">
            <v>876.12</v>
          </cell>
          <cell r="BT162">
            <v>658.56</v>
          </cell>
          <cell r="BU162">
            <v>490.83</v>
          </cell>
        </row>
        <row r="163">
          <cell r="A163" t="str">
            <v>Check</v>
          </cell>
          <cell r="BE163">
            <v>0</v>
          </cell>
          <cell r="BF163">
            <v>-3.1974423109204508E-14</v>
          </cell>
          <cell r="BG163">
            <v>-3.1974423109204508E-14</v>
          </cell>
          <cell r="BH163">
            <v>-2.1316282072803006E-14</v>
          </cell>
          <cell r="BI163">
            <v>0</v>
          </cell>
          <cell r="BJ163">
            <v>-4.2199999999999989</v>
          </cell>
          <cell r="BK163">
            <v>0.75999999999999979</v>
          </cell>
          <cell r="BL163">
            <v>-3.9239999999999711</v>
          </cell>
          <cell r="BM163">
            <v>-0.45190000000001618</v>
          </cell>
          <cell r="BN163">
            <v>2.5279999999999987</v>
          </cell>
          <cell r="BO163">
            <v>-7.1054273576010019E-14</v>
          </cell>
          <cell r="BP163">
            <v>-4.2632564145606011E-14</v>
          </cell>
          <cell r="BQ163">
            <v>0</v>
          </cell>
          <cell r="BR163">
            <v>-6.3948846218409017E-14</v>
          </cell>
          <cell r="BS163">
            <v>0</v>
          </cell>
          <cell r="BT163">
            <v>-5.5067062021407764E-14</v>
          </cell>
          <cell r="BU163">
            <v>0</v>
          </cell>
        </row>
        <row r="165">
          <cell r="A165" t="str">
            <v>US Beverages</v>
          </cell>
          <cell r="BF165" t="str">
            <v>1Q12</v>
          </cell>
          <cell r="BG165" t="str">
            <v>2Q12</v>
          </cell>
          <cell r="BH165" t="str">
            <v>3Q12</v>
          </cell>
          <cell r="BI165" t="str">
            <v>4Q12</v>
          </cell>
          <cell r="BJ165" t="str">
            <v>1Q13</v>
          </cell>
          <cell r="BK165" t="str">
            <v>2Q13</v>
          </cell>
          <cell r="BL165" t="str">
            <v>3Q13</v>
          </cell>
          <cell r="BM165" t="str">
            <v>4Q13</v>
          </cell>
          <cell r="BN165" t="str">
            <v>1Q14</v>
          </cell>
          <cell r="BO165" t="str">
            <v>2Q14E</v>
          </cell>
          <cell r="BP165" t="str">
            <v>3Q14E</v>
          </cell>
          <cell r="BQ165" t="str">
            <v>4Q14E</v>
          </cell>
        </row>
        <row r="166">
          <cell r="A166" t="str">
            <v>Volume and Mix</v>
          </cell>
          <cell r="L166">
            <v>15.24</v>
          </cell>
          <cell r="M166">
            <v>22.77</v>
          </cell>
          <cell r="N166">
            <v>-22.860200000000003</v>
          </cell>
          <cell r="O166">
            <v>-37.1</v>
          </cell>
          <cell r="P166">
            <v>18.065250000000002</v>
          </cell>
          <cell r="Q166">
            <v>7.3820670769230778</v>
          </cell>
          <cell r="R166">
            <v>7.7038579156748916</v>
          </cell>
          <cell r="S166">
            <v>8.0397139225889322</v>
          </cell>
          <cell r="T166">
            <v>8.3902508291989655</v>
          </cell>
          <cell r="U166">
            <v>8.7561113459481721</v>
          </cell>
          <cell r="W166">
            <v>11.325555</v>
          </cell>
          <cell r="X166">
            <v>-48.425555000000003</v>
          </cell>
          <cell r="BE166">
            <v>5.31</v>
          </cell>
          <cell r="BF166">
            <v>2.0499999999999998</v>
          </cell>
          <cell r="BG166">
            <v>3.6</v>
          </cell>
          <cell r="BH166">
            <v>13.860000000000001</v>
          </cell>
          <cell r="BI166">
            <v>5.2799999999999994</v>
          </cell>
          <cell r="BJ166">
            <v>-7.92</v>
          </cell>
          <cell r="BK166">
            <v>-5.61</v>
          </cell>
          <cell r="BL166">
            <v>-2.0790000000000002</v>
          </cell>
          <cell r="BM166">
            <v>-7.2511999999999999</v>
          </cell>
          <cell r="BN166">
            <v>-17.009999999999998</v>
          </cell>
          <cell r="BO166">
            <v>-7.28</v>
          </cell>
          <cell r="BP166">
            <v>-9.9</v>
          </cell>
          <cell r="BQ166">
            <v>-2.9100000000000037</v>
          </cell>
          <cell r="BR166">
            <v>-4.3250000000000002</v>
          </cell>
          <cell r="BS166">
            <v>-6.16</v>
          </cell>
          <cell r="BT166">
            <v>-5.7</v>
          </cell>
          <cell r="BU166">
            <v>-5.504999999999999</v>
          </cell>
        </row>
        <row r="167">
          <cell r="A167" t="str">
            <v>Price and Sales Allowances</v>
          </cell>
          <cell r="L167">
            <v>0</v>
          </cell>
          <cell r="M167">
            <v>0</v>
          </cell>
          <cell r="N167">
            <v>-5.9708000000000006</v>
          </cell>
          <cell r="O167">
            <v>3.71</v>
          </cell>
          <cell r="P167">
            <v>10.83915</v>
          </cell>
          <cell r="Q167">
            <v>11.073100615384616</v>
          </cell>
          <cell r="R167">
            <v>11.555786873512337</v>
          </cell>
          <cell r="S167">
            <v>12.059570883883397</v>
          </cell>
          <cell r="T167">
            <v>12.585376243798448</v>
          </cell>
          <cell r="U167">
            <v>13.134167018922259</v>
          </cell>
          <cell r="W167">
            <v>7.5503700000000009</v>
          </cell>
          <cell r="X167">
            <v>-3.8403700000000009</v>
          </cell>
          <cell r="BE167">
            <v>-1.77</v>
          </cell>
          <cell r="BF167">
            <v>0</v>
          </cell>
          <cell r="BG167">
            <v>1.8</v>
          </cell>
          <cell r="BH167">
            <v>0</v>
          </cell>
          <cell r="BI167">
            <v>0</v>
          </cell>
          <cell r="BJ167">
            <v>0</v>
          </cell>
          <cell r="BK167">
            <v>0</v>
          </cell>
          <cell r="BL167">
            <v>-4.1580000000000004</v>
          </cell>
          <cell r="BM167">
            <v>-1.8128</v>
          </cell>
          <cell r="BN167">
            <v>-1.8900000000000001</v>
          </cell>
          <cell r="BO167">
            <v>0</v>
          </cell>
          <cell r="BP167">
            <v>2.9699999999999998</v>
          </cell>
          <cell r="BQ167">
            <v>2.6300000000000003</v>
          </cell>
          <cell r="BR167">
            <v>0</v>
          </cell>
          <cell r="BS167">
            <v>0</v>
          </cell>
          <cell r="BT167">
            <v>0</v>
          </cell>
          <cell r="BU167">
            <v>0</v>
          </cell>
        </row>
        <row r="168">
          <cell r="A168" t="str">
            <v>Promotional Spending</v>
          </cell>
          <cell r="L168">
            <v>-15.24</v>
          </cell>
          <cell r="M168">
            <v>-7.59</v>
          </cell>
          <cell r="N168">
            <v>-4.3251999999999997</v>
          </cell>
          <cell r="O168">
            <v>0</v>
          </cell>
          <cell r="P168">
            <v>0</v>
          </cell>
          <cell r="Q168">
            <v>0</v>
          </cell>
          <cell r="R168">
            <v>0</v>
          </cell>
          <cell r="S168">
            <v>0</v>
          </cell>
          <cell r="T168">
            <v>0</v>
          </cell>
          <cell r="U168">
            <v>0</v>
          </cell>
          <cell r="W168">
            <v>0</v>
          </cell>
          <cell r="X168">
            <v>0</v>
          </cell>
          <cell r="BE168">
            <v>-5.31</v>
          </cell>
          <cell r="BF168">
            <v>-8.1999999999999993</v>
          </cell>
          <cell r="BG168">
            <v>-1.8</v>
          </cell>
          <cell r="BH168">
            <v>-3.96</v>
          </cell>
          <cell r="BI168">
            <v>0</v>
          </cell>
          <cell r="BJ168">
            <v>-1.98</v>
          </cell>
          <cell r="BK168">
            <v>0</v>
          </cell>
          <cell r="BL168">
            <v>-4.1580000000000004</v>
          </cell>
          <cell r="BM168">
            <v>1.8128</v>
          </cell>
          <cell r="BN168">
            <v>3.7800000000000002</v>
          </cell>
          <cell r="BO168">
            <v>0</v>
          </cell>
          <cell r="BP168">
            <v>1.98</v>
          </cell>
          <cell r="BQ168">
            <v>-5.76</v>
          </cell>
          <cell r="BR168">
            <v>0</v>
          </cell>
          <cell r="BS168">
            <v>0</v>
          </cell>
          <cell r="BT168">
            <v>0</v>
          </cell>
          <cell r="BU168">
            <v>0</v>
          </cell>
        </row>
        <row r="169">
          <cell r="A169" t="str">
            <v>Currency</v>
          </cell>
          <cell r="L169">
            <v>0</v>
          </cell>
          <cell r="M169">
            <v>1.8</v>
          </cell>
          <cell r="N169">
            <v>0</v>
          </cell>
          <cell r="O169">
            <v>0</v>
          </cell>
          <cell r="P169">
            <v>0</v>
          </cell>
          <cell r="Q169">
            <v>0</v>
          </cell>
          <cell r="R169">
            <v>0</v>
          </cell>
          <cell r="S169">
            <v>0</v>
          </cell>
          <cell r="T169">
            <v>0</v>
          </cell>
          <cell r="U169">
            <v>0</v>
          </cell>
          <cell r="W169">
            <v>0</v>
          </cell>
          <cell r="X169">
            <v>0</v>
          </cell>
          <cell r="BE169">
            <v>0</v>
          </cell>
          <cell r="BF169">
            <v>0</v>
          </cell>
          <cell r="BG169">
            <v>1.8</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row>
        <row r="170">
          <cell r="A170" t="str">
            <v>Acquisitions/Divestitures</v>
          </cell>
          <cell r="L170">
            <v>0</v>
          </cell>
          <cell r="M170">
            <v>0</v>
          </cell>
          <cell r="N170">
            <v>0</v>
          </cell>
          <cell r="O170">
            <v>0</v>
          </cell>
          <cell r="P170">
            <v>0</v>
          </cell>
          <cell r="Q170">
            <v>0</v>
          </cell>
          <cell r="R170">
            <v>0</v>
          </cell>
          <cell r="S170">
            <v>0</v>
          </cell>
          <cell r="T170">
            <v>0</v>
          </cell>
          <cell r="U170">
            <v>0</v>
          </cell>
          <cell r="W170">
            <v>0</v>
          </cell>
          <cell r="X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row>
        <row r="171">
          <cell r="A171" t="str">
            <v>53rd week</v>
          </cell>
          <cell r="L171">
            <v>0</v>
          </cell>
          <cell r="M171">
            <v>0</v>
          </cell>
          <cell r="N171">
            <v>0</v>
          </cell>
          <cell r="O171">
            <v>13.307692307692308</v>
          </cell>
          <cell r="P171">
            <v>-13.307692307692308</v>
          </cell>
          <cell r="Q171">
            <v>13.723916182873731</v>
          </cell>
          <cell r="R171">
            <v>14.325955902216773</v>
          </cell>
          <cell r="S171">
            <v>14.954405854531002</v>
          </cell>
          <cell r="T171">
            <v>15.610424601923159</v>
          </cell>
          <cell r="U171">
            <v>16.29522153021507</v>
          </cell>
          <cell r="W171">
            <v>0</v>
          </cell>
          <cell r="X171">
            <v>13.307692307692308</v>
          </cell>
          <cell r="BE171">
            <v>0</v>
          </cell>
          <cell r="BF171">
            <v>0</v>
          </cell>
          <cell r="BG171">
            <v>0</v>
          </cell>
          <cell r="BH171">
            <v>0</v>
          </cell>
          <cell r="BI171">
            <v>0</v>
          </cell>
          <cell r="BJ171">
            <v>0</v>
          </cell>
          <cell r="BK171">
            <v>0</v>
          </cell>
          <cell r="BL171">
            <v>0</v>
          </cell>
          <cell r="BM171">
            <v>0</v>
          </cell>
          <cell r="BN171">
            <v>0</v>
          </cell>
          <cell r="BO171">
            <v>0</v>
          </cell>
          <cell r="BP171">
            <v>0</v>
          </cell>
          <cell r="BQ171">
            <v>13.307692307692308</v>
          </cell>
          <cell r="BR171">
            <v>0</v>
          </cell>
          <cell r="BS171">
            <v>0</v>
          </cell>
          <cell r="BT171">
            <v>0</v>
          </cell>
          <cell r="BU171">
            <v>-12.110000000000001</v>
          </cell>
        </row>
        <row r="172">
          <cell r="A172" t="str">
            <v>Rounding</v>
          </cell>
          <cell r="L172">
            <v>0</v>
          </cell>
          <cell r="M172">
            <v>0</v>
          </cell>
          <cell r="N172">
            <v>0</v>
          </cell>
          <cell r="O172">
            <v>0</v>
          </cell>
          <cell r="P172">
            <v>0</v>
          </cell>
          <cell r="Q172">
            <v>0</v>
          </cell>
          <cell r="R172">
            <v>0</v>
          </cell>
          <cell r="S172">
            <v>0</v>
          </cell>
          <cell r="T172">
            <v>0</v>
          </cell>
          <cell r="U172">
            <v>0</v>
          </cell>
          <cell r="W172">
            <v>0</v>
          </cell>
          <cell r="X172">
            <v>0</v>
          </cell>
          <cell r="BE172">
            <v>0.77000000000000957</v>
          </cell>
          <cell r="BF172">
            <v>-0.85000000000000642</v>
          </cell>
          <cell r="BG172">
            <v>1.6000000000000152</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row>
        <row r="174">
          <cell r="A174" t="str">
            <v>US Beverages Organic Sales</v>
          </cell>
          <cell r="L174">
            <v>0</v>
          </cell>
          <cell r="M174">
            <v>15.18</v>
          </cell>
          <cell r="N174">
            <v>-33.156200000000005</v>
          </cell>
          <cell r="O174">
            <v>-33.39</v>
          </cell>
          <cell r="P174">
            <v>28.904400000000003</v>
          </cell>
          <cell r="Q174">
            <v>18.455167692307693</v>
          </cell>
          <cell r="R174">
            <v>19.259644789187227</v>
          </cell>
          <cell r="S174">
            <v>20.09928480647233</v>
          </cell>
          <cell r="T174">
            <v>20.975627072997412</v>
          </cell>
          <cell r="U174">
            <v>21.890278364870433</v>
          </cell>
          <cell r="W174">
            <v>18.875925000000002</v>
          </cell>
          <cell r="X174">
            <v>-52.265925000000003</v>
          </cell>
          <cell r="BB174">
            <v>0</v>
          </cell>
          <cell r="BC174">
            <v>0</v>
          </cell>
          <cell r="BD174">
            <v>0</v>
          </cell>
          <cell r="BE174">
            <v>-1.77</v>
          </cell>
          <cell r="BF174">
            <v>-6.1499999999999995</v>
          </cell>
          <cell r="BG174">
            <v>3.6000000000000005</v>
          </cell>
          <cell r="BH174">
            <v>9.9000000000000021</v>
          </cell>
          <cell r="BI174">
            <v>5.2799999999999994</v>
          </cell>
          <cell r="BJ174">
            <v>-9.9</v>
          </cell>
          <cell r="BK174">
            <v>-5.61</v>
          </cell>
          <cell r="BL174">
            <v>-10.395</v>
          </cell>
          <cell r="BM174">
            <v>-7.2511999999999999</v>
          </cell>
          <cell r="BN174">
            <v>-15.119999999999997</v>
          </cell>
          <cell r="BO174">
            <v>-7.28</v>
          </cell>
          <cell r="BP174">
            <v>-4.9500000000000011</v>
          </cell>
          <cell r="BQ174">
            <v>-6.0400000000000027</v>
          </cell>
          <cell r="BR174">
            <v>-4.3250000000000002</v>
          </cell>
          <cell r="BS174">
            <v>-6.16</v>
          </cell>
          <cell r="BT174">
            <v>-5.7</v>
          </cell>
          <cell r="BU174">
            <v>-5.504999999999999</v>
          </cell>
        </row>
        <row r="175">
          <cell r="A175" t="str">
            <v>Total US Beverages Sales</v>
          </cell>
          <cell r="L175">
            <v>0</v>
          </cell>
          <cell r="M175">
            <v>16.98</v>
          </cell>
          <cell r="N175">
            <v>-33.156200000000005</v>
          </cell>
          <cell r="O175">
            <v>-20.082307692307694</v>
          </cell>
          <cell r="P175">
            <v>15.596707692307694</v>
          </cell>
          <cell r="Q175">
            <v>32.179083875181426</v>
          </cell>
          <cell r="R175">
            <v>33.585600691403997</v>
          </cell>
          <cell r="S175">
            <v>35.05369066100333</v>
          </cell>
          <cell r="T175">
            <v>36.586051674920569</v>
          </cell>
          <cell r="U175">
            <v>38.185499895085499</v>
          </cell>
          <cell r="W175">
            <v>18.875925000000002</v>
          </cell>
          <cell r="X175">
            <v>-38.958232692307696</v>
          </cell>
          <cell r="BB175">
            <v>0</v>
          </cell>
          <cell r="BC175">
            <v>0</v>
          </cell>
          <cell r="BD175">
            <v>0</v>
          </cell>
          <cell r="BE175">
            <v>-1.77</v>
          </cell>
          <cell r="BF175">
            <v>-7.0000000000000062</v>
          </cell>
          <cell r="BG175">
            <v>7.000000000000016</v>
          </cell>
          <cell r="BH175">
            <v>9.9000000000000021</v>
          </cell>
          <cell r="BI175">
            <v>5.2799999999999994</v>
          </cell>
          <cell r="BJ175">
            <v>-9.9</v>
          </cell>
          <cell r="BK175">
            <v>-5.61</v>
          </cell>
          <cell r="BL175">
            <v>-10.395</v>
          </cell>
          <cell r="BM175">
            <v>-7.2511999999999999</v>
          </cell>
          <cell r="BN175">
            <v>-15.119999999999997</v>
          </cell>
          <cell r="BO175">
            <v>-7.28</v>
          </cell>
          <cell r="BP175">
            <v>-4.9500000000000011</v>
          </cell>
          <cell r="BQ175">
            <v>7.2676923076923057</v>
          </cell>
          <cell r="BR175">
            <v>-4.3250000000000002</v>
          </cell>
          <cell r="BS175">
            <v>-6.16</v>
          </cell>
          <cell r="BT175">
            <v>-5.7</v>
          </cell>
          <cell r="BU175">
            <v>-17.615000000000002</v>
          </cell>
        </row>
        <row r="176">
          <cell r="A176" t="str">
            <v>Reported</v>
          </cell>
          <cell r="K176">
            <v>762</v>
          </cell>
          <cell r="L176">
            <v>759</v>
          </cell>
          <cell r="M176">
            <v>774</v>
          </cell>
          <cell r="N176">
            <v>742</v>
          </cell>
          <cell r="O176">
            <v>722.61</v>
          </cell>
          <cell r="P176">
            <v>738.20670769230776</v>
          </cell>
          <cell r="Q176">
            <v>770.38579156748915</v>
          </cell>
          <cell r="R176">
            <v>803.97139225889316</v>
          </cell>
          <cell r="S176">
            <v>839.02508291989659</v>
          </cell>
          <cell r="T176">
            <v>875.61113459481726</v>
          </cell>
          <cell r="U176">
            <v>913.79663448990266</v>
          </cell>
          <cell r="W176">
            <v>773.91292499999997</v>
          </cell>
          <cell r="X176">
            <v>-51.302924999999959</v>
          </cell>
          <cell r="BA176">
            <v>177</v>
          </cell>
          <cell r="BB176">
            <v>205</v>
          </cell>
          <cell r="BC176">
            <v>180</v>
          </cell>
          <cell r="BD176">
            <v>198</v>
          </cell>
          <cell r="BE176">
            <v>176</v>
          </cell>
          <cell r="BF176">
            <v>198</v>
          </cell>
          <cell r="BG176">
            <v>187.00000000000003</v>
          </cell>
          <cell r="BH176">
            <v>207.9</v>
          </cell>
          <cell r="BI176">
            <v>181.28</v>
          </cell>
          <cell r="BJ176">
            <v>189</v>
          </cell>
          <cell r="BK176">
            <v>182</v>
          </cell>
          <cell r="BL176">
            <v>198</v>
          </cell>
          <cell r="BM176">
            <v>173</v>
          </cell>
          <cell r="BN176">
            <v>173</v>
          </cell>
          <cell r="BO176">
            <v>174.72</v>
          </cell>
          <cell r="BP176">
            <v>193.05</v>
          </cell>
          <cell r="BQ176">
            <v>180.2676923076923</v>
          </cell>
          <cell r="BR176">
            <v>168.67500000000001</v>
          </cell>
          <cell r="BS176">
            <v>169.84</v>
          </cell>
          <cell r="BT176">
            <v>184.3</v>
          </cell>
          <cell r="BU176">
            <v>166.38499999999999</v>
          </cell>
        </row>
        <row r="177">
          <cell r="A177" t="str">
            <v>Check</v>
          </cell>
          <cell r="L177">
            <v>441</v>
          </cell>
          <cell r="M177">
            <v>248</v>
          </cell>
          <cell r="BF177">
            <v>0</v>
          </cell>
          <cell r="BG177">
            <v>1.2434497875801753E-14</v>
          </cell>
          <cell r="BH177">
            <v>0</v>
          </cell>
          <cell r="BI177">
            <v>0</v>
          </cell>
          <cell r="BJ177">
            <v>0.90000000000000036</v>
          </cell>
          <cell r="BK177">
            <v>0.6099999999999719</v>
          </cell>
          <cell r="BL177">
            <v>0.49499999999999389</v>
          </cell>
          <cell r="BM177">
            <v>-1.0288000000000013</v>
          </cell>
          <cell r="BN177">
            <v>-0.88000000000000256</v>
          </cell>
          <cell r="BO177">
            <v>0</v>
          </cell>
          <cell r="BP177">
            <v>1.2434497875801753E-14</v>
          </cell>
          <cell r="BQ177">
            <v>0</v>
          </cell>
          <cell r="BR177">
            <v>1.1546319456101628E-14</v>
          </cell>
          <cell r="BS177">
            <v>0</v>
          </cell>
          <cell r="BT177">
            <v>1.1546319456101628E-14</v>
          </cell>
          <cell r="BU177">
            <v>0</v>
          </cell>
        </row>
        <row r="179">
          <cell r="A179" t="str">
            <v>Global Baking and Snacking</v>
          </cell>
          <cell r="BF179" t="str">
            <v>1Q12</v>
          </cell>
          <cell r="BG179" t="str">
            <v>2Q12</v>
          </cell>
          <cell r="BH179" t="str">
            <v>3Q12</v>
          </cell>
          <cell r="BI179" t="str">
            <v>4Q12</v>
          </cell>
          <cell r="BJ179" t="str">
            <v>1Q13</v>
          </cell>
          <cell r="BK179" t="str">
            <v>2Q13</v>
          </cell>
          <cell r="BL179" t="str">
            <v>3Q13</v>
          </cell>
          <cell r="BM179" t="str">
            <v>4Q13</v>
          </cell>
          <cell r="BN179" t="str">
            <v>1Q14</v>
          </cell>
          <cell r="BO179" t="str">
            <v>2Q14E</v>
          </cell>
          <cell r="BP179" t="str">
            <v>3Q14E</v>
          </cell>
          <cell r="BQ179" t="str">
            <v>4Q14E</v>
          </cell>
        </row>
        <row r="180">
          <cell r="A180" t="str">
            <v>Volume and Mix</v>
          </cell>
          <cell r="C180">
            <v>57.84</v>
          </cell>
          <cell r="D180">
            <v>45.21</v>
          </cell>
          <cell r="E180">
            <v>57.120000000000005</v>
          </cell>
          <cell r="F180">
            <v>64.52</v>
          </cell>
          <cell r="G180">
            <v>0</v>
          </cell>
          <cell r="H180">
            <v>34.94</v>
          </cell>
          <cell r="I180">
            <v>37</v>
          </cell>
          <cell r="J180">
            <v>-20.580000000000002</v>
          </cell>
          <cell r="K180">
            <v>36.92</v>
          </cell>
          <cell r="L180">
            <v>59.25</v>
          </cell>
          <cell r="M180">
            <v>-21.56</v>
          </cell>
          <cell r="N180">
            <v>92.31</v>
          </cell>
          <cell r="O180">
            <v>11.365</v>
          </cell>
          <cell r="P180">
            <v>49.527098944644194</v>
          </cell>
          <cell r="Q180">
            <v>37.787718248087749</v>
          </cell>
          <cell r="R180">
            <v>38.921349795530382</v>
          </cell>
          <cell r="S180">
            <v>40.088990289396293</v>
          </cell>
          <cell r="T180">
            <v>41.291659998078188</v>
          </cell>
          <cell r="U180">
            <v>42.530409798020536</v>
          </cell>
          <cell r="W180">
            <v>44.714428341456355</v>
          </cell>
          <cell r="X180">
            <v>-33.349428341456353</v>
          </cell>
          <cell r="AD180">
            <v>20.8</v>
          </cell>
          <cell r="AE180">
            <v>19.850000000000001</v>
          </cell>
          <cell r="AF180">
            <v>15.56</v>
          </cell>
          <cell r="AG180">
            <v>4.1100000000000003</v>
          </cell>
          <cell r="AH180">
            <v>-8.98</v>
          </cell>
          <cell r="AI180">
            <v>-4.33</v>
          </cell>
          <cell r="AJ180">
            <v>12.629999999999999</v>
          </cell>
          <cell r="AK180">
            <v>8.58</v>
          </cell>
          <cell r="AL180">
            <v>18.32</v>
          </cell>
          <cell r="AM180">
            <v>4.29</v>
          </cell>
          <cell r="AN180">
            <v>4.22</v>
          </cell>
          <cell r="AO180">
            <v>8.76</v>
          </cell>
          <cell r="AP180">
            <v>14.52</v>
          </cell>
          <cell r="AQ180">
            <v>0</v>
          </cell>
          <cell r="AR180">
            <v>17.64</v>
          </cell>
          <cell r="AS180">
            <v>4.71</v>
          </cell>
          <cell r="AT180">
            <v>-5.32</v>
          </cell>
          <cell r="AU180">
            <v>-4.91</v>
          </cell>
          <cell r="AV180">
            <v>-10.040000000000001</v>
          </cell>
          <cell r="AW180">
            <v>-5.33</v>
          </cell>
          <cell r="AX180">
            <v>5.09</v>
          </cell>
          <cell r="AY180">
            <v>13.2</v>
          </cell>
          <cell r="AZ180">
            <v>12.93</v>
          </cell>
          <cell r="BA180">
            <v>0</v>
          </cell>
          <cell r="BB180">
            <v>5.3</v>
          </cell>
          <cell r="BC180">
            <v>19.559999999999999</v>
          </cell>
          <cell r="BD180">
            <v>19.080000000000002</v>
          </cell>
          <cell r="BE180">
            <v>14.37</v>
          </cell>
          <cell r="BF180">
            <v>-16.32</v>
          </cell>
          <cell r="BG180">
            <v>-21.04</v>
          </cell>
          <cell r="BH180">
            <v>0</v>
          </cell>
          <cell r="BI180">
            <v>16.77</v>
          </cell>
          <cell r="BJ180">
            <v>11.36</v>
          </cell>
          <cell r="BK180">
            <v>31.56</v>
          </cell>
          <cell r="BL180">
            <v>27.150000000000002</v>
          </cell>
          <cell r="BM180">
            <v>22.240000000000002</v>
          </cell>
          <cell r="BN180">
            <v>0</v>
          </cell>
          <cell r="BO180">
            <v>-2.8050000000000002</v>
          </cell>
          <cell r="BP180">
            <v>5.68</v>
          </cell>
          <cell r="BQ180">
            <v>8.49</v>
          </cell>
          <cell r="BR180">
            <v>12.18</v>
          </cell>
          <cell r="BS180">
            <v>12.780000000000001</v>
          </cell>
          <cell r="BT180">
            <v>5.64</v>
          </cell>
          <cell r="BU180">
            <v>6</v>
          </cell>
        </row>
        <row r="181">
          <cell r="A181" t="str">
            <v>Price and Sales Allowances</v>
          </cell>
          <cell r="C181">
            <v>14.46</v>
          </cell>
          <cell r="D181">
            <v>60.28</v>
          </cell>
          <cell r="E181">
            <v>28.560000000000002</v>
          </cell>
          <cell r="F181">
            <v>48.39</v>
          </cell>
          <cell r="G181">
            <v>52.26</v>
          </cell>
          <cell r="H181">
            <v>34.94</v>
          </cell>
          <cell r="I181">
            <v>111</v>
          </cell>
          <cell r="J181">
            <v>144.06</v>
          </cell>
          <cell r="K181">
            <v>18.46</v>
          </cell>
          <cell r="L181">
            <v>39.5</v>
          </cell>
          <cell r="M181">
            <v>107.80000000000001</v>
          </cell>
          <cell r="N181">
            <v>38.729999999999997</v>
          </cell>
          <cell r="O181">
            <v>28.412500000000001</v>
          </cell>
          <cell r="P181">
            <v>37.145324208483146</v>
          </cell>
          <cell r="Q181">
            <v>37.787718248087749</v>
          </cell>
          <cell r="R181">
            <v>38.921349795530382</v>
          </cell>
          <cell r="S181">
            <v>40.088990289396293</v>
          </cell>
          <cell r="T181">
            <v>41.291659998078188</v>
          </cell>
          <cell r="U181">
            <v>42.530409798020536</v>
          </cell>
          <cell r="W181">
            <v>44.714428341456355</v>
          </cell>
          <cell r="X181">
            <v>-16.301928341456353</v>
          </cell>
          <cell r="AD181">
            <v>8.32</v>
          </cell>
          <cell r="AE181">
            <v>15.88</v>
          </cell>
          <cell r="AF181">
            <v>15.56</v>
          </cell>
          <cell r="AG181">
            <v>8.2200000000000006</v>
          </cell>
          <cell r="AH181">
            <v>13.469999999999999</v>
          </cell>
          <cell r="AI181">
            <v>8.66</v>
          </cell>
          <cell r="AJ181">
            <v>-12.629999999999999</v>
          </cell>
          <cell r="AK181">
            <v>8.58</v>
          </cell>
          <cell r="AL181">
            <v>9.16</v>
          </cell>
          <cell r="AM181">
            <v>12.87</v>
          </cell>
          <cell r="AN181">
            <v>8.44</v>
          </cell>
          <cell r="AO181">
            <v>8.76</v>
          </cell>
          <cell r="AP181">
            <v>14.52</v>
          </cell>
          <cell r="AQ181">
            <v>18.16</v>
          </cell>
          <cell r="AR181">
            <v>26.459999999999997</v>
          </cell>
          <cell r="AS181">
            <v>37.68</v>
          </cell>
          <cell r="AT181">
            <v>42.56</v>
          </cell>
          <cell r="AU181">
            <v>44.19</v>
          </cell>
          <cell r="AV181">
            <v>30.119999999999997</v>
          </cell>
          <cell r="AW181">
            <v>21.32</v>
          </cell>
          <cell r="AX181">
            <v>10.18</v>
          </cell>
          <cell r="AY181">
            <v>0</v>
          </cell>
          <cell r="AZ181">
            <v>4.3100000000000005</v>
          </cell>
          <cell r="BA181">
            <v>0</v>
          </cell>
          <cell r="BB181">
            <v>5.3</v>
          </cell>
          <cell r="BC181">
            <v>9.7799999999999994</v>
          </cell>
          <cell r="BD181">
            <v>9.5400000000000009</v>
          </cell>
          <cell r="BE181">
            <v>23.950000000000003</v>
          </cell>
          <cell r="BF181">
            <v>27.200000000000003</v>
          </cell>
          <cell r="BG181">
            <v>26.3</v>
          </cell>
          <cell r="BH181">
            <v>31.619999999999997</v>
          </cell>
          <cell r="BI181">
            <v>22.36</v>
          </cell>
          <cell r="BJ181">
            <v>11.36</v>
          </cell>
          <cell r="BK181">
            <v>5.26</v>
          </cell>
          <cell r="BL181">
            <v>5.43</v>
          </cell>
          <cell r="BM181">
            <v>16.68</v>
          </cell>
          <cell r="BN181">
            <v>11.48</v>
          </cell>
          <cell r="BO181">
            <v>8.4149999999999991</v>
          </cell>
          <cell r="BP181">
            <v>8.52</v>
          </cell>
          <cell r="BQ181">
            <v>-2.4999999999977263E-3</v>
          </cell>
          <cell r="BR181">
            <v>0</v>
          </cell>
          <cell r="BS181">
            <v>0</v>
          </cell>
          <cell r="BT181">
            <v>2.82</v>
          </cell>
          <cell r="BU181">
            <v>9.3800000000000008</v>
          </cell>
        </row>
        <row r="182">
          <cell r="A182" t="str">
            <v>Promotional Spending</v>
          </cell>
          <cell r="C182">
            <v>0</v>
          </cell>
          <cell r="D182">
            <v>-15.07</v>
          </cell>
          <cell r="E182">
            <v>-14.280000000000001</v>
          </cell>
          <cell r="F182">
            <v>-16.13</v>
          </cell>
          <cell r="G182">
            <v>-34.840000000000003</v>
          </cell>
          <cell r="H182">
            <v>-17.47</v>
          </cell>
          <cell r="I182">
            <v>-18.5</v>
          </cell>
          <cell r="J182">
            <v>-41.160000000000004</v>
          </cell>
          <cell r="K182">
            <v>-55.379999999999995</v>
          </cell>
          <cell r="L182">
            <v>-19.75</v>
          </cell>
          <cell r="M182">
            <v>-64.679999999999993</v>
          </cell>
          <cell r="N182">
            <v>-33.42</v>
          </cell>
          <cell r="O182">
            <v>-22.73</v>
          </cell>
          <cell r="P182">
            <v>0</v>
          </cell>
          <cell r="Q182">
            <v>0</v>
          </cell>
          <cell r="R182">
            <v>0</v>
          </cell>
          <cell r="S182">
            <v>0</v>
          </cell>
          <cell r="T182">
            <v>0</v>
          </cell>
          <cell r="U182">
            <v>0</v>
          </cell>
          <cell r="W182">
            <v>0</v>
          </cell>
          <cell r="X182">
            <v>-22.73</v>
          </cell>
          <cell r="AD182">
            <v>0</v>
          </cell>
          <cell r="AE182">
            <v>-3.97</v>
          </cell>
          <cell r="AF182">
            <v>-3.89</v>
          </cell>
          <cell r="AG182">
            <v>4.1100000000000003</v>
          </cell>
          <cell r="AH182">
            <v>-4.49</v>
          </cell>
          <cell r="AI182">
            <v>-4.33</v>
          </cell>
          <cell r="AJ182">
            <v>0</v>
          </cell>
          <cell r="AK182">
            <v>-12.87</v>
          </cell>
          <cell r="AL182">
            <v>0</v>
          </cell>
          <cell r="AM182">
            <v>0</v>
          </cell>
          <cell r="AN182">
            <v>-4.22</v>
          </cell>
          <cell r="AO182">
            <v>-4.38</v>
          </cell>
          <cell r="AP182">
            <v>0</v>
          </cell>
          <cell r="AQ182">
            <v>0</v>
          </cell>
          <cell r="AR182">
            <v>-4.41</v>
          </cell>
          <cell r="AS182">
            <v>-14.129999999999999</v>
          </cell>
          <cell r="AT182">
            <v>-10.64</v>
          </cell>
          <cell r="AU182">
            <v>-9.82</v>
          </cell>
          <cell r="AV182">
            <v>-5.0200000000000005</v>
          </cell>
          <cell r="AW182">
            <v>-10.66</v>
          </cell>
          <cell r="AX182">
            <v>-15.27</v>
          </cell>
          <cell r="AY182">
            <v>-13.2</v>
          </cell>
          <cell r="AZ182">
            <v>-12.93</v>
          </cell>
          <cell r="BA182">
            <v>0</v>
          </cell>
          <cell r="BB182">
            <v>-10.6</v>
          </cell>
          <cell r="BC182">
            <v>-4.8899999999999997</v>
          </cell>
          <cell r="BD182">
            <v>-4.7700000000000005</v>
          </cell>
          <cell r="BE182">
            <v>-4.79</v>
          </cell>
          <cell r="BF182">
            <v>-5.44</v>
          </cell>
          <cell r="BG182">
            <v>-10.52</v>
          </cell>
          <cell r="BH182">
            <v>-21.080000000000002</v>
          </cell>
          <cell r="BI182">
            <v>-27.950000000000003</v>
          </cell>
          <cell r="BJ182">
            <v>-17.04</v>
          </cell>
          <cell r="BK182">
            <v>-5.26</v>
          </cell>
          <cell r="BL182">
            <v>0</v>
          </cell>
          <cell r="BM182">
            <v>-11.120000000000001</v>
          </cell>
          <cell r="BN182">
            <v>-11.48</v>
          </cell>
          <cell r="BO182">
            <v>-5.61</v>
          </cell>
          <cell r="BP182">
            <v>-8.52</v>
          </cell>
          <cell r="BQ182">
            <v>2.879999999999999</v>
          </cell>
          <cell r="BR182">
            <v>-12.18</v>
          </cell>
          <cell r="BS182">
            <v>-12.780000000000001</v>
          </cell>
          <cell r="BT182">
            <v>0</v>
          </cell>
          <cell r="BU182">
            <v>0.55999999999999872</v>
          </cell>
        </row>
        <row r="183">
          <cell r="A183" t="str">
            <v>Currency</v>
          </cell>
          <cell r="C183">
            <v>-14.46</v>
          </cell>
          <cell r="D183">
            <v>60.28</v>
          </cell>
          <cell r="E183">
            <v>99.960000000000008</v>
          </cell>
          <cell r="F183">
            <v>32.26</v>
          </cell>
          <cell r="G183">
            <v>-17.420000000000002</v>
          </cell>
          <cell r="H183">
            <v>52.41</v>
          </cell>
          <cell r="I183">
            <v>92.5</v>
          </cell>
          <cell r="J183">
            <v>-123.47999999999999</v>
          </cell>
          <cell r="K183">
            <v>110.75999999999999</v>
          </cell>
          <cell r="L183">
            <v>98.75</v>
          </cell>
          <cell r="M183">
            <v>10.079999999999998</v>
          </cell>
          <cell r="N183">
            <v>-12.25</v>
          </cell>
          <cell r="O183">
            <v>-57.53870661394425</v>
          </cell>
          <cell r="P183">
            <v>0</v>
          </cell>
          <cell r="Q183">
            <v>0</v>
          </cell>
          <cell r="R183">
            <v>0</v>
          </cell>
          <cell r="S183">
            <v>0</v>
          </cell>
          <cell r="T183">
            <v>0</v>
          </cell>
          <cell r="U183">
            <v>0</v>
          </cell>
          <cell r="W183">
            <v>0</v>
          </cell>
          <cell r="X183">
            <v>-57.53870661394425</v>
          </cell>
          <cell r="AD183">
            <v>12.48</v>
          </cell>
          <cell r="AE183">
            <v>3.97</v>
          </cell>
          <cell r="AF183">
            <v>3.89</v>
          </cell>
          <cell r="AG183">
            <v>12.33</v>
          </cell>
          <cell r="AH183">
            <v>8.98</v>
          </cell>
          <cell r="AI183">
            <v>-4.33</v>
          </cell>
          <cell r="AJ183">
            <v>-12.629999999999999</v>
          </cell>
          <cell r="AK183">
            <v>-4.29</v>
          </cell>
          <cell r="AL183">
            <v>0</v>
          </cell>
          <cell r="AM183">
            <v>8.58</v>
          </cell>
          <cell r="AN183">
            <v>12.66</v>
          </cell>
          <cell r="AO183">
            <v>26.279999999999998</v>
          </cell>
          <cell r="AP183">
            <v>24.200000000000003</v>
          </cell>
          <cell r="AQ183">
            <v>22.700000000000003</v>
          </cell>
          <cell r="AR183">
            <v>26.459999999999997</v>
          </cell>
          <cell r="AS183">
            <v>23.55</v>
          </cell>
          <cell r="AT183">
            <v>-10.64</v>
          </cell>
          <cell r="AU183">
            <v>-39.28</v>
          </cell>
          <cell r="AV183">
            <v>-45.18</v>
          </cell>
          <cell r="AW183">
            <v>-31.98</v>
          </cell>
          <cell r="AX183">
            <v>15.27</v>
          </cell>
          <cell r="AY183">
            <v>44</v>
          </cell>
          <cell r="AZ183">
            <v>38.79</v>
          </cell>
          <cell r="BA183">
            <v>13.048</v>
          </cell>
          <cell r="BB183">
            <v>15.899999999999999</v>
          </cell>
          <cell r="BC183">
            <v>14.67</v>
          </cell>
          <cell r="BD183">
            <v>23.85</v>
          </cell>
          <cell r="BE183">
            <v>47.900000000000006</v>
          </cell>
          <cell r="BF183">
            <v>16.32</v>
          </cell>
          <cell r="BG183">
            <v>5.26</v>
          </cell>
          <cell r="BH183">
            <v>5.2700000000000005</v>
          </cell>
          <cell r="BI183">
            <v>-16.77</v>
          </cell>
          <cell r="BJ183">
            <v>0</v>
          </cell>
          <cell r="BK183">
            <v>5.26</v>
          </cell>
          <cell r="BL183">
            <v>-5</v>
          </cell>
          <cell r="BM183">
            <v>-12.51</v>
          </cell>
          <cell r="BN183">
            <v>-17.22</v>
          </cell>
          <cell r="BO183">
            <v>-19.110265189273132</v>
          </cell>
          <cell r="BP183">
            <v>-18.358441424671117</v>
          </cell>
          <cell r="BQ183">
            <v>-2.85</v>
          </cell>
          <cell r="BR183">
            <v>3.0449999999999999</v>
          </cell>
          <cell r="BS183">
            <v>3.1950000000000003</v>
          </cell>
          <cell r="BT183">
            <v>2.82</v>
          </cell>
          <cell r="BU183">
            <v>0</v>
          </cell>
        </row>
        <row r="184">
          <cell r="A184" t="str">
            <v>Acquisitions/Divestitures</v>
          </cell>
          <cell r="C184">
            <v>0</v>
          </cell>
          <cell r="D184">
            <v>120.56</v>
          </cell>
          <cell r="E184">
            <v>28.560000000000002</v>
          </cell>
          <cell r="F184">
            <v>0</v>
          </cell>
          <cell r="G184">
            <v>0</v>
          </cell>
          <cell r="H184">
            <v>0</v>
          </cell>
          <cell r="I184">
            <v>-55.5</v>
          </cell>
          <cell r="J184">
            <v>-123.47999999999999</v>
          </cell>
          <cell r="K184">
            <v>18.46</v>
          </cell>
          <cell r="L184">
            <v>0</v>
          </cell>
          <cell r="M184">
            <v>0</v>
          </cell>
          <cell r="N184">
            <v>0</v>
          </cell>
          <cell r="O184">
            <v>200</v>
          </cell>
          <cell r="P184">
            <v>0</v>
          </cell>
          <cell r="Q184">
            <v>0</v>
          </cell>
          <cell r="R184">
            <v>0</v>
          </cell>
          <cell r="S184">
            <v>0</v>
          </cell>
          <cell r="T184">
            <v>0</v>
          </cell>
          <cell r="U184">
            <v>0</v>
          </cell>
          <cell r="W184">
            <v>0</v>
          </cell>
          <cell r="X184">
            <v>200</v>
          </cell>
          <cell r="AD184">
            <v>4.16</v>
          </cell>
          <cell r="AE184">
            <v>0</v>
          </cell>
          <cell r="AF184">
            <v>0</v>
          </cell>
          <cell r="AG184">
            <v>0</v>
          </cell>
          <cell r="AH184">
            <v>0</v>
          </cell>
          <cell r="AI184">
            <v>0</v>
          </cell>
          <cell r="AJ184">
            <v>0</v>
          </cell>
          <cell r="AK184">
            <v>0</v>
          </cell>
          <cell r="AL184">
            <v>0</v>
          </cell>
          <cell r="AM184">
            <v>0</v>
          </cell>
          <cell r="AN184">
            <v>0</v>
          </cell>
          <cell r="AO184">
            <v>-4.38</v>
          </cell>
          <cell r="AP184">
            <v>-4.84</v>
          </cell>
          <cell r="AQ184">
            <v>-4.54</v>
          </cell>
          <cell r="AR184">
            <v>-4.41</v>
          </cell>
          <cell r="AS184">
            <v>-28.259999999999998</v>
          </cell>
          <cell r="AT184">
            <v>-37.24</v>
          </cell>
          <cell r="AU184">
            <v>-39.28</v>
          </cell>
          <cell r="AV184">
            <v>-40.160000000000004</v>
          </cell>
          <cell r="AW184">
            <v>-5.33</v>
          </cell>
          <cell r="AX184">
            <v>5.09</v>
          </cell>
          <cell r="AY184">
            <v>4.4000000000000004</v>
          </cell>
          <cell r="AZ184">
            <v>4.3100000000000005</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51.66</v>
          </cell>
          <cell r="BO184">
            <v>50</v>
          </cell>
          <cell r="BP184">
            <v>50</v>
          </cell>
          <cell r="BQ184">
            <v>48.34</v>
          </cell>
          <cell r="BR184">
            <v>0</v>
          </cell>
          <cell r="BS184">
            <v>0</v>
          </cell>
          <cell r="BT184">
            <v>0</v>
          </cell>
          <cell r="BU184">
            <v>0</v>
          </cell>
        </row>
        <row r="185">
          <cell r="A185" t="str">
            <v>53rd week</v>
          </cell>
          <cell r="C185">
            <v>0</v>
          </cell>
          <cell r="D185">
            <v>0</v>
          </cell>
          <cell r="E185">
            <v>-28.560000000000002</v>
          </cell>
          <cell r="F185">
            <v>0</v>
          </cell>
          <cell r="G185">
            <v>0</v>
          </cell>
          <cell r="H185">
            <v>0</v>
          </cell>
          <cell r="I185">
            <v>37</v>
          </cell>
          <cell r="J185">
            <v>-41.160000000000004</v>
          </cell>
          <cell r="K185">
            <v>0</v>
          </cell>
          <cell r="L185">
            <v>0</v>
          </cell>
          <cell r="M185">
            <v>0</v>
          </cell>
          <cell r="N185">
            <v>0</v>
          </cell>
          <cell r="O185">
            <v>43.846153846153847</v>
          </cell>
          <cell r="P185">
            <v>-43.846153846153847</v>
          </cell>
          <cell r="Q185">
            <v>0</v>
          </cell>
          <cell r="R185">
            <v>0</v>
          </cell>
          <cell r="S185">
            <v>0</v>
          </cell>
          <cell r="T185">
            <v>0</v>
          </cell>
          <cell r="U185">
            <v>0</v>
          </cell>
          <cell r="W185">
            <v>0</v>
          </cell>
          <cell r="X185">
            <v>43.846153846153847</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37.68</v>
          </cell>
          <cell r="AT185">
            <v>0</v>
          </cell>
          <cell r="AU185">
            <v>0</v>
          </cell>
          <cell r="AV185">
            <v>0</v>
          </cell>
          <cell r="AW185">
            <v>-37.31</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43.846153846153847</v>
          </cell>
          <cell r="BR185">
            <v>0</v>
          </cell>
          <cell r="BS185">
            <v>0</v>
          </cell>
          <cell r="BT185">
            <v>0</v>
          </cell>
          <cell r="BU185">
            <v>-39.900000000000006</v>
          </cell>
        </row>
        <row r="186">
          <cell r="A186" t="str">
            <v>Rounding</v>
          </cell>
          <cell r="C186">
            <v>3.1600000000001032</v>
          </cell>
          <cell r="D186">
            <v>-350.26000000000005</v>
          </cell>
          <cell r="E186">
            <v>13.640000000000002</v>
          </cell>
          <cell r="F186">
            <v>-4.000000000003133E-2</v>
          </cell>
          <cell r="G186">
            <v>5.0000000000000027</v>
          </cell>
          <cell r="H186">
            <v>-1.8200000000001657</v>
          </cell>
          <cell r="I186">
            <v>4.4999999999999023</v>
          </cell>
          <cell r="J186">
            <v>-6.200000000000089</v>
          </cell>
          <cell r="K186">
            <v>-0.22000000000006395</v>
          </cell>
          <cell r="L186">
            <v>0</v>
          </cell>
          <cell r="M186">
            <v>0</v>
          </cell>
          <cell r="N186">
            <v>0</v>
          </cell>
          <cell r="O186">
            <v>0</v>
          </cell>
          <cell r="P186">
            <v>0</v>
          </cell>
          <cell r="Q186">
            <v>0</v>
          </cell>
          <cell r="R186">
            <v>0</v>
          </cell>
          <cell r="S186">
            <v>0</v>
          </cell>
          <cell r="T186">
            <v>0</v>
          </cell>
          <cell r="U186">
            <v>0</v>
          </cell>
          <cell r="W186">
            <v>0</v>
          </cell>
          <cell r="X186">
            <v>0</v>
          </cell>
          <cell r="AD186">
            <v>-12.759999999999978</v>
          </cell>
          <cell r="AE186">
            <v>0.26999999999998248</v>
          </cell>
          <cell r="AF186">
            <v>0.87999999999997003</v>
          </cell>
          <cell r="AG186">
            <v>-10.770000000000024</v>
          </cell>
          <cell r="AH186">
            <v>2.0000000000040895E-2</v>
          </cell>
          <cell r="AI186">
            <v>0.3300000000000084</v>
          </cell>
          <cell r="AJ186">
            <v>13.630000000000003</v>
          </cell>
          <cell r="AK186">
            <v>9.0000000000000284</v>
          </cell>
          <cell r="AL186">
            <v>-1.4799999999999893</v>
          </cell>
          <cell r="AM186">
            <v>-0.74000000000003596</v>
          </cell>
          <cell r="AN186">
            <v>-2.100000000000013</v>
          </cell>
          <cell r="AO186">
            <v>-2.0399999999999663</v>
          </cell>
          <cell r="AP186">
            <v>-0.40000000000005509</v>
          </cell>
          <cell r="AQ186">
            <v>0.6800000000000348</v>
          </cell>
          <cell r="AR186">
            <v>-0.73999999999997079</v>
          </cell>
          <cell r="AS186">
            <v>0.76999999999998414</v>
          </cell>
          <cell r="AT186">
            <v>-1.7200000000000166</v>
          </cell>
          <cell r="AU186">
            <v>-1.8999999999999893</v>
          </cell>
          <cell r="AV186">
            <v>-0.71999999999998598</v>
          </cell>
          <cell r="AW186">
            <v>2.2900000000000067</v>
          </cell>
          <cell r="AX186">
            <v>0.63999999999996915</v>
          </cell>
          <cell r="AY186">
            <v>0.59999999999998554</v>
          </cell>
          <cell r="AZ186">
            <v>-1.4099999999999662</v>
          </cell>
          <cell r="BA186">
            <v>-4.7999999999996275E-2</v>
          </cell>
          <cell r="BB186">
            <v>-1.9000000000000026</v>
          </cell>
          <cell r="BC186">
            <v>-2.1199999999999544</v>
          </cell>
          <cell r="BD186">
            <v>2.3000000000000216</v>
          </cell>
          <cell r="BE186">
            <v>-1.4300000000000073</v>
          </cell>
          <cell r="BF186">
            <v>2.2400000000000349</v>
          </cell>
          <cell r="BG186">
            <v>-9.1246454836380053E-16</v>
          </cell>
          <cell r="BH186">
            <v>0</v>
          </cell>
          <cell r="BI186">
            <v>0</v>
          </cell>
          <cell r="BJ186">
            <v>0</v>
          </cell>
          <cell r="BK186">
            <v>0</v>
          </cell>
          <cell r="BL186">
            <v>0</v>
          </cell>
          <cell r="BM186">
            <v>0</v>
          </cell>
          <cell r="BN186">
            <v>0</v>
          </cell>
          <cell r="BO186">
            <v>0</v>
          </cell>
          <cell r="BP186">
            <v>0</v>
          </cell>
          <cell r="BQ186">
            <v>0</v>
          </cell>
          <cell r="BR186">
            <v>0</v>
          </cell>
          <cell r="BS186">
            <v>0</v>
          </cell>
          <cell r="BT186">
            <v>0</v>
          </cell>
          <cell r="BU186">
            <v>0</v>
          </cell>
        </row>
        <row r="188">
          <cell r="A188" t="str">
            <v>US B&amp;S Organic Sales</v>
          </cell>
          <cell r="C188">
            <v>43.38</v>
          </cell>
          <cell r="D188">
            <v>105.49000000000001</v>
          </cell>
          <cell r="E188">
            <v>157.08000000000001</v>
          </cell>
          <cell r="F188">
            <v>96.78</v>
          </cell>
          <cell r="G188">
            <v>-17.420000000000002</v>
          </cell>
          <cell r="H188">
            <v>87.35</v>
          </cell>
          <cell r="I188">
            <v>129.5</v>
          </cell>
          <cell r="J188">
            <v>-144.06</v>
          </cell>
          <cell r="K188">
            <v>147.68</v>
          </cell>
          <cell r="L188">
            <v>158</v>
          </cell>
          <cell r="M188">
            <v>-11.48</v>
          </cell>
          <cell r="N188">
            <v>80.06</v>
          </cell>
          <cell r="O188">
            <v>-46.173706613944248</v>
          </cell>
          <cell r="P188">
            <v>49.527098944644194</v>
          </cell>
          <cell r="Q188">
            <v>37.787718248087749</v>
          </cell>
          <cell r="R188">
            <v>38.921349795530382</v>
          </cell>
          <cell r="S188">
            <v>40.088990289396293</v>
          </cell>
          <cell r="T188">
            <v>41.291659998078188</v>
          </cell>
          <cell r="U188">
            <v>42.530409798020536</v>
          </cell>
          <cell r="W188">
            <v>44.714428341456355</v>
          </cell>
          <cell r="X188">
            <v>-90.888134955400602</v>
          </cell>
          <cell r="AD188">
            <v>29.12</v>
          </cell>
          <cell r="AE188">
            <v>31.760000000000005</v>
          </cell>
          <cell r="AF188">
            <v>27.23</v>
          </cell>
          <cell r="AG188">
            <v>16.440000000000001</v>
          </cell>
          <cell r="AH188">
            <v>0</v>
          </cell>
          <cell r="AI188">
            <v>0</v>
          </cell>
          <cell r="AJ188">
            <v>0</v>
          </cell>
          <cell r="AK188">
            <v>4.2900000000000009</v>
          </cell>
          <cell r="AL188">
            <v>27.48</v>
          </cell>
          <cell r="AM188">
            <v>17.16</v>
          </cell>
          <cell r="AN188">
            <v>8.4400000000000013</v>
          </cell>
          <cell r="AO188">
            <v>13.14</v>
          </cell>
          <cell r="AP188">
            <v>29.04</v>
          </cell>
          <cell r="AQ188">
            <v>18.16</v>
          </cell>
          <cell r="AR188">
            <v>39.69</v>
          </cell>
          <cell r="AS188">
            <v>28.26</v>
          </cell>
          <cell r="AT188">
            <v>26.6</v>
          </cell>
          <cell r="AU188">
            <v>29.46</v>
          </cell>
          <cell r="AV188">
            <v>15.059999999999999</v>
          </cell>
          <cell r="AW188">
            <v>5.33</v>
          </cell>
          <cell r="AX188">
            <v>0</v>
          </cell>
          <cell r="AY188">
            <v>0</v>
          </cell>
          <cell r="AZ188">
            <v>4.3100000000000023</v>
          </cell>
          <cell r="BA188">
            <v>0</v>
          </cell>
          <cell r="BB188">
            <v>0</v>
          </cell>
          <cell r="BC188">
            <v>24.449999999999996</v>
          </cell>
          <cell r="BD188">
            <v>23.850000000000005</v>
          </cell>
          <cell r="BE188">
            <v>33.53</v>
          </cell>
          <cell r="BF188">
            <v>5.4400000000000022</v>
          </cell>
          <cell r="BG188">
            <v>-5.259999999999998</v>
          </cell>
          <cell r="BH188">
            <v>10.539999999999996</v>
          </cell>
          <cell r="BI188">
            <v>11.179999999999993</v>
          </cell>
          <cell r="BJ188">
            <v>5.68</v>
          </cell>
          <cell r="BK188">
            <v>31.560000000000002</v>
          </cell>
          <cell r="BL188">
            <v>32.58</v>
          </cell>
          <cell r="BM188">
            <v>27.8</v>
          </cell>
          <cell r="BN188">
            <v>0</v>
          </cell>
          <cell r="BO188">
            <v>0</v>
          </cell>
          <cell r="BP188">
            <v>5.68</v>
          </cell>
          <cell r="BQ188">
            <v>11.367500000000001</v>
          </cell>
          <cell r="BR188">
            <v>0</v>
          </cell>
          <cell r="BS188">
            <v>0</v>
          </cell>
          <cell r="BT188">
            <v>8.4599999999999991</v>
          </cell>
          <cell r="BU188">
            <v>15.94</v>
          </cell>
        </row>
        <row r="189">
          <cell r="A189" t="str">
            <v>Total B&amp;S Sales</v>
          </cell>
          <cell r="C189">
            <v>61.000000000000114</v>
          </cell>
          <cell r="D189">
            <v>-79.000000000000057</v>
          </cell>
          <cell r="E189">
            <v>185.00000000000003</v>
          </cell>
          <cell r="F189">
            <v>128.99999999999997</v>
          </cell>
          <cell r="G189">
            <v>4.9999999999999956</v>
          </cell>
          <cell r="H189">
            <v>102.99999999999983</v>
          </cell>
          <cell r="I189">
            <v>207.99999999999991</v>
          </cell>
          <cell r="J189">
            <v>-212.00000000000009</v>
          </cell>
          <cell r="K189">
            <v>128.99999999999994</v>
          </cell>
          <cell r="L189">
            <v>177.75</v>
          </cell>
          <cell r="M189">
            <v>31.640000000000015</v>
          </cell>
          <cell r="N189">
            <v>85.36999999999999</v>
          </cell>
          <cell r="O189">
            <v>203.35494723220958</v>
          </cell>
          <cell r="P189">
            <v>42.826269306973494</v>
          </cell>
          <cell r="Q189">
            <v>75.575436496175499</v>
          </cell>
          <cell r="R189">
            <v>77.842699591060764</v>
          </cell>
          <cell r="S189">
            <v>80.177980578792585</v>
          </cell>
          <cell r="T189">
            <v>82.583319996156376</v>
          </cell>
          <cell r="U189">
            <v>85.060819596041071</v>
          </cell>
          <cell r="W189">
            <v>89.428856682912709</v>
          </cell>
          <cell r="X189">
            <v>113.92609054929687</v>
          </cell>
          <cell r="AD189">
            <v>33.000000000000028</v>
          </cell>
          <cell r="AE189">
            <v>35.999999999999986</v>
          </cell>
          <cell r="AF189">
            <v>31.999999999999972</v>
          </cell>
          <cell r="AG189">
            <v>17.999999999999979</v>
          </cell>
          <cell r="AH189">
            <v>9.0000000000000391</v>
          </cell>
          <cell r="AI189">
            <v>-3.9999999999999916</v>
          </cell>
          <cell r="AJ189">
            <v>1.0000000000000036</v>
          </cell>
          <cell r="AK189">
            <v>9.0000000000000284</v>
          </cell>
          <cell r="AL189">
            <v>26.000000000000011</v>
          </cell>
          <cell r="AM189">
            <v>24.999999999999964</v>
          </cell>
          <cell r="AN189">
            <v>18.999999999999989</v>
          </cell>
          <cell r="AO189">
            <v>33.000000000000036</v>
          </cell>
          <cell r="AP189">
            <v>47.99999999999995</v>
          </cell>
          <cell r="AQ189">
            <v>37.000000000000036</v>
          </cell>
          <cell r="AR189">
            <v>61.000000000000021</v>
          </cell>
          <cell r="AS189">
            <v>61.999999999999986</v>
          </cell>
          <cell r="AT189">
            <v>-23.000000000000018</v>
          </cell>
          <cell r="AU189">
            <v>-50.999999999999993</v>
          </cell>
          <cell r="AV189">
            <v>-70.999999999999986</v>
          </cell>
          <cell r="AW189">
            <v>-66.999999999999986</v>
          </cell>
          <cell r="AX189">
            <v>20.999999999999968</v>
          </cell>
          <cell r="AY189">
            <v>48.999999999999986</v>
          </cell>
          <cell r="AZ189">
            <v>46.000000000000036</v>
          </cell>
          <cell r="BA189">
            <v>13.000000000000004</v>
          </cell>
          <cell r="BB189">
            <v>13.999999999999996</v>
          </cell>
          <cell r="BC189">
            <v>37.000000000000043</v>
          </cell>
          <cell r="BD189">
            <v>50.000000000000021</v>
          </cell>
          <cell r="BE189">
            <v>80</v>
          </cell>
          <cell r="BF189">
            <v>24.000000000000036</v>
          </cell>
          <cell r="BG189">
            <v>8.6389229103644993E-16</v>
          </cell>
          <cell r="BH189">
            <v>15.809999999999995</v>
          </cell>
          <cell r="BI189">
            <v>-5.590000000000007</v>
          </cell>
          <cell r="BJ189">
            <v>5.68</v>
          </cell>
          <cell r="BK189">
            <v>36.82</v>
          </cell>
          <cell r="BL189">
            <v>27.58</v>
          </cell>
          <cell r="BM189">
            <v>15.290000000000001</v>
          </cell>
          <cell r="BN189">
            <v>34.44</v>
          </cell>
          <cell r="BO189">
            <v>30.889734810726868</v>
          </cell>
          <cell r="BP189">
            <v>37.321558575328879</v>
          </cell>
          <cell r="BQ189">
            <v>100.70365384615386</v>
          </cell>
          <cell r="BR189">
            <v>3.0449999999999999</v>
          </cell>
          <cell r="BS189">
            <v>3.1950000000000003</v>
          </cell>
          <cell r="BT189">
            <v>11.28</v>
          </cell>
          <cell r="BU189">
            <v>-23.960000000000008</v>
          </cell>
        </row>
        <row r="190">
          <cell r="A190" t="str">
            <v>Reported</v>
          </cell>
          <cell r="B190">
            <v>1446</v>
          </cell>
          <cell r="C190">
            <v>1507</v>
          </cell>
          <cell r="D190">
            <v>1428</v>
          </cell>
          <cell r="E190">
            <v>1613</v>
          </cell>
          <cell r="F190">
            <v>1742</v>
          </cell>
          <cell r="G190">
            <v>1747</v>
          </cell>
          <cell r="H190">
            <v>1850</v>
          </cell>
          <cell r="I190">
            <v>2058</v>
          </cell>
          <cell r="J190">
            <v>1846</v>
          </cell>
          <cell r="K190">
            <v>1975</v>
          </cell>
          <cell r="L190">
            <v>2156</v>
          </cell>
          <cell r="M190">
            <v>2193</v>
          </cell>
          <cell r="N190">
            <v>2273</v>
          </cell>
          <cell r="O190">
            <v>2476.3549472322097</v>
          </cell>
          <cell r="P190">
            <v>2519.1812165391834</v>
          </cell>
          <cell r="Q190">
            <v>2594.7566530353588</v>
          </cell>
          <cell r="R190">
            <v>2672.5993526264197</v>
          </cell>
          <cell r="S190">
            <v>2752.7773332052125</v>
          </cell>
          <cell r="T190">
            <v>2835.3606532013691</v>
          </cell>
          <cell r="U190">
            <v>2920.4214727974104</v>
          </cell>
          <cell r="W190">
            <v>2325.1502737557303</v>
          </cell>
          <cell r="X190">
            <v>151.20467347647946</v>
          </cell>
          <cell r="Z190">
            <v>416</v>
          </cell>
          <cell r="AA190">
            <v>397</v>
          </cell>
          <cell r="AB190">
            <v>389</v>
          </cell>
          <cell r="AC190">
            <v>411</v>
          </cell>
          <cell r="AD190">
            <v>449</v>
          </cell>
          <cell r="AE190">
            <v>433</v>
          </cell>
          <cell r="AF190">
            <v>421</v>
          </cell>
          <cell r="AG190">
            <v>429</v>
          </cell>
          <cell r="AH190">
            <v>458</v>
          </cell>
          <cell r="AI190">
            <v>429</v>
          </cell>
          <cell r="AJ190">
            <v>422</v>
          </cell>
          <cell r="AK190">
            <v>438</v>
          </cell>
          <cell r="AL190">
            <v>484</v>
          </cell>
          <cell r="AM190">
            <v>454</v>
          </cell>
          <cell r="AN190">
            <v>441</v>
          </cell>
          <cell r="AO190">
            <v>471</v>
          </cell>
          <cell r="AP190">
            <v>532</v>
          </cell>
          <cell r="AQ190">
            <v>491</v>
          </cell>
          <cell r="AR190">
            <v>502</v>
          </cell>
          <cell r="AS190">
            <v>533</v>
          </cell>
          <cell r="AT190">
            <v>509</v>
          </cell>
          <cell r="AU190">
            <v>440</v>
          </cell>
          <cell r="AV190">
            <v>431</v>
          </cell>
          <cell r="AW190">
            <v>466</v>
          </cell>
          <cell r="AX190">
            <v>530</v>
          </cell>
          <cell r="AY190">
            <v>489</v>
          </cell>
          <cell r="AZ190">
            <v>477</v>
          </cell>
          <cell r="BA190">
            <v>479</v>
          </cell>
          <cell r="BB190">
            <v>544</v>
          </cell>
          <cell r="BC190">
            <v>526</v>
          </cell>
          <cell r="BD190">
            <v>527</v>
          </cell>
          <cell r="BE190">
            <v>559</v>
          </cell>
          <cell r="BF190">
            <v>568</v>
          </cell>
          <cell r="BG190">
            <v>526</v>
          </cell>
          <cell r="BH190">
            <v>543</v>
          </cell>
          <cell r="BI190">
            <v>556</v>
          </cell>
          <cell r="BJ190">
            <v>574</v>
          </cell>
          <cell r="BK190">
            <v>561</v>
          </cell>
          <cell r="BL190">
            <v>568</v>
          </cell>
          <cell r="BM190">
            <v>570</v>
          </cell>
          <cell r="BN190">
            <v>609</v>
          </cell>
          <cell r="BO190">
            <v>591.88973481072685</v>
          </cell>
          <cell r="BP190">
            <v>605.32155857532894</v>
          </cell>
          <cell r="BQ190">
            <v>670.70365384615388</v>
          </cell>
          <cell r="BR190">
            <v>612.04499999999996</v>
          </cell>
          <cell r="BS190">
            <v>642.19500000000005</v>
          </cell>
          <cell r="BT190">
            <v>575.28</v>
          </cell>
          <cell r="BU190">
            <v>604.04</v>
          </cell>
        </row>
        <row r="191">
          <cell r="A191" t="str">
            <v>Check</v>
          </cell>
          <cell r="C191">
            <v>-1.1368683772161603E-13</v>
          </cell>
          <cell r="D191">
            <v>0</v>
          </cell>
          <cell r="E191">
            <v>0</v>
          </cell>
          <cell r="F191">
            <v>0</v>
          </cell>
          <cell r="G191">
            <v>0</v>
          </cell>
          <cell r="H191">
            <v>1.7053025658242404E-13</v>
          </cell>
          <cell r="I191">
            <v>0</v>
          </cell>
          <cell r="J191">
            <v>0</v>
          </cell>
          <cell r="K191">
            <v>0</v>
          </cell>
          <cell r="L191">
            <v>3.25</v>
          </cell>
          <cell r="M191">
            <v>5.3599999999999852</v>
          </cell>
          <cell r="N191">
            <v>-5.3699999999999903</v>
          </cell>
          <cell r="O191">
            <v>0</v>
          </cell>
          <cell r="P191">
            <v>2.0605739337042905E-13</v>
          </cell>
          <cell r="Q191">
            <v>-1.2789769243681803E-13</v>
          </cell>
          <cell r="R191">
            <v>0</v>
          </cell>
          <cell r="S191">
            <v>2.2737367544323206E-13</v>
          </cell>
          <cell r="T191">
            <v>2.8421709430404007E-13</v>
          </cell>
          <cell r="U191">
            <v>1.8474111129762605E-13</v>
          </cell>
          <cell r="W191">
            <v>0</v>
          </cell>
          <cell r="X191">
            <v>0</v>
          </cell>
          <cell r="AD191">
            <v>0</v>
          </cell>
          <cell r="AE191">
            <v>0</v>
          </cell>
          <cell r="AF191">
            <v>0</v>
          </cell>
          <cell r="AG191">
            <v>0</v>
          </cell>
          <cell r="AH191">
            <v>-3.907985046680551E-14</v>
          </cell>
          <cell r="AI191">
            <v>-8.4376949871511897E-15</v>
          </cell>
          <cell r="AJ191">
            <v>-3.5527136788005009E-15</v>
          </cell>
          <cell r="AK191">
            <v>-2.8421709430404007E-14</v>
          </cell>
          <cell r="AL191">
            <v>0</v>
          </cell>
          <cell r="AM191">
            <v>3.5527136788005009E-14</v>
          </cell>
          <cell r="AN191">
            <v>0</v>
          </cell>
          <cell r="AO191">
            <v>0</v>
          </cell>
          <cell r="AP191">
            <v>0</v>
          </cell>
          <cell r="AQ191">
            <v>0</v>
          </cell>
          <cell r="AR191">
            <v>0</v>
          </cell>
          <cell r="AS191">
            <v>0</v>
          </cell>
          <cell r="AT191">
            <v>0</v>
          </cell>
          <cell r="AU191">
            <v>0</v>
          </cell>
          <cell r="AV191">
            <v>0</v>
          </cell>
          <cell r="AW191">
            <v>0</v>
          </cell>
          <cell r="AX191">
            <v>3.1974423109204508E-14</v>
          </cell>
          <cell r="AY191">
            <v>0</v>
          </cell>
          <cell r="AZ191">
            <v>0</v>
          </cell>
          <cell r="BA191">
            <v>0</v>
          </cell>
          <cell r="BB191">
            <v>0</v>
          </cell>
          <cell r="BC191">
            <v>0</v>
          </cell>
          <cell r="BD191">
            <v>0</v>
          </cell>
          <cell r="BE191">
            <v>0</v>
          </cell>
          <cell r="BF191">
            <v>-3.5527136788005009E-14</v>
          </cell>
          <cell r="BG191">
            <v>-8.6389229103644993E-16</v>
          </cell>
          <cell r="BH191">
            <v>0.19000000000000483</v>
          </cell>
          <cell r="BI191">
            <v>2.590000000000007</v>
          </cell>
          <cell r="BJ191">
            <v>0.32000000000000028</v>
          </cell>
          <cell r="BK191">
            <v>-1.8200000000000003</v>
          </cell>
          <cell r="BL191">
            <v>-2.5799999999999983</v>
          </cell>
          <cell r="BM191">
            <v>-1.2900000000000009</v>
          </cell>
          <cell r="BN191">
            <v>0.56000000000000227</v>
          </cell>
          <cell r="BO191">
            <v>0</v>
          </cell>
          <cell r="BP191">
            <v>5.6843418860808015E-14</v>
          </cell>
          <cell r="BQ191">
            <v>0</v>
          </cell>
          <cell r="BR191">
            <v>-4.0856207306205761E-14</v>
          </cell>
          <cell r="BS191">
            <v>4.9737991503207013E-14</v>
          </cell>
          <cell r="BT191">
            <v>-2.6645352591003757E-14</v>
          </cell>
          <cell r="BU191">
            <v>-2.8421709430404007E-14</v>
          </cell>
        </row>
        <row r="193">
          <cell r="A193" t="str">
            <v xml:space="preserve">International Simple Meals and Beverages </v>
          </cell>
          <cell r="BF193" t="str">
            <v>1Q12</v>
          </cell>
          <cell r="BG193" t="str">
            <v>2Q12</v>
          </cell>
          <cell r="BH193" t="str">
            <v>3Q12</v>
          </cell>
          <cell r="BI193" t="str">
            <v>4Q12</v>
          </cell>
          <cell r="BJ193" t="str">
            <v>1Q13</v>
          </cell>
          <cell r="BK193" t="str">
            <v>2Q13</v>
          </cell>
          <cell r="BL193" t="str">
            <v>3Q13</v>
          </cell>
          <cell r="BM193" t="str">
            <v>4Q13</v>
          </cell>
          <cell r="BN193" t="str">
            <v>1Q14</v>
          </cell>
          <cell r="BO193" t="str">
            <v>2Q14E</v>
          </cell>
          <cell r="BP193" t="str">
            <v>3Q14E</v>
          </cell>
          <cell r="BQ193" t="str">
            <v>4Q14E</v>
          </cell>
        </row>
        <row r="194">
          <cell r="A194" t="str">
            <v>Volume and Mix</v>
          </cell>
          <cell r="C194">
            <v>0</v>
          </cell>
          <cell r="D194">
            <v>0</v>
          </cell>
          <cell r="E194">
            <v>28.76</v>
          </cell>
          <cell r="F194">
            <v>31.900000000000002</v>
          </cell>
          <cell r="G194">
            <v>51.089999999999996</v>
          </cell>
          <cell r="H194">
            <v>79.650000000000006</v>
          </cell>
          <cell r="I194">
            <v>28</v>
          </cell>
          <cell r="J194">
            <v>-48.3</v>
          </cell>
          <cell r="K194">
            <v>-13.57</v>
          </cell>
          <cell r="L194">
            <v>0</v>
          </cell>
          <cell r="M194">
            <v>-43.89</v>
          </cell>
          <cell r="N194">
            <v>1.240000000000002</v>
          </cell>
          <cell r="O194">
            <v>0</v>
          </cell>
          <cell r="P194">
            <v>4.2057411366670712</v>
          </cell>
          <cell r="Q194">
            <v>4.1969041767940007</v>
          </cell>
          <cell r="R194">
            <v>4.2598577394459101</v>
          </cell>
          <cell r="S194">
            <v>4.3237556055375981</v>
          </cell>
          <cell r="T194">
            <v>4.3886119396206622</v>
          </cell>
          <cell r="U194">
            <v>4.4544411187149713</v>
          </cell>
          <cell r="W194">
            <v>0</v>
          </cell>
          <cell r="X194">
            <v>0</v>
          </cell>
          <cell r="AD194">
            <v>11.58</v>
          </cell>
          <cell r="AE194">
            <v>18.28</v>
          </cell>
          <cell r="AF194">
            <v>8.24</v>
          </cell>
          <cell r="AG194">
            <v>-3.4</v>
          </cell>
          <cell r="AH194">
            <v>41.6</v>
          </cell>
          <cell r="AI194">
            <v>5.0200000000000005</v>
          </cell>
          <cell r="AJ194">
            <v>4.3500000000000005</v>
          </cell>
          <cell r="AK194">
            <v>0</v>
          </cell>
          <cell r="AL194">
            <v>25.2</v>
          </cell>
          <cell r="AM194">
            <v>28.98</v>
          </cell>
          <cell r="AN194">
            <v>4.3</v>
          </cell>
          <cell r="AO194">
            <v>23.4</v>
          </cell>
          <cell r="AP194">
            <v>10.379999999999999</v>
          </cell>
          <cell r="AQ194">
            <v>12.12</v>
          </cell>
          <cell r="AR194">
            <v>10.23</v>
          </cell>
          <cell r="AS194">
            <v>-9.27</v>
          </cell>
          <cell r="AT194">
            <v>-3.89</v>
          </cell>
          <cell r="AU194">
            <v>-22.900000000000002</v>
          </cell>
          <cell r="AV194">
            <v>-28.000000000000004</v>
          </cell>
          <cell r="AW194">
            <v>-3.62</v>
          </cell>
          <cell r="AX194">
            <v>-11.4</v>
          </cell>
          <cell r="AY194">
            <v>-7.82</v>
          </cell>
          <cell r="AZ194">
            <v>-5.94</v>
          </cell>
          <cell r="BA194">
            <v>-2.89</v>
          </cell>
          <cell r="BB194">
            <v>11.219999999999999</v>
          </cell>
          <cell r="BC194">
            <v>0</v>
          </cell>
          <cell r="BD194">
            <v>3.31</v>
          </cell>
          <cell r="BE194">
            <v>-8.43</v>
          </cell>
          <cell r="BF194">
            <v>-26.040000000000003</v>
          </cell>
          <cell r="BG194">
            <v>-21.05</v>
          </cell>
          <cell r="BH194">
            <v>0</v>
          </cell>
          <cell r="BI194">
            <v>6.32</v>
          </cell>
          <cell r="BJ194">
            <v>-2.13</v>
          </cell>
          <cell r="BK194">
            <v>2.33</v>
          </cell>
          <cell r="BL194">
            <v>9.0400000000000009</v>
          </cell>
          <cell r="BM194">
            <v>-8</v>
          </cell>
          <cell r="BN194">
            <v>-6.6899999999999995</v>
          </cell>
          <cell r="BO194">
            <v>2.34</v>
          </cell>
          <cell r="BP194">
            <v>-2.25</v>
          </cell>
          <cell r="BQ194">
            <v>6.6</v>
          </cell>
          <cell r="BR194">
            <v>-2.895</v>
          </cell>
          <cell r="BS194">
            <v>-6.39</v>
          </cell>
          <cell r="BT194">
            <v>0.93</v>
          </cell>
          <cell r="BU194">
            <v>-3.3449999999999989</v>
          </cell>
        </row>
        <row r="195">
          <cell r="A195" t="str">
            <v>Price and Sales Allowances</v>
          </cell>
          <cell r="C195">
            <v>0</v>
          </cell>
          <cell r="D195">
            <v>0</v>
          </cell>
          <cell r="E195">
            <v>0</v>
          </cell>
          <cell r="F195">
            <v>0</v>
          </cell>
          <cell r="G195">
            <v>0</v>
          </cell>
          <cell r="H195">
            <v>15.93</v>
          </cell>
          <cell r="I195">
            <v>0</v>
          </cell>
          <cell r="J195">
            <v>80.5</v>
          </cell>
          <cell r="K195">
            <v>27.14</v>
          </cell>
          <cell r="L195">
            <v>0</v>
          </cell>
          <cell r="M195">
            <v>29.26</v>
          </cell>
          <cell r="N195">
            <v>11.31</v>
          </cell>
          <cell r="O195">
            <v>-4.3449999999999998</v>
          </cell>
          <cell r="P195">
            <v>8.4114822733341423</v>
          </cell>
          <cell r="Q195">
            <v>8.3938083535880015</v>
          </cell>
          <cell r="R195">
            <v>8.5197154788918201</v>
          </cell>
          <cell r="S195">
            <v>8.6475112110751962</v>
          </cell>
          <cell r="T195">
            <v>8.7772238792413244</v>
          </cell>
          <cell r="U195">
            <v>8.9088822374299426</v>
          </cell>
          <cell r="W195">
            <v>27.823336030815632</v>
          </cell>
          <cell r="X195">
            <v>-32.168336030815631</v>
          </cell>
          <cell r="AD195">
            <v>-3.86</v>
          </cell>
          <cell r="AE195">
            <v>0</v>
          </cell>
          <cell r="AF195">
            <v>0</v>
          </cell>
          <cell r="AG195">
            <v>6.8</v>
          </cell>
          <cell r="AH195">
            <v>12.48</v>
          </cell>
          <cell r="AI195">
            <v>0</v>
          </cell>
          <cell r="AJ195">
            <v>0</v>
          </cell>
          <cell r="AK195">
            <v>0</v>
          </cell>
          <cell r="AL195">
            <v>4.2</v>
          </cell>
          <cell r="AM195">
            <v>0</v>
          </cell>
          <cell r="AN195">
            <v>8.6</v>
          </cell>
          <cell r="AO195">
            <v>5.2</v>
          </cell>
          <cell r="AP195">
            <v>3.46</v>
          </cell>
          <cell r="AQ195">
            <v>-4.04</v>
          </cell>
          <cell r="AR195">
            <v>-3.41</v>
          </cell>
          <cell r="AS195">
            <v>3.09</v>
          </cell>
          <cell r="AT195">
            <v>31.12</v>
          </cell>
          <cell r="AU195">
            <v>22.900000000000002</v>
          </cell>
          <cell r="AV195">
            <v>20</v>
          </cell>
          <cell r="AW195">
            <v>25.340000000000003</v>
          </cell>
          <cell r="AX195">
            <v>15.200000000000001</v>
          </cell>
          <cell r="AY195">
            <v>15.64</v>
          </cell>
          <cell r="AZ195">
            <v>0</v>
          </cell>
          <cell r="BA195">
            <v>0</v>
          </cell>
          <cell r="BB195">
            <v>0</v>
          </cell>
          <cell r="BC195">
            <v>-4.37</v>
          </cell>
          <cell r="BD195">
            <v>6.62</v>
          </cell>
          <cell r="BE195">
            <v>2.81</v>
          </cell>
          <cell r="BF195">
            <v>0</v>
          </cell>
          <cell r="BG195">
            <v>8.42</v>
          </cell>
          <cell r="BH195">
            <v>14.16</v>
          </cell>
          <cell r="BI195">
            <v>9.48</v>
          </cell>
          <cell r="BJ195">
            <v>6.39</v>
          </cell>
          <cell r="BK195">
            <v>4.66</v>
          </cell>
          <cell r="BL195">
            <v>2.2600000000000002</v>
          </cell>
          <cell r="BM195">
            <v>-2</v>
          </cell>
          <cell r="BN195">
            <v>-4.46</v>
          </cell>
          <cell r="BO195">
            <v>0</v>
          </cell>
          <cell r="BP195">
            <v>1.125</v>
          </cell>
          <cell r="BQ195">
            <v>-1.0099999999999998</v>
          </cell>
          <cell r="BR195">
            <v>1.93</v>
          </cell>
          <cell r="BS195">
            <v>2.13</v>
          </cell>
          <cell r="BT195">
            <v>1.86</v>
          </cell>
          <cell r="BU195">
            <v>1.88</v>
          </cell>
        </row>
        <row r="196">
          <cell r="A196" t="str">
            <v>Promotional Spending</v>
          </cell>
          <cell r="C196">
            <v>0</v>
          </cell>
          <cell r="D196">
            <v>0</v>
          </cell>
          <cell r="E196">
            <v>0</v>
          </cell>
          <cell r="F196">
            <v>-15.950000000000001</v>
          </cell>
          <cell r="G196">
            <v>0</v>
          </cell>
          <cell r="H196">
            <v>0</v>
          </cell>
          <cell r="I196">
            <v>0</v>
          </cell>
          <cell r="J196">
            <v>-16.100000000000001</v>
          </cell>
          <cell r="K196">
            <v>-27.14</v>
          </cell>
          <cell r="L196">
            <v>-14.23</v>
          </cell>
          <cell r="M196">
            <v>-14.63</v>
          </cell>
          <cell r="N196">
            <v>-9.18</v>
          </cell>
          <cell r="O196">
            <v>-6.5175000000000001</v>
          </cell>
          <cell r="P196">
            <v>0</v>
          </cell>
          <cell r="Q196">
            <v>0</v>
          </cell>
          <cell r="R196">
            <v>0</v>
          </cell>
          <cell r="S196">
            <v>0</v>
          </cell>
          <cell r="T196">
            <v>0</v>
          </cell>
          <cell r="U196">
            <v>0</v>
          </cell>
          <cell r="W196">
            <v>0</v>
          </cell>
          <cell r="X196">
            <v>-6.5175000000000001</v>
          </cell>
          <cell r="AD196">
            <v>0</v>
          </cell>
          <cell r="AE196">
            <v>-4.57</v>
          </cell>
          <cell r="AF196">
            <v>-4.12</v>
          </cell>
          <cell r="AG196">
            <v>-3.4</v>
          </cell>
          <cell r="AH196">
            <v>0</v>
          </cell>
          <cell r="AI196">
            <v>0</v>
          </cell>
          <cell r="AJ196">
            <v>8.7000000000000011</v>
          </cell>
          <cell r="AK196">
            <v>-4.83</v>
          </cell>
          <cell r="AL196">
            <v>0</v>
          </cell>
          <cell r="AM196">
            <v>0</v>
          </cell>
          <cell r="AN196">
            <v>-8.6</v>
          </cell>
          <cell r="AO196">
            <v>2.6</v>
          </cell>
          <cell r="AP196">
            <v>0</v>
          </cell>
          <cell r="AQ196">
            <v>-4.04</v>
          </cell>
          <cell r="AR196">
            <v>3.41</v>
          </cell>
          <cell r="AS196">
            <v>0</v>
          </cell>
          <cell r="AT196">
            <v>-7.78</v>
          </cell>
          <cell r="AU196">
            <v>4.58</v>
          </cell>
          <cell r="AV196">
            <v>-12</v>
          </cell>
          <cell r="AW196">
            <v>-3.62</v>
          </cell>
          <cell r="AX196">
            <v>-7.6000000000000005</v>
          </cell>
          <cell r="AY196">
            <v>-7.82</v>
          </cell>
          <cell r="AZ196">
            <v>0</v>
          </cell>
          <cell r="BA196">
            <v>-8.67</v>
          </cell>
          <cell r="BB196">
            <v>-11.219999999999999</v>
          </cell>
          <cell r="BC196">
            <v>-8.74</v>
          </cell>
          <cell r="BD196">
            <v>-6.62</v>
          </cell>
          <cell r="BE196">
            <v>5.62</v>
          </cell>
          <cell r="BF196">
            <v>0</v>
          </cell>
          <cell r="BG196">
            <v>-4.21</v>
          </cell>
          <cell r="BH196">
            <v>-7.08</v>
          </cell>
          <cell r="BI196">
            <v>-12.64</v>
          </cell>
          <cell r="BJ196">
            <v>0</v>
          </cell>
          <cell r="BK196">
            <v>-4.66</v>
          </cell>
          <cell r="BL196">
            <v>-4.5200000000000005</v>
          </cell>
          <cell r="BM196">
            <v>0</v>
          </cell>
          <cell r="BN196">
            <v>-4.46</v>
          </cell>
          <cell r="BO196">
            <v>0</v>
          </cell>
          <cell r="BP196">
            <v>0</v>
          </cell>
          <cell r="BQ196">
            <v>-2.0575000000000001</v>
          </cell>
          <cell r="BR196">
            <v>0</v>
          </cell>
          <cell r="BS196">
            <v>0</v>
          </cell>
          <cell r="BT196">
            <v>0</v>
          </cell>
          <cell r="BU196">
            <v>0</v>
          </cell>
        </row>
        <row r="197">
          <cell r="A197" t="str">
            <v>Currency</v>
          </cell>
          <cell r="C197">
            <v>12.64</v>
          </cell>
          <cell r="D197">
            <v>110.39999999999999</v>
          </cell>
          <cell r="E197">
            <v>172.56</v>
          </cell>
          <cell r="F197">
            <v>95.7</v>
          </cell>
          <cell r="G197">
            <v>-17.03</v>
          </cell>
          <cell r="H197">
            <v>79.650000000000006</v>
          </cell>
          <cell r="I197">
            <v>154</v>
          </cell>
          <cell r="J197">
            <v>-177.1</v>
          </cell>
          <cell r="K197">
            <v>94.990000000000009</v>
          </cell>
          <cell r="L197">
            <v>56.92</v>
          </cell>
          <cell r="M197">
            <v>-25.229999999999997</v>
          </cell>
          <cell r="N197">
            <v>-11.059999999999999</v>
          </cell>
          <cell r="O197">
            <v>-29.143888051201067</v>
          </cell>
          <cell r="P197">
            <v>0</v>
          </cell>
          <cell r="Q197">
            <v>0</v>
          </cell>
          <cell r="R197">
            <v>0</v>
          </cell>
          <cell r="S197">
            <v>0</v>
          </cell>
          <cell r="T197">
            <v>0</v>
          </cell>
          <cell r="U197">
            <v>0</v>
          </cell>
          <cell r="W197">
            <v>0</v>
          </cell>
          <cell r="X197">
            <v>-29.143888051201067</v>
          </cell>
          <cell r="AD197">
            <v>27.020000000000003</v>
          </cell>
          <cell r="AE197">
            <v>31.990000000000002</v>
          </cell>
          <cell r="AF197">
            <v>20.6</v>
          </cell>
          <cell r="AG197">
            <v>10.199999999999999</v>
          </cell>
          <cell r="AH197">
            <v>4.16</v>
          </cell>
          <cell r="AI197">
            <v>-25.1</v>
          </cell>
          <cell r="AJ197">
            <v>-17.400000000000002</v>
          </cell>
          <cell r="AK197">
            <v>14.49</v>
          </cell>
          <cell r="AL197">
            <v>16.8</v>
          </cell>
          <cell r="AM197">
            <v>28.98</v>
          </cell>
          <cell r="AN197">
            <v>21.5</v>
          </cell>
          <cell r="AO197">
            <v>18.200000000000003</v>
          </cell>
          <cell r="AP197">
            <v>27.68</v>
          </cell>
          <cell r="AQ197">
            <v>48.48</v>
          </cell>
          <cell r="AR197">
            <v>47.74</v>
          </cell>
          <cell r="AS197">
            <v>33.99</v>
          </cell>
          <cell r="AT197">
            <v>-7.78</v>
          </cell>
          <cell r="AU197">
            <v>-59.54</v>
          </cell>
          <cell r="AV197">
            <v>-64</v>
          </cell>
          <cell r="AW197">
            <v>-39.82</v>
          </cell>
          <cell r="AX197">
            <v>7.6000000000000005</v>
          </cell>
          <cell r="AY197">
            <v>46.92</v>
          </cell>
          <cell r="AZ197">
            <v>38.61</v>
          </cell>
          <cell r="BA197">
            <v>2.89</v>
          </cell>
          <cell r="BB197">
            <v>-3.74</v>
          </cell>
          <cell r="BC197">
            <v>-4.37</v>
          </cell>
          <cell r="BD197">
            <v>19.86</v>
          </cell>
          <cell r="BE197">
            <v>33.72</v>
          </cell>
          <cell r="BF197">
            <v>14.88</v>
          </cell>
          <cell r="BG197">
            <v>-4.21</v>
          </cell>
          <cell r="BH197">
            <v>-10.62</v>
          </cell>
          <cell r="BI197">
            <v>-25.28</v>
          </cell>
          <cell r="BJ197">
            <v>-6.39</v>
          </cell>
          <cell r="BK197">
            <v>2.33</v>
          </cell>
          <cell r="BL197">
            <v>-4</v>
          </cell>
          <cell r="BM197">
            <v>-3</v>
          </cell>
          <cell r="BN197">
            <v>-11.15</v>
          </cell>
          <cell r="BO197">
            <v>-7.9248272077403801</v>
          </cell>
          <cell r="BP197">
            <v>-6.3290608434606863</v>
          </cell>
          <cell r="BQ197">
            <v>-3.74</v>
          </cell>
          <cell r="BR197">
            <v>-1.93</v>
          </cell>
          <cell r="BS197">
            <v>-2.13</v>
          </cell>
          <cell r="BT197">
            <v>-0.93</v>
          </cell>
          <cell r="BU197">
            <v>-0.94000000000000006</v>
          </cell>
        </row>
        <row r="198">
          <cell r="A198" t="str">
            <v>Acquisitions/Divestitures</v>
          </cell>
          <cell r="C198">
            <v>278.08</v>
          </cell>
          <cell r="D198">
            <v>18.400000000000002</v>
          </cell>
          <cell r="E198">
            <v>0</v>
          </cell>
          <cell r="F198">
            <v>0</v>
          </cell>
          <cell r="G198">
            <v>0</v>
          </cell>
          <cell r="H198">
            <v>0</v>
          </cell>
          <cell r="I198">
            <v>0</v>
          </cell>
          <cell r="J198">
            <v>-64.400000000000006</v>
          </cell>
          <cell r="K198">
            <v>-13.57</v>
          </cell>
          <cell r="L198">
            <v>0</v>
          </cell>
          <cell r="M198">
            <v>0</v>
          </cell>
          <cell r="N198">
            <v>0</v>
          </cell>
          <cell r="O198">
            <v>-2.23</v>
          </cell>
          <cell r="P198">
            <v>0</v>
          </cell>
          <cell r="Q198">
            <v>0</v>
          </cell>
          <cell r="R198">
            <v>0</v>
          </cell>
          <cell r="S198">
            <v>0</v>
          </cell>
          <cell r="T198">
            <v>0</v>
          </cell>
          <cell r="U198">
            <v>0</v>
          </cell>
          <cell r="W198">
            <v>0</v>
          </cell>
          <cell r="X198">
            <v>-2.23</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-27.230000000000004</v>
          </cell>
          <cell r="AU198">
            <v>-13.74</v>
          </cell>
          <cell r="AV198">
            <v>-20</v>
          </cell>
          <cell r="AW198">
            <v>-25.340000000000003</v>
          </cell>
          <cell r="AX198">
            <v>-11.4</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-2.23</v>
          </cell>
          <cell r="BO198">
            <v>0</v>
          </cell>
          <cell r="BP198">
            <v>0</v>
          </cell>
          <cell r="BQ198">
            <v>0</v>
          </cell>
          <cell r="BR198">
            <v>0</v>
          </cell>
          <cell r="BS198">
            <v>0</v>
          </cell>
          <cell r="BT198">
            <v>0</v>
          </cell>
          <cell r="BU198">
            <v>0</v>
          </cell>
        </row>
        <row r="199">
          <cell r="A199" t="str">
            <v>53rd week</v>
          </cell>
          <cell r="C199">
            <v>0</v>
          </cell>
          <cell r="D199">
            <v>0</v>
          </cell>
          <cell r="E199">
            <v>-28.76</v>
          </cell>
          <cell r="F199">
            <v>0</v>
          </cell>
          <cell r="G199">
            <v>0</v>
          </cell>
          <cell r="H199">
            <v>0</v>
          </cell>
          <cell r="I199">
            <v>28</v>
          </cell>
          <cell r="J199">
            <v>-32.200000000000003</v>
          </cell>
          <cell r="K199">
            <v>0</v>
          </cell>
          <cell r="L199">
            <v>0</v>
          </cell>
          <cell r="M199">
            <v>0</v>
          </cell>
          <cell r="N199">
            <v>0</v>
          </cell>
          <cell r="O199">
            <v>14.384615384615385</v>
          </cell>
          <cell r="P199">
            <v>-14.384615384615385</v>
          </cell>
          <cell r="Q199">
            <v>0</v>
          </cell>
          <cell r="R199">
            <v>0</v>
          </cell>
          <cell r="S199">
            <v>0</v>
          </cell>
          <cell r="T199">
            <v>0</v>
          </cell>
          <cell r="U199">
            <v>0</v>
          </cell>
          <cell r="W199">
            <v>0</v>
          </cell>
          <cell r="X199">
            <v>14.384615384615385</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24.72</v>
          </cell>
          <cell r="AT199">
            <v>0</v>
          </cell>
          <cell r="AU199">
            <v>0</v>
          </cell>
          <cell r="AV199">
            <v>0</v>
          </cell>
          <cell r="AW199">
            <v>-25.340000000000003</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cell r="BM199">
            <v>0</v>
          </cell>
          <cell r="BN199">
            <v>0</v>
          </cell>
          <cell r="BO199">
            <v>0</v>
          </cell>
          <cell r="BP199">
            <v>0</v>
          </cell>
          <cell r="BQ199">
            <v>14.384615384615385</v>
          </cell>
          <cell r="BR199">
            <v>0</v>
          </cell>
          <cell r="BS199">
            <v>0</v>
          </cell>
          <cell r="BT199">
            <v>0</v>
          </cell>
          <cell r="BU199">
            <v>-14.96</v>
          </cell>
        </row>
        <row r="200">
          <cell r="A200" t="str">
            <v>Rounding</v>
          </cell>
          <cell r="C200">
            <v>-2.7200000000000215</v>
          </cell>
          <cell r="D200">
            <v>389.19999999999993</v>
          </cell>
          <cell r="E200">
            <v>-15.559999999999867</v>
          </cell>
          <cell r="F200">
            <v>-3.6500000000000625</v>
          </cell>
          <cell r="G200">
            <v>-144.06000000000003</v>
          </cell>
          <cell r="H200">
            <v>-368.23000000000008</v>
          </cell>
          <cell r="I200">
            <v>-1.1657341758564144E-13</v>
          </cell>
          <cell r="J200">
            <v>4.5999999999999659</v>
          </cell>
          <cell r="K200">
            <v>-1.8500000000001142</v>
          </cell>
          <cell r="L200">
            <v>0</v>
          </cell>
          <cell r="M200">
            <v>0</v>
          </cell>
          <cell r="N200">
            <v>0</v>
          </cell>
          <cell r="O200">
            <v>0</v>
          </cell>
          <cell r="P200">
            <v>0</v>
          </cell>
          <cell r="Q200">
            <v>0</v>
          </cell>
          <cell r="R200">
            <v>0</v>
          </cell>
          <cell r="S200">
            <v>0</v>
          </cell>
          <cell r="T200">
            <v>0</v>
          </cell>
          <cell r="U200">
            <v>0</v>
          </cell>
          <cell r="W200">
            <v>0</v>
          </cell>
          <cell r="X200">
            <v>0</v>
          </cell>
          <cell r="AD200">
            <v>-4.739999999999978</v>
          </cell>
          <cell r="AE200">
            <v>-0.69999999999997164</v>
          </cell>
          <cell r="AF200">
            <v>-1.7199999999999664</v>
          </cell>
          <cell r="AG200">
            <v>132.80000000000001</v>
          </cell>
          <cell r="AH200">
            <v>-54.240000000000023</v>
          </cell>
          <cell r="AI200">
            <v>1.0800000000000174</v>
          </cell>
          <cell r="AJ200">
            <v>-0.64999999999999303</v>
          </cell>
          <cell r="AK200">
            <v>-232.66000000000003</v>
          </cell>
          <cell r="AL200">
            <v>-120.20000000000002</v>
          </cell>
          <cell r="AM200">
            <v>-136.96</v>
          </cell>
          <cell r="AN200">
            <v>-114.8</v>
          </cell>
          <cell r="AO200">
            <v>-0.40000000000000147</v>
          </cell>
          <cell r="AP200">
            <v>1.4799999999999705</v>
          </cell>
          <cell r="AQ200">
            <v>1.4799999999999565</v>
          </cell>
          <cell r="AR200">
            <v>1.0300000000000191</v>
          </cell>
          <cell r="AS200">
            <v>0.47000000000002701</v>
          </cell>
          <cell r="AT200">
            <v>6.5600000000000005</v>
          </cell>
          <cell r="AU200">
            <v>1.7000000000000319</v>
          </cell>
          <cell r="AV200">
            <v>1.0000000000000231</v>
          </cell>
          <cell r="AW200">
            <v>-0.59999999999999043</v>
          </cell>
          <cell r="AX200">
            <v>1.5999999999999801</v>
          </cell>
          <cell r="AY200">
            <v>-0.91999999999998805</v>
          </cell>
          <cell r="AZ200">
            <v>1.329999999999977</v>
          </cell>
          <cell r="BA200">
            <v>0.67000000000000548</v>
          </cell>
          <cell r="BB200">
            <v>1.739999999999992</v>
          </cell>
          <cell r="BC200">
            <v>1.4800000000000033</v>
          </cell>
          <cell r="BD200">
            <v>-0.17000000000000537</v>
          </cell>
          <cell r="BE200">
            <v>1.279999999999982</v>
          </cell>
          <cell r="BF200">
            <v>0</v>
          </cell>
          <cell r="BG200">
            <v>0</v>
          </cell>
          <cell r="BH200">
            <v>0</v>
          </cell>
          <cell r="BI200">
            <v>0</v>
          </cell>
          <cell r="BJ200">
            <v>0</v>
          </cell>
          <cell r="BK200">
            <v>0</v>
          </cell>
          <cell r="BL200">
            <v>0</v>
          </cell>
          <cell r="BM200">
            <v>0</v>
          </cell>
          <cell r="BN200">
            <v>0</v>
          </cell>
          <cell r="BO200">
            <v>0</v>
          </cell>
          <cell r="BP200">
            <v>0</v>
          </cell>
          <cell r="BQ200">
            <v>0</v>
          </cell>
          <cell r="BR200">
            <v>0</v>
          </cell>
          <cell r="BS200">
            <v>0</v>
          </cell>
          <cell r="BT200">
            <v>0</v>
          </cell>
          <cell r="BU200">
            <v>0</v>
          </cell>
        </row>
        <row r="202">
          <cell r="A202" t="str">
            <v>US International SSB Organic Sales</v>
          </cell>
          <cell r="C202">
            <v>12.64</v>
          </cell>
          <cell r="D202">
            <v>110.39999999999999</v>
          </cell>
          <cell r="E202">
            <v>201.32</v>
          </cell>
          <cell r="F202">
            <v>127.60000000000001</v>
          </cell>
          <cell r="G202">
            <v>34.059999999999995</v>
          </cell>
          <cell r="H202">
            <v>159.30000000000001</v>
          </cell>
          <cell r="I202">
            <v>182</v>
          </cell>
          <cell r="J202">
            <v>-225.39999999999998</v>
          </cell>
          <cell r="K202">
            <v>81.420000000000016</v>
          </cell>
          <cell r="L202">
            <v>56.92</v>
          </cell>
          <cell r="M202">
            <v>-69.12</v>
          </cell>
          <cell r="N202">
            <v>-9.8199999999999967</v>
          </cell>
          <cell r="O202">
            <v>-29.143888051201067</v>
          </cell>
          <cell r="P202">
            <v>4.2057411366670712</v>
          </cell>
          <cell r="Q202">
            <v>4.1969041767940007</v>
          </cell>
          <cell r="R202">
            <v>4.2598577394459101</v>
          </cell>
          <cell r="S202">
            <v>4.3237556055375981</v>
          </cell>
          <cell r="T202">
            <v>4.3886119396206622</v>
          </cell>
          <cell r="U202">
            <v>4.4544411187149713</v>
          </cell>
          <cell r="W202">
            <v>0</v>
          </cell>
          <cell r="X202">
            <v>-29.143888051201067</v>
          </cell>
          <cell r="AD202">
            <v>7.7200000000000006</v>
          </cell>
          <cell r="AE202">
            <v>13.71</v>
          </cell>
          <cell r="AF202">
            <v>4.12</v>
          </cell>
          <cell r="AG202">
            <v>0</v>
          </cell>
          <cell r="AH202">
            <v>54.08</v>
          </cell>
          <cell r="AI202">
            <v>5.0200000000000005</v>
          </cell>
          <cell r="AJ202">
            <v>13.05</v>
          </cell>
          <cell r="AK202">
            <v>-4.83</v>
          </cell>
          <cell r="AL202">
            <v>29.4</v>
          </cell>
          <cell r="AM202">
            <v>28.98</v>
          </cell>
          <cell r="AN202">
            <v>4.2999999999999989</v>
          </cell>
          <cell r="AO202">
            <v>31.2</v>
          </cell>
          <cell r="AP202">
            <v>13.84</v>
          </cell>
          <cell r="AQ202">
            <v>4.0399999999999983</v>
          </cell>
          <cell r="AR202">
            <v>10.23</v>
          </cell>
          <cell r="AS202">
            <v>-6.18</v>
          </cell>
          <cell r="AT202">
            <v>19.45</v>
          </cell>
          <cell r="AU202">
            <v>4.58</v>
          </cell>
          <cell r="AV202">
            <v>-20.000000000000004</v>
          </cell>
          <cell r="AW202">
            <v>18.100000000000001</v>
          </cell>
          <cell r="AX202">
            <v>-3.8</v>
          </cell>
          <cell r="AY202">
            <v>0</v>
          </cell>
          <cell r="AZ202">
            <v>-5.94</v>
          </cell>
          <cell r="BA202">
            <v>-11.56</v>
          </cell>
          <cell r="BB202">
            <v>0</v>
          </cell>
          <cell r="BC202">
            <v>-13.11</v>
          </cell>
          <cell r="BD202">
            <v>3.3099999999999996</v>
          </cell>
          <cell r="BE202">
            <v>0</v>
          </cell>
          <cell r="BF202">
            <v>-26.040000000000003</v>
          </cell>
          <cell r="BG202">
            <v>-16.84</v>
          </cell>
          <cell r="BH202">
            <v>7.08</v>
          </cell>
          <cell r="BI202">
            <v>3.16</v>
          </cell>
          <cell r="BJ202">
            <v>4.26</v>
          </cell>
          <cell r="BK202">
            <v>2.33</v>
          </cell>
          <cell r="BL202">
            <v>6.78</v>
          </cell>
          <cell r="BM202">
            <v>-10</v>
          </cell>
          <cell r="BN202">
            <v>-15.61</v>
          </cell>
          <cell r="BO202">
            <v>2.34</v>
          </cell>
          <cell r="BP202">
            <v>-1.125</v>
          </cell>
          <cell r="BQ202">
            <v>3.5324999999999998</v>
          </cell>
          <cell r="BR202">
            <v>-0.96500000000000008</v>
          </cell>
          <cell r="BS202">
            <v>-4.26</v>
          </cell>
          <cell r="BT202">
            <v>2.79</v>
          </cell>
          <cell r="BU202">
            <v>-1.464999999999999</v>
          </cell>
        </row>
        <row r="203">
          <cell r="A203" t="str">
            <v>Total International SSB Sales</v>
          </cell>
          <cell r="C203">
            <v>287.99999999999994</v>
          </cell>
          <cell r="D203">
            <v>517.99999999999989</v>
          </cell>
          <cell r="E203">
            <v>157.00000000000014</v>
          </cell>
          <cell r="F203">
            <v>107.99999999999994</v>
          </cell>
          <cell r="G203">
            <v>-110.00000000000003</v>
          </cell>
          <cell r="H203">
            <v>-193.00000000000006</v>
          </cell>
          <cell r="I203">
            <v>209.99999999999989</v>
          </cell>
          <cell r="J203">
            <v>-253.00000000000006</v>
          </cell>
          <cell r="K203">
            <v>65.999999999999915</v>
          </cell>
          <cell r="L203">
            <v>42.69</v>
          </cell>
          <cell r="M203">
            <v>-54.489999999999995</v>
          </cell>
          <cell r="N203">
            <v>-7.6899999999999959</v>
          </cell>
          <cell r="O203">
            <v>-27.851772666585681</v>
          </cell>
          <cell r="P203">
            <v>-1.7673919746141724</v>
          </cell>
          <cell r="Q203">
            <v>12.590712530382003</v>
          </cell>
          <cell r="R203">
            <v>12.779573218337731</v>
          </cell>
          <cell r="S203">
            <v>12.971266816612793</v>
          </cell>
          <cell r="T203">
            <v>13.165835818861986</v>
          </cell>
          <cell r="U203">
            <v>13.363323356144914</v>
          </cell>
          <cell r="W203">
            <v>27.823336030815632</v>
          </cell>
          <cell r="X203">
            <v>-55.675108697401313</v>
          </cell>
          <cell r="AD203">
            <v>30.000000000000025</v>
          </cell>
          <cell r="AE203">
            <v>45.000000000000028</v>
          </cell>
          <cell r="AF203">
            <v>23.000000000000036</v>
          </cell>
          <cell r="AG203">
            <v>143</v>
          </cell>
          <cell r="AH203">
            <v>3.9999999999999716</v>
          </cell>
          <cell r="AI203">
            <v>-18.999999999999986</v>
          </cell>
          <cell r="AJ203">
            <v>-4.9999999999999947</v>
          </cell>
          <cell r="AK203">
            <v>-223.00000000000003</v>
          </cell>
          <cell r="AL203">
            <v>-74.000000000000014</v>
          </cell>
          <cell r="AM203">
            <v>-79</v>
          </cell>
          <cell r="AN203">
            <v>-89</v>
          </cell>
          <cell r="AO203">
            <v>49.000000000000007</v>
          </cell>
          <cell r="AP203">
            <v>42.999999999999964</v>
          </cell>
          <cell r="AQ203">
            <v>53.99999999999995</v>
          </cell>
          <cell r="AR203">
            <v>59.000000000000021</v>
          </cell>
          <cell r="AS203">
            <v>53.000000000000028</v>
          </cell>
          <cell r="AT203">
            <v>-9.0000000000000053</v>
          </cell>
          <cell r="AU203">
            <v>-66.999999999999972</v>
          </cell>
          <cell r="AV203">
            <v>-102.99999999999997</v>
          </cell>
          <cell r="AW203">
            <v>-73</v>
          </cell>
          <cell r="AX203">
            <v>-6.0000000000000195</v>
          </cell>
          <cell r="AY203">
            <v>46.000000000000014</v>
          </cell>
          <cell r="AZ203">
            <v>33.999999999999979</v>
          </cell>
          <cell r="BA203">
            <v>-7.9999999999999947</v>
          </cell>
          <cell r="BB203">
            <v>-2.000000000000008</v>
          </cell>
          <cell r="BC203">
            <v>-15.999999999999996</v>
          </cell>
          <cell r="BD203">
            <v>22.999999999999993</v>
          </cell>
          <cell r="BE203">
            <v>34.999999999999979</v>
          </cell>
          <cell r="BF203">
            <v>-11.160000000000002</v>
          </cell>
          <cell r="BG203">
            <v>-21.05</v>
          </cell>
          <cell r="BH203">
            <v>-3.5399999999999991</v>
          </cell>
          <cell r="BI203">
            <v>-22.12</v>
          </cell>
          <cell r="BJ203">
            <v>-2.13</v>
          </cell>
          <cell r="BK203">
            <v>4.66</v>
          </cell>
          <cell r="BL203">
            <v>2.7800000000000002</v>
          </cell>
          <cell r="BM203">
            <v>-13</v>
          </cell>
          <cell r="BN203">
            <v>-28.99</v>
          </cell>
          <cell r="BO203">
            <v>-5.5848272077403802</v>
          </cell>
          <cell r="BP203">
            <v>-7.4540608434606863</v>
          </cell>
          <cell r="BQ203">
            <v>14.177115384615384</v>
          </cell>
          <cell r="BR203">
            <v>-2.895</v>
          </cell>
          <cell r="BS203">
            <v>-6.39</v>
          </cell>
          <cell r="BT203">
            <v>1.8599999999999999</v>
          </cell>
          <cell r="BU203">
            <v>-17.364999999999998</v>
          </cell>
        </row>
        <row r="204">
          <cell r="A204" t="str">
            <v>Reported</v>
          </cell>
          <cell r="B204">
            <v>632</v>
          </cell>
          <cell r="C204">
            <v>920</v>
          </cell>
          <cell r="D204">
            <v>1438</v>
          </cell>
          <cell r="E204">
            <v>1595</v>
          </cell>
          <cell r="F204">
            <v>1703</v>
          </cell>
          <cell r="G204">
            <v>1593</v>
          </cell>
          <cell r="H204">
            <v>1400</v>
          </cell>
          <cell r="I204">
            <v>1610</v>
          </cell>
          <cell r="J204">
            <v>1357</v>
          </cell>
          <cell r="K204">
            <v>1423</v>
          </cell>
          <cell r="L204">
            <v>1463</v>
          </cell>
          <cell r="M204">
            <v>872</v>
          </cell>
          <cell r="N204">
            <v>869</v>
          </cell>
          <cell r="O204">
            <v>841.1482273334143</v>
          </cell>
          <cell r="P204">
            <v>839.38083535880014</v>
          </cell>
          <cell r="Q204">
            <v>851.97154788918203</v>
          </cell>
          <cell r="R204">
            <v>864.75112110751968</v>
          </cell>
          <cell r="S204">
            <v>877.72238792413236</v>
          </cell>
          <cell r="T204">
            <v>890.88822374299423</v>
          </cell>
          <cell r="U204">
            <v>904.25154709913909</v>
          </cell>
          <cell r="W204">
            <v>1418.9901375715972</v>
          </cell>
          <cell r="X204">
            <v>-577.84191023818289</v>
          </cell>
          <cell r="Z204">
            <v>386</v>
          </cell>
          <cell r="AA204">
            <v>457</v>
          </cell>
          <cell r="AB204">
            <v>412</v>
          </cell>
          <cell r="AC204">
            <v>340</v>
          </cell>
          <cell r="AD204">
            <v>416</v>
          </cell>
          <cell r="AE204">
            <v>502</v>
          </cell>
          <cell r="AF204">
            <v>435</v>
          </cell>
          <cell r="AG204">
            <v>483</v>
          </cell>
          <cell r="AH204">
            <v>420</v>
          </cell>
          <cell r="AI204">
            <v>483</v>
          </cell>
          <cell r="AJ204">
            <v>430</v>
          </cell>
          <cell r="AK204">
            <v>260</v>
          </cell>
          <cell r="AL204">
            <v>346</v>
          </cell>
          <cell r="AM204">
            <v>404</v>
          </cell>
          <cell r="AN204">
            <v>341</v>
          </cell>
          <cell r="AO204">
            <v>309</v>
          </cell>
          <cell r="AP204">
            <v>389</v>
          </cell>
          <cell r="AQ204">
            <v>458</v>
          </cell>
          <cell r="AR204">
            <v>400</v>
          </cell>
          <cell r="AS204">
            <v>362</v>
          </cell>
          <cell r="AT204">
            <v>380</v>
          </cell>
          <cell r="AU204">
            <v>391</v>
          </cell>
          <cell r="AV204">
            <v>297</v>
          </cell>
          <cell r="AW204">
            <v>289</v>
          </cell>
          <cell r="AX204">
            <v>374</v>
          </cell>
          <cell r="AY204">
            <v>437</v>
          </cell>
          <cell r="AZ204">
            <v>331</v>
          </cell>
          <cell r="BA204">
            <v>281</v>
          </cell>
          <cell r="BB204">
            <v>372</v>
          </cell>
          <cell r="BC204">
            <v>421</v>
          </cell>
          <cell r="BD204">
            <v>354</v>
          </cell>
          <cell r="BE204">
            <v>316</v>
          </cell>
          <cell r="BF204">
            <v>213</v>
          </cell>
          <cell r="BG204">
            <v>233</v>
          </cell>
          <cell r="BH204">
            <v>226</v>
          </cell>
          <cell r="BI204">
            <v>200</v>
          </cell>
          <cell r="BJ204">
            <v>223</v>
          </cell>
          <cell r="BK204">
            <v>234</v>
          </cell>
          <cell r="BL204">
            <v>225</v>
          </cell>
          <cell r="BM204">
            <v>187</v>
          </cell>
          <cell r="BN204">
            <v>193</v>
          </cell>
          <cell r="BO204">
            <v>228.41517279225963</v>
          </cell>
          <cell r="BP204">
            <v>217.5459391565393</v>
          </cell>
          <cell r="BQ204">
            <v>201.17711538461538</v>
          </cell>
          <cell r="BR204">
            <v>190.10499999999999</v>
          </cell>
          <cell r="BS204">
            <v>206.61</v>
          </cell>
          <cell r="BT204">
            <v>187.86</v>
          </cell>
          <cell r="BU204">
            <v>170.63499999999999</v>
          </cell>
        </row>
        <row r="205">
          <cell r="A205" t="str">
            <v>Check</v>
          </cell>
          <cell r="C205">
            <v>0</v>
          </cell>
          <cell r="D205">
            <v>0</v>
          </cell>
          <cell r="E205">
            <v>0</v>
          </cell>
          <cell r="F205">
            <v>0</v>
          </cell>
          <cell r="G205">
            <v>0</v>
          </cell>
          <cell r="H205">
            <v>0</v>
          </cell>
          <cell r="I205">
            <v>0</v>
          </cell>
          <cell r="J205">
            <v>0</v>
          </cell>
          <cell r="K205">
            <v>0</v>
          </cell>
          <cell r="L205">
            <v>-2.6899999999999977</v>
          </cell>
          <cell r="M205">
            <v>-536.51</v>
          </cell>
          <cell r="N205">
            <v>4.6899999999999959</v>
          </cell>
          <cell r="O205">
            <v>0</v>
          </cell>
          <cell r="P205">
            <v>1.5987211554602254E-14</v>
          </cell>
          <cell r="Q205">
            <v>-1.1013412404281553E-13</v>
          </cell>
          <cell r="R205">
            <v>-8.5265128291212022E-14</v>
          </cell>
          <cell r="S205">
            <v>-1.1013412404281553E-13</v>
          </cell>
          <cell r="T205">
            <v>-1.2079226507921703E-13</v>
          </cell>
          <cell r="U205">
            <v>-5.3290705182007514E-14</v>
          </cell>
          <cell r="W205">
            <v>0</v>
          </cell>
          <cell r="X205">
            <v>0</v>
          </cell>
          <cell r="AD205">
            <v>0</v>
          </cell>
          <cell r="AE205">
            <v>0</v>
          </cell>
          <cell r="AF205">
            <v>-3.5527136788005009E-14</v>
          </cell>
          <cell r="AG205">
            <v>0</v>
          </cell>
          <cell r="AH205">
            <v>2.8421709430404007E-14</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1.9539925233402755E-14</v>
          </cell>
          <cell r="AY205">
            <v>0</v>
          </cell>
          <cell r="AZ205">
            <v>0</v>
          </cell>
          <cell r="BA205">
            <v>0</v>
          </cell>
          <cell r="BB205">
            <v>7.9936057773011271E-15</v>
          </cell>
          <cell r="BC205">
            <v>0</v>
          </cell>
          <cell r="BD205">
            <v>0</v>
          </cell>
          <cell r="BE205">
            <v>0</v>
          </cell>
          <cell r="BF205">
            <v>-147.84</v>
          </cell>
          <cell r="BG205">
            <v>-166.95</v>
          </cell>
          <cell r="BH205">
            <v>-124.46000000000001</v>
          </cell>
          <cell r="BI205">
            <v>-93.88</v>
          </cell>
          <cell r="BJ205">
            <v>12.129999999999999</v>
          </cell>
          <cell r="BK205">
            <v>-3.66</v>
          </cell>
          <cell r="BL205">
            <v>-3.7800000000000002</v>
          </cell>
          <cell r="BM205">
            <v>0</v>
          </cell>
          <cell r="BN205">
            <v>-1.0100000000000016</v>
          </cell>
          <cell r="BO205">
            <v>0</v>
          </cell>
          <cell r="BP205">
            <v>-8.8817841970012523E-15</v>
          </cell>
          <cell r="BQ205">
            <v>0</v>
          </cell>
          <cell r="BR205">
            <v>-1.021405182655144E-14</v>
          </cell>
          <cell r="BS205">
            <v>1.3322676295501878E-14</v>
          </cell>
          <cell r="BT205">
            <v>1.3766765505351941E-14</v>
          </cell>
          <cell r="BU205">
            <v>0</v>
          </cell>
        </row>
        <row r="207">
          <cell r="A207" t="str">
            <v>North American Foodservice</v>
          </cell>
          <cell r="BF207" t="str">
            <v>1Q12</v>
          </cell>
          <cell r="BG207" t="str">
            <v>2Q12</v>
          </cell>
          <cell r="BH207" t="str">
            <v>3Q12</v>
          </cell>
          <cell r="BI207" t="str">
            <v>4Q12</v>
          </cell>
          <cell r="BJ207" t="str">
            <v>1Q13</v>
          </cell>
          <cell r="BK207" t="str">
            <v>2Q13</v>
          </cell>
          <cell r="BL207" t="str">
            <v>3Q13</v>
          </cell>
          <cell r="BM207" t="str">
            <v>4Q13</v>
          </cell>
          <cell r="BN207" t="str">
            <v>1Q14</v>
          </cell>
          <cell r="BO207" t="str">
            <v>2Q14E</v>
          </cell>
          <cell r="BP207" t="str">
            <v>3Q14E</v>
          </cell>
          <cell r="BQ207" t="str">
            <v>4Q14E</v>
          </cell>
        </row>
        <row r="208">
          <cell r="A208" t="str">
            <v>Volume and Mix</v>
          </cell>
          <cell r="C208">
            <v>11.61</v>
          </cell>
          <cell r="D208">
            <v>11.82</v>
          </cell>
          <cell r="E208">
            <v>8.68</v>
          </cell>
          <cell r="F208">
            <v>63.210000000000008</v>
          </cell>
          <cell r="G208">
            <v>60.3</v>
          </cell>
          <cell r="H208">
            <v>-10.84</v>
          </cell>
          <cell r="I208">
            <v>-22.64</v>
          </cell>
          <cell r="J208">
            <v>-52.480000000000004</v>
          </cell>
          <cell r="K208">
            <v>-29.950000000000003</v>
          </cell>
          <cell r="L208">
            <v>-5.78</v>
          </cell>
          <cell r="M208">
            <v>11.8</v>
          </cell>
          <cell r="N208">
            <v>-34.49</v>
          </cell>
          <cell r="O208">
            <v>15.828000000000001</v>
          </cell>
          <cell r="P208">
            <v>12.925620909250934</v>
          </cell>
          <cell r="Q208">
            <v>9.500703316045275</v>
          </cell>
          <cell r="R208">
            <v>6.1808861287528831</v>
          </cell>
          <cell r="S208">
            <v>2.7731575764337926</v>
          </cell>
          <cell r="T208">
            <v>-0.69814241986720948</v>
          </cell>
          <cell r="U208">
            <v>-4.2077043645396621</v>
          </cell>
          <cell r="W208">
            <v>20.282240145486572</v>
          </cell>
          <cell r="X208">
            <v>-4.4542401454865708</v>
          </cell>
          <cell r="AD208">
            <v>16.559999999999999</v>
          </cell>
          <cell r="AE208">
            <v>20.720000000000002</v>
          </cell>
          <cell r="AF208">
            <v>11.450000000000001</v>
          </cell>
          <cell r="AG208">
            <v>10.26</v>
          </cell>
          <cell r="AH208">
            <v>23.200000000000003</v>
          </cell>
          <cell r="AI208">
            <v>16.600000000000001</v>
          </cell>
          <cell r="AJ208">
            <v>17.71</v>
          </cell>
          <cell r="AK208">
            <v>14.040000000000001</v>
          </cell>
          <cell r="AL208">
            <v>0</v>
          </cell>
          <cell r="AM208">
            <v>3.5100000000000002</v>
          </cell>
          <cell r="AN208">
            <v>5.42</v>
          </cell>
          <cell r="AO208">
            <v>6</v>
          </cell>
          <cell r="AP208">
            <v>5.42</v>
          </cell>
          <cell r="AQ208">
            <v>-3.66</v>
          </cell>
          <cell r="AR208">
            <v>-2.8000000000000003</v>
          </cell>
          <cell r="AS208">
            <v>-12.9</v>
          </cell>
          <cell r="AT208">
            <v>-16.8</v>
          </cell>
          <cell r="AU208">
            <v>-32.85</v>
          </cell>
          <cell r="AV208">
            <v>-20.56</v>
          </cell>
          <cell r="AW208">
            <v>-11.76</v>
          </cell>
          <cell r="AX208">
            <v>-6.5200000000000005</v>
          </cell>
          <cell r="AY208">
            <v>-4.8899999999999997</v>
          </cell>
          <cell r="AZ208">
            <v>-7.5</v>
          </cell>
          <cell r="BA208">
            <v>-7.38</v>
          </cell>
          <cell r="BB208">
            <v>-6.36</v>
          </cell>
          <cell r="BC208">
            <v>-4.7699999999999996</v>
          </cell>
          <cell r="BD208">
            <v>4.38</v>
          </cell>
          <cell r="BE208">
            <v>1.1400000000000001</v>
          </cell>
          <cell r="BF208">
            <v>3.06</v>
          </cell>
          <cell r="BG208">
            <v>11.06</v>
          </cell>
          <cell r="BH208">
            <v>-3.08</v>
          </cell>
          <cell r="BI208">
            <v>1.25</v>
          </cell>
          <cell r="BJ208">
            <v>-4.8599999999999994</v>
          </cell>
          <cell r="BK208">
            <v>-10.379999999999999</v>
          </cell>
          <cell r="BL208">
            <v>-10.780000000000001</v>
          </cell>
          <cell r="BM208">
            <v>-8.4700000000000006</v>
          </cell>
          <cell r="BN208">
            <v>-6.46</v>
          </cell>
          <cell r="BO208">
            <v>7.04</v>
          </cell>
          <cell r="BP208">
            <v>10.32</v>
          </cell>
          <cell r="BQ208">
            <v>4.9280000000000008</v>
          </cell>
          <cell r="BR208">
            <v>14.85</v>
          </cell>
          <cell r="BS208">
            <v>8.9749999999999996</v>
          </cell>
          <cell r="BT208">
            <v>7.16</v>
          </cell>
          <cell r="BU208">
            <v>10.445</v>
          </cell>
        </row>
        <row r="209">
          <cell r="A209" t="str">
            <v>Price and Sales Allowances</v>
          </cell>
          <cell r="C209">
            <v>0</v>
          </cell>
          <cell r="D209">
            <v>0</v>
          </cell>
          <cell r="E209">
            <v>17.36</v>
          </cell>
          <cell r="F209">
            <v>27.09</v>
          </cell>
          <cell r="G209">
            <v>30.15</v>
          </cell>
          <cell r="H209">
            <v>32.519999999999996</v>
          </cell>
          <cell r="I209">
            <v>22.64</v>
          </cell>
          <cell r="J209">
            <v>39.36</v>
          </cell>
          <cell r="K209">
            <v>5.99</v>
          </cell>
          <cell r="L209">
            <v>0</v>
          </cell>
          <cell r="M209">
            <v>11.8</v>
          </cell>
          <cell r="N209">
            <v>0</v>
          </cell>
          <cell r="O209">
            <v>6.5949999999999998</v>
          </cell>
          <cell r="P209">
            <v>13.605916746579931</v>
          </cell>
          <cell r="Q209">
            <v>13.572433308636109</v>
          </cell>
          <cell r="R209">
            <v>13.735302508339744</v>
          </cell>
          <cell r="S209">
            <v>13.865787882168974</v>
          </cell>
          <cell r="T209">
            <v>13.962848397344153</v>
          </cell>
          <cell r="U209">
            <v>14.025681215132202</v>
          </cell>
          <cell r="W209">
            <v>13.521493430324382</v>
          </cell>
          <cell r="X209">
            <v>-6.9264934303243821</v>
          </cell>
          <cell r="AD209">
            <v>6.21</v>
          </cell>
          <cell r="AE209">
            <v>11.84</v>
          </cell>
          <cell r="AF209">
            <v>9.16</v>
          </cell>
          <cell r="AG209">
            <v>5.13</v>
          </cell>
          <cell r="AH209">
            <v>6.96</v>
          </cell>
          <cell r="AI209">
            <v>6.6400000000000006</v>
          </cell>
          <cell r="AJ209">
            <v>5.0600000000000005</v>
          </cell>
          <cell r="AK209">
            <v>10.53</v>
          </cell>
          <cell r="AL209">
            <v>10.48</v>
          </cell>
          <cell r="AM209">
            <v>10.53</v>
          </cell>
          <cell r="AN209">
            <v>5.42</v>
          </cell>
          <cell r="AO209">
            <v>6</v>
          </cell>
          <cell r="AP209">
            <v>2.71</v>
          </cell>
          <cell r="AQ209">
            <v>3.66</v>
          </cell>
          <cell r="AR209">
            <v>5.6000000000000005</v>
          </cell>
          <cell r="AS209">
            <v>8.6</v>
          </cell>
          <cell r="AT209">
            <v>16.8</v>
          </cell>
          <cell r="AU209">
            <v>21.9</v>
          </cell>
          <cell r="AV209">
            <v>15.42</v>
          </cell>
          <cell r="AW209">
            <v>7.3500000000000005</v>
          </cell>
          <cell r="AX209">
            <v>3.2600000000000002</v>
          </cell>
          <cell r="AY209">
            <v>6.5200000000000005</v>
          </cell>
          <cell r="AZ209">
            <v>0</v>
          </cell>
          <cell r="BA209">
            <v>0</v>
          </cell>
          <cell r="BB209">
            <v>0</v>
          </cell>
          <cell r="BC209">
            <v>1.59</v>
          </cell>
          <cell r="BD209">
            <v>-1.46</v>
          </cell>
          <cell r="BE209">
            <v>-1.1400000000000001</v>
          </cell>
          <cell r="BF209">
            <v>4.59</v>
          </cell>
          <cell r="BG209">
            <v>3.16</v>
          </cell>
          <cell r="BH209">
            <v>4.62</v>
          </cell>
          <cell r="BI209">
            <v>2.5</v>
          </cell>
          <cell r="BJ209">
            <v>0</v>
          </cell>
          <cell r="BK209">
            <v>0</v>
          </cell>
          <cell r="BL209">
            <v>0</v>
          </cell>
          <cell r="BM209">
            <v>0</v>
          </cell>
          <cell r="BN209">
            <v>0</v>
          </cell>
          <cell r="BO209">
            <v>1.76</v>
          </cell>
          <cell r="BP209">
            <v>1.72</v>
          </cell>
          <cell r="BQ209">
            <v>3.1149999999999998</v>
          </cell>
          <cell r="BR209">
            <v>1.6500000000000001</v>
          </cell>
          <cell r="BS209">
            <v>1.7949999999999999</v>
          </cell>
          <cell r="BT209">
            <v>1.79</v>
          </cell>
          <cell r="BU209">
            <v>1.67</v>
          </cell>
        </row>
        <row r="210">
          <cell r="A210" t="str">
            <v>Promotional Spending</v>
          </cell>
          <cell r="C210">
            <v>0</v>
          </cell>
          <cell r="D210">
            <v>11.82</v>
          </cell>
          <cell r="E210">
            <v>0</v>
          </cell>
          <cell r="F210">
            <v>0</v>
          </cell>
          <cell r="G210">
            <v>-10.050000000000001</v>
          </cell>
          <cell r="H210">
            <v>0</v>
          </cell>
          <cell r="I210">
            <v>-11.32</v>
          </cell>
          <cell r="J210">
            <v>-19.68</v>
          </cell>
          <cell r="K210">
            <v>-5.99</v>
          </cell>
          <cell r="L210">
            <v>11.56</v>
          </cell>
          <cell r="M210">
            <v>-5.9</v>
          </cell>
          <cell r="N210">
            <v>-13.979999999999999</v>
          </cell>
          <cell r="O210">
            <v>-6.5949999999999998</v>
          </cell>
          <cell r="P210">
            <v>-6.8029583732899654</v>
          </cell>
          <cell r="Q210">
            <v>-6.7862166543180544</v>
          </cell>
          <cell r="R210">
            <v>-6.8676512541698722</v>
          </cell>
          <cell r="S210">
            <v>-6.9328939410844868</v>
          </cell>
          <cell r="T210">
            <v>-6.9814241986720766</v>
          </cell>
          <cell r="U210">
            <v>-7.0128406075661012</v>
          </cell>
          <cell r="W210">
            <v>0</v>
          </cell>
          <cell r="X210">
            <v>-6.5949999999999998</v>
          </cell>
          <cell r="AD210">
            <v>0</v>
          </cell>
          <cell r="AE210">
            <v>0</v>
          </cell>
          <cell r="AF210">
            <v>0</v>
          </cell>
          <cell r="AG210">
            <v>1.71</v>
          </cell>
          <cell r="AH210">
            <v>0</v>
          </cell>
          <cell r="AI210">
            <v>0</v>
          </cell>
          <cell r="AJ210">
            <v>-2.5300000000000002</v>
          </cell>
          <cell r="AK210">
            <v>7.0200000000000005</v>
          </cell>
          <cell r="AL210">
            <v>-2.62</v>
          </cell>
          <cell r="AM210">
            <v>-3.5100000000000002</v>
          </cell>
          <cell r="AN210">
            <v>2.71</v>
          </cell>
          <cell r="AO210">
            <v>2</v>
          </cell>
          <cell r="AP210">
            <v>-2.71</v>
          </cell>
          <cell r="AQ210">
            <v>-7.32</v>
          </cell>
          <cell r="AR210">
            <v>8.4</v>
          </cell>
          <cell r="AS210">
            <v>0</v>
          </cell>
          <cell r="AT210">
            <v>-2.8000000000000003</v>
          </cell>
          <cell r="AU210">
            <v>-3.65</v>
          </cell>
          <cell r="AV210">
            <v>-12.850000000000001</v>
          </cell>
          <cell r="AW210">
            <v>-5.88</v>
          </cell>
          <cell r="AX210">
            <v>0</v>
          </cell>
          <cell r="AY210">
            <v>0</v>
          </cell>
          <cell r="AZ210">
            <v>-1.5</v>
          </cell>
          <cell r="BA210">
            <v>-3.69</v>
          </cell>
          <cell r="BB210">
            <v>-1.59</v>
          </cell>
          <cell r="BC210">
            <v>0</v>
          </cell>
          <cell r="BD210">
            <v>2.92</v>
          </cell>
          <cell r="BE210">
            <v>9.120000000000001</v>
          </cell>
          <cell r="BF210">
            <v>1.53</v>
          </cell>
          <cell r="BG210">
            <v>0</v>
          </cell>
          <cell r="BH210">
            <v>-1.54</v>
          </cell>
          <cell r="BI210">
            <v>-6.25</v>
          </cell>
          <cell r="BJ210">
            <v>-4.8599999999999994</v>
          </cell>
          <cell r="BK210">
            <v>-6.92</v>
          </cell>
          <cell r="BL210">
            <v>-4.62</v>
          </cell>
          <cell r="BM210">
            <v>2.42</v>
          </cell>
          <cell r="BN210">
            <v>0</v>
          </cell>
          <cell r="BO210">
            <v>-1.76</v>
          </cell>
          <cell r="BP210">
            <v>-1.72</v>
          </cell>
          <cell r="BQ210">
            <v>-3.1149999999999998</v>
          </cell>
          <cell r="BR210">
            <v>-3.3000000000000003</v>
          </cell>
          <cell r="BS210">
            <v>-3.59</v>
          </cell>
          <cell r="BT210">
            <v>-3.58</v>
          </cell>
          <cell r="BU210">
            <v>-3.34</v>
          </cell>
        </row>
        <row r="211">
          <cell r="A211" t="str">
            <v>Currency</v>
          </cell>
          <cell r="C211">
            <v>0</v>
          </cell>
          <cell r="D211">
            <v>11.82</v>
          </cell>
          <cell r="E211">
            <v>17.36</v>
          </cell>
          <cell r="F211">
            <v>9.0299999999999994</v>
          </cell>
          <cell r="G211">
            <v>0</v>
          </cell>
          <cell r="H211">
            <v>0</v>
          </cell>
          <cell r="I211">
            <v>22.64</v>
          </cell>
          <cell r="J211">
            <v>-13.120000000000001</v>
          </cell>
          <cell r="K211">
            <v>5.99</v>
          </cell>
          <cell r="L211">
            <v>5.78</v>
          </cell>
          <cell r="M211">
            <v>-1.25</v>
          </cell>
          <cell r="N211">
            <v>-1.3082120478125054E-2</v>
          </cell>
          <cell r="O211">
            <v>-11.736325342006896</v>
          </cell>
          <cell r="P211">
            <v>0</v>
          </cell>
          <cell r="Q211">
            <v>0</v>
          </cell>
          <cell r="R211">
            <v>0</v>
          </cell>
          <cell r="S211">
            <v>0</v>
          </cell>
          <cell r="T211">
            <v>0</v>
          </cell>
          <cell r="U211">
            <v>0</v>
          </cell>
          <cell r="W211">
            <v>0</v>
          </cell>
          <cell r="X211">
            <v>-11.736325342006896</v>
          </cell>
          <cell r="AD211">
            <v>2.0699999999999998</v>
          </cell>
          <cell r="AE211">
            <v>2.96</v>
          </cell>
          <cell r="AF211">
            <v>2.29</v>
          </cell>
          <cell r="AG211">
            <v>0</v>
          </cell>
          <cell r="AH211">
            <v>0</v>
          </cell>
          <cell r="AI211">
            <v>-3.3200000000000003</v>
          </cell>
          <cell r="AJ211">
            <v>-2.5300000000000002</v>
          </cell>
          <cell r="AK211">
            <v>3.5100000000000002</v>
          </cell>
          <cell r="AL211">
            <v>0</v>
          </cell>
          <cell r="AM211">
            <v>3.5100000000000002</v>
          </cell>
          <cell r="AN211">
            <v>0</v>
          </cell>
          <cell r="AO211">
            <v>2</v>
          </cell>
          <cell r="AP211">
            <v>2.71</v>
          </cell>
          <cell r="AQ211">
            <v>7.32</v>
          </cell>
          <cell r="AR211">
            <v>5.6000000000000005</v>
          </cell>
          <cell r="AS211">
            <v>2.15</v>
          </cell>
          <cell r="AT211">
            <v>-2.8000000000000003</v>
          </cell>
          <cell r="AU211">
            <v>-10.95</v>
          </cell>
          <cell r="AV211">
            <v>-7.71</v>
          </cell>
          <cell r="AW211">
            <v>-2.94</v>
          </cell>
          <cell r="AX211">
            <v>0</v>
          </cell>
          <cell r="AY211">
            <v>3.2600000000000002</v>
          </cell>
          <cell r="AZ211">
            <v>4.5</v>
          </cell>
          <cell r="BA211">
            <v>2.46</v>
          </cell>
          <cell r="BB211">
            <v>1.59</v>
          </cell>
          <cell r="BC211">
            <v>1.59</v>
          </cell>
          <cell r="BD211">
            <v>1.46</v>
          </cell>
          <cell r="BE211">
            <v>2.2800000000000002</v>
          </cell>
          <cell r="BF211">
            <v>0</v>
          </cell>
          <cell r="BG211">
            <v>0</v>
          </cell>
          <cell r="BH211">
            <v>0</v>
          </cell>
          <cell r="BI211">
            <v>-1.25</v>
          </cell>
          <cell r="BJ211">
            <v>0</v>
          </cell>
          <cell r="BK211">
            <v>0</v>
          </cell>
          <cell r="BL211">
            <v>0</v>
          </cell>
          <cell r="BM211">
            <v>-1.3082120478125054E-2</v>
          </cell>
          <cell r="BN211">
            <v>0</v>
          </cell>
          <cell r="BO211">
            <v>-7.9511385735485485</v>
          </cell>
          <cell r="BP211">
            <v>-3.7851867684583489</v>
          </cell>
          <cell r="BQ211">
            <v>0</v>
          </cell>
          <cell r="BR211">
            <v>0</v>
          </cell>
          <cell r="BS211">
            <v>0</v>
          </cell>
          <cell r="BT211">
            <v>0</v>
          </cell>
          <cell r="BU211">
            <v>0</v>
          </cell>
        </row>
        <row r="212">
          <cell r="A212" t="str">
            <v>Acquisitions/Divestitures</v>
          </cell>
          <cell r="C212">
            <v>0</v>
          </cell>
          <cell r="D212">
            <v>0</v>
          </cell>
          <cell r="E212">
            <v>0</v>
          </cell>
          <cell r="F212">
            <v>0</v>
          </cell>
          <cell r="G212">
            <v>0</v>
          </cell>
          <cell r="H212">
            <v>0</v>
          </cell>
          <cell r="I212">
            <v>-508</v>
          </cell>
          <cell r="J212">
            <v>0</v>
          </cell>
          <cell r="K212">
            <v>0</v>
          </cell>
          <cell r="L212">
            <v>0</v>
          </cell>
          <cell r="M212">
            <v>0</v>
          </cell>
          <cell r="N212">
            <v>755.07100000000003</v>
          </cell>
          <cell r="O212">
            <v>14.423076923076923</v>
          </cell>
          <cell r="P212">
            <v>0</v>
          </cell>
          <cell r="Q212">
            <v>0</v>
          </cell>
          <cell r="R212">
            <v>0</v>
          </cell>
          <cell r="S212">
            <v>0</v>
          </cell>
          <cell r="T212">
            <v>0</v>
          </cell>
          <cell r="U212">
            <v>0</v>
          </cell>
          <cell r="W212">
            <v>0</v>
          </cell>
          <cell r="X212">
            <v>14.423076923076923</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-82</v>
          </cell>
          <cell r="AT212">
            <v>-112</v>
          </cell>
          <cell r="AU212">
            <v>-175</v>
          </cell>
          <cell r="AV212">
            <v>-81</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170.1</v>
          </cell>
          <cell r="BK212">
            <v>194.971</v>
          </cell>
          <cell r="BL212">
            <v>205</v>
          </cell>
          <cell r="BM212">
            <v>185</v>
          </cell>
          <cell r="BN212">
            <v>12.92</v>
          </cell>
          <cell r="BO212">
            <v>0</v>
          </cell>
          <cell r="BP212">
            <v>0</v>
          </cell>
          <cell r="BQ212">
            <v>1.5030769230769234</v>
          </cell>
          <cell r="BR212">
            <v>0</v>
          </cell>
          <cell r="BS212">
            <v>0</v>
          </cell>
          <cell r="BT212">
            <v>0</v>
          </cell>
          <cell r="BU212">
            <v>0</v>
          </cell>
        </row>
        <row r="213">
          <cell r="A213" t="str">
            <v>53rd week</v>
          </cell>
          <cell r="C213">
            <v>0</v>
          </cell>
          <cell r="D213">
            <v>0</v>
          </cell>
          <cell r="E213">
            <v>-8.68</v>
          </cell>
          <cell r="F213">
            <v>0</v>
          </cell>
          <cell r="G213">
            <v>0</v>
          </cell>
          <cell r="H213">
            <v>0</v>
          </cell>
          <cell r="I213">
            <v>22.64</v>
          </cell>
          <cell r="J213">
            <v>-13.120000000000001</v>
          </cell>
          <cell r="K213">
            <v>0</v>
          </cell>
          <cell r="L213">
            <v>0</v>
          </cell>
          <cell r="M213">
            <v>0</v>
          </cell>
          <cell r="N213">
            <v>0</v>
          </cell>
          <cell r="O213">
            <v>23.076923076923077</v>
          </cell>
          <cell r="P213">
            <v>-23.076923076923077</v>
          </cell>
          <cell r="Q213">
            <v>0</v>
          </cell>
          <cell r="R213">
            <v>0</v>
          </cell>
          <cell r="S213">
            <v>0</v>
          </cell>
          <cell r="T213">
            <v>0</v>
          </cell>
          <cell r="U213">
            <v>0</v>
          </cell>
          <cell r="W213">
            <v>0</v>
          </cell>
          <cell r="X213">
            <v>23.076923076923077</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17.2</v>
          </cell>
          <cell r="AT213">
            <v>0</v>
          </cell>
          <cell r="AU213">
            <v>0</v>
          </cell>
          <cell r="AV213">
            <v>0</v>
          </cell>
          <cell r="AW213">
            <v>-10.290000000000001</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23.076923076923077</v>
          </cell>
          <cell r="BR213">
            <v>0</v>
          </cell>
          <cell r="BS213">
            <v>0</v>
          </cell>
          <cell r="BT213">
            <v>0</v>
          </cell>
          <cell r="BU213">
            <v>-24</v>
          </cell>
        </row>
        <row r="214">
          <cell r="A214" t="str">
            <v>Rounding</v>
          </cell>
          <cell r="C214">
            <v>9.3900000000001231</v>
          </cell>
          <cell r="D214">
            <v>-349.46000000000004</v>
          </cell>
          <cell r="E214">
            <v>0.27999999999996816</v>
          </cell>
          <cell r="F214">
            <v>2.6700000000000661</v>
          </cell>
          <cell r="G214">
            <v>-1.3999999999998927</v>
          </cell>
          <cell r="H214">
            <v>26.320000000000075</v>
          </cell>
          <cell r="I214">
            <v>-2.0226959247648479</v>
          </cell>
          <cell r="J214">
            <v>2.0399999999999929</v>
          </cell>
          <cell r="K214">
            <v>2.9600000000000177</v>
          </cell>
          <cell r="L214">
            <v>0</v>
          </cell>
          <cell r="M214">
            <v>0</v>
          </cell>
          <cell r="N214">
            <v>0</v>
          </cell>
          <cell r="O214">
            <v>0</v>
          </cell>
          <cell r="P214">
            <v>0</v>
          </cell>
          <cell r="Q214">
            <v>0</v>
          </cell>
          <cell r="R214">
            <v>0</v>
          </cell>
          <cell r="S214">
            <v>0</v>
          </cell>
          <cell r="T214">
            <v>0</v>
          </cell>
          <cell r="U214">
            <v>0</v>
          </cell>
          <cell r="W214">
            <v>0</v>
          </cell>
          <cell r="X214">
            <v>0</v>
          </cell>
          <cell r="AD214">
            <v>0.16000000000002002</v>
          </cell>
          <cell r="AE214">
            <v>0.48000000000002385</v>
          </cell>
          <cell r="AF214">
            <v>1.100000000000007</v>
          </cell>
          <cell r="AG214">
            <v>162.90000000000003</v>
          </cell>
          <cell r="AH214">
            <v>-0.15999999999997971</v>
          </cell>
          <cell r="AI214">
            <v>-0.9199999999999865</v>
          </cell>
          <cell r="AJ214">
            <v>0.29000000000000326</v>
          </cell>
          <cell r="AK214">
            <v>-186.1</v>
          </cell>
          <cell r="AL214">
            <v>1.1400000000000008</v>
          </cell>
          <cell r="AM214">
            <v>0.96000000000002439</v>
          </cell>
          <cell r="AN214">
            <v>-4.5500000000000025</v>
          </cell>
          <cell r="AO214">
            <v>-1.0000000000000064</v>
          </cell>
          <cell r="AP214">
            <v>0.86999999999999877</v>
          </cell>
          <cell r="AQ214">
            <v>-1.0000000000000011</v>
          </cell>
          <cell r="AR214">
            <v>-39.800000000000011</v>
          </cell>
          <cell r="AS214">
            <v>-1.0282608695652042</v>
          </cell>
          <cell r="AT214">
            <v>0.53975903614457765</v>
          </cell>
          <cell r="AU214">
            <v>-1.4102272727272667</v>
          </cell>
          <cell r="AV214">
            <v>-0.46167664670659192</v>
          </cell>
          <cell r="AW214">
            <v>-0.47999999999998944</v>
          </cell>
          <cell r="AX214">
            <v>-0.73999999999999488</v>
          </cell>
          <cell r="AY214">
            <v>-8.8899999999999952</v>
          </cell>
          <cell r="AZ214">
            <v>0.50000000000000844</v>
          </cell>
          <cell r="BA214">
            <v>-0.38999999999999524</v>
          </cell>
          <cell r="BB214">
            <v>0.36000000000000149</v>
          </cell>
          <cell r="BC214">
            <v>0.58999999999999975</v>
          </cell>
          <cell r="BD214">
            <v>0.70000000000000018</v>
          </cell>
          <cell r="BE214">
            <v>-0.39999999999999175</v>
          </cell>
          <cell r="BF214">
            <v>-0.17999999999999872</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row>
        <row r="215">
          <cell r="O215">
            <v>1.1442329463996868</v>
          </cell>
        </row>
        <row r="216">
          <cell r="A216" t="str">
            <v>Total NA Foodservice Organic Sales</v>
          </cell>
          <cell r="C216">
            <v>11.61</v>
          </cell>
          <cell r="D216">
            <v>23.64</v>
          </cell>
          <cell r="E216">
            <v>26.04</v>
          </cell>
          <cell r="F216">
            <v>72.240000000000009</v>
          </cell>
          <cell r="G216">
            <v>60.3</v>
          </cell>
          <cell r="H216">
            <v>-10.84</v>
          </cell>
          <cell r="I216">
            <v>0</v>
          </cell>
          <cell r="J216">
            <v>-65.600000000000009</v>
          </cell>
          <cell r="K216">
            <v>-23.96</v>
          </cell>
          <cell r="L216">
            <v>0</v>
          </cell>
          <cell r="M216">
            <v>10.55</v>
          </cell>
          <cell r="N216">
            <v>-34.503082120478126</v>
          </cell>
          <cell r="O216">
            <v>4.0916746579931047</v>
          </cell>
          <cell r="P216">
            <v>12.925620909250934</v>
          </cell>
          <cell r="Q216">
            <v>9.500703316045275</v>
          </cell>
          <cell r="R216">
            <v>6.1808861287528831</v>
          </cell>
          <cell r="S216">
            <v>2.7731575764337926</v>
          </cell>
          <cell r="T216">
            <v>-0.69814241986720948</v>
          </cell>
          <cell r="U216">
            <v>-4.2077043645396621</v>
          </cell>
          <cell r="W216">
            <v>20.282240145486572</v>
          </cell>
          <cell r="X216">
            <v>-16.190565487493465</v>
          </cell>
          <cell r="AD216">
            <v>22.77</v>
          </cell>
          <cell r="AE216">
            <v>32.56</v>
          </cell>
          <cell r="AF216">
            <v>20.61</v>
          </cell>
          <cell r="AG216">
            <v>17.100000000000001</v>
          </cell>
          <cell r="AH216">
            <v>30.160000000000004</v>
          </cell>
          <cell r="AI216">
            <v>23.240000000000002</v>
          </cell>
          <cell r="AJ216">
            <v>20.240000000000002</v>
          </cell>
          <cell r="AK216">
            <v>31.59</v>
          </cell>
          <cell r="AL216">
            <v>7.86</v>
          </cell>
          <cell r="AM216">
            <v>10.53</v>
          </cell>
          <cell r="AN216">
            <v>13.55</v>
          </cell>
          <cell r="AO216">
            <v>14</v>
          </cell>
          <cell r="AP216">
            <v>5.419999999999999</v>
          </cell>
          <cell r="AQ216">
            <v>-7.32</v>
          </cell>
          <cell r="AR216">
            <v>11.200000000000001</v>
          </cell>
          <cell r="AS216">
            <v>-4.3000000000000007</v>
          </cell>
          <cell r="AT216">
            <v>-2.8000000000000003</v>
          </cell>
          <cell r="AU216">
            <v>-14.600000000000003</v>
          </cell>
          <cell r="AV216">
            <v>-17.990000000000002</v>
          </cell>
          <cell r="AW216">
            <v>-10.29</v>
          </cell>
          <cell r="AX216">
            <v>-3.2600000000000002</v>
          </cell>
          <cell r="AY216">
            <v>1.6300000000000008</v>
          </cell>
          <cell r="AZ216">
            <v>-9</v>
          </cell>
          <cell r="BA216">
            <v>-11.07</v>
          </cell>
          <cell r="BB216">
            <v>-7.95</v>
          </cell>
          <cell r="BC216">
            <v>-3.1799999999999997</v>
          </cell>
          <cell r="BD216">
            <v>5.84</v>
          </cell>
          <cell r="BE216">
            <v>9.120000000000001</v>
          </cell>
          <cell r="BF216">
            <v>9.18</v>
          </cell>
          <cell r="BG216">
            <v>14.22</v>
          </cell>
          <cell r="BH216">
            <v>0</v>
          </cell>
          <cell r="BI216">
            <v>-2.5</v>
          </cell>
          <cell r="BJ216">
            <v>-9.7199999999999989</v>
          </cell>
          <cell r="BK216">
            <v>-17.299999999999997</v>
          </cell>
          <cell r="BL216">
            <v>-15.400000000000002</v>
          </cell>
          <cell r="BM216">
            <v>-6.0500000000000007</v>
          </cell>
          <cell r="BN216">
            <v>-6.46</v>
          </cell>
          <cell r="BO216">
            <v>7.0400000000000009</v>
          </cell>
          <cell r="BP216">
            <v>10.32</v>
          </cell>
          <cell r="BQ216">
            <v>4.9280000000000008</v>
          </cell>
          <cell r="BR216">
            <v>13.2</v>
          </cell>
          <cell r="BS216">
            <v>7.18</v>
          </cell>
          <cell r="BT216">
            <v>5.3699999999999992</v>
          </cell>
          <cell r="BU216">
            <v>8.7750000000000004</v>
          </cell>
        </row>
        <row r="217">
          <cell r="A217" t="str">
            <v>NA Foodservice Sales</v>
          </cell>
          <cell r="C217">
            <v>21.000000000000121</v>
          </cell>
          <cell r="D217">
            <v>-314.00000000000006</v>
          </cell>
          <cell r="E217">
            <v>34.999999999999964</v>
          </cell>
          <cell r="F217">
            <v>102.00000000000009</v>
          </cell>
          <cell r="G217">
            <v>79.000000000000099</v>
          </cell>
          <cell r="H217">
            <v>48.000000000000071</v>
          </cell>
          <cell r="I217">
            <v>-476.06269592476485</v>
          </cell>
          <cell r="J217">
            <v>-57.000000000000014</v>
          </cell>
          <cell r="K217">
            <v>-20.999999999999982</v>
          </cell>
          <cell r="L217">
            <v>11.56</v>
          </cell>
          <cell r="M217">
            <v>16.450000000000003</v>
          </cell>
          <cell r="N217">
            <v>706.58791787952191</v>
          </cell>
          <cell r="O217">
            <v>41.59167465799311</v>
          </cell>
          <cell r="P217">
            <v>-3.3483437943821741</v>
          </cell>
          <cell r="Q217">
            <v>16.286919970363329</v>
          </cell>
          <cell r="R217">
            <v>13.048537382922756</v>
          </cell>
          <cell r="S217">
            <v>9.7060515175182793</v>
          </cell>
          <cell r="T217">
            <v>6.2832817788048665</v>
          </cell>
          <cell r="U217">
            <v>2.805136243026439</v>
          </cell>
          <cell r="W217">
            <v>33.803733575810952</v>
          </cell>
          <cell r="X217">
            <v>7.787941082182158</v>
          </cell>
          <cell r="AD217">
            <v>25.000000000000021</v>
          </cell>
          <cell r="AE217">
            <v>36.000000000000028</v>
          </cell>
          <cell r="AF217">
            <v>24.000000000000007</v>
          </cell>
          <cell r="AG217">
            <v>180.00000000000003</v>
          </cell>
          <cell r="AH217">
            <v>30.000000000000025</v>
          </cell>
          <cell r="AI217">
            <v>19.000000000000014</v>
          </cell>
          <cell r="AJ217">
            <v>18.000000000000004</v>
          </cell>
          <cell r="AK217">
            <v>-151</v>
          </cell>
          <cell r="AL217">
            <v>9.0000000000000018</v>
          </cell>
          <cell r="AM217">
            <v>15.000000000000023</v>
          </cell>
          <cell r="AN217">
            <v>8.9999999999999982</v>
          </cell>
          <cell r="AO217">
            <v>14.999999999999993</v>
          </cell>
          <cell r="AP217">
            <v>8.9999999999999982</v>
          </cell>
          <cell r="AQ217">
            <v>-1.0000000000000011</v>
          </cell>
          <cell r="AR217">
            <v>-23.000000000000011</v>
          </cell>
          <cell r="AS217">
            <v>-67.978260869565204</v>
          </cell>
          <cell r="AT217">
            <v>-117.06024096385542</v>
          </cell>
          <cell r="AU217">
            <v>-201.96022727272728</v>
          </cell>
          <cell r="AV217">
            <v>-107.1616766467066</v>
          </cell>
          <cell r="AW217">
            <v>-23.999999999999989</v>
          </cell>
          <cell r="AX217">
            <v>-3.9999999999999951</v>
          </cell>
          <cell r="AY217">
            <v>-3.9999999999999947</v>
          </cell>
          <cell r="AZ217">
            <v>-3.9999999999999916</v>
          </cell>
          <cell r="BA217">
            <v>-8.9999999999999947</v>
          </cell>
          <cell r="BB217">
            <v>-5.9999999999999991</v>
          </cell>
          <cell r="BC217">
            <v>-0.99999999999999989</v>
          </cell>
          <cell r="BD217">
            <v>8</v>
          </cell>
          <cell r="BE217">
            <v>11.000000000000011</v>
          </cell>
          <cell r="BF217">
            <v>9.0000000000000018</v>
          </cell>
          <cell r="BG217">
            <v>14.22</v>
          </cell>
          <cell r="BH217">
            <v>0</v>
          </cell>
          <cell r="BI217">
            <v>-3.75</v>
          </cell>
          <cell r="BJ217">
            <v>160.38</v>
          </cell>
          <cell r="BK217">
            <v>177.67099999999999</v>
          </cell>
          <cell r="BL217">
            <v>189.6</v>
          </cell>
          <cell r="BM217">
            <v>178.93691787952187</v>
          </cell>
          <cell r="BN217">
            <v>6.46</v>
          </cell>
          <cell r="BO217">
            <v>-0.91113857354854755</v>
          </cell>
          <cell r="BP217">
            <v>6.5348132315416514</v>
          </cell>
          <cell r="BQ217">
            <v>29.508000000000003</v>
          </cell>
          <cell r="BR217">
            <v>13.2</v>
          </cell>
          <cell r="BS217">
            <v>7.18</v>
          </cell>
          <cell r="BT217">
            <v>5.3699999999999992</v>
          </cell>
          <cell r="BU217">
            <v>-15.225</v>
          </cell>
        </row>
        <row r="218">
          <cell r="A218" t="str">
            <v>Reported</v>
          </cell>
          <cell r="B218">
            <v>1161</v>
          </cell>
          <cell r="C218">
            <v>1182</v>
          </cell>
          <cell r="D218">
            <v>868</v>
          </cell>
          <cell r="E218">
            <v>903</v>
          </cell>
          <cell r="F218">
            <v>1005</v>
          </cell>
          <cell r="G218">
            <v>1084</v>
          </cell>
          <cell r="H218">
            <v>1132</v>
          </cell>
          <cell r="I218">
            <v>656</v>
          </cell>
          <cell r="J218">
            <v>599</v>
          </cell>
          <cell r="K218">
            <v>578</v>
          </cell>
          <cell r="L218">
            <v>590</v>
          </cell>
          <cell r="M218">
            <v>610</v>
          </cell>
          <cell r="N218">
            <v>1319</v>
          </cell>
          <cell r="O218">
            <v>1360.5916746579931</v>
          </cell>
          <cell r="P218">
            <v>1357.2433308636109</v>
          </cell>
          <cell r="Q218">
            <v>1373.5302508339744</v>
          </cell>
          <cell r="R218">
            <v>1386.5787882168972</v>
          </cell>
          <cell r="S218">
            <v>1396.2848397344153</v>
          </cell>
          <cell r="T218">
            <v>1402.5681215132201</v>
          </cell>
          <cell r="U218">
            <v>1405.3732577562466</v>
          </cell>
          <cell r="W218">
            <v>1385.9530766082489</v>
          </cell>
          <cell r="X218">
            <v>-25.361401950255868</v>
          </cell>
          <cell r="Z218">
            <v>207</v>
          </cell>
          <cell r="AA218">
            <v>296</v>
          </cell>
          <cell r="AB218">
            <v>229</v>
          </cell>
          <cell r="AC218">
            <v>171</v>
          </cell>
          <cell r="AD218">
            <v>232</v>
          </cell>
          <cell r="AE218">
            <v>332</v>
          </cell>
          <cell r="AF218">
            <v>253</v>
          </cell>
          <cell r="AG218">
            <v>351</v>
          </cell>
          <cell r="AH218">
            <v>262</v>
          </cell>
          <cell r="AI218">
            <v>351</v>
          </cell>
          <cell r="AJ218">
            <v>271</v>
          </cell>
          <cell r="AK218">
            <v>200</v>
          </cell>
          <cell r="AL218">
            <v>271</v>
          </cell>
          <cell r="AM218">
            <v>366</v>
          </cell>
          <cell r="AN218">
            <v>280</v>
          </cell>
          <cell r="AO218">
            <v>215</v>
          </cell>
          <cell r="AP218">
            <v>280</v>
          </cell>
          <cell r="AQ218">
            <v>365</v>
          </cell>
          <cell r="AR218">
            <v>257</v>
          </cell>
          <cell r="AS218">
            <v>147</v>
          </cell>
          <cell r="AT218">
            <v>163</v>
          </cell>
          <cell r="AU218">
            <v>163</v>
          </cell>
          <cell r="AV218">
            <v>150</v>
          </cell>
          <cell r="AW218">
            <v>123</v>
          </cell>
          <cell r="AX218">
            <v>159</v>
          </cell>
          <cell r="AY218">
            <v>159</v>
          </cell>
          <cell r="AZ218">
            <v>146</v>
          </cell>
          <cell r="BA218">
            <v>114</v>
          </cell>
          <cell r="BB218">
            <v>153</v>
          </cell>
          <cell r="BC218">
            <v>158</v>
          </cell>
          <cell r="BD218">
            <v>154</v>
          </cell>
          <cell r="BE218">
            <v>125</v>
          </cell>
          <cell r="BF218">
            <v>162</v>
          </cell>
          <cell r="BG218">
            <v>173</v>
          </cell>
          <cell r="BH218">
            <v>154</v>
          </cell>
          <cell r="BI218">
            <v>121</v>
          </cell>
          <cell r="BJ218">
            <v>323</v>
          </cell>
          <cell r="BK218">
            <v>352</v>
          </cell>
          <cell r="BL218">
            <v>344</v>
          </cell>
          <cell r="BM218">
            <v>300</v>
          </cell>
          <cell r="BN218">
            <v>330</v>
          </cell>
          <cell r="BO218">
            <v>351.08886142645144</v>
          </cell>
          <cell r="BP218">
            <v>350.53481323154165</v>
          </cell>
          <cell r="BQ218">
            <v>329.50799999999998</v>
          </cell>
          <cell r="BR218">
            <v>343.2</v>
          </cell>
          <cell r="BS218">
            <v>366.18</v>
          </cell>
          <cell r="BT218">
            <v>363.37</v>
          </cell>
          <cell r="BU218">
            <v>318.77499999999998</v>
          </cell>
        </row>
        <row r="219">
          <cell r="A219" t="str">
            <v>Check</v>
          </cell>
          <cell r="C219">
            <v>-1.2079226507921703E-13</v>
          </cell>
          <cell r="D219">
            <v>0</v>
          </cell>
          <cell r="E219">
            <v>0</v>
          </cell>
          <cell r="F219">
            <v>0</v>
          </cell>
          <cell r="G219">
            <v>0</v>
          </cell>
          <cell r="H219">
            <v>-7.1054273576010019E-14</v>
          </cell>
          <cell r="I219">
            <v>6.2695924764852862E-2</v>
          </cell>
          <cell r="J219">
            <v>0</v>
          </cell>
          <cell r="K219">
            <v>0</v>
          </cell>
          <cell r="L219">
            <v>0.4399999999999995</v>
          </cell>
          <cell r="M219">
            <v>3.5499999999999972</v>
          </cell>
          <cell r="N219">
            <v>2.4120821204780896</v>
          </cell>
          <cell r="O219">
            <v>-5.6843418860808015E-14</v>
          </cell>
          <cell r="P219">
            <v>5.6843418860808015E-14</v>
          </cell>
          <cell r="Q219">
            <v>1.1368683772161603E-13</v>
          </cell>
          <cell r="R219">
            <v>1.0302869668521453E-13</v>
          </cell>
          <cell r="S219">
            <v>-2.1671553440683056E-13</v>
          </cell>
          <cell r="T219">
            <v>-1.7763568394002505E-14</v>
          </cell>
          <cell r="U219">
            <v>4.2632564145606011E-14</v>
          </cell>
          <cell r="W219">
            <v>-1.1368683772161603E-13</v>
          </cell>
          <cell r="X219">
            <v>5.6843418860808015E-14</v>
          </cell>
          <cell r="AD219">
            <v>0</v>
          </cell>
          <cell r="AE219">
            <v>0</v>
          </cell>
          <cell r="AF219">
            <v>0</v>
          </cell>
          <cell r="AG219">
            <v>0</v>
          </cell>
          <cell r="AH219">
            <v>0</v>
          </cell>
          <cell r="AI219">
            <v>0</v>
          </cell>
          <cell r="AJ219">
            <v>0</v>
          </cell>
          <cell r="AK219">
            <v>0</v>
          </cell>
          <cell r="AL219">
            <v>0</v>
          </cell>
          <cell r="AM219">
            <v>-2.3092638912203256E-14</v>
          </cell>
          <cell r="AN219">
            <v>0</v>
          </cell>
          <cell r="AO219">
            <v>0</v>
          </cell>
          <cell r="AP219">
            <v>0</v>
          </cell>
          <cell r="AQ219">
            <v>0</v>
          </cell>
          <cell r="AR219">
            <v>0</v>
          </cell>
          <cell r="AS219">
            <v>-2.1739130434795584E-2</v>
          </cell>
          <cell r="AT219">
            <v>6.0240963855420659E-2</v>
          </cell>
          <cell r="AU219">
            <v>-3.9772727272719521E-2</v>
          </cell>
          <cell r="AV219">
            <v>0.16167664670659576</v>
          </cell>
          <cell r="AW219">
            <v>0</v>
          </cell>
          <cell r="AX219">
            <v>0</v>
          </cell>
          <cell r="AY219">
            <v>0</v>
          </cell>
          <cell r="AZ219">
            <v>-8.4376949871511897E-15</v>
          </cell>
          <cell r="BA219">
            <v>0</v>
          </cell>
          <cell r="BB219">
            <v>0</v>
          </cell>
          <cell r="BC219">
            <v>0</v>
          </cell>
          <cell r="BD219">
            <v>0</v>
          </cell>
          <cell r="BE219">
            <v>0</v>
          </cell>
          <cell r="BF219">
            <v>0</v>
          </cell>
          <cell r="BG219">
            <v>0.77999999999999936</v>
          </cell>
          <cell r="BH219">
            <v>0</v>
          </cell>
          <cell r="BI219">
            <v>-0.25</v>
          </cell>
          <cell r="BJ219">
            <v>0.62000000000000455</v>
          </cell>
          <cell r="BK219">
            <v>1.3290000000000077</v>
          </cell>
          <cell r="BL219">
            <v>0.40000000000000568</v>
          </cell>
          <cell r="BM219">
            <v>6.3082120478128445E-2</v>
          </cell>
          <cell r="BN219">
            <v>0.54</v>
          </cell>
          <cell r="BO219">
            <v>-7.9936057773011271E-15</v>
          </cell>
          <cell r="BP219">
            <v>0</v>
          </cell>
          <cell r="BQ219">
            <v>0</v>
          </cell>
          <cell r="BR219">
            <v>0</v>
          </cell>
          <cell r="BS219">
            <v>7.1054273576010019E-15</v>
          </cell>
          <cell r="BT219">
            <v>0</v>
          </cell>
          <cell r="BU219">
            <v>-2.3092638912203256E-14</v>
          </cell>
        </row>
      </sheetData>
      <sheetData sheetId="6" refreshError="1">
        <row r="1">
          <cell r="A1" t="str">
            <v>Campbell Soup Company (CPB)</v>
          </cell>
          <cell r="O1">
            <v>37.410000000000004</v>
          </cell>
          <cell r="BR1" t="str">
            <v>Morgan Stanley Research</v>
          </cell>
          <cell r="DT1" t="str">
            <v>ElementName</v>
          </cell>
          <cell r="DU1" t="str">
            <v>ScaleOverride</v>
          </cell>
          <cell r="DV1" t="str">
            <v>UnitOverride</v>
          </cell>
          <cell r="DW1" t="str">
            <v>ReverseSign</v>
          </cell>
          <cell r="DX1" t="str">
            <v>IsDrivingAssumption</v>
          </cell>
          <cell r="DY1" t="str">
            <v>SegmentID</v>
          </cell>
          <cell r="DZ1" t="str">
            <v>UnitOverride</v>
          </cell>
          <cell r="EA1" t="str">
            <v>ReverseSign</v>
          </cell>
          <cell r="EB1" t="str">
            <v>IsDrivingAssumption</v>
          </cell>
          <cell r="EC1" t="str">
            <v>SegmentID</v>
          </cell>
        </row>
        <row r="2">
          <cell r="A2" t="str">
            <v>Income Statement</v>
          </cell>
          <cell r="BR2" t="str">
            <v>Matthew Grainger 212.761.8023</v>
          </cell>
        </row>
        <row r="3">
          <cell r="O3">
            <v>2.5771947312812813</v>
          </cell>
          <cell r="P3">
            <v>2.6940131859203036</v>
          </cell>
          <cell r="BK3">
            <v>0.66</v>
          </cell>
          <cell r="BL3">
            <v>0.69390591067005503</v>
          </cell>
          <cell r="BM3">
            <v>0.57431093610356276</v>
          </cell>
          <cell r="BN3">
            <v>0.46005711903337887</v>
          </cell>
          <cell r="BR3" t="str">
            <v>John Colantuoni 212.761.6210</v>
          </cell>
        </row>
        <row r="4">
          <cell r="O4">
            <v>2.5191587914238927</v>
          </cell>
          <cell r="P4">
            <v>2.6415061450098243</v>
          </cell>
          <cell r="BK4">
            <v>0.65930599369085174</v>
          </cell>
          <cell r="BL4">
            <v>0.7493101368081746</v>
          </cell>
          <cell r="BM4">
            <v>0.59184424013091386</v>
          </cell>
          <cell r="BN4">
            <v>0.51869842079395267</v>
          </cell>
          <cell r="BR4" t="str">
            <v>Pamela Kaufman 212.761.7151</v>
          </cell>
        </row>
        <row r="5">
          <cell r="BR5" t="str">
            <v>Tony Ryerson 212.761.6534</v>
          </cell>
        </row>
        <row r="6">
          <cell r="B6" t="str">
            <v>FYE</v>
          </cell>
          <cell r="C6" t="str">
            <v>FYE</v>
          </cell>
          <cell r="D6" t="str">
            <v>FYE</v>
          </cell>
          <cell r="E6" t="str">
            <v>FYE</v>
          </cell>
          <cell r="F6" t="str">
            <v>FYE</v>
          </cell>
          <cell r="G6" t="str">
            <v>FYE</v>
          </cell>
          <cell r="H6" t="str">
            <v>FYE</v>
          </cell>
          <cell r="I6" t="str">
            <v>FYE</v>
          </cell>
          <cell r="J6" t="str">
            <v>FYE</v>
          </cell>
          <cell r="K6" t="str">
            <v>FYE</v>
          </cell>
          <cell r="L6" t="str">
            <v>FYE</v>
          </cell>
          <cell r="M6" t="str">
            <v>FYE</v>
          </cell>
          <cell r="N6" t="str">
            <v>FYE</v>
          </cell>
          <cell r="O6" t="str">
            <v>FYE</v>
          </cell>
          <cell r="P6" t="str">
            <v>FYE</v>
          </cell>
          <cell r="W6" t="str">
            <v>1Q:F04</v>
          </cell>
          <cell r="X6" t="str">
            <v>2Q:F04</v>
          </cell>
          <cell r="Y6" t="str">
            <v>3Q:F04</v>
          </cell>
          <cell r="Z6" t="str">
            <v>4Q:F04</v>
          </cell>
          <cell r="AA6" t="str">
            <v>1Q:F05</v>
          </cell>
          <cell r="AB6" t="str">
            <v>2Q:F05</v>
          </cell>
          <cell r="AC6" t="str">
            <v>3Q:F05</v>
          </cell>
          <cell r="AD6" t="str">
            <v>4Q:F05</v>
          </cell>
          <cell r="AE6" t="str">
            <v>1Q:F06</v>
          </cell>
          <cell r="AF6" t="str">
            <v>2Q:F06</v>
          </cell>
          <cell r="AG6" t="str">
            <v>3Q:F06</v>
          </cell>
          <cell r="AH6" t="str">
            <v>4Q:F06</v>
          </cell>
          <cell r="AI6" t="str">
            <v>1Q:F07</v>
          </cell>
          <cell r="AJ6" t="str">
            <v>2Q:F07</v>
          </cell>
          <cell r="AK6" t="str">
            <v>3Q:F07</v>
          </cell>
          <cell r="AL6" t="str">
            <v>4Q:F07</v>
          </cell>
          <cell r="AM6" t="str">
            <v>1Q:F08</v>
          </cell>
          <cell r="AN6" t="str">
            <v>2Q:F08</v>
          </cell>
          <cell r="AO6" t="str">
            <v>3Q:F08</v>
          </cell>
          <cell r="AP6" t="str">
            <v>4Q:F08</v>
          </cell>
        </row>
        <row r="7">
          <cell r="B7">
            <v>37103</v>
          </cell>
          <cell r="C7">
            <v>37468</v>
          </cell>
          <cell r="D7">
            <v>37833</v>
          </cell>
          <cell r="E7">
            <v>38199</v>
          </cell>
          <cell r="F7">
            <v>38564</v>
          </cell>
          <cell r="G7">
            <v>38929</v>
          </cell>
          <cell r="H7">
            <v>39294</v>
          </cell>
          <cell r="I7">
            <v>39660</v>
          </cell>
          <cell r="J7">
            <v>40025</v>
          </cell>
          <cell r="K7">
            <v>40390</v>
          </cell>
          <cell r="L7" t="str">
            <v>7/31/2011e</v>
          </cell>
          <cell r="M7" t="str">
            <v>7/31/2012e</v>
          </cell>
          <cell r="N7" t="str">
            <v>7/31/2013e</v>
          </cell>
          <cell r="O7" t="str">
            <v>7/31/2014e</v>
          </cell>
          <cell r="P7" t="str">
            <v>7/31/2015e</v>
          </cell>
          <cell r="Q7">
            <v>42582</v>
          </cell>
          <cell r="R7">
            <v>42947</v>
          </cell>
          <cell r="S7">
            <v>43312</v>
          </cell>
          <cell r="T7">
            <v>43677</v>
          </cell>
          <cell r="U7">
            <v>44043</v>
          </cell>
          <cell r="W7">
            <v>37925</v>
          </cell>
          <cell r="X7">
            <v>38016</v>
          </cell>
          <cell r="Y7">
            <v>38108</v>
          </cell>
          <cell r="Z7">
            <v>38199</v>
          </cell>
          <cell r="AA7">
            <v>38291</v>
          </cell>
          <cell r="AB7">
            <v>38382</v>
          </cell>
          <cell r="AC7">
            <v>38473</v>
          </cell>
          <cell r="AD7">
            <v>38564</v>
          </cell>
          <cell r="AE7">
            <v>38655</v>
          </cell>
          <cell r="AF7">
            <v>38746</v>
          </cell>
          <cell r="AG7">
            <v>38837</v>
          </cell>
          <cell r="AH7">
            <v>38928</v>
          </cell>
          <cell r="AI7">
            <v>39019</v>
          </cell>
          <cell r="AJ7">
            <v>39111</v>
          </cell>
          <cell r="AK7">
            <v>39202</v>
          </cell>
          <cell r="AL7">
            <v>39294</v>
          </cell>
          <cell r="AM7">
            <v>39384</v>
          </cell>
          <cell r="AN7">
            <v>39476</v>
          </cell>
          <cell r="AO7">
            <v>39568</v>
          </cell>
          <cell r="AP7" t="str">
            <v>7/31/2008e</v>
          </cell>
          <cell r="BF7">
            <v>41121</v>
          </cell>
          <cell r="BG7">
            <v>41212</v>
          </cell>
          <cell r="BH7">
            <v>41303</v>
          </cell>
          <cell r="BI7">
            <v>41394</v>
          </cell>
          <cell r="BJ7">
            <v>41486</v>
          </cell>
          <cell r="BK7">
            <v>41577</v>
          </cell>
          <cell r="BL7">
            <v>41668</v>
          </cell>
          <cell r="BM7">
            <v>41759</v>
          </cell>
          <cell r="BN7">
            <v>41851</v>
          </cell>
          <cell r="BO7">
            <v>41942</v>
          </cell>
          <cell r="BP7">
            <v>42033</v>
          </cell>
          <cell r="BQ7">
            <v>42124</v>
          </cell>
          <cell r="BR7">
            <v>42216</v>
          </cell>
        </row>
        <row r="8">
          <cell r="A8" t="str">
            <v>($millions, except per share data)</v>
          </cell>
          <cell r="B8">
            <v>2001</v>
          </cell>
          <cell r="C8">
            <v>2002</v>
          </cell>
          <cell r="D8">
            <v>2003</v>
          </cell>
          <cell r="E8">
            <v>2004</v>
          </cell>
          <cell r="F8">
            <v>2005</v>
          </cell>
          <cell r="G8">
            <v>2006</v>
          </cell>
          <cell r="H8">
            <v>2007</v>
          </cell>
          <cell r="I8">
            <v>2008</v>
          </cell>
          <cell r="J8" t="str">
            <v>2009</v>
          </cell>
          <cell r="K8">
            <v>2010</v>
          </cell>
          <cell r="L8">
            <v>2011</v>
          </cell>
          <cell r="M8">
            <v>2012</v>
          </cell>
          <cell r="N8">
            <v>2013</v>
          </cell>
          <cell r="O8" t="str">
            <v>2014E</v>
          </cell>
          <cell r="P8" t="str">
            <v>2015E</v>
          </cell>
          <cell r="Q8" t="str">
            <v>2016E</v>
          </cell>
          <cell r="R8" t="str">
            <v>2017E</v>
          </cell>
          <cell r="S8" t="str">
            <v>2018E</v>
          </cell>
          <cell r="T8" t="str">
            <v>2019E</v>
          </cell>
          <cell r="U8" t="str">
            <v>2020E</v>
          </cell>
          <cell r="W8" t="str">
            <v>1Q04</v>
          </cell>
          <cell r="X8" t="str">
            <v>2Q04</v>
          </cell>
          <cell r="Y8" t="str">
            <v>3Q04</v>
          </cell>
          <cell r="Z8" t="str">
            <v>4Q04</v>
          </cell>
          <cell r="AA8" t="str">
            <v>1Q05</v>
          </cell>
          <cell r="AB8" t="str">
            <v>2Q05</v>
          </cell>
          <cell r="AC8" t="str">
            <v>3Q05</v>
          </cell>
          <cell r="AD8" t="str">
            <v>4Q05</v>
          </cell>
          <cell r="AE8" t="str">
            <v>1Q06</v>
          </cell>
          <cell r="AF8" t="str">
            <v>2Q06</v>
          </cell>
          <cell r="AG8" t="str">
            <v>3Q06</v>
          </cell>
          <cell r="AH8" t="str">
            <v>4Q06</v>
          </cell>
          <cell r="AI8" t="str">
            <v>1Q07</v>
          </cell>
          <cell r="AJ8" t="str">
            <v>2Q07</v>
          </cell>
          <cell r="AK8" t="str">
            <v>3Q07</v>
          </cell>
          <cell r="AL8" t="str">
            <v>4Q07</v>
          </cell>
          <cell r="AM8" t="str">
            <v>1Q08</v>
          </cell>
          <cell r="AN8" t="str">
            <v>2Q08</v>
          </cell>
          <cell r="AO8" t="str">
            <v>3Q08</v>
          </cell>
          <cell r="AP8" t="str">
            <v>4Q08</v>
          </cell>
          <cell r="AQ8" t="str">
            <v>1Q09</v>
          </cell>
          <cell r="AR8" t="str">
            <v>2Q09</v>
          </cell>
          <cell r="AS8" t="str">
            <v>3Q09</v>
          </cell>
          <cell r="AT8" t="str">
            <v>4Q09</v>
          </cell>
          <cell r="AU8" t="str">
            <v>1Q10</v>
          </cell>
          <cell r="AV8" t="str">
            <v>2Q10</v>
          </cell>
          <cell r="AW8" t="str">
            <v>3Q10</v>
          </cell>
          <cell r="AX8" t="str">
            <v>4Q10</v>
          </cell>
          <cell r="AY8" t="str">
            <v>1Q11</v>
          </cell>
          <cell r="AZ8" t="str">
            <v>2Q11</v>
          </cell>
          <cell r="BA8" t="str">
            <v>3Q11</v>
          </cell>
          <cell r="BB8" t="str">
            <v>4Q11</v>
          </cell>
          <cell r="BC8" t="str">
            <v>1Q12</v>
          </cell>
          <cell r="BD8" t="str">
            <v>2Q12</v>
          </cell>
          <cell r="BE8" t="str">
            <v>3Q12</v>
          </cell>
          <cell r="BF8" t="str">
            <v>4Q12</v>
          </cell>
          <cell r="BG8" t="str">
            <v>1Q13</v>
          </cell>
          <cell r="BH8" t="str">
            <v>2Q13</v>
          </cell>
          <cell r="BI8" t="str">
            <v>3Q13</v>
          </cell>
          <cell r="BJ8" t="str">
            <v>4Q13</v>
          </cell>
          <cell r="BK8" t="str">
            <v>1Q14</v>
          </cell>
          <cell r="BL8" t="str">
            <v>2Q14E</v>
          </cell>
          <cell r="BM8" t="str">
            <v>3Q14E</v>
          </cell>
          <cell r="BN8" t="str">
            <v>4Q14E</v>
          </cell>
          <cell r="BO8" t="str">
            <v>1Q15E</v>
          </cell>
          <cell r="BP8" t="str">
            <v>2Q15E</v>
          </cell>
          <cell r="BQ8" t="str">
            <v>3Q15E</v>
          </cell>
          <cell r="BR8" t="str">
            <v>4Q15E</v>
          </cell>
        </row>
        <row r="10">
          <cell r="A10" t="str">
            <v>Net sales</v>
          </cell>
          <cell r="B10">
            <v>5771</v>
          </cell>
          <cell r="C10">
            <v>6133</v>
          </cell>
          <cell r="D10">
            <v>6678</v>
          </cell>
          <cell r="E10">
            <v>7109</v>
          </cell>
          <cell r="F10">
            <v>7548</v>
          </cell>
          <cell r="G10">
            <v>7681</v>
          </cell>
          <cell r="H10">
            <v>7871</v>
          </cell>
          <cell r="I10">
            <v>7998</v>
          </cell>
          <cell r="J10">
            <v>7586</v>
          </cell>
          <cell r="K10">
            <v>7676</v>
          </cell>
          <cell r="L10">
            <v>7719</v>
          </cell>
          <cell r="M10">
            <v>7175</v>
          </cell>
          <cell r="N10">
            <v>8052</v>
          </cell>
          <cell r="O10">
            <v>8344.1379261466936</v>
          </cell>
          <cell r="P10">
            <v>8477.2594135308245</v>
          </cell>
          <cell r="Q10">
            <v>8659.2402762490801</v>
          </cell>
          <cell r="R10">
            <v>8842.5256276266518</v>
          </cell>
          <cell r="S10">
            <v>9027.1539918018316</v>
          </cell>
          <cell r="T10">
            <v>9213.1926462908486</v>
          </cell>
          <cell r="U10">
            <v>9400.7388930797224</v>
          </cell>
          <cell r="W10">
            <v>1909</v>
          </cell>
          <cell r="X10">
            <v>2100</v>
          </cell>
          <cell r="Y10">
            <v>1667</v>
          </cell>
          <cell r="Z10">
            <v>1433</v>
          </cell>
          <cell r="AA10">
            <v>2091</v>
          </cell>
          <cell r="AB10">
            <v>2223</v>
          </cell>
          <cell r="AC10">
            <v>1736</v>
          </cell>
          <cell r="AD10">
            <v>2281</v>
          </cell>
          <cell r="AE10">
            <v>2110</v>
          </cell>
          <cell r="AF10">
            <v>2281</v>
          </cell>
          <cell r="AG10">
            <v>1836</v>
          </cell>
          <cell r="AH10">
            <v>1454</v>
          </cell>
          <cell r="AI10">
            <v>2153</v>
          </cell>
          <cell r="AJ10">
            <v>2252</v>
          </cell>
          <cell r="AK10">
            <v>1872</v>
          </cell>
          <cell r="AL10">
            <v>1594</v>
          </cell>
          <cell r="AM10">
            <v>2298</v>
          </cell>
          <cell r="AN10">
            <v>2407</v>
          </cell>
          <cell r="AO10">
            <v>1970</v>
          </cell>
          <cell r="AP10">
            <v>1715</v>
          </cell>
          <cell r="AQ10">
            <v>2250</v>
          </cell>
          <cell r="AR10">
            <v>2122</v>
          </cell>
          <cell r="AS10">
            <v>1686</v>
          </cell>
          <cell r="AT10">
            <v>1528</v>
          </cell>
          <cell r="AU10">
            <v>2203</v>
          </cell>
          <cell r="AV10">
            <v>2153</v>
          </cell>
          <cell r="AW10">
            <v>1802</v>
          </cell>
          <cell r="AX10">
            <v>1518</v>
          </cell>
          <cell r="AY10">
            <v>2172</v>
          </cell>
          <cell r="AZ10">
            <v>2127</v>
          </cell>
          <cell r="BA10">
            <v>1813</v>
          </cell>
          <cell r="BB10">
            <v>1607</v>
          </cell>
          <cell r="BC10">
            <v>2015</v>
          </cell>
          <cell r="BD10">
            <v>1943</v>
          </cell>
          <cell r="BE10">
            <v>1698</v>
          </cell>
          <cell r="BF10">
            <v>1519</v>
          </cell>
          <cell r="BG10">
            <v>2205</v>
          </cell>
          <cell r="BH10">
            <v>2162</v>
          </cell>
          <cell r="BI10">
            <v>1962</v>
          </cell>
          <cell r="BJ10">
            <v>1723</v>
          </cell>
          <cell r="BK10">
            <v>2165</v>
          </cell>
          <cell r="BL10">
            <v>2230.102269029438</v>
          </cell>
          <cell r="BM10">
            <v>1993.3583109634098</v>
          </cell>
          <cell r="BN10">
            <v>1955.6773461538467</v>
          </cell>
          <cell r="BO10">
            <v>2212.7249999999999</v>
          </cell>
          <cell r="BP10">
            <v>2260.9450000000002</v>
          </cell>
          <cell r="BQ10">
            <v>1969.37</v>
          </cell>
          <cell r="BR10">
            <v>1750.6649999999995</v>
          </cell>
          <cell r="DT10" t="str">
            <v>mstag:revenueNet</v>
          </cell>
          <cell r="DU10">
            <v>6</v>
          </cell>
          <cell r="DV10" t="str">
            <v>ISO4217:USD</v>
          </cell>
          <cell r="DW10" t="b">
            <v>0</v>
          </cell>
          <cell r="DX10" t="str">
            <v>mstag:revenueNet</v>
          </cell>
          <cell r="DY10">
            <v>6</v>
          </cell>
          <cell r="DZ10" t="str">
            <v>ISO4217:USD</v>
          </cell>
          <cell r="EA10" t="b">
            <v>0</v>
          </cell>
        </row>
        <row r="12">
          <cell r="A12" t="str">
            <v>Cost of products sold</v>
          </cell>
          <cell r="B12">
            <v>3132</v>
          </cell>
          <cell r="C12">
            <v>3443</v>
          </cell>
          <cell r="D12">
            <v>3805</v>
          </cell>
          <cell r="E12">
            <v>4187</v>
          </cell>
          <cell r="F12">
            <v>4491</v>
          </cell>
          <cell r="G12">
            <v>4562.2080883799308</v>
          </cell>
          <cell r="H12">
            <v>4571</v>
          </cell>
          <cell r="I12">
            <v>4820</v>
          </cell>
          <cell r="J12">
            <v>4536</v>
          </cell>
          <cell r="K12">
            <v>4526</v>
          </cell>
          <cell r="L12">
            <v>4616</v>
          </cell>
          <cell r="M12">
            <v>4365</v>
          </cell>
          <cell r="N12">
            <v>5049</v>
          </cell>
          <cell r="O12">
            <v>5256.806893472417</v>
          </cell>
          <cell r="P12">
            <v>5323.7189116973577</v>
          </cell>
          <cell r="Q12">
            <v>5420.6844129319243</v>
          </cell>
          <cell r="R12">
            <v>5517.7359916390305</v>
          </cell>
          <cell r="S12">
            <v>5614.8897829007392</v>
          </cell>
          <cell r="T12">
            <v>5712.1794407003263</v>
          </cell>
          <cell r="U12">
            <v>5809.6566359232684</v>
          </cell>
          <cell r="W12">
            <v>1108</v>
          </cell>
          <cell r="X12">
            <v>1212</v>
          </cell>
          <cell r="Y12">
            <v>995</v>
          </cell>
          <cell r="Z12">
            <v>872</v>
          </cell>
          <cell r="AA12">
            <v>1245</v>
          </cell>
          <cell r="AB12">
            <v>1322</v>
          </cell>
          <cell r="AC12">
            <v>1035</v>
          </cell>
          <cell r="AD12">
            <v>1334</v>
          </cell>
          <cell r="AE12">
            <v>1228</v>
          </cell>
          <cell r="AF12">
            <v>1334</v>
          </cell>
          <cell r="AG12">
            <v>1089</v>
          </cell>
          <cell r="AH12">
            <v>911.20808837993104</v>
          </cell>
          <cell r="AI12">
            <v>1236</v>
          </cell>
          <cell r="AJ12">
            <v>1286</v>
          </cell>
          <cell r="AK12">
            <v>1094</v>
          </cell>
          <cell r="AL12">
            <v>955</v>
          </cell>
          <cell r="AM12">
            <v>1344</v>
          </cell>
          <cell r="AN12">
            <v>1442.246618575293</v>
          </cell>
          <cell r="AO12">
            <v>1209.2446808510638</v>
          </cell>
          <cell r="AP12">
            <v>1044</v>
          </cell>
          <cell r="AQ12">
            <v>1346</v>
          </cell>
          <cell r="AR12">
            <v>1277</v>
          </cell>
          <cell r="AS12">
            <v>1006</v>
          </cell>
          <cell r="AT12">
            <v>907</v>
          </cell>
          <cell r="AU12">
            <v>1280</v>
          </cell>
          <cell r="AV12">
            <v>1282</v>
          </cell>
          <cell r="AW12">
            <v>1059</v>
          </cell>
          <cell r="AX12">
            <v>905</v>
          </cell>
          <cell r="AY12">
            <v>1278</v>
          </cell>
          <cell r="AZ12">
            <v>1289</v>
          </cell>
          <cell r="BA12">
            <v>1081</v>
          </cell>
          <cell r="BB12">
            <v>968</v>
          </cell>
          <cell r="BC12">
            <v>1213</v>
          </cell>
          <cell r="BD12">
            <v>1193</v>
          </cell>
          <cell r="BE12">
            <v>1033</v>
          </cell>
          <cell r="BF12">
            <v>926</v>
          </cell>
          <cell r="BG12">
            <v>1363</v>
          </cell>
          <cell r="BH12">
            <v>1360</v>
          </cell>
          <cell r="BI12">
            <v>1236</v>
          </cell>
          <cell r="BJ12">
            <v>1090</v>
          </cell>
          <cell r="BK12">
            <v>1386</v>
          </cell>
          <cell r="BL12">
            <v>1398.2741226814576</v>
          </cell>
          <cell r="BM12">
            <v>1255.8157359069482</v>
          </cell>
          <cell r="BN12">
            <v>1216.7170348840109</v>
          </cell>
          <cell r="BO12">
            <v>1419.871905051963</v>
          </cell>
          <cell r="BP12">
            <v>1456.3627928737396</v>
          </cell>
          <cell r="BQ12">
            <v>1277.5613090862942</v>
          </cell>
          <cell r="BR12">
            <v>1143.1746297804557</v>
          </cell>
          <cell r="DT12" t="str">
            <v>mstag:costOfSalesWithDepreciation</v>
          </cell>
          <cell r="DU12">
            <v>6</v>
          </cell>
          <cell r="DV12" t="str">
            <v>ISO4217:USD</v>
          </cell>
          <cell r="DW12" t="b">
            <v>0</v>
          </cell>
          <cell r="DX12" t="str">
            <v>mstag:costOfSalesWithDepreciation</v>
          </cell>
          <cell r="DY12">
            <v>6</v>
          </cell>
          <cell r="DZ12" t="str">
            <v>ISO4217:USD</v>
          </cell>
          <cell r="EA12" t="b">
            <v>0</v>
          </cell>
        </row>
        <row r="13">
          <cell r="A13" t="str">
            <v>Gross profit</v>
          </cell>
          <cell r="B13">
            <v>2639</v>
          </cell>
          <cell r="C13">
            <v>2690</v>
          </cell>
          <cell r="D13">
            <v>2873</v>
          </cell>
          <cell r="E13">
            <v>2922</v>
          </cell>
          <cell r="F13">
            <v>3057</v>
          </cell>
          <cell r="G13">
            <v>3118.7919116200692</v>
          </cell>
          <cell r="H13">
            <v>3300</v>
          </cell>
          <cell r="I13">
            <v>3178</v>
          </cell>
          <cell r="J13">
            <v>3050</v>
          </cell>
          <cell r="K13">
            <v>3150</v>
          </cell>
          <cell r="L13">
            <v>3103</v>
          </cell>
          <cell r="M13">
            <v>2810</v>
          </cell>
          <cell r="N13">
            <v>3003</v>
          </cell>
          <cell r="O13">
            <v>3087.3310326742767</v>
          </cell>
          <cell r="P13">
            <v>3153.5405018334668</v>
          </cell>
          <cell r="Q13">
            <v>3238.5558633171559</v>
          </cell>
          <cell r="R13">
            <v>3324.7896359876213</v>
          </cell>
          <cell r="S13">
            <v>3412.2642089010924</v>
          </cell>
          <cell r="T13">
            <v>3501.0132055905224</v>
          </cell>
          <cell r="U13">
            <v>3591.082257156454</v>
          </cell>
          <cell r="W13">
            <v>801</v>
          </cell>
          <cell r="X13">
            <v>888</v>
          </cell>
          <cell r="Y13">
            <v>672</v>
          </cell>
          <cell r="Z13">
            <v>561</v>
          </cell>
          <cell r="AA13">
            <v>846</v>
          </cell>
          <cell r="AB13">
            <v>901</v>
          </cell>
          <cell r="AC13">
            <v>701</v>
          </cell>
          <cell r="AD13">
            <v>947</v>
          </cell>
          <cell r="AE13">
            <v>882</v>
          </cell>
          <cell r="AF13">
            <v>947</v>
          </cell>
          <cell r="AG13">
            <v>747</v>
          </cell>
          <cell r="AH13">
            <v>542.79191162006896</v>
          </cell>
          <cell r="AI13">
            <v>917</v>
          </cell>
          <cell r="AJ13">
            <v>966</v>
          </cell>
          <cell r="AK13">
            <v>778</v>
          </cell>
          <cell r="AL13">
            <v>639</v>
          </cell>
          <cell r="AM13">
            <v>954</v>
          </cell>
          <cell r="AN13">
            <v>964.75338142470696</v>
          </cell>
          <cell r="AO13">
            <v>760.75531914893622</v>
          </cell>
          <cell r="AP13">
            <v>671</v>
          </cell>
          <cell r="AQ13">
            <v>904</v>
          </cell>
          <cell r="AR13">
            <v>845</v>
          </cell>
          <cell r="AS13">
            <v>680</v>
          </cell>
          <cell r="AT13">
            <v>621</v>
          </cell>
          <cell r="AU13">
            <v>923</v>
          </cell>
          <cell r="AV13">
            <v>871</v>
          </cell>
          <cell r="AW13">
            <v>743</v>
          </cell>
          <cell r="AX13">
            <v>613</v>
          </cell>
          <cell r="AY13">
            <v>894</v>
          </cell>
          <cell r="AZ13">
            <v>838</v>
          </cell>
          <cell r="BA13">
            <v>732</v>
          </cell>
          <cell r="BB13">
            <v>639</v>
          </cell>
          <cell r="BC13">
            <v>802</v>
          </cell>
          <cell r="BD13">
            <v>750</v>
          </cell>
          <cell r="BE13">
            <v>665</v>
          </cell>
          <cell r="BF13">
            <v>593</v>
          </cell>
          <cell r="BG13">
            <v>842</v>
          </cell>
          <cell r="BH13">
            <v>802</v>
          </cell>
          <cell r="BI13">
            <v>726</v>
          </cell>
          <cell r="BJ13">
            <v>633</v>
          </cell>
          <cell r="BK13">
            <v>779</v>
          </cell>
          <cell r="BL13">
            <v>831.82814634798046</v>
          </cell>
          <cell r="BM13">
            <v>737.5425750564616</v>
          </cell>
          <cell r="BN13">
            <v>738.96031126983576</v>
          </cell>
          <cell r="BO13">
            <v>792.85309494803687</v>
          </cell>
          <cell r="BP13">
            <v>804.58220712626053</v>
          </cell>
          <cell r="BQ13">
            <v>691.80869091370573</v>
          </cell>
          <cell r="BR13">
            <v>607.49037021954382</v>
          </cell>
        </row>
        <row r="14">
          <cell r="A14" t="str">
            <v>Gross Profit Margin</v>
          </cell>
          <cell r="B14">
            <v>0.457286432160804</v>
          </cell>
          <cell r="C14">
            <v>0.43861079406489484</v>
          </cell>
          <cell r="D14">
            <v>0.43021862833183588</v>
          </cell>
          <cell r="E14">
            <v>0.41102827401884934</v>
          </cell>
          <cell r="F14">
            <v>0.40500794912559618</v>
          </cell>
          <cell r="G14">
            <v>0.40603982705638186</v>
          </cell>
          <cell r="H14">
            <v>0.41926057680091477</v>
          </cell>
          <cell r="I14">
            <v>0.39734933733433359</v>
          </cell>
          <cell r="J14">
            <v>0.40205641972053785</v>
          </cell>
          <cell r="K14">
            <v>0.41036998436685773</v>
          </cell>
          <cell r="L14">
            <v>0.40199507708252363</v>
          </cell>
          <cell r="M14">
            <v>0.3916376306620209</v>
          </cell>
          <cell r="N14">
            <v>0.37295081967213117</v>
          </cell>
          <cell r="O14">
            <v>0.37</v>
          </cell>
          <cell r="P14">
            <v>0.372</v>
          </cell>
          <cell r="Q14">
            <v>0.374</v>
          </cell>
          <cell r="R14">
            <v>0.376</v>
          </cell>
          <cell r="S14">
            <v>0.378</v>
          </cell>
          <cell r="T14">
            <v>0.38</v>
          </cell>
          <cell r="U14">
            <v>0.38200000000000001</v>
          </cell>
          <cell r="W14">
            <v>0.41959140911471976</v>
          </cell>
          <cell r="X14">
            <v>0.42285714285714288</v>
          </cell>
          <cell r="Y14">
            <v>0.40311937612477505</v>
          </cell>
          <cell r="Z14">
            <v>0.39148639218422887</v>
          </cell>
          <cell r="AA14">
            <v>0.40459110473457677</v>
          </cell>
          <cell r="AB14">
            <v>0.40530814215024741</v>
          </cell>
          <cell r="AC14">
            <v>0.40380184331797236</v>
          </cell>
          <cell r="AD14">
            <v>0.41516878562034193</v>
          </cell>
          <cell r="AE14">
            <v>0.41800947867298577</v>
          </cell>
          <cell r="AF14">
            <v>0.41516878562034193</v>
          </cell>
          <cell r="AG14">
            <v>0.40686274509803921</v>
          </cell>
          <cell r="AH14">
            <v>0.37330943027515057</v>
          </cell>
          <cell r="AI14">
            <v>0.42591732466326054</v>
          </cell>
          <cell r="AJ14">
            <v>0.4289520426287744</v>
          </cell>
          <cell r="AK14">
            <v>0.41559829059829062</v>
          </cell>
          <cell r="AL14">
            <v>0.40087829360100374</v>
          </cell>
          <cell r="AM14">
            <v>0.41514360313315929</v>
          </cell>
          <cell r="AN14">
            <v>0.40081154192966639</v>
          </cell>
          <cell r="AO14">
            <v>0.38617021276595748</v>
          </cell>
          <cell r="AP14">
            <v>0.39125364431486881</v>
          </cell>
          <cell r="AQ14">
            <v>0.40177777777777779</v>
          </cell>
          <cell r="AR14">
            <v>0.39820923656927426</v>
          </cell>
          <cell r="AS14">
            <v>0.40332147093712928</v>
          </cell>
          <cell r="AT14">
            <v>0.406413612565445</v>
          </cell>
          <cell r="AU14">
            <v>0.41897412619155699</v>
          </cell>
          <cell r="AV14">
            <v>0.40455178820250814</v>
          </cell>
          <cell r="AW14">
            <v>0.41231964483906769</v>
          </cell>
          <cell r="AX14">
            <v>0.40382081686429511</v>
          </cell>
          <cell r="AY14">
            <v>0.41160220994475138</v>
          </cell>
          <cell r="AZ14">
            <v>0.39398213446168312</v>
          </cell>
          <cell r="BA14">
            <v>0.40375068946497517</v>
          </cell>
          <cell r="BB14">
            <v>0.39763534536403233</v>
          </cell>
          <cell r="BC14">
            <v>0.39801488833746901</v>
          </cell>
          <cell r="BD14">
            <v>0.38600102933607822</v>
          </cell>
          <cell r="BE14">
            <v>0.39163722025912839</v>
          </cell>
          <cell r="BF14">
            <v>0.39038841342988806</v>
          </cell>
          <cell r="BG14">
            <v>0.38185941043083899</v>
          </cell>
          <cell r="BH14">
            <v>0.37095282146160963</v>
          </cell>
          <cell r="BI14">
            <v>0.37003058103975534</v>
          </cell>
          <cell r="BJ14">
            <v>0.367382472431805</v>
          </cell>
          <cell r="BK14">
            <v>0.35981524249422631</v>
          </cell>
          <cell r="BL14">
            <v>0.37300000000000005</v>
          </cell>
          <cell r="BM14">
            <v>0.37</v>
          </cell>
          <cell r="BN14">
            <v>0.37785389942933062</v>
          </cell>
          <cell r="BO14">
            <v>0.3583152424942263</v>
          </cell>
          <cell r="BP14">
            <v>0.35586102586584833</v>
          </cell>
          <cell r="BQ14">
            <v>0.35128426395939094</v>
          </cell>
          <cell r="BR14">
            <v>0.34700549232408484</v>
          </cell>
        </row>
        <row r="16">
          <cell r="A16" t="str">
            <v>Marketing and selling expenses</v>
          </cell>
          <cell r="B16">
            <v>890</v>
          </cell>
          <cell r="C16">
            <v>1073.2749999999999</v>
          </cell>
          <cell r="D16">
            <v>1141.9380000000001</v>
          </cell>
          <cell r="E16">
            <v>1153</v>
          </cell>
          <cell r="F16">
            <v>1185</v>
          </cell>
          <cell r="G16">
            <v>1203.96</v>
          </cell>
          <cell r="H16">
            <v>1322</v>
          </cell>
          <cell r="I16">
            <v>1162</v>
          </cell>
          <cell r="J16">
            <v>1077</v>
          </cell>
          <cell r="K16">
            <v>1058</v>
          </cell>
          <cell r="L16">
            <v>1007</v>
          </cell>
          <cell r="M16">
            <v>941</v>
          </cell>
          <cell r="N16">
            <v>947</v>
          </cell>
          <cell r="O16">
            <v>1005.4686201006765</v>
          </cell>
          <cell r="P16">
            <v>1013.1666565818821</v>
          </cell>
          <cell r="Q16">
            <v>1030.3088556854891</v>
          </cell>
          <cell r="R16">
            <v>1052.449408178946</v>
          </cell>
          <cell r="S16">
            <v>1074.5867119037805</v>
          </cell>
          <cell r="T16">
            <v>1096.7382781522413</v>
          </cell>
          <cell r="U16">
            <v>1118.9262763504673</v>
          </cell>
          <cell r="W16">
            <v>293</v>
          </cell>
          <cell r="X16">
            <v>340</v>
          </cell>
          <cell r="Y16">
            <v>275</v>
          </cell>
          <cell r="Z16">
            <v>244.84000000000003</v>
          </cell>
          <cell r="AA16">
            <v>314</v>
          </cell>
          <cell r="AB16">
            <v>365</v>
          </cell>
          <cell r="AC16">
            <v>275</v>
          </cell>
          <cell r="AD16">
            <v>364</v>
          </cell>
          <cell r="AE16">
            <v>320</v>
          </cell>
          <cell r="AF16">
            <v>364</v>
          </cell>
          <cell r="AG16">
            <v>285</v>
          </cell>
          <cell r="AH16">
            <v>234.96000000000004</v>
          </cell>
          <cell r="AI16">
            <v>316</v>
          </cell>
          <cell r="AJ16">
            <v>361</v>
          </cell>
          <cell r="AK16">
            <v>336</v>
          </cell>
          <cell r="AL16">
            <v>309</v>
          </cell>
          <cell r="AM16">
            <v>348</v>
          </cell>
          <cell r="AN16">
            <v>350.16943264032966</v>
          </cell>
          <cell r="AO16">
            <v>295.59006491164803</v>
          </cell>
          <cell r="AP16">
            <v>263</v>
          </cell>
          <cell r="AQ16">
            <v>307</v>
          </cell>
          <cell r="AR16">
            <v>315</v>
          </cell>
          <cell r="AS16">
            <v>246</v>
          </cell>
          <cell r="AT16">
            <v>209</v>
          </cell>
          <cell r="AU16">
            <v>284</v>
          </cell>
          <cell r="AV16">
            <v>301</v>
          </cell>
          <cell r="AW16">
            <v>252</v>
          </cell>
          <cell r="AX16">
            <v>221</v>
          </cell>
          <cell r="AY16">
            <v>277</v>
          </cell>
          <cell r="AZ16">
            <v>291</v>
          </cell>
          <cell r="BA16">
            <v>243</v>
          </cell>
          <cell r="BB16">
            <v>196</v>
          </cell>
          <cell r="BC16">
            <v>240</v>
          </cell>
          <cell r="BD16">
            <v>272</v>
          </cell>
          <cell r="BE16">
            <v>238</v>
          </cell>
          <cell r="BF16">
            <v>191</v>
          </cell>
          <cell r="BG16">
            <v>236</v>
          </cell>
          <cell r="BH16">
            <v>275</v>
          </cell>
          <cell r="BI16">
            <v>245</v>
          </cell>
          <cell r="BJ16">
            <v>191</v>
          </cell>
          <cell r="BK16">
            <v>261</v>
          </cell>
          <cell r="BL16">
            <v>267.61227228353255</v>
          </cell>
          <cell r="BM16">
            <v>249.16978887042623</v>
          </cell>
          <cell r="BN16">
            <v>227.6865589467177</v>
          </cell>
          <cell r="BO16">
            <v>256.67610000000002</v>
          </cell>
          <cell r="BP16">
            <v>264.53056500000002</v>
          </cell>
          <cell r="BQ16">
            <v>232.38566000000003</v>
          </cell>
          <cell r="BR16">
            <v>196.87745499999994</v>
          </cell>
          <cell r="BT16">
            <v>0.10593220338983045</v>
          </cell>
          <cell r="BU16">
            <v>-2.5454545454545507E-2</v>
          </cell>
          <cell r="BV16">
            <v>-0.11428571428571432</v>
          </cell>
          <cell r="BW16">
            <v>-1.3227513227513255E-2</v>
          </cell>
        </row>
        <row r="17">
          <cell r="A17" t="str">
            <v>Administrative expenses</v>
          </cell>
          <cell r="B17">
            <v>446</v>
          </cell>
          <cell r="C17">
            <v>534.84199999999998</v>
          </cell>
          <cell r="D17">
            <v>541.52800000000002</v>
          </cell>
          <cell r="E17">
            <v>544.21082999999999</v>
          </cell>
          <cell r="F17">
            <v>615</v>
          </cell>
          <cell r="G17">
            <v>631.06220338983053</v>
          </cell>
          <cell r="H17">
            <v>624</v>
          </cell>
          <cell r="I17">
            <v>608</v>
          </cell>
          <cell r="J17">
            <v>591</v>
          </cell>
          <cell r="K17">
            <v>605</v>
          </cell>
          <cell r="L17">
            <v>612</v>
          </cell>
          <cell r="M17">
            <v>580</v>
          </cell>
          <cell r="N17">
            <v>677</v>
          </cell>
          <cell r="O17">
            <v>688.39137890710231</v>
          </cell>
          <cell r="P17">
            <v>693.66181882162061</v>
          </cell>
          <cell r="Q17">
            <v>705.39817920375822</v>
          </cell>
          <cell r="R17">
            <v>720.55664875322032</v>
          </cell>
          <cell r="S17">
            <v>735.71289404200752</v>
          </cell>
          <cell r="T17">
            <v>750.87890412912805</v>
          </cell>
          <cell r="U17">
            <v>766.06985725239485</v>
          </cell>
          <cell r="W17">
            <v>123</v>
          </cell>
          <cell r="X17">
            <v>136</v>
          </cell>
          <cell r="Y17">
            <v>139</v>
          </cell>
          <cell r="Z17">
            <v>146.21082999999999</v>
          </cell>
          <cell r="AA17">
            <v>139</v>
          </cell>
          <cell r="AB17">
            <v>136</v>
          </cell>
          <cell r="AC17">
            <v>145</v>
          </cell>
          <cell r="AD17">
            <v>156</v>
          </cell>
          <cell r="AE17">
            <v>139</v>
          </cell>
          <cell r="AF17">
            <v>156</v>
          </cell>
          <cell r="AG17">
            <v>160</v>
          </cell>
          <cell r="AH17">
            <v>135.13</v>
          </cell>
          <cell r="AI17">
            <v>135</v>
          </cell>
          <cell r="AJ17">
            <v>155</v>
          </cell>
          <cell r="AK17">
            <v>155</v>
          </cell>
          <cell r="AL17">
            <v>179</v>
          </cell>
          <cell r="AM17">
            <v>152</v>
          </cell>
          <cell r="AN17">
            <v>154.77708464666608</v>
          </cell>
          <cell r="AO17">
            <v>164.44799385929716</v>
          </cell>
          <cell r="AP17">
            <v>168</v>
          </cell>
          <cell r="AQ17">
            <v>140</v>
          </cell>
          <cell r="AR17">
            <v>138</v>
          </cell>
          <cell r="AS17">
            <v>129</v>
          </cell>
          <cell r="AT17">
            <v>184</v>
          </cell>
          <cell r="AU17">
            <v>133</v>
          </cell>
          <cell r="AV17">
            <v>149</v>
          </cell>
          <cell r="AW17">
            <v>156</v>
          </cell>
          <cell r="AX17">
            <v>167</v>
          </cell>
          <cell r="AY17">
            <v>140</v>
          </cell>
          <cell r="AZ17">
            <v>154</v>
          </cell>
          <cell r="BA17">
            <v>148</v>
          </cell>
          <cell r="BB17">
            <v>170</v>
          </cell>
          <cell r="BC17">
            <v>137</v>
          </cell>
          <cell r="BD17">
            <v>145</v>
          </cell>
          <cell r="BE17">
            <v>135</v>
          </cell>
          <cell r="BF17">
            <v>163</v>
          </cell>
          <cell r="BG17">
            <v>155</v>
          </cell>
          <cell r="BH17">
            <v>163</v>
          </cell>
          <cell r="BI17">
            <v>164</v>
          </cell>
          <cell r="BJ17">
            <v>195</v>
          </cell>
          <cell r="BK17">
            <v>148</v>
          </cell>
          <cell r="BL17">
            <v>156.10715883206069</v>
          </cell>
          <cell r="BM17">
            <v>163.45538149899963</v>
          </cell>
          <cell r="BN17">
            <v>220.82883857604202</v>
          </cell>
          <cell r="BO17">
            <v>141.61439999999999</v>
          </cell>
          <cell r="BP17">
            <v>144.70048000000003</v>
          </cell>
          <cell r="BQ17">
            <v>126.03967999999999</v>
          </cell>
          <cell r="BR17">
            <v>112.04255999999998</v>
          </cell>
          <cell r="BT17">
            <v>-4.5161290322580649E-2</v>
          </cell>
          <cell r="BU17">
            <v>-0.12883435582822089</v>
          </cell>
          <cell r="BV17">
            <v>-0.18292682926829273</v>
          </cell>
          <cell r="BW17">
            <v>-0.1203319502074689</v>
          </cell>
        </row>
        <row r="18">
          <cell r="A18" t="str">
            <v>Research and development expenses</v>
          </cell>
          <cell r="B18">
            <v>64</v>
          </cell>
          <cell r="C18">
            <v>78.882999999999996</v>
          </cell>
          <cell r="D18">
            <v>88</v>
          </cell>
          <cell r="E18">
            <v>93</v>
          </cell>
          <cell r="F18">
            <v>95</v>
          </cell>
          <cell r="G18">
            <v>97.09</v>
          </cell>
          <cell r="H18">
            <v>112</v>
          </cell>
          <cell r="I18">
            <v>115</v>
          </cell>
          <cell r="J18">
            <v>114</v>
          </cell>
          <cell r="K18">
            <v>123</v>
          </cell>
          <cell r="L18">
            <v>129</v>
          </cell>
          <cell r="M18">
            <v>116</v>
          </cell>
          <cell r="N18">
            <v>128</v>
          </cell>
          <cell r="O18">
            <v>108.47379303990701</v>
          </cell>
          <cell r="P18">
            <v>109.30428660219475</v>
          </cell>
          <cell r="Q18">
            <v>111.15365248059219</v>
          </cell>
          <cell r="R18">
            <v>113.54225980353772</v>
          </cell>
          <cell r="S18">
            <v>115.93051663692236</v>
          </cell>
          <cell r="T18">
            <v>118.32031216580197</v>
          </cell>
          <cell r="U18">
            <v>120.71403811249856</v>
          </cell>
          <cell r="W18">
            <v>21</v>
          </cell>
          <cell r="X18">
            <v>21</v>
          </cell>
          <cell r="Y18">
            <v>21</v>
          </cell>
          <cell r="Z18">
            <v>30</v>
          </cell>
          <cell r="AA18">
            <v>20</v>
          </cell>
          <cell r="AB18">
            <v>25</v>
          </cell>
          <cell r="AC18">
            <v>24</v>
          </cell>
          <cell r="AD18">
            <v>24</v>
          </cell>
          <cell r="AE18">
            <v>24</v>
          </cell>
          <cell r="AF18">
            <v>24</v>
          </cell>
          <cell r="AG18">
            <v>25</v>
          </cell>
          <cell r="AH18">
            <v>24.090000000000003</v>
          </cell>
          <cell r="AI18">
            <v>26</v>
          </cell>
          <cell r="AJ18">
            <v>25</v>
          </cell>
          <cell r="AK18">
            <v>26</v>
          </cell>
          <cell r="AL18">
            <v>35</v>
          </cell>
          <cell r="AM18">
            <v>27</v>
          </cell>
          <cell r="AN18">
            <v>27.442745504728027</v>
          </cell>
          <cell r="AO18">
            <v>31.224302631512117</v>
          </cell>
          <cell r="AP18">
            <v>33</v>
          </cell>
          <cell r="AQ18">
            <v>29</v>
          </cell>
          <cell r="AR18">
            <v>27</v>
          </cell>
          <cell r="AS18">
            <v>27</v>
          </cell>
          <cell r="AT18">
            <v>31</v>
          </cell>
          <cell r="AU18">
            <v>29</v>
          </cell>
          <cell r="AV18">
            <v>28</v>
          </cell>
          <cell r="AW18">
            <v>31</v>
          </cell>
          <cell r="AX18">
            <v>35</v>
          </cell>
          <cell r="AY18">
            <v>31</v>
          </cell>
          <cell r="AZ18">
            <v>31</v>
          </cell>
          <cell r="BA18">
            <v>33</v>
          </cell>
          <cell r="BB18">
            <v>34</v>
          </cell>
          <cell r="BC18">
            <v>28</v>
          </cell>
          <cell r="BD18">
            <v>27</v>
          </cell>
          <cell r="BE18">
            <v>30</v>
          </cell>
          <cell r="BF18">
            <v>31</v>
          </cell>
          <cell r="BG18">
            <v>27</v>
          </cell>
          <cell r="BH18">
            <v>32</v>
          </cell>
          <cell r="BI18">
            <v>35</v>
          </cell>
          <cell r="BJ18">
            <v>34</v>
          </cell>
          <cell r="BK18">
            <v>31</v>
          </cell>
          <cell r="BL18">
            <v>26.761227228353256</v>
          </cell>
          <cell r="BM18">
            <v>23.92029973156092</v>
          </cell>
          <cell r="BN18">
            <v>26.792266079992828</v>
          </cell>
          <cell r="BO18">
            <v>33.190874999999998</v>
          </cell>
          <cell r="BP18">
            <v>33.914175</v>
          </cell>
          <cell r="BQ18">
            <v>29.540549999999996</v>
          </cell>
          <cell r="BR18">
            <v>26.259974999999997</v>
          </cell>
          <cell r="BT18">
            <v>0.14814814814814814</v>
          </cell>
          <cell r="BU18">
            <v>-0.15625</v>
          </cell>
          <cell r="BV18">
            <v>-0.1428571428571429</v>
          </cell>
          <cell r="BW18">
            <v>-6.3829787234042534E-2</v>
          </cell>
        </row>
        <row r="19">
          <cell r="A19" t="str">
            <v>Other expenses / (income)</v>
          </cell>
          <cell r="B19">
            <v>88</v>
          </cell>
          <cell r="C19">
            <v>100</v>
          </cell>
          <cell r="D19">
            <v>28</v>
          </cell>
          <cell r="E19">
            <v>13</v>
          </cell>
          <cell r="F19">
            <v>-4</v>
          </cell>
          <cell r="G19">
            <v>-18.320291769761269</v>
          </cell>
          <cell r="H19">
            <v>-12</v>
          </cell>
          <cell r="I19">
            <v>13</v>
          </cell>
          <cell r="J19">
            <v>-6</v>
          </cell>
          <cell r="K19">
            <v>4</v>
          </cell>
          <cell r="L19">
            <v>13</v>
          </cell>
          <cell r="M19">
            <v>11</v>
          </cell>
          <cell r="N19">
            <v>29</v>
          </cell>
          <cell r="O19">
            <v>16.286638394795037</v>
          </cell>
          <cell r="P19">
            <v>16.411331631374395</v>
          </cell>
          <cell r="Q19">
            <v>16.689001955948097</v>
          </cell>
          <cell r="R19">
            <v>17.047635895499386</v>
          </cell>
          <cell r="S19">
            <v>17.406217211310146</v>
          </cell>
          <cell r="T19">
            <v>17.765029552296888</v>
          </cell>
          <cell r="U19">
            <v>18.124432020096119</v>
          </cell>
          <cell r="W19">
            <v>10</v>
          </cell>
          <cell r="X19">
            <v>2</v>
          </cell>
          <cell r="Y19">
            <v>12</v>
          </cell>
          <cell r="Z19">
            <v>-11</v>
          </cell>
          <cell r="AA19">
            <v>2</v>
          </cell>
          <cell r="AB19">
            <v>-2</v>
          </cell>
          <cell r="AC19">
            <v>-2</v>
          </cell>
          <cell r="AD19">
            <v>0</v>
          </cell>
          <cell r="AE19">
            <v>-1</v>
          </cell>
          <cell r="AF19">
            <v>0</v>
          </cell>
          <cell r="AG19">
            <v>2</v>
          </cell>
          <cell r="AH19">
            <v>-19.320291769761269</v>
          </cell>
          <cell r="AI19">
            <v>2</v>
          </cell>
          <cell r="AJ19">
            <v>3</v>
          </cell>
          <cell r="AK19">
            <v>-4</v>
          </cell>
          <cell r="AL19">
            <v>-13</v>
          </cell>
          <cell r="AM19">
            <v>-4</v>
          </cell>
          <cell r="AN19">
            <v>4.3908392807564844</v>
          </cell>
          <cell r="AO19">
            <v>0</v>
          </cell>
          <cell r="AP19">
            <v>9</v>
          </cell>
          <cell r="AQ19">
            <v>-4</v>
          </cell>
          <cell r="AR19">
            <v>2</v>
          </cell>
          <cell r="AS19">
            <v>-3</v>
          </cell>
          <cell r="AT19">
            <v>-1</v>
          </cell>
          <cell r="AU19">
            <v>-1</v>
          </cell>
          <cell r="AV19">
            <v>2</v>
          </cell>
          <cell r="AW19">
            <v>0</v>
          </cell>
          <cell r="AX19">
            <v>3</v>
          </cell>
          <cell r="AY19">
            <v>2</v>
          </cell>
          <cell r="AZ19">
            <v>3</v>
          </cell>
          <cell r="BA19">
            <v>1</v>
          </cell>
          <cell r="BB19">
            <v>7</v>
          </cell>
          <cell r="BC19">
            <v>0</v>
          </cell>
          <cell r="BD19">
            <v>1</v>
          </cell>
          <cell r="BE19">
            <v>6</v>
          </cell>
          <cell r="BF19">
            <v>4</v>
          </cell>
          <cell r="BG19">
            <v>13</v>
          </cell>
          <cell r="BH19">
            <v>7</v>
          </cell>
          <cell r="BI19">
            <v>4</v>
          </cell>
          <cell r="BJ19">
            <v>5</v>
          </cell>
          <cell r="BK19">
            <v>2</v>
          </cell>
          <cell r="BL19">
            <v>10.356635711203857</v>
          </cell>
          <cell r="BM19">
            <v>2.5595800560919324</v>
          </cell>
          <cell r="BN19">
            <v>1.3704226274992486</v>
          </cell>
          <cell r="BO19">
            <v>1.9887294457275086</v>
          </cell>
          <cell r="BP19">
            <v>11.420599644892645</v>
          </cell>
          <cell r="BQ19">
            <v>1.3230809137057071</v>
          </cell>
          <cell r="BR19">
            <v>-0.57195841575396145</v>
          </cell>
        </row>
        <row r="20">
          <cell r="A20" t="str">
            <v>Total costs and expenses</v>
          </cell>
          <cell r="B20">
            <v>1488</v>
          </cell>
          <cell r="C20">
            <v>1786.9999999999998</v>
          </cell>
          <cell r="D20">
            <v>1799.4660000000001</v>
          </cell>
          <cell r="E20">
            <v>1803.21083</v>
          </cell>
          <cell r="F20">
            <v>1890</v>
          </cell>
          <cell r="G20">
            <v>1913.7919116200692</v>
          </cell>
          <cell r="H20">
            <v>2050</v>
          </cell>
          <cell r="I20">
            <v>1898</v>
          </cell>
          <cell r="J20">
            <v>1776</v>
          </cell>
          <cell r="K20">
            <v>1790</v>
          </cell>
          <cell r="L20">
            <v>1761</v>
          </cell>
          <cell r="M20">
            <v>1645</v>
          </cell>
          <cell r="N20">
            <v>1771</v>
          </cell>
          <cell r="O20">
            <v>1818.6204304424809</v>
          </cell>
          <cell r="P20">
            <v>1832.5440936370717</v>
          </cell>
          <cell r="Q20">
            <v>1863.5496893257873</v>
          </cell>
          <cell r="R20">
            <v>1903.5959526312031</v>
          </cell>
          <cell r="S20">
            <v>1943.6363397940202</v>
          </cell>
          <cell r="T20">
            <v>1983.702523999468</v>
          </cell>
          <cell r="U20">
            <v>2023.8346037354568</v>
          </cell>
          <cell r="W20">
            <v>447</v>
          </cell>
          <cell r="X20">
            <v>499</v>
          </cell>
          <cell r="Y20">
            <v>447</v>
          </cell>
          <cell r="Z20">
            <v>407</v>
          </cell>
          <cell r="AA20">
            <v>475</v>
          </cell>
          <cell r="AB20">
            <v>524</v>
          </cell>
          <cell r="AC20">
            <v>453</v>
          </cell>
          <cell r="AD20">
            <v>544</v>
          </cell>
          <cell r="AE20">
            <v>494.00000000000011</v>
          </cell>
          <cell r="AF20">
            <v>544</v>
          </cell>
          <cell r="AG20">
            <v>472</v>
          </cell>
          <cell r="AH20">
            <v>403.79191162006896</v>
          </cell>
          <cell r="AI20">
            <v>479</v>
          </cell>
          <cell r="AJ20">
            <v>544</v>
          </cell>
          <cell r="AK20">
            <v>517</v>
          </cell>
          <cell r="AL20">
            <v>510</v>
          </cell>
          <cell r="AM20">
            <v>523</v>
          </cell>
          <cell r="AN20">
            <v>536.7801020724803</v>
          </cell>
          <cell r="AO20">
            <v>491.26236140245732</v>
          </cell>
          <cell r="AP20">
            <v>473</v>
          </cell>
          <cell r="AQ20">
            <v>472</v>
          </cell>
          <cell r="AR20">
            <v>482</v>
          </cell>
          <cell r="AS20">
            <v>399</v>
          </cell>
          <cell r="AT20">
            <v>423</v>
          </cell>
          <cell r="AU20">
            <v>445</v>
          </cell>
          <cell r="AV20">
            <v>480</v>
          </cell>
          <cell r="AW20">
            <v>439</v>
          </cell>
          <cell r="AX20">
            <v>426</v>
          </cell>
          <cell r="AY20">
            <v>450</v>
          </cell>
          <cell r="AZ20">
            <v>479</v>
          </cell>
          <cell r="BA20">
            <v>425</v>
          </cell>
          <cell r="BB20">
            <v>407</v>
          </cell>
          <cell r="BC20">
            <v>405</v>
          </cell>
          <cell r="BD20">
            <v>444</v>
          </cell>
          <cell r="BE20">
            <v>409</v>
          </cell>
          <cell r="BF20">
            <v>385</v>
          </cell>
          <cell r="BG20">
            <v>421</v>
          </cell>
          <cell r="BH20">
            <v>477</v>
          </cell>
          <cell r="BI20">
            <v>448</v>
          </cell>
          <cell r="BJ20">
            <v>425</v>
          </cell>
          <cell r="BK20">
            <v>442</v>
          </cell>
          <cell r="BL20">
            <v>460.83729405515038</v>
          </cell>
          <cell r="BM20">
            <v>439.10505015707872</v>
          </cell>
          <cell r="BN20">
            <v>476.6780862302528</v>
          </cell>
          <cell r="BO20">
            <v>433.47010444572749</v>
          </cell>
          <cell r="BP20">
            <v>454.56581964489271</v>
          </cell>
          <cell r="BQ20">
            <v>389.28897091370573</v>
          </cell>
          <cell r="BR20">
            <v>384.50524499736201</v>
          </cell>
          <cell r="BV20">
            <v>-0.1428571428571429</v>
          </cell>
          <cell r="BW20">
            <v>-5.9435364041604766E-2</v>
          </cell>
          <cell r="DT20" t="str">
            <v>mstag:sellingGeneralAndAdministrativeExpenses</v>
          </cell>
          <cell r="DU20">
            <v>6</v>
          </cell>
          <cell r="DV20" t="str">
            <v>ISO4217:USD</v>
          </cell>
          <cell r="DW20" t="b">
            <v>0</v>
          </cell>
          <cell r="DX20" t="str">
            <v>mstag:sellingGeneralAndAdministrativeExpenses</v>
          </cell>
          <cell r="DY20">
            <v>6</v>
          </cell>
          <cell r="DZ20" t="str">
            <v>ISO4217:USD</v>
          </cell>
          <cell r="EA20" t="b">
            <v>0</v>
          </cell>
        </row>
        <row r="22">
          <cell r="A22" t="str">
            <v>Marketing and selling % of sales</v>
          </cell>
          <cell r="B22">
            <v>0.15421937272569744</v>
          </cell>
          <cell r="C22">
            <v>0.17499999999999999</v>
          </cell>
          <cell r="D22">
            <v>0.17100000000000001</v>
          </cell>
          <cell r="E22">
            <v>0.16218877479251653</v>
          </cell>
          <cell r="F22">
            <v>0.15699523052464229</v>
          </cell>
          <cell r="G22">
            <v>0.15674521546673612</v>
          </cell>
          <cell r="H22">
            <v>0.16795832803963917</v>
          </cell>
          <cell r="I22">
            <v>0.14528632158039509</v>
          </cell>
          <cell r="J22">
            <v>0.14197205378328501</v>
          </cell>
          <cell r="K22">
            <v>0.13783220427305889</v>
          </cell>
          <cell r="L22">
            <v>0.13045731312346159</v>
          </cell>
          <cell r="M22">
            <v>0.13114982578397213</v>
          </cell>
          <cell r="N22">
            <v>0.11761053154495778</v>
          </cell>
          <cell r="O22">
            <v>0.1205</v>
          </cell>
          <cell r="P22">
            <v>0.11951582547594738</v>
          </cell>
          <cell r="Q22">
            <v>0.11898374716676503</v>
          </cell>
          <cell r="R22">
            <v>0.11902135798066385</v>
          </cell>
          <cell r="S22">
            <v>0.11903936865148033</v>
          </cell>
          <cell r="T22">
            <v>0.11903998106386916</v>
          </cell>
          <cell r="U22">
            <v>0.11902535418510089</v>
          </cell>
          <cell r="W22">
            <v>0.15348349921424831</v>
          </cell>
          <cell r="X22">
            <v>0.16190476190476191</v>
          </cell>
          <cell r="Y22">
            <v>0.16496700659868027</v>
          </cell>
          <cell r="Z22">
            <v>0.17085833914863924</v>
          </cell>
          <cell r="AA22">
            <v>0.15016738402678145</v>
          </cell>
          <cell r="AB22">
            <v>0.16419253261358524</v>
          </cell>
          <cell r="AC22">
            <v>0.15841013824884792</v>
          </cell>
          <cell r="AD22">
            <v>0.1595791319596668</v>
          </cell>
          <cell r="AE22">
            <v>0.15165876777251186</v>
          </cell>
          <cell r="AF22">
            <v>0.1595791319596668</v>
          </cell>
          <cell r="AG22">
            <v>0.15522875816993464</v>
          </cell>
          <cell r="AH22">
            <v>0.16159559834938103</v>
          </cell>
          <cell r="AI22">
            <v>0.14677194612169067</v>
          </cell>
          <cell r="AJ22">
            <v>0.1603019538188277</v>
          </cell>
          <cell r="AK22">
            <v>0.17948717948717949</v>
          </cell>
          <cell r="AL22">
            <v>0.19385194479297366</v>
          </cell>
          <cell r="AM22">
            <v>0.15014235851816321</v>
          </cell>
          <cell r="AN22">
            <v>0.14798872226851018</v>
          </cell>
          <cell r="AO22">
            <v>0.16206752489590043</v>
          </cell>
          <cell r="AP22">
            <v>0.15335276967930028</v>
          </cell>
          <cell r="AQ22">
            <v>0.13644444444444445</v>
          </cell>
          <cell r="AR22">
            <v>0.14844486333647502</v>
          </cell>
          <cell r="AS22">
            <v>0.14590747330960854</v>
          </cell>
          <cell r="AT22">
            <v>0.13678010471204188</v>
          </cell>
          <cell r="AU22">
            <v>0.12891511575124831</v>
          </cell>
          <cell r="AV22">
            <v>0.13980492336274966</v>
          </cell>
          <cell r="AW22">
            <v>0.13984461709211987</v>
          </cell>
          <cell r="AX22">
            <v>0.14558629776021081</v>
          </cell>
          <cell r="AY22">
            <v>0.13045731312346159</v>
          </cell>
          <cell r="AZ22">
            <v>0.13045731312346159</v>
          </cell>
          <cell r="BA22">
            <v>0.13045731312346159</v>
          </cell>
          <cell r="BB22">
            <v>0.12196639701306783</v>
          </cell>
          <cell r="BC22">
            <v>0.11910669975186104</v>
          </cell>
          <cell r="BD22">
            <v>0.1399897066392177</v>
          </cell>
          <cell r="BE22">
            <v>0.14016489988221437</v>
          </cell>
          <cell r="BF22">
            <v>0.12574061882817644</v>
          </cell>
          <cell r="BG22">
            <v>0.10702947845804989</v>
          </cell>
          <cell r="BH22">
            <v>0.12719703977798336</v>
          </cell>
          <cell r="BI22">
            <v>0.12487257900101936</v>
          </cell>
          <cell r="BJ22">
            <v>0.11085316308763785</v>
          </cell>
          <cell r="BK22">
            <v>0.12055427251732101</v>
          </cell>
          <cell r="BL22">
            <v>0.12</v>
          </cell>
          <cell r="BM22">
            <v>0.125</v>
          </cell>
          <cell r="BN22">
            <v>0.1164233759697119</v>
          </cell>
          <cell r="BO22">
            <v>0.11600000000000002</v>
          </cell>
          <cell r="BP22">
            <v>0.11700000000000001</v>
          </cell>
          <cell r="BQ22">
            <v>0.11800000000000002</v>
          </cell>
          <cell r="BR22">
            <v>0.11245866856308888</v>
          </cell>
        </row>
        <row r="23">
          <cell r="A23" t="str">
            <v>Administrative % of sales</v>
          </cell>
          <cell r="B23">
            <v>7.7282966556922544E-2</v>
          </cell>
          <cell r="C23">
            <v>8.7207239523887162E-2</v>
          </cell>
          <cell r="D23">
            <v>8.1091344713986227E-2</v>
          </cell>
          <cell r="E23">
            <v>7.6552374454916305E-2</v>
          </cell>
          <cell r="F23">
            <v>8.1478537360890307E-2</v>
          </cell>
          <cell r="G23">
            <v>8.2158859964826261E-2</v>
          </cell>
          <cell r="H23">
            <v>7.9278363613263875E-2</v>
          </cell>
          <cell r="I23">
            <v>7.6019004751187794E-2</v>
          </cell>
          <cell r="J23">
            <v>7.7906670181914051E-2</v>
          </cell>
          <cell r="K23">
            <v>7.8817092235539343E-2</v>
          </cell>
          <cell r="L23">
            <v>7.9284881461329185E-2</v>
          </cell>
          <cell r="M23">
            <v>8.0836236933797906E-2</v>
          </cell>
          <cell r="N23">
            <v>8.4078489816194729E-2</v>
          </cell>
          <cell r="O23">
            <v>8.2500000000000004E-2</v>
          </cell>
          <cell r="P23">
            <v>8.1826187566520006E-2</v>
          </cell>
          <cell r="Q23">
            <v>8.1461901587204288E-2</v>
          </cell>
          <cell r="R23">
            <v>8.1487651729500149E-2</v>
          </cell>
          <cell r="S23">
            <v>8.1499982686698169E-2</v>
          </cell>
          <cell r="T23">
            <v>8.150040197318846E-2</v>
          </cell>
          <cell r="U23">
            <v>8.1490387720089846E-2</v>
          </cell>
          <cell r="W23">
            <v>6.4431639601885804E-2</v>
          </cell>
          <cell r="X23">
            <v>6.4761904761904757E-2</v>
          </cell>
          <cell r="Y23">
            <v>8.3383323335332937E-2</v>
          </cell>
          <cell r="Z23">
            <v>0.10203128401953943</v>
          </cell>
          <cell r="AA23">
            <v>6.6475370636059308E-2</v>
          </cell>
          <cell r="AB23">
            <v>6.1178587494376969E-2</v>
          </cell>
          <cell r="AC23">
            <v>8.3525345622119815E-2</v>
          </cell>
          <cell r="AD23">
            <v>6.8391056554142918E-2</v>
          </cell>
          <cell r="AE23">
            <v>6.5876777251184834E-2</v>
          </cell>
          <cell r="AF23">
            <v>6.8391056554142918E-2</v>
          </cell>
          <cell r="AG23">
            <v>8.714596949891068E-2</v>
          </cell>
          <cell r="AH23">
            <v>9.2936726272352124E-2</v>
          </cell>
          <cell r="AI23">
            <v>6.2703204830469109E-2</v>
          </cell>
          <cell r="AJ23">
            <v>6.8827708703374776E-2</v>
          </cell>
          <cell r="AK23">
            <v>8.2799145299145296E-2</v>
          </cell>
          <cell r="AL23">
            <v>0.1122961104140527</v>
          </cell>
          <cell r="AM23">
            <v>6.4143096202379846E-2</v>
          </cell>
          <cell r="AN23">
            <v>6.3540864131908806E-2</v>
          </cell>
          <cell r="AO23">
            <v>7.4763292734715978E-2</v>
          </cell>
          <cell r="AP23">
            <v>9.7959183673469383E-2</v>
          </cell>
          <cell r="AQ23">
            <v>6.222222222222222E-2</v>
          </cell>
          <cell r="AR23">
            <v>6.5032987747408108E-2</v>
          </cell>
          <cell r="AS23">
            <v>7.6512455516014238E-2</v>
          </cell>
          <cell r="AT23">
            <v>0.12041884816753927</v>
          </cell>
          <cell r="AU23">
            <v>6.0372219700408535E-2</v>
          </cell>
          <cell r="AV23">
            <v>6.9205759405480724E-2</v>
          </cell>
          <cell r="AW23">
            <v>8.6570477247502775E-2</v>
          </cell>
          <cell r="AX23">
            <v>0.11001317523056653</v>
          </cell>
          <cell r="AY23">
            <v>7.9284881461329185E-2</v>
          </cell>
          <cell r="AZ23">
            <v>7.9284881461329185E-2</v>
          </cell>
          <cell r="BA23">
            <v>7.9284881461329185E-2</v>
          </cell>
          <cell r="BB23">
            <v>0.10578718108276292</v>
          </cell>
          <cell r="BC23">
            <v>6.7990074441687351E-2</v>
          </cell>
          <cell r="BD23">
            <v>7.4626865671641784E-2</v>
          </cell>
          <cell r="BE23">
            <v>7.9505300353356886E-2</v>
          </cell>
          <cell r="BF23">
            <v>0.10730743910467412</v>
          </cell>
          <cell r="BG23">
            <v>7.029478458049887E-2</v>
          </cell>
          <cell r="BH23">
            <v>7.5393154486586497E-2</v>
          </cell>
          <cell r="BI23">
            <v>8.3588175331294604E-2</v>
          </cell>
          <cell r="BJ23">
            <v>0.11317469529889727</v>
          </cell>
          <cell r="BK23">
            <v>6.8360277136258654E-2</v>
          </cell>
          <cell r="BL23">
            <v>7.0000000000000007E-2</v>
          </cell>
          <cell r="BM23">
            <v>8.2000000000000017E-2</v>
          </cell>
          <cell r="BN23">
            <v>0.1129168055304917</v>
          </cell>
          <cell r="BO23">
            <v>6.4000000000000001E-2</v>
          </cell>
          <cell r="BP23">
            <v>6.4000000000000001E-2</v>
          </cell>
          <cell r="BQ23">
            <v>6.4000000000000001E-2</v>
          </cell>
          <cell r="BR23">
            <v>6.4000000000000001E-2</v>
          </cell>
        </row>
        <row r="24">
          <cell r="A24" t="str">
            <v>Research and development % of sales</v>
          </cell>
          <cell r="B24">
            <v>1.1089932420724312E-2</v>
          </cell>
          <cell r="C24">
            <v>1.2862057720528289E-2</v>
          </cell>
          <cell r="D24">
            <v>1.3177598083258461E-2</v>
          </cell>
          <cell r="E24">
            <v>1.3082008721339147E-2</v>
          </cell>
          <cell r="F24">
            <v>1.2586115527291998E-2</v>
          </cell>
          <cell r="G24">
            <v>1.2640281213383675E-2</v>
          </cell>
          <cell r="H24">
            <v>1.4229449879303774E-2</v>
          </cell>
          <cell r="I24">
            <v>1.4378594648662165E-2</v>
          </cell>
          <cell r="J24">
            <v>1.5027682573161087E-2</v>
          </cell>
          <cell r="K24">
            <v>1.6023970818134444E-2</v>
          </cell>
          <cell r="L24">
            <v>1.6712009327633112E-2</v>
          </cell>
          <cell r="M24">
            <v>1.6167247386759582E-2</v>
          </cell>
          <cell r="N24">
            <v>1.5896671634376552E-2</v>
          </cell>
          <cell r="O24">
            <v>1.2999999999999999E-2</v>
          </cell>
          <cell r="P24">
            <v>1.2893823495330423E-2</v>
          </cell>
          <cell r="Q24">
            <v>1.2836420856165522E-2</v>
          </cell>
          <cell r="R24">
            <v>1.2840478454345475E-2</v>
          </cell>
          <cell r="S24">
            <v>1.2842421514267587E-2</v>
          </cell>
          <cell r="T24">
            <v>1.2842487583653936E-2</v>
          </cell>
          <cell r="U24">
            <v>1.2840909580135368E-2</v>
          </cell>
          <cell r="W24">
            <v>1.1000523834468309E-2</v>
          </cell>
          <cell r="X24">
            <v>0.01</v>
          </cell>
          <cell r="Y24">
            <v>1.259748050389922E-2</v>
          </cell>
          <cell r="Z24">
            <v>2.09351011863224E-2</v>
          </cell>
          <cell r="AA24">
            <v>9.5648015303682454E-3</v>
          </cell>
          <cell r="AB24">
            <v>1.1246063877642825E-2</v>
          </cell>
          <cell r="AC24">
            <v>1.3824884792626729E-2</v>
          </cell>
          <cell r="AD24">
            <v>1.052170100832968E-2</v>
          </cell>
          <cell r="AE24">
            <v>1.1374407582938388E-2</v>
          </cell>
          <cell r="AF24">
            <v>1.052170100832968E-2</v>
          </cell>
          <cell r="AG24">
            <v>1.3616557734204794E-2</v>
          </cell>
          <cell r="AH24">
            <v>1.6568088033012383E-2</v>
          </cell>
          <cell r="AI24">
            <v>1.2076172782164421E-2</v>
          </cell>
          <cell r="AJ24">
            <v>1.1101243339253997E-2</v>
          </cell>
          <cell r="AK24">
            <v>1.3888888888888888E-2</v>
          </cell>
          <cell r="AL24">
            <v>2.1957340025094103E-2</v>
          </cell>
          <cell r="AM24">
            <v>1.2353485194532415E-2</v>
          </cell>
          <cell r="AN24">
            <v>1.0248526472888519E-2</v>
          </cell>
          <cell r="AO24">
            <v>1.2540939426468485E-2</v>
          </cell>
          <cell r="AP24">
            <v>1.9241982507288629E-2</v>
          </cell>
          <cell r="AQ24">
            <v>1.2888888888888889E-2</v>
          </cell>
          <cell r="AR24">
            <v>1.2723845428840716E-2</v>
          </cell>
          <cell r="AS24">
            <v>1.601423487544484E-2</v>
          </cell>
          <cell r="AT24">
            <v>2.0287958115183247E-2</v>
          </cell>
          <cell r="AU24">
            <v>1.3163867453472538E-2</v>
          </cell>
          <cell r="AV24">
            <v>1.3005109150023224E-2</v>
          </cell>
          <cell r="AW24">
            <v>1.7203107658157604E-2</v>
          </cell>
          <cell r="AX24">
            <v>2.30566534914361E-2</v>
          </cell>
          <cell r="AY24">
            <v>1.6712009327633112E-2</v>
          </cell>
          <cell r="AZ24">
            <v>1.6712009327633112E-2</v>
          </cell>
          <cell r="BA24">
            <v>1.6712009327633112E-2</v>
          </cell>
          <cell r="BB24">
            <v>2.1157436216552583E-2</v>
          </cell>
          <cell r="BC24">
            <v>1.3895781637717122E-2</v>
          </cell>
          <cell r="BD24">
            <v>1.3896037056098817E-2</v>
          </cell>
          <cell r="BE24">
            <v>1.7667844522968199E-2</v>
          </cell>
          <cell r="BF24">
            <v>2.0408163265306121E-2</v>
          </cell>
          <cell r="BG24">
            <v>1.2244897959183673E-2</v>
          </cell>
          <cell r="BH24">
            <v>1.4801110083256245E-2</v>
          </cell>
          <cell r="BI24">
            <v>1.7838939857288481E-2</v>
          </cell>
          <cell r="BJ24">
            <v>1.9733023795705164E-2</v>
          </cell>
          <cell r="BK24">
            <v>1.4318706697459584E-2</v>
          </cell>
          <cell r="BL24">
            <v>1.2E-2</v>
          </cell>
          <cell r="BM24">
            <v>1.2E-2</v>
          </cell>
          <cell r="BN24">
            <v>1.3699737399261754E-2</v>
          </cell>
          <cell r="BO24">
            <v>1.4999999999999999E-2</v>
          </cell>
          <cell r="BP24">
            <v>1.4999999999999999E-2</v>
          </cell>
          <cell r="BQ24">
            <v>1.4999999999999999E-2</v>
          </cell>
          <cell r="BR24">
            <v>1.5000000000000003E-2</v>
          </cell>
          <cell r="BT24">
            <v>5.3917365912992399E-2</v>
          </cell>
        </row>
        <row r="25">
          <cell r="A25" t="str">
            <v>Other % of sales</v>
          </cell>
          <cell r="B25">
            <v>1.5248657078495927E-2</v>
          </cell>
          <cell r="C25">
            <v>1.6305233980107615E-2</v>
          </cell>
          <cell r="D25">
            <v>4.1928721174004195E-3</v>
          </cell>
          <cell r="E25">
            <v>1.8286678857785904E-3</v>
          </cell>
          <cell r="F25">
            <v>-5.2994170641229468E-4</v>
          </cell>
          <cell r="G25">
            <v>-2.3851440918840343E-3</v>
          </cell>
          <cell r="H25">
            <v>-1.5245839156396901E-3</v>
          </cell>
          <cell r="I25">
            <v>1.6254063515878971E-3</v>
          </cell>
          <cell r="J25">
            <v>-7.9093066174532034E-4</v>
          </cell>
          <cell r="K25">
            <v>5.2110474205315264E-4</v>
          </cell>
          <cell r="L25">
            <v>1.6841559787537247E-3</v>
          </cell>
          <cell r="M25">
            <v>1.5331010452961672E-3</v>
          </cell>
          <cell r="N25">
            <v>3.6015896671634379E-3</v>
          </cell>
          <cell r="O25">
            <v>1.9518659134049304E-3</v>
          </cell>
          <cell r="P25">
            <v>1.9359241979996205E-3</v>
          </cell>
          <cell r="Q25">
            <v>1.9273055630207394E-3</v>
          </cell>
          <cell r="R25">
            <v>1.9279147851421041E-3</v>
          </cell>
          <cell r="S25">
            <v>1.9282065230213097E-3</v>
          </cell>
          <cell r="T25">
            <v>1.9282164429123203E-3</v>
          </cell>
          <cell r="U25">
            <v>1.9279795158908489E-3</v>
          </cell>
          <cell r="W25">
            <v>5.2383446830801469E-3</v>
          </cell>
          <cell r="X25">
            <v>9.5238095238095238E-4</v>
          </cell>
          <cell r="Y25">
            <v>7.1985602879424118E-3</v>
          </cell>
          <cell r="Z25">
            <v>-7.6762037683182132E-3</v>
          </cell>
          <cell r="AA25">
            <v>9.5648015303682454E-4</v>
          </cell>
          <cell r="AB25">
            <v>-8.9968511021142603E-4</v>
          </cell>
          <cell r="AC25">
            <v>-1.152073732718894E-3</v>
          </cell>
          <cell r="AD25">
            <v>0</v>
          </cell>
          <cell r="AE25">
            <v>-4.7393364928909954E-4</v>
          </cell>
          <cell r="AF25">
            <v>0</v>
          </cell>
          <cell r="AG25">
            <v>1.0893246187363835E-3</v>
          </cell>
          <cell r="AH25">
            <v>-1.3287683473013252E-2</v>
          </cell>
          <cell r="AI25">
            <v>9.2893636785880169E-4</v>
          </cell>
          <cell r="AJ25">
            <v>1.3321492007104796E-3</v>
          </cell>
          <cell r="AK25">
            <v>-2.136752136752137E-3</v>
          </cell>
          <cell r="AL25">
            <v>-8.1555834378920951E-3</v>
          </cell>
          <cell r="AM25">
            <v>9.5026809188711314E-4</v>
          </cell>
          <cell r="AN25">
            <v>1.2298231767466639E-3</v>
          </cell>
          <cell r="AO25">
            <v>0</v>
          </cell>
          <cell r="AP25">
            <v>5.2478134110787176E-3</v>
          </cell>
          <cell r="AQ25">
            <v>-1.7777777777777779E-3</v>
          </cell>
          <cell r="AR25">
            <v>9.42507068803016E-4</v>
          </cell>
          <cell r="AS25">
            <v>-1.7793594306049821E-3</v>
          </cell>
          <cell r="AT25">
            <v>-6.5445026178010475E-4</v>
          </cell>
          <cell r="AU25">
            <v>-4.5392646391284613E-4</v>
          </cell>
          <cell r="AV25">
            <v>9.2893636785880169E-4</v>
          </cell>
          <cell r="AW25">
            <v>0</v>
          </cell>
          <cell r="AX25">
            <v>1.976284584980237E-3</v>
          </cell>
          <cell r="AY25">
            <v>1.6841559787537247E-3</v>
          </cell>
          <cell r="AZ25">
            <v>1.6841559787537247E-3</v>
          </cell>
          <cell r="BA25">
            <v>1.6841559787537247E-3</v>
          </cell>
          <cell r="BB25">
            <v>4.3559427504667085E-3</v>
          </cell>
          <cell r="BC25">
            <v>0</v>
          </cell>
          <cell r="BD25">
            <v>5.1466803911477102E-4</v>
          </cell>
          <cell r="BE25">
            <v>3.5335689045936395E-3</v>
          </cell>
          <cell r="BF25">
            <v>2.6333113890717576E-3</v>
          </cell>
          <cell r="BG25">
            <v>5.8956916099773245E-3</v>
          </cell>
          <cell r="BH25">
            <v>3.2377428307123032E-3</v>
          </cell>
          <cell r="BI25">
            <v>2.0387359836901123E-3</v>
          </cell>
          <cell r="BJ25">
            <v>2.901915264074289E-3</v>
          </cell>
          <cell r="BK25">
            <v>9.2378752886836026E-4</v>
          </cell>
          <cell r="BL25">
            <v>4.6440182833907273E-3</v>
          </cell>
          <cell r="BM25">
            <v>1.2840541723052601E-3</v>
          </cell>
          <cell r="BN25">
            <v>7.0074065652721534E-4</v>
          </cell>
          <cell r="BO25">
            <v>8.9876936615598813E-4</v>
          </cell>
          <cell r="BP25">
            <v>5.0512505367855676E-3</v>
          </cell>
          <cell r="BQ25">
            <v>6.7182952604422086E-4</v>
          </cell>
          <cell r="BR25">
            <v>-3.2670923092308443E-4</v>
          </cell>
          <cell r="BT25">
            <v>0.35645261845386533</v>
          </cell>
        </row>
        <row r="26">
          <cell r="A26" t="str">
            <v>SG&amp;A % of sales</v>
          </cell>
          <cell r="B26">
            <v>0.25784092878184023</v>
          </cell>
          <cell r="C26">
            <v>0.29137453122452306</v>
          </cell>
          <cell r="D26">
            <v>0.2694618149146451</v>
          </cell>
          <cell r="E26">
            <v>0.25365182585455059</v>
          </cell>
          <cell r="F26">
            <v>0.25039745627980919</v>
          </cell>
          <cell r="G26">
            <v>0.249159212553062</v>
          </cell>
          <cell r="H26">
            <v>0.26044975225511369</v>
          </cell>
          <cell r="I26">
            <v>0.23730932733183296</v>
          </cell>
          <cell r="J26">
            <v>0.23411547587661483</v>
          </cell>
          <cell r="K26">
            <v>0.23319437206878582</v>
          </cell>
          <cell r="L26">
            <v>0.22813835989117762</v>
          </cell>
          <cell r="M26">
            <v>0.22926829268292684</v>
          </cell>
          <cell r="N26">
            <v>0.21994535519125682</v>
          </cell>
          <cell r="O26">
            <v>0.21795186591340493</v>
          </cell>
          <cell r="P26">
            <v>0.21617176073579741</v>
          </cell>
          <cell r="Q26">
            <v>0.21520937517315555</v>
          </cell>
          <cell r="R26">
            <v>0.21527740294965153</v>
          </cell>
          <cell r="S26">
            <v>0.21530997937546736</v>
          </cell>
          <cell r="T26">
            <v>0.21531108706362387</v>
          </cell>
          <cell r="U26">
            <v>0.21528463100121695</v>
          </cell>
          <cell r="W26">
            <v>0.23415400733368255</v>
          </cell>
          <cell r="X26">
            <v>0.23761904761904762</v>
          </cell>
          <cell r="Y26">
            <v>0.26814637072585484</v>
          </cell>
          <cell r="Z26">
            <v>0.28401953942777391</v>
          </cell>
          <cell r="AA26">
            <v>0.22716403634624582</v>
          </cell>
          <cell r="AB26">
            <v>0.23571749887539362</v>
          </cell>
          <cell r="AC26">
            <v>0.26094470046082952</v>
          </cell>
          <cell r="AD26">
            <v>0.2384918895221394</v>
          </cell>
          <cell r="AE26">
            <v>0.23412322274881522</v>
          </cell>
          <cell r="AF26">
            <v>0.2384918895221394</v>
          </cell>
          <cell r="AG26">
            <v>0.2570806100217865</v>
          </cell>
          <cell r="AH26">
            <v>0.27771108089413271</v>
          </cell>
          <cell r="AI26">
            <v>0.222480260102183</v>
          </cell>
          <cell r="AJ26">
            <v>0.24156305506216696</v>
          </cell>
          <cell r="AK26">
            <v>0.27617521367521369</v>
          </cell>
          <cell r="AL26">
            <v>0.31994981179422838</v>
          </cell>
          <cell r="AM26">
            <v>0.22758920800696258</v>
          </cell>
          <cell r="AN26">
            <v>0.22300793605005415</v>
          </cell>
          <cell r="AO26">
            <v>0.24937175705708492</v>
          </cell>
          <cell r="AP26">
            <v>0.27580174927113704</v>
          </cell>
          <cell r="AQ26">
            <v>0.20977777777777779</v>
          </cell>
          <cell r="AR26">
            <v>0.22714420358152687</v>
          </cell>
          <cell r="AS26">
            <v>0.23665480427046262</v>
          </cell>
          <cell r="AT26">
            <v>0.27683246073298429</v>
          </cell>
          <cell r="AU26">
            <v>0.20199727644121651</v>
          </cell>
          <cell r="AV26">
            <v>0.22294472828611239</v>
          </cell>
          <cell r="AW26">
            <v>0.24361820199778025</v>
          </cell>
          <cell r="AX26">
            <v>0.28063241106719367</v>
          </cell>
          <cell r="AY26">
            <v>0.20718232044198895</v>
          </cell>
          <cell r="AZ26">
            <v>0.22519981194170194</v>
          </cell>
          <cell r="BA26">
            <v>0.2344180915609487</v>
          </cell>
          <cell r="BB26">
            <v>0.25326695706285002</v>
          </cell>
          <cell r="BC26">
            <v>0.20099255583126552</v>
          </cell>
          <cell r="BD26">
            <v>0.2285126093669583</v>
          </cell>
          <cell r="BE26">
            <v>0.24087161366313309</v>
          </cell>
          <cell r="BF26">
            <v>0.25345622119815669</v>
          </cell>
          <cell r="BG26">
            <v>0.19092970521541949</v>
          </cell>
          <cell r="BH26">
            <v>0.2206290471785384</v>
          </cell>
          <cell r="BI26">
            <v>0.22833843017329256</v>
          </cell>
          <cell r="BJ26">
            <v>0.24666279744631456</v>
          </cell>
          <cell r="BK26">
            <v>0.20415704387990763</v>
          </cell>
          <cell r="BL26">
            <v>0.20664401828339074</v>
          </cell>
          <cell r="BM26">
            <v>0.22028405417230529</v>
          </cell>
          <cell r="BN26">
            <v>0.24374065955599308</v>
          </cell>
          <cell r="BO26">
            <v>0.19589876936615599</v>
          </cell>
          <cell r="BP26">
            <v>0.20105125053678558</v>
          </cell>
          <cell r="BQ26">
            <v>0.19767182952604423</v>
          </cell>
          <cell r="BR26">
            <v>0.21963382200327425</v>
          </cell>
          <cell r="BT26">
            <v>0.19731920199501246</v>
          </cell>
          <cell r="BU26">
            <v>3.587517007377336E-2</v>
          </cell>
        </row>
        <row r="28">
          <cell r="A28" t="str">
            <v>Operating income</v>
          </cell>
          <cell r="B28">
            <v>1208.8</v>
          </cell>
          <cell r="C28">
            <v>1004</v>
          </cell>
          <cell r="D28">
            <v>1105</v>
          </cell>
          <cell r="E28">
            <v>1122</v>
          </cell>
          <cell r="F28">
            <v>1167</v>
          </cell>
          <cell r="G28">
            <v>1205</v>
          </cell>
          <cell r="H28">
            <v>1250</v>
          </cell>
          <cell r="I28">
            <v>1280</v>
          </cell>
          <cell r="J28">
            <v>1274</v>
          </cell>
          <cell r="K28">
            <v>1360</v>
          </cell>
          <cell r="L28">
            <v>1342</v>
          </cell>
          <cell r="M28">
            <v>1165</v>
          </cell>
          <cell r="N28">
            <v>1232</v>
          </cell>
          <cell r="O28">
            <v>1268.7106022317957</v>
          </cell>
          <cell r="P28">
            <v>1320.9964081963951</v>
          </cell>
          <cell r="Q28">
            <v>1375.0061739913685</v>
          </cell>
          <cell r="R28">
            <v>1421.1936833564182</v>
          </cell>
          <cell r="S28">
            <v>1468.6278691070722</v>
          </cell>
          <cell r="T28">
            <v>1517.3106815910544</v>
          </cell>
          <cell r="U28">
            <v>1567.2476534209973</v>
          </cell>
          <cell r="W28">
            <v>354</v>
          </cell>
          <cell r="X28">
            <v>389</v>
          </cell>
          <cell r="Y28">
            <v>225</v>
          </cell>
          <cell r="Z28">
            <v>154</v>
          </cell>
          <cell r="AA28">
            <v>371</v>
          </cell>
          <cell r="AB28">
            <v>377</v>
          </cell>
          <cell r="AC28">
            <v>248</v>
          </cell>
          <cell r="AD28">
            <v>403</v>
          </cell>
          <cell r="AE28">
            <v>387.99999999999989</v>
          </cell>
          <cell r="AF28">
            <v>403</v>
          </cell>
          <cell r="AG28">
            <v>275</v>
          </cell>
          <cell r="AH28">
            <v>139</v>
          </cell>
          <cell r="AI28">
            <v>438</v>
          </cell>
          <cell r="AJ28">
            <v>422</v>
          </cell>
          <cell r="AK28">
            <v>261</v>
          </cell>
          <cell r="AL28">
            <v>129</v>
          </cell>
          <cell r="AM28">
            <v>431</v>
          </cell>
          <cell r="AN28">
            <v>427.97327935222665</v>
          </cell>
          <cell r="AO28">
            <v>269.49295774647891</v>
          </cell>
          <cell r="AP28">
            <v>198.43746666666667</v>
          </cell>
          <cell r="AQ28">
            <v>432</v>
          </cell>
          <cell r="AR28">
            <v>363</v>
          </cell>
          <cell r="AS28">
            <v>281</v>
          </cell>
          <cell r="AT28">
            <v>198</v>
          </cell>
          <cell r="AU28">
            <v>478</v>
          </cell>
          <cell r="AV28">
            <v>391</v>
          </cell>
          <cell r="AW28">
            <v>304</v>
          </cell>
          <cell r="AX28">
            <v>187</v>
          </cell>
          <cell r="AY28">
            <v>444</v>
          </cell>
          <cell r="AZ28">
            <v>359</v>
          </cell>
          <cell r="BA28">
            <v>307</v>
          </cell>
          <cell r="BB28">
            <v>232</v>
          </cell>
          <cell r="BC28">
            <v>395</v>
          </cell>
          <cell r="BD28">
            <v>306</v>
          </cell>
          <cell r="BE28">
            <v>256</v>
          </cell>
          <cell r="BF28">
            <v>208</v>
          </cell>
          <cell r="BG28">
            <v>421</v>
          </cell>
          <cell r="BH28">
            <v>325</v>
          </cell>
          <cell r="BI28">
            <v>278</v>
          </cell>
          <cell r="BJ28">
            <v>208</v>
          </cell>
          <cell r="BK28">
            <v>337</v>
          </cell>
          <cell r="BL28">
            <v>370.99085229283008</v>
          </cell>
          <cell r="BM28">
            <v>298.43752489938288</v>
          </cell>
          <cell r="BN28">
            <v>262.28222503958295</v>
          </cell>
          <cell r="BO28">
            <v>359.38299050230938</v>
          </cell>
          <cell r="BP28">
            <v>350.01638748136781</v>
          </cell>
          <cell r="BQ28">
            <v>302.51972000000001</v>
          </cell>
          <cell r="BR28">
            <v>222.98512522218181</v>
          </cell>
        </row>
        <row r="29">
          <cell r="A29" t="str">
            <v>Operating Income Margin</v>
          </cell>
          <cell r="B29">
            <v>0.20946109859643042</v>
          </cell>
          <cell r="C29">
            <v>0.16370454916028046</v>
          </cell>
          <cell r="D29">
            <v>0.16546870320455226</v>
          </cell>
          <cell r="E29">
            <v>0.1578281052187368</v>
          </cell>
          <cell r="F29">
            <v>0.15461049284578696</v>
          </cell>
          <cell r="G29">
            <v>0.15688061450331989</v>
          </cell>
          <cell r="H29">
            <v>0.15881082454580103</v>
          </cell>
          <cell r="I29">
            <v>0.16004001000250062</v>
          </cell>
          <cell r="J29">
            <v>0.16794094384392302</v>
          </cell>
          <cell r="K29">
            <v>0.17717561229807191</v>
          </cell>
          <cell r="L29">
            <v>0.17385671719134602</v>
          </cell>
          <cell r="M29">
            <v>0.16236933797909409</v>
          </cell>
          <cell r="N29">
            <v>0.15300546448087432</v>
          </cell>
          <cell r="O29">
            <v>0.15204813408659507</v>
          </cell>
          <cell r="P29">
            <v>0.15582823926420261</v>
          </cell>
          <cell r="Q29">
            <v>0.15879062482684445</v>
          </cell>
          <cell r="R29">
            <v>0.1607225970503485</v>
          </cell>
          <cell r="S29">
            <v>0.16269002062453264</v>
          </cell>
          <cell r="T29">
            <v>0.16468891293637614</v>
          </cell>
          <cell r="U29">
            <v>0.16671536899878306</v>
          </cell>
          <cell r="W29">
            <v>0.18543740178103718</v>
          </cell>
          <cell r="X29">
            <v>0.18523809523809523</v>
          </cell>
          <cell r="Y29">
            <v>0.13497300539892021</v>
          </cell>
          <cell r="Z29">
            <v>0.10746685275645498</v>
          </cell>
          <cell r="AA29">
            <v>0.17742706838833094</v>
          </cell>
          <cell r="AB29">
            <v>0.16959064327485379</v>
          </cell>
          <cell r="AC29">
            <v>0.14285714285714285</v>
          </cell>
          <cell r="AD29">
            <v>0.17667689609820253</v>
          </cell>
          <cell r="AE29">
            <v>0.18388625592417057</v>
          </cell>
          <cell r="AF29">
            <v>0.17667689609820253</v>
          </cell>
          <cell r="AG29">
            <v>0.14978213507625274</v>
          </cell>
          <cell r="AH29">
            <v>9.5598349381017883E-2</v>
          </cell>
          <cell r="AI29">
            <v>0.20343706456107757</v>
          </cell>
          <cell r="AJ29">
            <v>0.18738898756660746</v>
          </cell>
          <cell r="AK29">
            <v>0.13942307692307693</v>
          </cell>
          <cell r="AL29">
            <v>8.0928481806775407E-2</v>
          </cell>
          <cell r="AM29">
            <v>0.1875543951261967</v>
          </cell>
          <cell r="AN29">
            <v>0.17780360587961225</v>
          </cell>
          <cell r="AO29">
            <v>0.13679845570887253</v>
          </cell>
          <cell r="AP29">
            <v>0.11570697764820213</v>
          </cell>
          <cell r="AQ29">
            <v>0.192</v>
          </cell>
          <cell r="AR29">
            <v>0.17106503298774742</v>
          </cell>
          <cell r="AS29">
            <v>0.16666666666666666</v>
          </cell>
          <cell r="AT29">
            <v>0.12958115183246074</v>
          </cell>
          <cell r="AU29">
            <v>0.21697684975034046</v>
          </cell>
          <cell r="AV29">
            <v>0.18160705991639572</v>
          </cell>
          <cell r="AW29">
            <v>0.16870144284128746</v>
          </cell>
          <cell r="AX29">
            <v>0.12318840579710146</v>
          </cell>
          <cell r="AY29">
            <v>0.20441988950276244</v>
          </cell>
          <cell r="AZ29">
            <v>0.16878232251998118</v>
          </cell>
          <cell r="BA29">
            <v>0.16933259790402647</v>
          </cell>
          <cell r="BB29">
            <v>0.14436838830118232</v>
          </cell>
          <cell r="BC29">
            <v>0.19602977667493796</v>
          </cell>
          <cell r="BD29">
            <v>0.15748841996911991</v>
          </cell>
          <cell r="BE29">
            <v>0.15076560659599528</v>
          </cell>
          <cell r="BF29">
            <v>0.13693219223173139</v>
          </cell>
          <cell r="BG29">
            <v>0.19092970521541949</v>
          </cell>
          <cell r="BH29">
            <v>0.15032377428307123</v>
          </cell>
          <cell r="BI29">
            <v>0.14169215086646278</v>
          </cell>
          <cell r="BJ29">
            <v>0.12071967498549042</v>
          </cell>
          <cell r="BK29">
            <v>0.1556581986143187</v>
          </cell>
          <cell r="BL29">
            <v>0.16635598171660929</v>
          </cell>
          <cell r="BM29">
            <v>0.14971594582769471</v>
          </cell>
          <cell r="BN29">
            <v>0.13411323987333751</v>
          </cell>
          <cell r="BO29">
            <v>0.16241647312807031</v>
          </cell>
          <cell r="BP29">
            <v>0.15480977532906276</v>
          </cell>
          <cell r="BQ29">
            <v>0.15361243443334671</v>
          </cell>
          <cell r="BR29">
            <v>0.12737167032081059</v>
          </cell>
        </row>
        <row r="31">
          <cell r="A31" t="str">
            <v>Interest, net</v>
          </cell>
          <cell r="B31">
            <v>207</v>
          </cell>
          <cell r="C31">
            <v>186</v>
          </cell>
          <cell r="D31">
            <v>181</v>
          </cell>
          <cell r="E31">
            <v>168</v>
          </cell>
          <cell r="F31">
            <v>180</v>
          </cell>
          <cell r="G31">
            <v>182.43700000000001</v>
          </cell>
          <cell r="H31">
            <v>148</v>
          </cell>
          <cell r="I31">
            <v>159</v>
          </cell>
          <cell r="J31">
            <v>106</v>
          </cell>
          <cell r="K31">
            <v>106</v>
          </cell>
          <cell r="L31">
            <v>111</v>
          </cell>
          <cell r="M31">
            <v>106</v>
          </cell>
          <cell r="N31">
            <v>125</v>
          </cell>
          <cell r="O31">
            <v>116.04879656555634</v>
          </cell>
          <cell r="P31">
            <v>115.75683851165184</v>
          </cell>
          <cell r="Q31">
            <v>116.51973830524264</v>
          </cell>
          <cell r="R31">
            <v>111.29430721437642</v>
          </cell>
          <cell r="S31">
            <v>105.47710556920339</v>
          </cell>
          <cell r="T31">
            <v>99.029391986677339</v>
          </cell>
          <cell r="U31">
            <v>91.975513197296507</v>
          </cell>
          <cell r="W31">
            <v>43</v>
          </cell>
          <cell r="X31">
            <v>42</v>
          </cell>
          <cell r="Y31">
            <v>39.6</v>
          </cell>
          <cell r="Z31">
            <v>43.400000000000006</v>
          </cell>
          <cell r="AA31">
            <v>44</v>
          </cell>
          <cell r="AB31">
            <v>45</v>
          </cell>
          <cell r="AC31">
            <v>45</v>
          </cell>
          <cell r="AD31">
            <v>43</v>
          </cell>
          <cell r="AE31">
            <v>47</v>
          </cell>
          <cell r="AF31">
            <v>43</v>
          </cell>
          <cell r="AG31">
            <v>41</v>
          </cell>
          <cell r="AH31">
            <v>41</v>
          </cell>
          <cell r="AI31">
            <v>41</v>
          </cell>
          <cell r="AJ31">
            <v>39</v>
          </cell>
          <cell r="AK31">
            <v>31</v>
          </cell>
          <cell r="AL31">
            <v>37</v>
          </cell>
          <cell r="AM31">
            <v>42</v>
          </cell>
          <cell r="AN31">
            <v>42</v>
          </cell>
          <cell r="AO31">
            <v>37</v>
          </cell>
          <cell r="AP31">
            <v>38</v>
          </cell>
          <cell r="AQ31">
            <v>32</v>
          </cell>
          <cell r="AR31">
            <v>25</v>
          </cell>
          <cell r="AS31">
            <v>26</v>
          </cell>
          <cell r="AT31">
            <v>23</v>
          </cell>
          <cell r="AU31">
            <v>27</v>
          </cell>
          <cell r="AV31">
            <v>26</v>
          </cell>
          <cell r="AW31">
            <v>27</v>
          </cell>
          <cell r="AX31">
            <v>26</v>
          </cell>
          <cell r="AY31">
            <v>30</v>
          </cell>
          <cell r="AZ31">
            <v>31</v>
          </cell>
          <cell r="BA31">
            <v>24</v>
          </cell>
          <cell r="BB31">
            <v>26</v>
          </cell>
          <cell r="BC31">
            <v>28</v>
          </cell>
          <cell r="BD31">
            <v>26</v>
          </cell>
          <cell r="BE31">
            <v>27</v>
          </cell>
          <cell r="BF31">
            <v>25</v>
          </cell>
          <cell r="BG31">
            <v>33</v>
          </cell>
          <cell r="BH31">
            <v>31</v>
          </cell>
          <cell r="BI31">
            <v>31</v>
          </cell>
          <cell r="BJ31">
            <v>30</v>
          </cell>
          <cell r="BK31">
            <v>30</v>
          </cell>
          <cell r="BL31">
            <v>29.012199141389086</v>
          </cell>
          <cell r="BM31">
            <v>29.012199141389086</v>
          </cell>
          <cell r="BN31">
            <v>28.024398282778165</v>
          </cell>
          <cell r="BO31">
            <v>30.594085828401568</v>
          </cell>
          <cell r="BP31">
            <v>30.594085828401564</v>
          </cell>
          <cell r="BQ31">
            <v>30.594085828401571</v>
          </cell>
          <cell r="BR31">
            <v>30.59408582840156</v>
          </cell>
          <cell r="DT31" t="str">
            <v>mstag:netInterestCostFrs17</v>
          </cell>
          <cell r="DU31">
            <v>6</v>
          </cell>
          <cell r="DV31" t="str">
            <v>ISO4217:USD</v>
          </cell>
          <cell r="DW31" t="b">
            <v>0</v>
          </cell>
          <cell r="DX31" t="str">
            <v>mstag:netInterestCostFrs17</v>
          </cell>
          <cell r="DY31">
            <v>6</v>
          </cell>
          <cell r="DZ31" t="str">
            <v>ISO4217:USD</v>
          </cell>
          <cell r="EA31" t="b">
            <v>0</v>
          </cell>
        </row>
        <row r="33">
          <cell r="A33" t="str">
            <v>Earnings before taxes</v>
          </cell>
          <cell r="B33">
            <v>1001.8</v>
          </cell>
          <cell r="C33">
            <v>818</v>
          </cell>
          <cell r="D33">
            <v>924</v>
          </cell>
          <cell r="E33">
            <v>954</v>
          </cell>
          <cell r="F33">
            <v>987</v>
          </cell>
          <cell r="G33">
            <v>1022.563</v>
          </cell>
          <cell r="H33">
            <v>1102</v>
          </cell>
          <cell r="I33">
            <v>1121</v>
          </cell>
          <cell r="J33">
            <v>1168</v>
          </cell>
          <cell r="K33">
            <v>1254</v>
          </cell>
          <cell r="L33">
            <v>1231</v>
          </cell>
          <cell r="M33">
            <v>1059</v>
          </cell>
          <cell r="N33">
            <v>1107</v>
          </cell>
          <cell r="O33">
            <v>1152.6618056662394</v>
          </cell>
          <cell r="P33">
            <v>1205.2395696847434</v>
          </cell>
          <cell r="Q33">
            <v>1258.4864356861258</v>
          </cell>
          <cell r="R33">
            <v>1309.8993761420418</v>
          </cell>
          <cell r="S33">
            <v>1363.1507635378689</v>
          </cell>
          <cell r="T33">
            <v>1418.281289604377</v>
          </cell>
          <cell r="U33">
            <v>1475.2721402237007</v>
          </cell>
          <cell r="W33">
            <v>311</v>
          </cell>
          <cell r="X33">
            <v>347</v>
          </cell>
          <cell r="Y33">
            <v>185.4</v>
          </cell>
          <cell r="Z33">
            <v>110.6</v>
          </cell>
          <cell r="AA33">
            <v>327</v>
          </cell>
          <cell r="AB33">
            <v>332</v>
          </cell>
          <cell r="AC33">
            <v>203</v>
          </cell>
          <cell r="AD33">
            <v>360</v>
          </cell>
          <cell r="AE33">
            <v>340.99999999999989</v>
          </cell>
          <cell r="AF33">
            <v>360</v>
          </cell>
          <cell r="AG33">
            <v>234</v>
          </cell>
          <cell r="AH33">
            <v>98</v>
          </cell>
          <cell r="AI33">
            <v>397</v>
          </cell>
          <cell r="AJ33">
            <v>383</v>
          </cell>
          <cell r="AK33">
            <v>230</v>
          </cell>
          <cell r="AL33">
            <v>92</v>
          </cell>
          <cell r="AM33">
            <v>389</v>
          </cell>
          <cell r="AN33">
            <v>385.97327935222665</v>
          </cell>
          <cell r="AO33">
            <v>232.49295774647891</v>
          </cell>
          <cell r="AP33">
            <v>160.43746666666667</v>
          </cell>
          <cell r="AQ33">
            <v>400</v>
          </cell>
          <cell r="AR33">
            <v>338</v>
          </cell>
          <cell r="AS33">
            <v>255</v>
          </cell>
          <cell r="AT33">
            <v>175</v>
          </cell>
          <cell r="AU33">
            <v>451</v>
          </cell>
          <cell r="AV33">
            <v>365</v>
          </cell>
          <cell r="AW33">
            <v>277</v>
          </cell>
          <cell r="AX33">
            <v>161</v>
          </cell>
          <cell r="AY33">
            <v>414</v>
          </cell>
          <cell r="AZ33">
            <v>328</v>
          </cell>
          <cell r="BA33">
            <v>283</v>
          </cell>
          <cell r="BB33">
            <v>206</v>
          </cell>
          <cell r="BC33">
            <v>367</v>
          </cell>
          <cell r="BD33">
            <v>280</v>
          </cell>
          <cell r="BE33">
            <v>229</v>
          </cell>
          <cell r="BF33">
            <v>183</v>
          </cell>
          <cell r="BG33">
            <v>388</v>
          </cell>
          <cell r="BH33">
            <v>294</v>
          </cell>
          <cell r="BI33">
            <v>247</v>
          </cell>
          <cell r="BJ33">
            <v>178</v>
          </cell>
          <cell r="BK33">
            <v>307</v>
          </cell>
          <cell r="BL33">
            <v>341.97865315144099</v>
          </cell>
          <cell r="BM33">
            <v>269.42532575799379</v>
          </cell>
          <cell r="BN33">
            <v>234.25782675680477</v>
          </cell>
          <cell r="BO33">
            <v>328.78890467390784</v>
          </cell>
          <cell r="BP33">
            <v>319.42230165296627</v>
          </cell>
          <cell r="BQ33">
            <v>271.92563417159846</v>
          </cell>
          <cell r="BR33">
            <v>192.39103939378026</v>
          </cell>
        </row>
        <row r="35">
          <cell r="A35" t="str">
            <v>Taxes on earnings</v>
          </cell>
          <cell r="B35">
            <v>342.1</v>
          </cell>
          <cell r="C35">
            <v>279</v>
          </cell>
          <cell r="D35">
            <v>297.52800000000002</v>
          </cell>
          <cell r="E35">
            <v>303.2</v>
          </cell>
          <cell r="F35">
            <v>309.81632653061223</v>
          </cell>
          <cell r="G35">
            <v>298.58839599999999</v>
          </cell>
          <cell r="H35">
            <v>333</v>
          </cell>
          <cell r="I35">
            <v>324</v>
          </cell>
          <cell r="J35">
            <v>373.76</v>
          </cell>
          <cell r="K35">
            <v>392.39245283018869</v>
          </cell>
          <cell r="L35">
            <v>386.82517482517483</v>
          </cell>
          <cell r="M35">
            <v>329</v>
          </cell>
          <cell r="N35">
            <v>330</v>
          </cell>
          <cell r="O35">
            <v>363.08846878486543</v>
          </cell>
          <cell r="P35">
            <v>382.66356337490606</v>
          </cell>
          <cell r="Q35">
            <v>399.56944333034494</v>
          </cell>
          <cell r="R35">
            <v>415.89305192509829</v>
          </cell>
          <cell r="S35">
            <v>432.80036742327337</v>
          </cell>
          <cell r="T35">
            <v>450.30430944938968</v>
          </cell>
          <cell r="U35">
            <v>468.39890452102497</v>
          </cell>
          <cell r="W35">
            <v>100</v>
          </cell>
          <cell r="X35">
            <v>112</v>
          </cell>
          <cell r="Y35">
            <v>55</v>
          </cell>
          <cell r="Z35">
            <v>36.199999999999989</v>
          </cell>
          <cell r="AA35">
            <v>103</v>
          </cell>
          <cell r="AB35">
            <v>105.374626865672</v>
          </cell>
          <cell r="AC35">
            <v>64.8</v>
          </cell>
          <cell r="AD35">
            <v>106</v>
          </cell>
          <cell r="AE35">
            <v>99</v>
          </cell>
          <cell r="AF35">
            <v>106</v>
          </cell>
          <cell r="AG35">
            <v>68</v>
          </cell>
          <cell r="AH35">
            <v>24</v>
          </cell>
          <cell r="AI35">
            <v>128</v>
          </cell>
          <cell r="AJ35">
            <v>113</v>
          </cell>
          <cell r="AK35">
            <v>53</v>
          </cell>
          <cell r="AL35">
            <v>39</v>
          </cell>
          <cell r="AM35">
            <v>119.00000000000001</v>
          </cell>
          <cell r="AN35">
            <v>119.67327935222669</v>
          </cell>
          <cell r="AO35">
            <v>67.422957746478872</v>
          </cell>
          <cell r="AP35">
            <v>65.244569777777784</v>
          </cell>
          <cell r="AQ35">
            <v>119</v>
          </cell>
          <cell r="AR35">
            <v>104</v>
          </cell>
          <cell r="AS35">
            <v>84</v>
          </cell>
          <cell r="AT35">
            <v>68</v>
          </cell>
          <cell r="AU35">
            <v>147</v>
          </cell>
          <cell r="AV35">
            <v>105.99999999999999</v>
          </cell>
          <cell r="AW35">
            <v>91.392452830188674</v>
          </cell>
          <cell r="AX35">
            <v>48</v>
          </cell>
          <cell r="AY35">
            <v>135</v>
          </cell>
          <cell r="AZ35">
            <v>89</v>
          </cell>
          <cell r="BA35">
            <v>97.5</v>
          </cell>
          <cell r="BB35">
            <v>65.325174825174827</v>
          </cell>
          <cell r="BC35">
            <v>119</v>
          </cell>
          <cell r="BD35">
            <v>94</v>
          </cell>
          <cell r="BE35">
            <v>60</v>
          </cell>
          <cell r="BF35">
            <v>56</v>
          </cell>
          <cell r="BG35">
            <v>124</v>
          </cell>
          <cell r="BH35">
            <v>96</v>
          </cell>
          <cell r="BI35">
            <v>66</v>
          </cell>
          <cell r="BJ35">
            <v>44</v>
          </cell>
          <cell r="BK35">
            <v>99</v>
          </cell>
          <cell r="BL35">
            <v>106.69733978324959</v>
          </cell>
          <cell r="BM35">
            <v>84.060701636494059</v>
          </cell>
          <cell r="BN35">
            <v>73.33042736512175</v>
          </cell>
          <cell r="BO35">
            <v>103.56850497228096</v>
          </cell>
          <cell r="BP35">
            <v>100.61802502068437</v>
          </cell>
          <cell r="BQ35">
            <v>85.656574764053531</v>
          </cell>
          <cell r="BR35">
            <v>60.603177409040882</v>
          </cell>
          <cell r="DT35" t="str">
            <v>mstag:taxExpenseIncome</v>
          </cell>
          <cell r="DU35">
            <v>6</v>
          </cell>
          <cell r="DV35" t="str">
            <v>ISO4217:USD</v>
          </cell>
          <cell r="DW35" t="b">
            <v>0</v>
          </cell>
          <cell r="DX35" t="str">
            <v>mstag:taxExpenseIncome</v>
          </cell>
          <cell r="DY35">
            <v>6</v>
          </cell>
          <cell r="DZ35" t="str">
            <v>ISO4217:USD</v>
          </cell>
          <cell r="EA35" t="b">
            <v>0</v>
          </cell>
        </row>
        <row r="36">
          <cell r="A36" t="str">
            <v>Income tax rate</v>
          </cell>
          <cell r="B36">
            <v>0.3414853264124576</v>
          </cell>
          <cell r="C36">
            <v>0.34107579462102688</v>
          </cell>
          <cell r="D36">
            <v>0.32200000000000001</v>
          </cell>
          <cell r="E36">
            <v>0.31781970649895175</v>
          </cell>
          <cell r="F36">
            <v>0.31389698736637511</v>
          </cell>
          <cell r="G36">
            <v>0.29199999999999998</v>
          </cell>
          <cell r="H36">
            <v>0.30217785843920147</v>
          </cell>
          <cell r="I36">
            <v>0.28902765388046386</v>
          </cell>
          <cell r="J36">
            <v>0.32</v>
          </cell>
          <cell r="K36">
            <v>0.31291264181035783</v>
          </cell>
          <cell r="L36">
            <v>0.31423653519510547</v>
          </cell>
          <cell r="M36">
            <v>0.31067044381491976</v>
          </cell>
          <cell r="N36">
            <v>0.29810298102981031</v>
          </cell>
          <cell r="O36">
            <v>0.315</v>
          </cell>
          <cell r="P36">
            <v>0.3175</v>
          </cell>
          <cell r="Q36">
            <v>0.3175</v>
          </cell>
          <cell r="R36">
            <v>0.3175</v>
          </cell>
          <cell r="S36">
            <v>0.3175</v>
          </cell>
          <cell r="T36">
            <v>0.3175</v>
          </cell>
          <cell r="U36">
            <v>0.3175</v>
          </cell>
          <cell r="W36">
            <v>0.32154340836012862</v>
          </cell>
          <cell r="X36">
            <v>0.32276657060518732</v>
          </cell>
          <cell r="Y36">
            <v>0.29665587918015102</v>
          </cell>
          <cell r="Z36">
            <v>0.32730560578661838</v>
          </cell>
          <cell r="AA36">
            <v>0.3149847094801223</v>
          </cell>
          <cell r="AB36">
            <v>0.3173934544146747</v>
          </cell>
          <cell r="AC36">
            <v>0.31921182266009851</v>
          </cell>
          <cell r="AD36">
            <v>0.29444444444444445</v>
          </cell>
          <cell r="AE36">
            <v>0.29032258064516137</v>
          </cell>
          <cell r="AF36">
            <v>0.29444444444444445</v>
          </cell>
          <cell r="AG36">
            <v>0.29059829059829062</v>
          </cell>
          <cell r="AH36">
            <v>0.24489795918367346</v>
          </cell>
          <cell r="AI36">
            <v>0.32241813602015112</v>
          </cell>
          <cell r="AJ36">
            <v>0.29503916449086159</v>
          </cell>
          <cell r="AK36">
            <v>0.23043478260869565</v>
          </cell>
          <cell r="AL36">
            <v>0.42391304347826086</v>
          </cell>
          <cell r="AM36">
            <v>0.3059125964010283</v>
          </cell>
          <cell r="AN36">
            <v>0.31005586592178769</v>
          </cell>
          <cell r="AO36">
            <v>0.28999999999999998</v>
          </cell>
          <cell r="AP36">
            <v>0.40666666666666668</v>
          </cell>
          <cell r="AQ36">
            <v>0.29749999999999999</v>
          </cell>
          <cell r="AR36">
            <v>0.30769230769230771</v>
          </cell>
          <cell r="AS36">
            <v>0.32941176470588235</v>
          </cell>
          <cell r="AT36">
            <v>0.38857142857142857</v>
          </cell>
          <cell r="AU36">
            <v>0.32594235033259422</v>
          </cell>
          <cell r="AV36">
            <v>0.29041095890410956</v>
          </cell>
          <cell r="AW36">
            <v>0.32993665281656559</v>
          </cell>
          <cell r="AX36">
            <v>0.29813664596273293</v>
          </cell>
          <cell r="AY36">
            <v>0.32608695652173914</v>
          </cell>
          <cell r="AZ36">
            <v>0.27134146341463417</v>
          </cell>
          <cell r="BA36">
            <v>0.34275618374558303</v>
          </cell>
          <cell r="BB36">
            <v>0.31468531468531469</v>
          </cell>
          <cell r="BC36">
            <v>0.3242506811989101</v>
          </cell>
          <cell r="BD36">
            <v>0.33571428571428569</v>
          </cell>
          <cell r="BE36">
            <v>0.26200873362445415</v>
          </cell>
          <cell r="BF36">
            <v>0.30601092896174864</v>
          </cell>
          <cell r="BG36">
            <v>0.31958762886597936</v>
          </cell>
          <cell r="BH36">
            <v>0.32653061224489793</v>
          </cell>
          <cell r="BI36">
            <v>0.26720647773279355</v>
          </cell>
          <cell r="BJ36">
            <v>0.24719101123595505</v>
          </cell>
          <cell r="BK36">
            <v>0.32247557003257327</v>
          </cell>
          <cell r="BL36">
            <v>0.312</v>
          </cell>
          <cell r="BM36">
            <v>0.312</v>
          </cell>
          <cell r="BN36">
            <v>0.3130329875434637</v>
          </cell>
          <cell r="BO36">
            <v>0.315</v>
          </cell>
          <cell r="BP36">
            <v>0.315</v>
          </cell>
          <cell r="BQ36">
            <v>0.31500000000000006</v>
          </cell>
          <cell r="BR36">
            <v>0.3150000000000005</v>
          </cell>
        </row>
        <row r="38">
          <cell r="A38" t="str">
            <v>Earnings allocated to participating securities</v>
          </cell>
          <cell r="K38">
            <v>13</v>
          </cell>
          <cell r="L38">
            <v>7</v>
          </cell>
          <cell r="M38">
            <v>-10</v>
          </cell>
          <cell r="N38">
            <v>-9</v>
          </cell>
          <cell r="O38">
            <v>-9</v>
          </cell>
          <cell r="P38">
            <v>-9</v>
          </cell>
          <cell r="Q38">
            <v>-9</v>
          </cell>
          <cell r="R38">
            <v>-9</v>
          </cell>
          <cell r="S38">
            <v>-9</v>
          </cell>
          <cell r="T38">
            <v>-9</v>
          </cell>
          <cell r="U38">
            <v>-9</v>
          </cell>
          <cell r="AU38">
            <v>4</v>
          </cell>
          <cell r="AV38">
            <v>5</v>
          </cell>
          <cell r="AW38">
            <v>2</v>
          </cell>
          <cell r="AY38">
            <v>1</v>
          </cell>
          <cell r="AZ38">
            <v>2</v>
          </cell>
          <cell r="BA38">
            <v>3</v>
          </cell>
          <cell r="BB38">
            <v>1</v>
          </cell>
          <cell r="BC38">
            <v>-2</v>
          </cell>
          <cell r="BD38">
            <v>-4</v>
          </cell>
          <cell r="BE38">
            <v>-2</v>
          </cell>
          <cell r="BF38">
            <v>-2</v>
          </cell>
          <cell r="BG38">
            <v>-2</v>
          </cell>
          <cell r="BH38">
            <v>-3</v>
          </cell>
          <cell r="BI38">
            <v>-2</v>
          </cell>
          <cell r="BJ38">
            <v>-2</v>
          </cell>
          <cell r="BK38">
            <v>-1</v>
          </cell>
          <cell r="BL38">
            <v>-2.25</v>
          </cell>
          <cell r="BM38">
            <v>-2.25</v>
          </cell>
          <cell r="BN38">
            <v>-3.5</v>
          </cell>
          <cell r="BO38">
            <v>-1.5</v>
          </cell>
          <cell r="BP38">
            <v>-1.5</v>
          </cell>
          <cell r="BQ38">
            <v>-1.5</v>
          </cell>
          <cell r="BR38">
            <v>-1.5</v>
          </cell>
          <cell r="DT38" t="str">
            <v>mstag:otherProvisionsRecurring</v>
          </cell>
          <cell r="DU38">
            <v>6</v>
          </cell>
          <cell r="DV38" t="str">
            <v>ISO4217:USD</v>
          </cell>
          <cell r="DW38" t="b">
            <v>0</v>
          </cell>
          <cell r="DX38" t="str">
            <v>mstag:otherProvisionsRecurring</v>
          </cell>
          <cell r="DY38">
            <v>6</v>
          </cell>
          <cell r="DZ38" t="str">
            <v>ISO4217:USD</v>
          </cell>
          <cell r="EA38" t="b">
            <v>0</v>
          </cell>
        </row>
        <row r="40">
          <cell r="A40" t="str">
            <v>Continuing net earnings</v>
          </cell>
          <cell r="B40">
            <v>659.69999999999993</v>
          </cell>
          <cell r="C40">
            <v>539</v>
          </cell>
          <cell r="D40">
            <v>626.47199999999998</v>
          </cell>
          <cell r="E40">
            <v>650.79999999999995</v>
          </cell>
          <cell r="F40">
            <v>677.18367346938771</v>
          </cell>
          <cell r="G40">
            <v>723.974604</v>
          </cell>
          <cell r="H40">
            <v>769</v>
          </cell>
          <cell r="I40">
            <v>797</v>
          </cell>
          <cell r="J40">
            <v>794.24</v>
          </cell>
          <cell r="K40">
            <v>848.60754716981137</v>
          </cell>
          <cell r="L40">
            <v>837.17482517482517</v>
          </cell>
          <cell r="M40">
            <v>740</v>
          </cell>
          <cell r="N40">
            <v>786</v>
          </cell>
          <cell r="O40">
            <v>798.57333688137396</v>
          </cell>
          <cell r="P40">
            <v>831.57600630983734</v>
          </cell>
          <cell r="Q40">
            <v>867.91699235578085</v>
          </cell>
          <cell r="R40">
            <v>903.00632421694354</v>
          </cell>
          <cell r="S40">
            <v>939.35039611459547</v>
          </cell>
          <cell r="T40">
            <v>976.97698015498736</v>
          </cell>
          <cell r="U40">
            <v>1015.8732357026757</v>
          </cell>
          <cell r="W40">
            <v>211</v>
          </cell>
          <cell r="X40">
            <v>235</v>
          </cell>
          <cell r="Y40">
            <v>130.4</v>
          </cell>
          <cell r="Z40">
            <v>74.400000000000006</v>
          </cell>
          <cell r="AA40">
            <v>224</v>
          </cell>
          <cell r="AB40">
            <v>226.62537313432802</v>
          </cell>
          <cell r="AC40">
            <v>138.19999999999999</v>
          </cell>
          <cell r="AD40">
            <v>254</v>
          </cell>
          <cell r="AE40">
            <v>241.99999999999989</v>
          </cell>
          <cell r="AF40">
            <v>254</v>
          </cell>
          <cell r="AG40">
            <v>166</v>
          </cell>
          <cell r="AH40">
            <v>74</v>
          </cell>
          <cell r="AI40">
            <v>269</v>
          </cell>
          <cell r="AJ40">
            <v>270</v>
          </cell>
          <cell r="AK40">
            <v>177</v>
          </cell>
          <cell r="AL40">
            <v>53</v>
          </cell>
          <cell r="AM40">
            <v>270</v>
          </cell>
          <cell r="AN40">
            <v>266.29999999999995</v>
          </cell>
          <cell r="AO40">
            <v>165.07000000000005</v>
          </cell>
          <cell r="AP40">
            <v>95.192896888888882</v>
          </cell>
          <cell r="AQ40">
            <v>281</v>
          </cell>
          <cell r="AR40">
            <v>234</v>
          </cell>
          <cell r="AS40">
            <v>171</v>
          </cell>
          <cell r="AT40">
            <v>107</v>
          </cell>
          <cell r="AU40">
            <v>300</v>
          </cell>
          <cell r="AV40">
            <v>254</v>
          </cell>
          <cell r="AW40">
            <v>183.60754716981131</v>
          </cell>
          <cell r="AX40">
            <v>113</v>
          </cell>
          <cell r="AY40">
            <v>278</v>
          </cell>
          <cell r="AZ40">
            <v>237</v>
          </cell>
          <cell r="BA40">
            <v>182.5</v>
          </cell>
          <cell r="BB40">
            <v>139.67482517482517</v>
          </cell>
          <cell r="BC40">
            <v>250</v>
          </cell>
          <cell r="BD40">
            <v>190</v>
          </cell>
          <cell r="BE40">
            <v>171</v>
          </cell>
          <cell r="BF40">
            <v>129</v>
          </cell>
          <cell r="BG40">
            <v>266</v>
          </cell>
          <cell r="BH40">
            <v>201</v>
          </cell>
          <cell r="BI40">
            <v>183</v>
          </cell>
          <cell r="BJ40">
            <v>136</v>
          </cell>
          <cell r="BK40">
            <v>209</v>
          </cell>
          <cell r="BL40">
            <v>237.53131336819141</v>
          </cell>
          <cell r="BM40">
            <v>187.61462412149973</v>
          </cell>
          <cell r="BN40">
            <v>164.42739939168302</v>
          </cell>
          <cell r="BO40">
            <v>226.72039970162689</v>
          </cell>
          <cell r="BP40">
            <v>220.3042766322819</v>
          </cell>
          <cell r="BQ40">
            <v>187.76905940754494</v>
          </cell>
          <cell r="BR40">
            <v>133.28786198473938</v>
          </cell>
        </row>
        <row r="42">
          <cell r="A42" t="str">
            <v>Extraordinary items, discontinued operations, net of tax</v>
          </cell>
          <cell r="B42">
            <v>-11</v>
          </cell>
          <cell r="C42">
            <v>-13</v>
          </cell>
          <cell r="D42">
            <v>-31.472000000000001</v>
          </cell>
          <cell r="E42">
            <v>-3.8</v>
          </cell>
          <cell r="F42">
            <v>0</v>
          </cell>
          <cell r="G42">
            <v>-42.025396000000001</v>
          </cell>
          <cell r="H42">
            <v>63</v>
          </cell>
          <cell r="I42">
            <v>494</v>
          </cell>
          <cell r="J42">
            <v>4</v>
          </cell>
          <cell r="K42">
            <v>0</v>
          </cell>
          <cell r="L42">
            <v>0</v>
          </cell>
          <cell r="M42">
            <v>2</v>
          </cell>
          <cell r="N42">
            <v>6</v>
          </cell>
          <cell r="O42">
            <v>0</v>
          </cell>
          <cell r="P42">
            <v>0</v>
          </cell>
          <cell r="Q42">
            <v>0</v>
          </cell>
          <cell r="R42">
            <v>0</v>
          </cell>
          <cell r="S42">
            <v>0</v>
          </cell>
          <cell r="T42">
            <v>0</v>
          </cell>
          <cell r="U42">
            <v>0</v>
          </cell>
          <cell r="W42">
            <v>0</v>
          </cell>
          <cell r="X42">
            <v>0</v>
          </cell>
          <cell r="Y42">
            <v>0</v>
          </cell>
          <cell r="Z42">
            <v>0</v>
          </cell>
          <cell r="AA42">
            <v>0</v>
          </cell>
          <cell r="AB42">
            <v>0</v>
          </cell>
          <cell r="AC42">
            <v>0</v>
          </cell>
          <cell r="AD42">
            <v>0</v>
          </cell>
          <cell r="AE42">
            <v>0</v>
          </cell>
          <cell r="AF42">
            <v>0</v>
          </cell>
          <cell r="AG42">
            <v>0</v>
          </cell>
          <cell r="AH42">
            <v>21</v>
          </cell>
          <cell r="AI42">
            <v>0</v>
          </cell>
          <cell r="AJ42">
            <v>14</v>
          </cell>
          <cell r="AK42">
            <v>41</v>
          </cell>
          <cell r="AL42">
            <v>8</v>
          </cell>
          <cell r="AM42">
            <v>0</v>
          </cell>
          <cell r="AN42">
            <v>9.14</v>
          </cell>
          <cell r="AO42">
            <v>467</v>
          </cell>
          <cell r="AP42">
            <v>-4.4025333333333334</v>
          </cell>
          <cell r="AR42">
            <v>0</v>
          </cell>
          <cell r="AZ42">
            <v>2</v>
          </cell>
          <cell r="BA42">
            <v>1</v>
          </cell>
          <cell r="BB42">
            <v>2</v>
          </cell>
          <cell r="BC42">
            <v>2</v>
          </cell>
          <cell r="BD42">
            <v>0</v>
          </cell>
          <cell r="BE42">
            <v>0</v>
          </cell>
          <cell r="BF42">
            <v>0</v>
          </cell>
          <cell r="BG42">
            <v>0</v>
          </cell>
          <cell r="BH42">
            <v>0</v>
          </cell>
          <cell r="BI42">
            <v>0</v>
          </cell>
          <cell r="BJ42">
            <v>6</v>
          </cell>
          <cell r="BK42">
            <v>-9</v>
          </cell>
          <cell r="BL42">
            <v>0</v>
          </cell>
          <cell r="BM42">
            <v>0</v>
          </cell>
          <cell r="BN42">
            <v>0</v>
          </cell>
          <cell r="BO42">
            <v>0</v>
          </cell>
          <cell r="BP42">
            <v>0</v>
          </cell>
          <cell r="BQ42">
            <v>0</v>
          </cell>
          <cell r="BR42">
            <v>0</v>
          </cell>
          <cell r="DT42" t="str">
            <v>mstag:restructuringCostsOneTime</v>
          </cell>
          <cell r="DU42">
            <v>6</v>
          </cell>
          <cell r="DV42" t="str">
            <v>ISO4217:USD</v>
          </cell>
          <cell r="DW42" t="b">
            <v>1</v>
          </cell>
          <cell r="DX42" t="str">
            <v>mstag:restructuringCostsOneTime</v>
          </cell>
          <cell r="DY42">
            <v>6</v>
          </cell>
          <cell r="DZ42" t="str">
            <v>ISO4217:USD</v>
          </cell>
          <cell r="EA42" t="b">
            <v>1</v>
          </cell>
        </row>
        <row r="44">
          <cell r="A44" t="str">
            <v>Reported net earnings</v>
          </cell>
          <cell r="B44">
            <v>648.69999999999993</v>
          </cell>
          <cell r="C44">
            <v>526</v>
          </cell>
          <cell r="D44">
            <v>595</v>
          </cell>
          <cell r="E44">
            <v>647</v>
          </cell>
          <cell r="F44">
            <v>677.18367346938771</v>
          </cell>
          <cell r="G44">
            <v>681.949208</v>
          </cell>
          <cell r="H44">
            <v>832</v>
          </cell>
          <cell r="I44">
            <v>1291</v>
          </cell>
          <cell r="J44">
            <v>798.24</v>
          </cell>
          <cell r="K44">
            <v>848.60754716981137</v>
          </cell>
          <cell r="L44">
            <v>837.17482517482517</v>
          </cell>
          <cell r="M44">
            <v>742</v>
          </cell>
          <cell r="N44">
            <v>792</v>
          </cell>
          <cell r="O44">
            <v>798.57333688137396</v>
          </cell>
          <cell r="P44">
            <v>831.57600630983734</v>
          </cell>
          <cell r="Q44">
            <v>867.91699235578085</v>
          </cell>
          <cell r="R44">
            <v>903.00632421694354</v>
          </cell>
          <cell r="S44">
            <v>939.35039611459547</v>
          </cell>
          <cell r="T44">
            <v>976.97698015498736</v>
          </cell>
          <cell r="U44">
            <v>1015.8732357026757</v>
          </cell>
          <cell r="W44">
            <v>211</v>
          </cell>
          <cell r="X44">
            <v>235</v>
          </cell>
          <cell r="Y44">
            <v>130.4</v>
          </cell>
          <cell r="Z44">
            <v>74.400000000000006</v>
          </cell>
          <cell r="AA44">
            <v>224</v>
          </cell>
          <cell r="AB44">
            <v>226.62537313432802</v>
          </cell>
          <cell r="AC44">
            <v>138.19999999999999</v>
          </cell>
          <cell r="AD44">
            <v>254</v>
          </cell>
          <cell r="AE44">
            <v>241.99999999999989</v>
          </cell>
          <cell r="AF44">
            <v>254</v>
          </cell>
          <cell r="AG44">
            <v>166</v>
          </cell>
          <cell r="AH44">
            <v>95</v>
          </cell>
          <cell r="AI44">
            <v>269</v>
          </cell>
          <cell r="AJ44">
            <v>284</v>
          </cell>
          <cell r="AK44">
            <v>218</v>
          </cell>
          <cell r="AL44">
            <v>61</v>
          </cell>
          <cell r="AM44">
            <v>270</v>
          </cell>
          <cell r="AN44">
            <v>275.43999999999994</v>
          </cell>
          <cell r="AO44">
            <v>632.07000000000005</v>
          </cell>
          <cell r="AP44">
            <v>90.790363555555544</v>
          </cell>
          <cell r="AQ44">
            <v>281</v>
          </cell>
          <cell r="AR44">
            <v>234</v>
          </cell>
          <cell r="AS44">
            <v>171</v>
          </cell>
          <cell r="AT44">
            <v>107</v>
          </cell>
          <cell r="AU44">
            <v>300</v>
          </cell>
          <cell r="AV44">
            <v>254</v>
          </cell>
          <cell r="AW44">
            <v>183.60754716981131</v>
          </cell>
          <cell r="AX44">
            <v>113</v>
          </cell>
          <cell r="AY44">
            <v>278</v>
          </cell>
          <cell r="AZ44">
            <v>239</v>
          </cell>
          <cell r="BA44">
            <v>183.5</v>
          </cell>
          <cell r="BB44">
            <v>141.67482517482517</v>
          </cell>
          <cell r="BC44">
            <v>252</v>
          </cell>
          <cell r="BD44">
            <v>190</v>
          </cell>
          <cell r="BE44">
            <v>171</v>
          </cell>
          <cell r="BF44">
            <v>129</v>
          </cell>
          <cell r="BG44">
            <v>266</v>
          </cell>
          <cell r="BH44">
            <v>201</v>
          </cell>
          <cell r="BI44">
            <v>183</v>
          </cell>
          <cell r="BJ44">
            <v>142</v>
          </cell>
          <cell r="BK44">
            <v>200</v>
          </cell>
          <cell r="BL44">
            <v>237.53131336819141</v>
          </cell>
          <cell r="BM44">
            <v>187.61462412149973</v>
          </cell>
          <cell r="BN44">
            <v>164.42739939168302</v>
          </cell>
          <cell r="BO44">
            <v>226.72039970162689</v>
          </cell>
          <cell r="BP44">
            <v>220.3042766322819</v>
          </cell>
          <cell r="BQ44">
            <v>187.76905940754494</v>
          </cell>
          <cell r="BR44">
            <v>133.28786198473938</v>
          </cell>
        </row>
        <row r="45">
          <cell r="N45">
            <v>0</v>
          </cell>
        </row>
        <row r="46">
          <cell r="A46" t="str">
            <v>EPS- Basic:</v>
          </cell>
        </row>
        <row r="47">
          <cell r="A47" t="str">
            <v>Continuing net earnings</v>
          </cell>
          <cell r="B47">
            <v>1.593478260869565</v>
          </cell>
          <cell r="C47">
            <v>1.3146341463414635</v>
          </cell>
          <cell r="D47">
            <v>1.5242627737226278</v>
          </cell>
          <cell r="E47">
            <v>1.5911980440097799</v>
          </cell>
          <cell r="F47">
            <v>1.6557058031036374</v>
          </cell>
          <cell r="G47">
            <v>1.7835354184413541</v>
          </cell>
          <cell r="H47">
            <v>1.9922279792746114</v>
          </cell>
          <cell r="I47">
            <v>2.1367292225201071</v>
          </cell>
          <cell r="J47">
            <v>2.2563636363636363</v>
          </cell>
          <cell r="K47">
            <v>2.495904550499445</v>
          </cell>
          <cell r="L47">
            <v>2.5680209361190958</v>
          </cell>
          <cell r="M47">
            <v>2.3343848580441642</v>
          </cell>
          <cell r="N47">
            <v>2.5031847133757963</v>
          </cell>
          <cell r="O47">
            <v>2.5595299259018396</v>
          </cell>
          <cell r="P47">
            <v>2.6838379742567766</v>
          </cell>
          <cell r="Q47">
            <v>2.8390066870086659</v>
          </cell>
          <cell r="R47">
            <v>2.9909101703468393</v>
          </cell>
          <cell r="S47">
            <v>3.1474734645604352</v>
          </cell>
          <cell r="T47">
            <v>3.3086129347403079</v>
          </cell>
          <cell r="U47">
            <v>3.4740980825162895</v>
          </cell>
          <cell r="W47">
            <v>0.51338199513381999</v>
          </cell>
          <cell r="X47">
            <v>0.57177615571776153</v>
          </cell>
          <cell r="Y47">
            <v>0.3172749391727494</v>
          </cell>
          <cell r="Z47">
            <v>0.1819070904645477</v>
          </cell>
          <cell r="AA47">
            <v>0.5476772616136919</v>
          </cell>
          <cell r="AB47">
            <v>0.55409626683209778</v>
          </cell>
          <cell r="AC47">
            <v>0.3378973105134474</v>
          </cell>
          <cell r="AD47">
            <v>0.62254901960784315</v>
          </cell>
          <cell r="AE47">
            <v>0.5916870415647919</v>
          </cell>
          <cell r="AF47">
            <v>0.62254901960784315</v>
          </cell>
          <cell r="AG47">
            <v>0.40886699507389163</v>
          </cell>
          <cell r="AH47">
            <v>0.18226600985221675</v>
          </cell>
          <cell r="AI47">
            <v>0.68101265822784807</v>
          </cell>
          <cell r="AJ47">
            <v>0.703125</v>
          </cell>
          <cell r="AK47">
            <v>0.4609375</v>
          </cell>
          <cell r="AL47">
            <v>0.13910761154855644</v>
          </cell>
          <cell r="AM47">
            <v>0.71240105540897103</v>
          </cell>
          <cell r="AN47">
            <v>0.70636604774535794</v>
          </cell>
          <cell r="AO47">
            <v>0.44254691689008058</v>
          </cell>
          <cell r="AP47">
            <v>0.26223938536883989</v>
          </cell>
          <cell r="AQ47">
            <v>0.78711484593837533</v>
          </cell>
          <cell r="AR47">
            <v>0.6591549295774648</v>
          </cell>
          <cell r="AS47">
            <v>0.48857142857142855</v>
          </cell>
          <cell r="AT47">
            <v>0.30924855491329478</v>
          </cell>
          <cell r="AU47">
            <v>0.87463556851311952</v>
          </cell>
          <cell r="AV47">
            <v>0.74486803519061584</v>
          </cell>
          <cell r="AW47">
            <v>0.54161518339177384</v>
          </cell>
          <cell r="AX47">
            <v>0.33431952662721892</v>
          </cell>
          <cell r="AY47">
            <v>0.82985074626865674</v>
          </cell>
          <cell r="AZ47">
            <v>0.71818181818181814</v>
          </cell>
          <cell r="BA47">
            <v>0.56853582554517135</v>
          </cell>
          <cell r="BB47">
            <v>0.43512406596518743</v>
          </cell>
          <cell r="BC47">
            <v>0.78125</v>
          </cell>
          <cell r="BD47">
            <v>0.59748427672955973</v>
          </cell>
          <cell r="BE47">
            <v>0.54113924050632911</v>
          </cell>
          <cell r="BF47">
            <v>0.40952380952380951</v>
          </cell>
          <cell r="BG47">
            <v>0.84788352191830074</v>
          </cell>
          <cell r="BH47">
            <v>0.64012738853503182</v>
          </cell>
          <cell r="BI47">
            <v>0.58280254777070062</v>
          </cell>
          <cell r="BJ47">
            <v>0.43312101910828027</v>
          </cell>
          <cell r="BK47">
            <v>0.66560509554140124</v>
          </cell>
          <cell r="BL47">
            <v>0.7564691508541127</v>
          </cell>
          <cell r="BM47">
            <v>0.59749880293471247</v>
          </cell>
          <cell r="BN47">
            <v>0.52365413819007334</v>
          </cell>
          <cell r="BO47">
            <v>0.72493391818059882</v>
          </cell>
          <cell r="BP47">
            <v>0.70555193708994368</v>
          </cell>
          <cell r="BQ47">
            <v>0.60230383523004527</v>
          </cell>
          <cell r="BR47">
            <v>0.42820832839854117</v>
          </cell>
        </row>
        <row r="48">
          <cell r="A48" t="str">
            <v>Extraordinary items, discontinued operations, net of tax</v>
          </cell>
          <cell r="B48">
            <v>-2.6570048309178744E-2</v>
          </cell>
          <cell r="C48">
            <v>-3.1707317073170732E-2</v>
          </cell>
          <cell r="D48">
            <v>-7.6574209245742098E-2</v>
          </cell>
          <cell r="E48">
            <v>-9.2909535452322736E-3</v>
          </cell>
          <cell r="F48">
            <v>0</v>
          </cell>
          <cell r="G48">
            <v>-0.10353095512729285</v>
          </cell>
          <cell r="H48">
            <v>0.16321243523316062</v>
          </cell>
          <cell r="I48">
            <v>1.3243967828418231</v>
          </cell>
          <cell r="J48">
            <v>1.1363636363636364E-2</v>
          </cell>
          <cell r="K48">
            <v>0</v>
          </cell>
          <cell r="L48">
            <v>0</v>
          </cell>
          <cell r="M48">
            <v>6.3091482649842269E-3</v>
          </cell>
          <cell r="N48">
            <v>1.9108280254777069E-2</v>
          </cell>
          <cell r="O48">
            <v>0</v>
          </cell>
          <cell r="P48">
            <v>0</v>
          </cell>
          <cell r="Q48">
            <v>0</v>
          </cell>
          <cell r="R48">
            <v>0</v>
          </cell>
          <cell r="S48">
            <v>0</v>
          </cell>
          <cell r="T48">
            <v>0</v>
          </cell>
          <cell r="U48">
            <v>0</v>
          </cell>
          <cell r="W48">
            <v>0</v>
          </cell>
          <cell r="X48">
            <v>0</v>
          </cell>
          <cell r="Y48">
            <v>0</v>
          </cell>
          <cell r="Z48">
            <v>0</v>
          </cell>
          <cell r="AA48">
            <v>0</v>
          </cell>
          <cell r="AB48">
            <v>0</v>
          </cell>
          <cell r="AC48">
            <v>0</v>
          </cell>
          <cell r="AD48">
            <v>0</v>
          </cell>
          <cell r="AE48">
            <v>0</v>
          </cell>
          <cell r="AF48">
            <v>0</v>
          </cell>
          <cell r="AG48">
            <v>0</v>
          </cell>
          <cell r="AH48">
            <v>5.1724137931034482E-2</v>
          </cell>
          <cell r="AI48">
            <v>0</v>
          </cell>
          <cell r="AJ48">
            <v>3.6458333333333336E-2</v>
          </cell>
          <cell r="AK48">
            <v>0.10677083333333333</v>
          </cell>
          <cell r="AL48">
            <v>2.0997375328083989E-2</v>
          </cell>
          <cell r="AM48">
            <v>0</v>
          </cell>
          <cell r="AN48">
            <v>2.4244031830238728E-2</v>
          </cell>
          <cell r="AO48">
            <v>1.2520107238605898</v>
          </cell>
          <cell r="AP48">
            <v>-1.2128191000918274E-2</v>
          </cell>
          <cell r="AQ48">
            <v>0</v>
          </cell>
          <cell r="AR48">
            <v>0</v>
          </cell>
          <cell r="AS48">
            <v>0</v>
          </cell>
          <cell r="AT48">
            <v>0</v>
          </cell>
          <cell r="AU48">
            <v>0</v>
          </cell>
          <cell r="AV48">
            <v>0</v>
          </cell>
          <cell r="AW48">
            <v>0</v>
          </cell>
          <cell r="AX48">
            <v>0</v>
          </cell>
          <cell r="AY48">
            <v>0</v>
          </cell>
          <cell r="AZ48">
            <v>6.0606060606060606E-3</v>
          </cell>
          <cell r="BA48">
            <v>3.1152647975077881E-3</v>
          </cell>
          <cell r="BB48">
            <v>6.2305295950155761E-3</v>
          </cell>
          <cell r="BC48">
            <v>6.2500000000000003E-3</v>
          </cell>
          <cell r="BD48">
            <v>0</v>
          </cell>
          <cell r="BE48">
            <v>0</v>
          </cell>
          <cell r="BF48">
            <v>0</v>
          </cell>
          <cell r="BG48">
            <v>0</v>
          </cell>
          <cell r="BH48">
            <v>0</v>
          </cell>
          <cell r="BI48">
            <v>0</v>
          </cell>
          <cell r="BJ48">
            <v>1.9108280254777069E-2</v>
          </cell>
          <cell r="BK48">
            <v>-2.8662420382165606E-2</v>
          </cell>
          <cell r="BL48">
            <v>0</v>
          </cell>
          <cell r="BM48">
            <v>0</v>
          </cell>
          <cell r="BN48">
            <v>0</v>
          </cell>
          <cell r="BO48">
            <v>0</v>
          </cell>
          <cell r="BP48">
            <v>0</v>
          </cell>
          <cell r="BQ48">
            <v>0</v>
          </cell>
          <cell r="BR48">
            <v>0</v>
          </cell>
        </row>
        <row r="49">
          <cell r="A49" t="str">
            <v>Reported net earnings</v>
          </cell>
          <cell r="B49">
            <v>1.5669082125603864</v>
          </cell>
          <cell r="C49">
            <v>1.2829268292682927</v>
          </cell>
          <cell r="D49">
            <v>1.4476885644768855</v>
          </cell>
          <cell r="E49">
            <v>1.5819070904645476</v>
          </cell>
          <cell r="F49">
            <v>1.6557058031036374</v>
          </cell>
          <cell r="G49">
            <v>1.6800044633140612</v>
          </cell>
          <cell r="H49">
            <v>2.1554404145077721</v>
          </cell>
          <cell r="I49">
            <v>3.4611260053619302</v>
          </cell>
          <cell r="J49">
            <v>2.2677272727272726</v>
          </cell>
          <cell r="K49">
            <v>2.495904550499445</v>
          </cell>
          <cell r="L49">
            <v>2.5680209361190958</v>
          </cell>
          <cell r="M49">
            <v>2.3406940063091484</v>
          </cell>
          <cell r="N49">
            <v>2.5222929936305736</v>
          </cell>
          <cell r="O49">
            <v>2.5595299259018396</v>
          </cell>
          <cell r="P49">
            <v>2.6838379742567766</v>
          </cell>
          <cell r="Q49">
            <v>2.8390066870086659</v>
          </cell>
          <cell r="R49">
            <v>2.9909101703468393</v>
          </cell>
          <cell r="S49">
            <v>3.1474734645604352</v>
          </cell>
          <cell r="T49">
            <v>3.3086129347403079</v>
          </cell>
          <cell r="U49">
            <v>3.4740980825162895</v>
          </cell>
          <cell r="W49">
            <v>0.51338199513381999</v>
          </cell>
          <cell r="X49">
            <v>0.57177615571776153</v>
          </cell>
          <cell r="Y49">
            <v>0.3172749391727494</v>
          </cell>
          <cell r="Z49">
            <v>0.1819070904645477</v>
          </cell>
          <cell r="AA49">
            <v>0.5476772616136919</v>
          </cell>
          <cell r="AB49">
            <v>0.55409626683209778</v>
          </cell>
          <cell r="AC49">
            <v>0.3378973105134474</v>
          </cell>
          <cell r="AD49">
            <v>0.62254901960784315</v>
          </cell>
          <cell r="AE49">
            <v>0.5916870415647919</v>
          </cell>
          <cell r="AF49">
            <v>0.62254901960784315</v>
          </cell>
          <cell r="AG49">
            <v>0.40886699507389163</v>
          </cell>
          <cell r="AH49">
            <v>0.23399014778325122</v>
          </cell>
          <cell r="AI49">
            <v>0.68101265822784807</v>
          </cell>
          <cell r="AJ49">
            <v>0.73958333333333337</v>
          </cell>
          <cell r="AK49">
            <v>0.56770833333333337</v>
          </cell>
          <cell r="AL49">
            <v>0.16010498687664043</v>
          </cell>
          <cell r="AM49">
            <v>0.71240105540897103</v>
          </cell>
          <cell r="AN49">
            <v>0.73061007957559665</v>
          </cell>
          <cell r="AO49">
            <v>1.6945576407506704</v>
          </cell>
          <cell r="AP49">
            <v>0.25011119436792162</v>
          </cell>
          <cell r="AQ49">
            <v>0.78711484593837533</v>
          </cell>
          <cell r="AR49">
            <v>0.6591549295774648</v>
          </cell>
          <cell r="AS49">
            <v>0.48857142857142855</v>
          </cell>
          <cell r="AT49">
            <v>0.30924855491329478</v>
          </cell>
          <cell r="AU49">
            <v>0.87463556851311952</v>
          </cell>
          <cell r="AV49">
            <v>0.74486803519061584</v>
          </cell>
          <cell r="AW49">
            <v>0.54161518339177384</v>
          </cell>
          <cell r="AX49">
            <v>0.33431952662721892</v>
          </cell>
          <cell r="AY49">
            <v>0.82985074626865674</v>
          </cell>
          <cell r="AZ49">
            <v>0.72424242424242424</v>
          </cell>
          <cell r="BA49">
            <v>0.57165109034267914</v>
          </cell>
          <cell r="BB49">
            <v>0.44135459556020301</v>
          </cell>
          <cell r="BC49">
            <v>0.78749999999999998</v>
          </cell>
          <cell r="BD49">
            <v>0.59748427672955973</v>
          </cell>
          <cell r="BE49">
            <v>0.54113924050632911</v>
          </cell>
          <cell r="BF49">
            <v>0.40952380952380951</v>
          </cell>
          <cell r="BG49">
            <v>0.84788352191830074</v>
          </cell>
          <cell r="BH49">
            <v>0.64012738853503182</v>
          </cell>
          <cell r="BI49">
            <v>0.58280254777070062</v>
          </cell>
          <cell r="BJ49">
            <v>0.45222929936305734</v>
          </cell>
          <cell r="BK49">
            <v>0.63694267515923564</v>
          </cell>
          <cell r="BL49">
            <v>0.7564691508541127</v>
          </cell>
          <cell r="BM49">
            <v>0.59749880293471247</v>
          </cell>
          <cell r="BN49">
            <v>0.52365413819007334</v>
          </cell>
          <cell r="BO49">
            <v>0.72493391818059882</v>
          </cell>
          <cell r="BP49">
            <v>0.70555193708994368</v>
          </cell>
          <cell r="BQ49">
            <v>0.60230383523004527</v>
          </cell>
          <cell r="BR49">
            <v>0.42820832839854117</v>
          </cell>
        </row>
        <row r="51">
          <cell r="A51" t="str">
            <v>Dividends per Share</v>
          </cell>
          <cell r="B51">
            <v>0.9</v>
          </cell>
          <cell r="C51">
            <v>0.63</v>
          </cell>
          <cell r="D51">
            <v>0.63</v>
          </cell>
          <cell r="E51">
            <v>0.63</v>
          </cell>
          <cell r="F51">
            <v>0.67976999999999999</v>
          </cell>
          <cell r="G51">
            <v>0.72</v>
          </cell>
          <cell r="H51">
            <v>0.76719999999999988</v>
          </cell>
          <cell r="I51">
            <v>0.88</v>
          </cell>
          <cell r="J51">
            <v>1</v>
          </cell>
          <cell r="K51">
            <v>1.0750000000000002</v>
          </cell>
          <cell r="L51">
            <v>1.145</v>
          </cell>
          <cell r="M51">
            <v>1.1599999999999999</v>
          </cell>
          <cell r="N51">
            <v>1.1599999999999999</v>
          </cell>
          <cell r="O51">
            <v>1.178556069697702</v>
          </cell>
          <cell r="P51">
            <v>1.2357947069249522</v>
          </cell>
          <cell r="Q51">
            <v>1.3072433844302498</v>
          </cell>
          <cell r="R51">
            <v>1.3771885608803154</v>
          </cell>
          <cell r="S51">
            <v>1.4492793845975984</v>
          </cell>
          <cell r="T51">
            <v>1.5234773452178272</v>
          </cell>
          <cell r="U51">
            <v>1.5996763079189509</v>
          </cell>
          <cell r="W51">
            <v>0.1575</v>
          </cell>
          <cell r="X51">
            <v>0.1575</v>
          </cell>
          <cell r="Y51">
            <v>0.1575</v>
          </cell>
          <cell r="Z51">
            <v>0.1575</v>
          </cell>
          <cell r="AA51">
            <v>0.17</v>
          </cell>
          <cell r="AB51">
            <v>0.1699425</v>
          </cell>
          <cell r="AC51">
            <v>0.1699425</v>
          </cell>
          <cell r="AD51">
            <v>0.18</v>
          </cell>
          <cell r="AE51">
            <v>0.18</v>
          </cell>
          <cell r="AF51">
            <v>0.18</v>
          </cell>
          <cell r="AG51">
            <v>0.18</v>
          </cell>
          <cell r="AH51">
            <v>0.17999999999999994</v>
          </cell>
          <cell r="AI51">
            <v>0.18359999999999999</v>
          </cell>
          <cell r="AJ51">
            <v>0.18359999999999999</v>
          </cell>
          <cell r="AK51">
            <v>0.2</v>
          </cell>
          <cell r="AL51">
            <v>0.2</v>
          </cell>
          <cell r="AM51">
            <v>0.22</v>
          </cell>
          <cell r="AN51">
            <v>0.22</v>
          </cell>
          <cell r="AO51">
            <v>0.22</v>
          </cell>
          <cell r="AP51">
            <v>0.22</v>
          </cell>
          <cell r="AQ51">
            <v>0.25</v>
          </cell>
          <cell r="AR51">
            <v>0.25</v>
          </cell>
          <cell r="AS51">
            <v>0.25</v>
          </cell>
          <cell r="AT51">
            <v>0.25</v>
          </cell>
          <cell r="AU51">
            <v>0.25</v>
          </cell>
          <cell r="AV51">
            <v>0.27500000000000002</v>
          </cell>
          <cell r="AW51">
            <v>0.27500000000000002</v>
          </cell>
          <cell r="AX51">
            <v>0.27500000000000002</v>
          </cell>
          <cell r="AY51">
            <v>0.27500000000000002</v>
          </cell>
          <cell r="AZ51">
            <v>0.28999999999999998</v>
          </cell>
          <cell r="BA51">
            <v>0.28999999999999998</v>
          </cell>
          <cell r="BB51">
            <v>0.28999999999999998</v>
          </cell>
          <cell r="BC51">
            <v>0.28999999999999998</v>
          </cell>
          <cell r="BD51">
            <v>0.28999999999999998</v>
          </cell>
          <cell r="BE51">
            <v>0.28999999999999998</v>
          </cell>
          <cell r="BF51">
            <v>0.28999999999999998</v>
          </cell>
          <cell r="BG51">
            <v>0.28999999999999998</v>
          </cell>
          <cell r="BH51">
            <v>0.28999999999999998</v>
          </cell>
          <cell r="BI51">
            <v>0.28999999999999998</v>
          </cell>
          <cell r="BJ51">
            <v>0.28999999999999998</v>
          </cell>
          <cell r="BK51">
            <v>0.312</v>
          </cell>
          <cell r="BL51">
            <v>0.312</v>
          </cell>
          <cell r="BM51">
            <v>0.312</v>
          </cell>
          <cell r="BN51">
            <v>0.312</v>
          </cell>
          <cell r="BO51">
            <v>0.720327453092932</v>
          </cell>
          <cell r="BP51">
            <v>0.70106146344942089</v>
          </cell>
          <cell r="BQ51">
            <v>0.52459304525052497</v>
          </cell>
          <cell r="BR51">
            <v>0.42479651350689074</v>
          </cell>
          <cell r="DT51" t="str">
            <v>mstag:dividendsPerShare</v>
          </cell>
          <cell r="DU51">
            <v>0</v>
          </cell>
          <cell r="DV51" t="str">
            <v>ISO4217:USD</v>
          </cell>
          <cell r="DW51" t="b">
            <v>0</v>
          </cell>
        </row>
        <row r="52">
          <cell r="A52" t="str">
            <v>Common dividends</v>
          </cell>
          <cell r="B52">
            <v>371</v>
          </cell>
          <cell r="C52">
            <v>258</v>
          </cell>
          <cell r="D52">
            <v>259</v>
          </cell>
          <cell r="E52">
            <v>259</v>
          </cell>
          <cell r="F52">
            <v>275</v>
          </cell>
          <cell r="G52">
            <v>298.08</v>
          </cell>
          <cell r="H52">
            <v>303.81119999999993</v>
          </cell>
          <cell r="I52">
            <v>332</v>
          </cell>
          <cell r="J52">
            <v>358</v>
          </cell>
          <cell r="K52">
            <v>368.72500000000008</v>
          </cell>
          <cell r="L52">
            <v>376.70499999999998</v>
          </cell>
          <cell r="M52">
            <v>371.08399999999995</v>
          </cell>
          <cell r="N52">
            <v>367.71999999999997</v>
          </cell>
          <cell r="O52">
            <v>373.60227409417155</v>
          </cell>
          <cell r="P52">
            <v>389.0421489061747</v>
          </cell>
          <cell r="Q52">
            <v>406.04381225072223</v>
          </cell>
          <cell r="R52">
            <v>422.45990526851705</v>
          </cell>
          <cell r="S52">
            <v>439.46301228913353</v>
          </cell>
          <cell r="T52">
            <v>457.0661261356131</v>
          </cell>
          <cell r="U52">
            <v>475.26323948166396</v>
          </cell>
          <cell r="W52">
            <v>64.89</v>
          </cell>
          <cell r="X52">
            <v>64.89</v>
          </cell>
          <cell r="Y52">
            <v>65.047499999999999</v>
          </cell>
          <cell r="Z52">
            <v>64.89</v>
          </cell>
          <cell r="AA52">
            <v>70.091000000000008</v>
          </cell>
          <cell r="AB52">
            <v>70.356195</v>
          </cell>
          <cell r="AC52">
            <v>70.356195</v>
          </cell>
          <cell r="AD52">
            <v>74.52</v>
          </cell>
          <cell r="AE52">
            <v>74.52</v>
          </cell>
          <cell r="AF52">
            <v>74.52</v>
          </cell>
          <cell r="AG52">
            <v>74.34</v>
          </cell>
          <cell r="AH52">
            <v>74.879999999999967</v>
          </cell>
          <cell r="AI52">
            <v>74.35799999999999</v>
          </cell>
          <cell r="AJ52">
            <v>72.521999999999991</v>
          </cell>
          <cell r="AK52">
            <v>79</v>
          </cell>
          <cell r="AL52">
            <v>78.400000000000006</v>
          </cell>
          <cell r="AM52">
            <v>85.36</v>
          </cell>
          <cell r="AN52">
            <v>84.92</v>
          </cell>
          <cell r="AO52">
            <v>83.820000000000007</v>
          </cell>
          <cell r="AP52">
            <v>81.62</v>
          </cell>
          <cell r="AQ52">
            <v>91.25</v>
          </cell>
          <cell r="AR52">
            <v>90.5</v>
          </cell>
          <cell r="AS52">
            <v>88.75</v>
          </cell>
          <cell r="AT52">
            <v>88</v>
          </cell>
          <cell r="AU52">
            <v>86.5</v>
          </cell>
          <cell r="AV52">
            <v>94.600000000000009</v>
          </cell>
          <cell r="AW52">
            <v>94.050000000000011</v>
          </cell>
          <cell r="AX52">
            <v>93.775000000000006</v>
          </cell>
          <cell r="AY52">
            <v>92.95</v>
          </cell>
          <cell r="AZ52">
            <v>96.279999999999987</v>
          </cell>
          <cell r="BA52">
            <v>93.669999999999987</v>
          </cell>
          <cell r="BB52">
            <v>93.669999999999987</v>
          </cell>
          <cell r="BC52">
            <v>93.38</v>
          </cell>
          <cell r="BD52">
            <v>93.089999999999989</v>
          </cell>
          <cell r="BE52">
            <v>92.394000000000005</v>
          </cell>
          <cell r="BF52">
            <v>91.929999999999993</v>
          </cell>
          <cell r="BG52">
            <v>91.64</v>
          </cell>
          <cell r="BH52">
            <v>91.64</v>
          </cell>
          <cell r="BI52">
            <v>91.929999999999993</v>
          </cell>
          <cell r="BJ52">
            <v>91.929999999999993</v>
          </cell>
          <cell r="BK52">
            <v>98.903999999999996</v>
          </cell>
          <cell r="BL52">
            <v>98.904000000000011</v>
          </cell>
          <cell r="BM52">
            <v>98.904000000000011</v>
          </cell>
          <cell r="BN52">
            <v>98.904000000000011</v>
          </cell>
          <cell r="BO52">
            <v>0</v>
          </cell>
          <cell r="BP52">
            <v>0</v>
          </cell>
          <cell r="BQ52">
            <v>0</v>
          </cell>
          <cell r="BR52">
            <v>0</v>
          </cell>
          <cell r="DT52" t="str">
            <v>mstag:commonDividends</v>
          </cell>
          <cell r="DU52">
            <v>6</v>
          </cell>
          <cell r="DV52" t="str">
            <v>ISO4217:USD</v>
          </cell>
          <cell r="DW52" t="b">
            <v>0</v>
          </cell>
        </row>
        <row r="53">
          <cell r="A53" t="str">
            <v>Reported net earnings</v>
          </cell>
          <cell r="B53">
            <v>1.5519138755980859</v>
          </cell>
          <cell r="C53">
            <v>1.2798053527980535</v>
          </cell>
          <cell r="D53">
            <v>1.4476885644768855</v>
          </cell>
          <cell r="E53">
            <v>1.570388349514563</v>
          </cell>
          <cell r="F53">
            <v>1.6396699115481543</v>
          </cell>
          <cell r="G53">
            <v>1.6472203091787441</v>
          </cell>
          <cell r="H53">
            <v>2.1010101010101008</v>
          </cell>
          <cell r="I53">
            <v>3.3884514435695539</v>
          </cell>
          <cell r="J53">
            <v>2.2297206703910617</v>
          </cell>
          <cell r="K53">
            <v>2.4740744815446396</v>
          </cell>
          <cell r="L53">
            <v>2.5446043318383742</v>
          </cell>
          <cell r="M53">
            <v>2.3194748358862145</v>
          </cell>
          <cell r="N53">
            <v>2.498422712933754</v>
          </cell>
          <cell r="O53">
            <v>2.528481012658228</v>
          </cell>
          <cell r="P53">
            <v>2.4451263019418339</v>
          </cell>
          <cell r="Q53">
            <v>2.5620337971674911</v>
          </cell>
          <cell r="R53">
            <v>2.6660589342880741</v>
          </cell>
          <cell r="S53">
            <v>2.8036763171730081</v>
          </cell>
          <cell r="T53">
            <v>2.9271612956710884</v>
          </cell>
          <cell r="U53">
            <v>3.0567842776145988</v>
          </cell>
          <cell r="W53">
            <v>0.51213592233009708</v>
          </cell>
          <cell r="X53">
            <v>0.57038834951456308</v>
          </cell>
          <cell r="Y53">
            <v>0.31573849878934623</v>
          </cell>
          <cell r="Z53">
            <v>0.18058252427184468</v>
          </cell>
          <cell r="AA53">
            <v>0.54329371816638372</v>
          </cell>
          <cell r="AB53">
            <v>0.54740428293315946</v>
          </cell>
          <cell r="AC53">
            <v>0.33381642512077292</v>
          </cell>
          <cell r="AD53">
            <v>0.61352657004830913</v>
          </cell>
          <cell r="AE53">
            <v>0.58454106280193208</v>
          </cell>
          <cell r="AF53">
            <v>0.61352657004830913</v>
          </cell>
          <cell r="AG53">
            <v>0.40193704600484259</v>
          </cell>
          <cell r="AH53">
            <v>0.22886559706714193</v>
          </cell>
          <cell r="AI53">
            <v>0.66419753086419753</v>
          </cell>
          <cell r="AJ53">
            <v>0.71898734177215184</v>
          </cell>
          <cell r="AK53">
            <v>0.55189873417721524</v>
          </cell>
          <cell r="AL53">
            <v>0.15561224489795919</v>
          </cell>
          <cell r="AM53">
            <v>0.69587628865979378</v>
          </cell>
          <cell r="AN53">
            <v>0.71357512953367863</v>
          </cell>
          <cell r="AO53">
            <v>1.658976377952756</v>
          </cell>
          <cell r="AP53">
            <v>0.24471796106618746</v>
          </cell>
          <cell r="AQ53">
            <v>0.76986301369863008</v>
          </cell>
          <cell r="AR53">
            <v>0.64640883977900554</v>
          </cell>
          <cell r="AS53">
            <v>0.48169014084507045</v>
          </cell>
          <cell r="AT53">
            <v>0.30397727272727271</v>
          </cell>
          <cell r="AU53">
            <v>0.86705202312138729</v>
          </cell>
          <cell r="AV53">
            <v>0.73837209302325579</v>
          </cell>
          <cell r="AW53">
            <v>0.5368641730111442</v>
          </cell>
          <cell r="AX53">
            <v>0.33137829912023459</v>
          </cell>
          <cell r="AY53">
            <v>0.8224852071005917</v>
          </cell>
          <cell r="AZ53">
            <v>0.71987951807228912</v>
          </cell>
          <cell r="BA53">
            <v>0.56811145510835914</v>
          </cell>
          <cell r="BB53">
            <v>0.43862174976726059</v>
          </cell>
          <cell r="BC53">
            <v>0.78260869565217395</v>
          </cell>
          <cell r="BD53">
            <v>0.59190031152647971</v>
          </cell>
          <cell r="BE53">
            <v>0.53672316384180785</v>
          </cell>
          <cell r="BF53">
            <v>0.40694006309148267</v>
          </cell>
          <cell r="BG53">
            <v>0.84177215189873422</v>
          </cell>
          <cell r="BH53">
            <v>0.63607594936708856</v>
          </cell>
          <cell r="BI53">
            <v>0.57728706624605675</v>
          </cell>
          <cell r="BJ53">
            <v>0.44794952681388012</v>
          </cell>
          <cell r="BK53">
            <v>0.63091482649842268</v>
          </cell>
          <cell r="BL53">
            <v>0.759493670886076</v>
          </cell>
          <cell r="BM53">
            <v>0.61708860759493667</v>
          </cell>
          <cell r="BN53">
            <v>0.49050632911392406</v>
          </cell>
          <cell r="BO53">
            <v>0.720327453092932</v>
          </cell>
          <cell r="BP53">
            <v>0.70106146344942089</v>
          </cell>
          <cell r="BQ53">
            <v>0.598464465273986</v>
          </cell>
          <cell r="BR53">
            <v>0.42479651350689074</v>
          </cell>
        </row>
        <row r="55">
          <cell r="A55" t="str">
            <v>EPS, Diluted</v>
          </cell>
          <cell r="B55">
            <v>1.5782296650717702</v>
          </cell>
          <cell r="C55">
            <v>1.3114355231143553</v>
          </cell>
          <cell r="D55">
            <v>1.5242627737226278</v>
          </cell>
          <cell r="E55">
            <v>1.5796116504854367</v>
          </cell>
          <cell r="F55">
            <v>1.6396699115481543</v>
          </cell>
          <cell r="G55">
            <v>1.7487309275362319</v>
          </cell>
          <cell r="H55">
            <v>1.9419191919191918</v>
          </cell>
          <cell r="I55">
            <v>2.0918635170603674</v>
          </cell>
          <cell r="J55">
            <v>2.2185474860335197</v>
          </cell>
          <cell r="K55">
            <v>2.4740744815446396</v>
          </cell>
          <cell r="L55">
            <v>2.5446043318383742</v>
          </cell>
          <cell r="M55">
            <v>2.3132228821506722</v>
          </cell>
          <cell r="N55">
            <v>2.4794952681388014</v>
          </cell>
          <cell r="O55">
            <v>2.5191587914238927</v>
          </cell>
          <cell r="P55">
            <v>2.6415061450098243</v>
          </cell>
          <cell r="Q55">
            <v>2.7942274017246178</v>
          </cell>
          <cell r="R55">
            <v>2.943734931066921</v>
          </cell>
          <cell r="S55">
            <v>3.0978287726903968</v>
          </cell>
          <cell r="T55">
            <v>3.2564266108485054</v>
          </cell>
          <cell r="U55">
            <v>3.4193015827920581</v>
          </cell>
          <cell r="W55">
            <v>0.51213592233009708</v>
          </cell>
          <cell r="X55">
            <v>0.57038834951456308</v>
          </cell>
          <cell r="Y55">
            <v>0.31573849878934623</v>
          </cell>
          <cell r="Z55">
            <v>0.18058252427184468</v>
          </cell>
          <cell r="AA55">
            <v>0.54329371816638372</v>
          </cell>
          <cell r="AB55">
            <v>0.54740428293315946</v>
          </cell>
          <cell r="AC55">
            <v>0.33381642512077292</v>
          </cell>
          <cell r="AD55">
            <v>0.61352657004830913</v>
          </cell>
          <cell r="AE55">
            <v>0.58454106280193208</v>
          </cell>
          <cell r="AF55">
            <v>0.61352657004830913</v>
          </cell>
          <cell r="AG55">
            <v>0.40193704600484259</v>
          </cell>
          <cell r="AH55">
            <v>0.17788461538461539</v>
          </cell>
          <cell r="AI55">
            <v>0.66419753086419753</v>
          </cell>
          <cell r="AJ55">
            <v>0.68354430379746833</v>
          </cell>
          <cell r="AK55">
            <v>0.44810126582278481</v>
          </cell>
          <cell r="AL55">
            <v>0.13520408163265307</v>
          </cell>
          <cell r="AM55">
            <v>0.69587628865979378</v>
          </cell>
          <cell r="AN55">
            <v>0.68989637305699469</v>
          </cell>
          <cell r="AO55">
            <v>0.43325459317585313</v>
          </cell>
          <cell r="AP55">
            <v>0.25658462773285412</v>
          </cell>
          <cell r="AQ55">
            <v>0.76986301369863008</v>
          </cell>
          <cell r="AR55">
            <v>0.64640883977900554</v>
          </cell>
          <cell r="AS55">
            <v>0.48169014084507045</v>
          </cell>
          <cell r="AT55">
            <v>0.30397727272727271</v>
          </cell>
          <cell r="AU55">
            <v>0.86705202312138729</v>
          </cell>
          <cell r="AV55">
            <v>0.73837209302325579</v>
          </cell>
          <cell r="AW55">
            <v>0.5368641730111442</v>
          </cell>
          <cell r="AX55">
            <v>0.33137829912023459</v>
          </cell>
          <cell r="AY55">
            <v>0.8224852071005917</v>
          </cell>
          <cell r="AZ55">
            <v>0.71385542168674698</v>
          </cell>
          <cell r="BA55">
            <v>0.56501547987616096</v>
          </cell>
          <cell r="BB55">
            <v>0.43242979930286429</v>
          </cell>
          <cell r="BC55">
            <v>0.77639751552795033</v>
          </cell>
          <cell r="BD55">
            <v>0.59190031152647971</v>
          </cell>
          <cell r="BE55">
            <v>0.53672316384180785</v>
          </cell>
          <cell r="BF55">
            <v>0.40694006309148267</v>
          </cell>
          <cell r="BG55">
            <v>0.84177215189873422</v>
          </cell>
          <cell r="BH55">
            <v>0.63607594936708856</v>
          </cell>
          <cell r="BI55">
            <v>0.57728706624605675</v>
          </cell>
          <cell r="BJ55">
            <v>0.42902208201892744</v>
          </cell>
          <cell r="BK55">
            <v>0.65930599369085174</v>
          </cell>
          <cell r="BL55">
            <v>0.7493101368081746</v>
          </cell>
          <cell r="BM55">
            <v>0.59184424013091386</v>
          </cell>
          <cell r="BN55">
            <v>0.51869842079395267</v>
          </cell>
          <cell r="BO55">
            <v>0.3276</v>
          </cell>
          <cell r="BP55">
            <v>0.3276</v>
          </cell>
          <cell r="BQ55">
            <v>0.3276</v>
          </cell>
          <cell r="BR55">
            <v>0.3276</v>
          </cell>
          <cell r="DX55" t="str">
            <v>mstag:dividendsPerShare</v>
          </cell>
          <cell r="DY55">
            <v>0</v>
          </cell>
          <cell r="DZ55" t="str">
            <v>ISO4217:USD</v>
          </cell>
          <cell r="EA55" t="b">
            <v>0</v>
          </cell>
        </row>
        <row r="56">
          <cell r="A56" t="str">
            <v>Extraordinary items, discontinued operations, net of tax</v>
          </cell>
          <cell r="B56">
            <v>-2.6315789473684209E-2</v>
          </cell>
          <cell r="C56">
            <v>-3.1630170316301706E-2</v>
          </cell>
          <cell r="D56">
            <v>-7.6574209245742098E-2</v>
          </cell>
          <cell r="E56">
            <v>-9.2233009708737861E-3</v>
          </cell>
          <cell r="F56">
            <v>0</v>
          </cell>
          <cell r="G56">
            <v>-0.10151061835748793</v>
          </cell>
          <cell r="H56">
            <v>0.15909090909090909</v>
          </cell>
          <cell r="I56">
            <v>1.2965879265091864</v>
          </cell>
          <cell r="J56">
            <v>1.11731843575419E-2</v>
          </cell>
          <cell r="K56">
            <v>0</v>
          </cell>
          <cell r="L56">
            <v>0</v>
          </cell>
          <cell r="M56">
            <v>6.2519537355423573E-3</v>
          </cell>
          <cell r="N56">
            <v>1.8927444794952682E-2</v>
          </cell>
          <cell r="O56">
            <v>0</v>
          </cell>
          <cell r="P56">
            <v>0</v>
          </cell>
          <cell r="Q56">
            <v>0</v>
          </cell>
          <cell r="R56">
            <v>0</v>
          </cell>
          <cell r="S56">
            <v>0</v>
          </cell>
          <cell r="T56">
            <v>0</v>
          </cell>
          <cell r="U56">
            <v>0</v>
          </cell>
          <cell r="W56">
            <v>0</v>
          </cell>
          <cell r="X56">
            <v>0</v>
          </cell>
          <cell r="Y56">
            <v>0</v>
          </cell>
          <cell r="Z56">
            <v>0</v>
          </cell>
          <cell r="AA56">
            <v>0</v>
          </cell>
          <cell r="AB56">
            <v>0</v>
          </cell>
          <cell r="AC56">
            <v>0</v>
          </cell>
          <cell r="AD56">
            <v>0</v>
          </cell>
          <cell r="AE56">
            <v>0</v>
          </cell>
          <cell r="AF56">
            <v>0</v>
          </cell>
          <cell r="AG56">
            <v>0</v>
          </cell>
          <cell r="AH56">
            <v>5.0480769230769232E-2</v>
          </cell>
          <cell r="AI56">
            <v>0</v>
          </cell>
          <cell r="AJ56">
            <v>3.5443037974683546E-2</v>
          </cell>
          <cell r="AK56">
            <v>0.10379746835443038</v>
          </cell>
          <cell r="AL56">
            <v>2.0408163265306121E-2</v>
          </cell>
          <cell r="AM56">
            <v>0</v>
          </cell>
          <cell r="AN56">
            <v>2.3678756476683938E-2</v>
          </cell>
          <cell r="AO56">
            <v>1.2257217847769029</v>
          </cell>
          <cell r="AP56">
            <v>-1.1866666666666668E-2</v>
          </cell>
          <cell r="AQ56">
            <v>0</v>
          </cell>
          <cell r="AR56">
            <v>0</v>
          </cell>
          <cell r="AS56">
            <v>0</v>
          </cell>
          <cell r="AT56">
            <v>0</v>
          </cell>
          <cell r="AU56">
            <v>0</v>
          </cell>
          <cell r="AV56">
            <v>0</v>
          </cell>
          <cell r="AW56">
            <v>0</v>
          </cell>
          <cell r="AX56">
            <v>0</v>
          </cell>
          <cell r="AY56">
            <v>0</v>
          </cell>
          <cell r="AZ56">
            <v>6.024096385542169E-3</v>
          </cell>
          <cell r="BA56">
            <v>3.0959752321981426E-3</v>
          </cell>
          <cell r="BB56">
            <v>6.1919504643962852E-3</v>
          </cell>
          <cell r="BC56">
            <v>6.2111801242236021E-3</v>
          </cell>
          <cell r="BD56">
            <v>0</v>
          </cell>
          <cell r="BE56">
            <v>0</v>
          </cell>
          <cell r="BF56">
            <v>0</v>
          </cell>
          <cell r="BG56">
            <v>0</v>
          </cell>
          <cell r="BH56">
            <v>0</v>
          </cell>
          <cell r="BI56">
            <v>0</v>
          </cell>
          <cell r="BJ56">
            <v>1.8927444794952682E-2</v>
          </cell>
          <cell r="BK56">
            <v>-2.8391167192429023E-2</v>
          </cell>
          <cell r="BL56">
            <v>0</v>
          </cell>
          <cell r="BM56">
            <v>0</v>
          </cell>
          <cell r="BN56">
            <v>0</v>
          </cell>
          <cell r="BO56">
            <v>5.0000000000000044E-2</v>
          </cell>
          <cell r="BP56">
            <v>5.0000000000000044E-2</v>
          </cell>
          <cell r="BQ56">
            <v>5.0000000000000044E-2</v>
          </cell>
          <cell r="BR56">
            <v>5.0000000000000044E-2</v>
          </cell>
        </row>
        <row r="57">
          <cell r="A57" t="str">
            <v>Reported net earnings</v>
          </cell>
          <cell r="B57">
            <v>1.5519138755980859</v>
          </cell>
          <cell r="C57">
            <v>1.2798053527980535</v>
          </cell>
          <cell r="D57">
            <v>1.4476885644768855</v>
          </cell>
          <cell r="E57">
            <v>1.570388349514563</v>
          </cell>
          <cell r="F57">
            <v>1.6396699115481543</v>
          </cell>
          <cell r="G57">
            <v>1.6472203091787441</v>
          </cell>
          <cell r="H57">
            <v>2.1010101010101008</v>
          </cell>
          <cell r="I57">
            <v>3.3884514435695539</v>
          </cell>
          <cell r="J57">
            <v>2.2297206703910617</v>
          </cell>
          <cell r="K57">
            <v>2.4740744815446396</v>
          </cell>
          <cell r="L57">
            <v>2.5446043318383742</v>
          </cell>
          <cell r="M57">
            <v>2.3194748358862145</v>
          </cell>
          <cell r="N57">
            <v>2.498422712933754</v>
          </cell>
          <cell r="O57">
            <v>2.5191587914238927</v>
          </cell>
          <cell r="P57">
            <v>2.6415061450098243</v>
          </cell>
          <cell r="Q57">
            <v>2.7942274017246178</v>
          </cell>
          <cell r="R57">
            <v>2.943734931066921</v>
          </cell>
          <cell r="S57">
            <v>3.0978287726903968</v>
          </cell>
          <cell r="T57">
            <v>3.2564266108485054</v>
          </cell>
          <cell r="U57">
            <v>3.4193015827920581</v>
          </cell>
          <cell r="W57">
            <v>0.51213592233009708</v>
          </cell>
          <cell r="X57">
            <v>0.57038834951456308</v>
          </cell>
          <cell r="Y57">
            <v>0.31573849878934623</v>
          </cell>
          <cell r="Z57">
            <v>0.18058252427184468</v>
          </cell>
          <cell r="AA57">
            <v>0.54329371816638372</v>
          </cell>
          <cell r="AB57">
            <v>0.54740428293315946</v>
          </cell>
          <cell r="AC57">
            <v>0.33381642512077292</v>
          </cell>
          <cell r="AD57">
            <v>0.61352657004830913</v>
          </cell>
          <cell r="AE57">
            <v>0.58454106280193208</v>
          </cell>
          <cell r="AF57">
            <v>0.61352657004830913</v>
          </cell>
          <cell r="AG57">
            <v>0.40193704600484259</v>
          </cell>
          <cell r="AH57">
            <v>0.22836538461538464</v>
          </cell>
          <cell r="AI57">
            <v>0.66419753086419753</v>
          </cell>
          <cell r="AJ57">
            <v>0.71898734177215184</v>
          </cell>
          <cell r="AK57">
            <v>0.55189873417721524</v>
          </cell>
          <cell r="AL57">
            <v>0.15561224489795919</v>
          </cell>
          <cell r="AM57">
            <v>0.69587628865979378</v>
          </cell>
          <cell r="AN57">
            <v>0.71357512953367863</v>
          </cell>
          <cell r="AO57">
            <v>1.658976377952756</v>
          </cell>
          <cell r="AP57">
            <v>0.24471796106618746</v>
          </cell>
          <cell r="AQ57">
            <v>0.76986301369863008</v>
          </cell>
          <cell r="AR57">
            <v>0.64640883977900554</v>
          </cell>
          <cell r="AS57">
            <v>0.48169014084507045</v>
          </cell>
          <cell r="AT57">
            <v>0.30397727272727271</v>
          </cell>
          <cell r="AU57">
            <v>0.86705202312138729</v>
          </cell>
          <cell r="AV57">
            <v>0.73837209302325579</v>
          </cell>
          <cell r="AW57">
            <v>0.5368641730111442</v>
          </cell>
          <cell r="AX57">
            <v>0.33137829912023459</v>
          </cell>
          <cell r="AY57">
            <v>0.8224852071005917</v>
          </cell>
          <cell r="AZ57">
            <v>0.71987951807228912</v>
          </cell>
          <cell r="BA57">
            <v>0.56811145510835914</v>
          </cell>
          <cell r="BB57">
            <v>0.43862174976726059</v>
          </cell>
          <cell r="BC57">
            <v>0.78260869565217395</v>
          </cell>
          <cell r="BD57">
            <v>0.59190031152647971</v>
          </cell>
          <cell r="BE57">
            <v>0.53672316384180785</v>
          </cell>
          <cell r="BF57">
            <v>0.40694006309148267</v>
          </cell>
          <cell r="BG57">
            <v>0.84177215189873422</v>
          </cell>
          <cell r="BH57">
            <v>0.63607594936708856</v>
          </cell>
          <cell r="BI57">
            <v>0.57728706624605675</v>
          </cell>
          <cell r="BJ57">
            <v>0.44794952681388012</v>
          </cell>
          <cell r="BK57">
            <v>0.63091482649842268</v>
          </cell>
          <cell r="BL57">
            <v>0.7493101368081746</v>
          </cell>
          <cell r="BM57">
            <v>0.59184424013091386</v>
          </cell>
          <cell r="BN57">
            <v>0.51869842079395267</v>
          </cell>
          <cell r="BO57">
            <v>102.45568744894841</v>
          </cell>
          <cell r="BP57">
            <v>102.29109613447935</v>
          </cell>
          <cell r="BQ57">
            <v>102.12975621916347</v>
          </cell>
          <cell r="BR57">
            <v>101.97163551092991</v>
          </cell>
          <cell r="DX57" t="str">
            <v>mstag:commonDividends</v>
          </cell>
          <cell r="DY57">
            <v>6</v>
          </cell>
          <cell r="DZ57" t="str">
            <v>ISO4217:USD</v>
          </cell>
          <cell r="EA57" t="b">
            <v>0</v>
          </cell>
        </row>
        <row r="59">
          <cell r="A59" t="str">
            <v>Ending shares outstanding - basic</v>
          </cell>
          <cell r="B59">
            <v>409.52060399999999</v>
          </cell>
          <cell r="C59">
            <v>409.847375</v>
          </cell>
          <cell r="D59">
            <v>410.34733699999998</v>
          </cell>
          <cell r="E59">
            <v>410.24197600000002</v>
          </cell>
          <cell r="F59">
            <v>410.24197600000002</v>
          </cell>
          <cell r="G59">
            <v>401.6001623890287</v>
          </cell>
          <cell r="H59">
            <v>379</v>
          </cell>
          <cell r="I59">
            <v>356</v>
          </cell>
          <cell r="J59">
            <v>343</v>
          </cell>
          <cell r="K59">
            <v>336</v>
          </cell>
          <cell r="L59">
            <v>320</v>
          </cell>
          <cell r="M59">
            <v>312</v>
          </cell>
          <cell r="N59">
            <v>312</v>
          </cell>
          <cell r="O59">
            <v>312</v>
          </cell>
          <cell r="P59">
            <v>307.69166118541256</v>
          </cell>
          <cell r="Q59">
            <v>303.73133850485311</v>
          </cell>
          <cell r="R59">
            <v>300.10245976146314</v>
          </cell>
          <cell r="S59">
            <v>296.78924191061554</v>
          </cell>
          <cell r="T59">
            <v>293.77665348123691</v>
          </cell>
          <cell r="U59">
            <v>291.05037878659056</v>
          </cell>
          <cell r="W59">
            <v>411.65266300000002</v>
          </cell>
          <cell r="X59">
            <v>410.34733699999998</v>
          </cell>
          <cell r="Y59">
            <v>411.65266300000002</v>
          </cell>
          <cell r="Z59">
            <v>406.34733699999998</v>
          </cell>
          <cell r="AA59">
            <v>411.65266300000002</v>
          </cell>
          <cell r="AB59">
            <v>406.34733699999998</v>
          </cell>
          <cell r="AC59">
            <v>411.65266300000002</v>
          </cell>
          <cell r="AD59">
            <v>404.34733699999998</v>
          </cell>
          <cell r="AE59">
            <v>413.65266300000002</v>
          </cell>
          <cell r="AF59">
            <v>402.34733699999998</v>
          </cell>
          <cell r="AG59">
            <v>409.65266300000002</v>
          </cell>
          <cell r="AH59">
            <v>402.34733699999998</v>
          </cell>
          <cell r="AI59">
            <v>387.65266300000002</v>
          </cell>
          <cell r="AJ59">
            <v>380.34733699999998</v>
          </cell>
          <cell r="AK59">
            <v>387.65266300000002</v>
          </cell>
          <cell r="AL59">
            <v>374.34733699999998</v>
          </cell>
          <cell r="AM59">
            <v>383.65266300000002</v>
          </cell>
          <cell r="AN59">
            <v>370.34733699999998</v>
          </cell>
          <cell r="AO59">
            <v>375.65266300000002</v>
          </cell>
          <cell r="AP59">
            <v>350.34733699999998</v>
          </cell>
          <cell r="AQ59">
            <v>363.65266300000002</v>
          </cell>
          <cell r="AR59">
            <v>346.34733699999998</v>
          </cell>
          <cell r="AS59">
            <v>353.65266300000002</v>
          </cell>
          <cell r="AT59">
            <v>338.34733699999998</v>
          </cell>
          <cell r="AU59">
            <v>347.65266300000002</v>
          </cell>
          <cell r="AV59">
            <v>334.34733699999998</v>
          </cell>
          <cell r="AW59">
            <v>343.65266300000002</v>
          </cell>
          <cell r="AX59">
            <v>332.34733699999998</v>
          </cell>
          <cell r="AY59">
            <v>337.65266300000002</v>
          </cell>
          <cell r="AZ59">
            <v>322.34733699999998</v>
          </cell>
          <cell r="BA59">
            <v>319.65266300000002</v>
          </cell>
          <cell r="BB59">
            <v>322.34733699999998</v>
          </cell>
          <cell r="BC59">
            <v>319.95966000038266</v>
          </cell>
          <cell r="BD59">
            <v>318.22775651512796</v>
          </cell>
          <cell r="BE59">
            <v>316</v>
          </cell>
          <cell r="BF59">
            <v>312</v>
          </cell>
          <cell r="BG59">
            <v>313</v>
          </cell>
          <cell r="BH59">
            <v>313</v>
          </cell>
          <cell r="BI59">
            <v>312</v>
          </cell>
          <cell r="BJ59">
            <v>312</v>
          </cell>
          <cell r="BK59">
            <v>314</v>
          </cell>
          <cell r="BL59">
            <v>312</v>
          </cell>
          <cell r="BM59">
            <v>312</v>
          </cell>
          <cell r="BN59">
            <v>313</v>
          </cell>
          <cell r="BO59">
            <v>312.49259736842731</v>
          </cell>
          <cell r="BP59">
            <v>311.99516902033554</v>
          </cell>
          <cell r="BQ59">
            <v>311.50761620044267</v>
          </cell>
          <cell r="BR59">
            <v>311.02984113124182</v>
          </cell>
          <cell r="DT59" t="str">
            <v>mstag:periodEndBasicSharesOutstanding</v>
          </cell>
          <cell r="DU59">
            <v>6</v>
          </cell>
          <cell r="DV59" t="str">
            <v>ms_eqr_gcim_Decimal:ms_eqr_gcim_decimal</v>
          </cell>
          <cell r="DW59" t="b">
            <v>0</v>
          </cell>
          <cell r="DX59" t="str">
            <v>mstag:periodEndBasicSharesOutstanding</v>
          </cell>
          <cell r="DY59">
            <v>6</v>
          </cell>
          <cell r="DZ59" t="str">
            <v>ms_eqr_gcim_Decimal:ms_eqr_gcim_decimal</v>
          </cell>
          <cell r="EA59" t="b">
            <v>0</v>
          </cell>
        </row>
        <row r="60">
          <cell r="A60" t="str">
            <v>Weighted average shares outstanding - basic</v>
          </cell>
          <cell r="B60">
            <v>414</v>
          </cell>
          <cell r="C60">
            <v>410</v>
          </cell>
          <cell r="D60">
            <v>411</v>
          </cell>
          <cell r="E60">
            <v>409</v>
          </cell>
          <cell r="F60">
            <v>409</v>
          </cell>
          <cell r="G60">
            <v>405.92106919451436</v>
          </cell>
          <cell r="H60">
            <v>386</v>
          </cell>
          <cell r="I60">
            <v>373</v>
          </cell>
          <cell r="J60">
            <v>352</v>
          </cell>
          <cell r="K60">
            <v>340</v>
          </cell>
          <cell r="L60">
            <v>326</v>
          </cell>
          <cell r="M60">
            <v>317</v>
          </cell>
          <cell r="N60">
            <v>314</v>
          </cell>
          <cell r="O60">
            <v>312</v>
          </cell>
          <cell r="P60">
            <v>309.84583059270631</v>
          </cell>
          <cell r="Q60">
            <v>305.71149984513283</v>
          </cell>
          <cell r="R60">
            <v>301.91689913315815</v>
          </cell>
          <cell r="S60">
            <v>298.44585083603931</v>
          </cell>
          <cell r="T60">
            <v>295.28294769592623</v>
          </cell>
          <cell r="U60">
            <v>292.41351613391373</v>
          </cell>
          <cell r="W60">
            <v>411</v>
          </cell>
          <cell r="X60">
            <v>411</v>
          </cell>
          <cell r="Y60">
            <v>411</v>
          </cell>
          <cell r="Z60">
            <v>409</v>
          </cell>
          <cell r="AA60">
            <v>409</v>
          </cell>
          <cell r="AB60">
            <v>409</v>
          </cell>
          <cell r="AC60">
            <v>409</v>
          </cell>
          <cell r="AD60">
            <v>408</v>
          </cell>
          <cell r="AE60">
            <v>409</v>
          </cell>
          <cell r="AF60">
            <v>408</v>
          </cell>
          <cell r="AG60">
            <v>406</v>
          </cell>
          <cell r="AH60">
            <v>406</v>
          </cell>
          <cell r="AI60">
            <v>395</v>
          </cell>
          <cell r="AJ60">
            <v>384</v>
          </cell>
          <cell r="AK60">
            <v>384</v>
          </cell>
          <cell r="AL60">
            <v>381</v>
          </cell>
          <cell r="AM60">
            <v>379</v>
          </cell>
          <cell r="AN60">
            <v>377</v>
          </cell>
          <cell r="AO60">
            <v>373</v>
          </cell>
          <cell r="AP60">
            <v>363</v>
          </cell>
          <cell r="AQ60">
            <v>357</v>
          </cell>
          <cell r="AR60">
            <v>355</v>
          </cell>
          <cell r="AS60">
            <v>350</v>
          </cell>
          <cell r="AT60">
            <v>346</v>
          </cell>
          <cell r="AU60">
            <v>343</v>
          </cell>
          <cell r="AV60">
            <v>341</v>
          </cell>
          <cell r="AW60">
            <v>339</v>
          </cell>
          <cell r="AX60">
            <v>338</v>
          </cell>
          <cell r="AY60">
            <v>335</v>
          </cell>
          <cell r="AZ60">
            <v>330</v>
          </cell>
          <cell r="BA60">
            <v>321</v>
          </cell>
          <cell r="BB60">
            <v>321</v>
          </cell>
          <cell r="BC60">
            <v>320</v>
          </cell>
          <cell r="BD60">
            <v>318</v>
          </cell>
          <cell r="BE60">
            <v>316</v>
          </cell>
          <cell r="BF60">
            <v>315</v>
          </cell>
          <cell r="BG60">
            <v>313.72233699999998</v>
          </cell>
          <cell r="BH60">
            <v>314</v>
          </cell>
          <cell r="BI60">
            <v>314</v>
          </cell>
          <cell r="BJ60">
            <v>314</v>
          </cell>
          <cell r="BK60">
            <v>314</v>
          </cell>
          <cell r="BL60">
            <v>314</v>
          </cell>
          <cell r="BM60">
            <v>314</v>
          </cell>
          <cell r="BN60">
            <v>314</v>
          </cell>
          <cell r="BO60">
            <v>312.74629868421368</v>
          </cell>
          <cell r="BP60">
            <v>312.2438831943814</v>
          </cell>
          <cell r="BQ60">
            <v>311.75139261038908</v>
          </cell>
          <cell r="BR60">
            <v>311.26872866584222</v>
          </cell>
          <cell r="DT60" t="str">
            <v>mstag:averageBasicSharesOutstanding</v>
          </cell>
          <cell r="DU60">
            <v>6</v>
          </cell>
          <cell r="DV60" t="str">
            <v>ms_eqr_gcim_Decimal:ms_eqr_gcim_decimal</v>
          </cell>
          <cell r="DW60" t="b">
            <v>0</v>
          </cell>
          <cell r="DX60" t="str">
            <v>mstag:averageBasicSharesOutstanding</v>
          </cell>
          <cell r="DY60">
            <v>6</v>
          </cell>
          <cell r="DZ60" t="str">
            <v>ms_eqr_gcim_Decimal:ms_eqr_gcim_decimal</v>
          </cell>
          <cell r="EA60" t="b">
            <v>0</v>
          </cell>
        </row>
        <row r="61">
          <cell r="A61" t="str">
            <v>Weighted average shares outstanding - assuming dilution</v>
          </cell>
          <cell r="B61">
            <v>418</v>
          </cell>
          <cell r="C61">
            <v>411</v>
          </cell>
          <cell r="D61">
            <v>411</v>
          </cell>
          <cell r="E61">
            <v>412</v>
          </cell>
          <cell r="F61">
            <v>413</v>
          </cell>
          <cell r="G61">
            <v>414</v>
          </cell>
          <cell r="H61">
            <v>396</v>
          </cell>
          <cell r="I61">
            <v>381</v>
          </cell>
          <cell r="J61">
            <v>358</v>
          </cell>
          <cell r="K61">
            <v>343</v>
          </cell>
          <cell r="L61">
            <v>329</v>
          </cell>
          <cell r="M61">
            <v>319.89999999999998</v>
          </cell>
          <cell r="N61">
            <v>317</v>
          </cell>
          <cell r="O61">
            <v>317</v>
          </cell>
          <cell r="P61">
            <v>314.8113086470766</v>
          </cell>
          <cell r="Q61">
            <v>310.61072259906121</v>
          </cell>
          <cell r="R61">
            <v>306.7553109782408</v>
          </cell>
          <cell r="S61">
            <v>303.22863690712967</v>
          </cell>
          <cell r="T61">
            <v>300.01504621669426</v>
          </cell>
          <cell r="U61">
            <v>297.09963017452128</v>
          </cell>
          <cell r="W61">
            <v>412</v>
          </cell>
          <cell r="X61">
            <v>412</v>
          </cell>
          <cell r="Y61">
            <v>413</v>
          </cell>
          <cell r="Z61">
            <v>412</v>
          </cell>
          <cell r="AA61">
            <v>412.3</v>
          </cell>
          <cell r="AB61">
            <v>414</v>
          </cell>
          <cell r="AC61">
            <v>414</v>
          </cell>
          <cell r="AD61">
            <v>414</v>
          </cell>
          <cell r="AE61">
            <v>414</v>
          </cell>
          <cell r="AF61">
            <v>414</v>
          </cell>
          <cell r="AG61">
            <v>413</v>
          </cell>
          <cell r="AH61">
            <v>416</v>
          </cell>
          <cell r="AI61">
            <v>405</v>
          </cell>
          <cell r="AJ61">
            <v>395</v>
          </cell>
          <cell r="AK61">
            <v>395</v>
          </cell>
          <cell r="AL61">
            <v>392</v>
          </cell>
          <cell r="AM61">
            <v>388</v>
          </cell>
          <cell r="AN61">
            <v>386</v>
          </cell>
          <cell r="AO61">
            <v>381</v>
          </cell>
          <cell r="AP61">
            <v>371</v>
          </cell>
          <cell r="AQ61">
            <v>365</v>
          </cell>
          <cell r="AR61">
            <v>362</v>
          </cell>
          <cell r="AS61">
            <v>355</v>
          </cell>
          <cell r="AT61">
            <v>352</v>
          </cell>
          <cell r="AU61">
            <v>346</v>
          </cell>
          <cell r="AV61">
            <v>344</v>
          </cell>
          <cell r="AW61">
            <v>342</v>
          </cell>
          <cell r="AX61">
            <v>341</v>
          </cell>
          <cell r="AY61">
            <v>338</v>
          </cell>
          <cell r="AZ61">
            <v>332</v>
          </cell>
          <cell r="BA61">
            <v>323</v>
          </cell>
          <cell r="BB61">
            <v>323</v>
          </cell>
          <cell r="BC61">
            <v>322</v>
          </cell>
          <cell r="BD61">
            <v>321</v>
          </cell>
          <cell r="BE61">
            <v>318.60000000000002</v>
          </cell>
          <cell r="BF61">
            <v>317</v>
          </cell>
          <cell r="BG61">
            <v>316</v>
          </cell>
          <cell r="BH61">
            <v>316</v>
          </cell>
          <cell r="BI61">
            <v>317</v>
          </cell>
          <cell r="BJ61">
            <v>317</v>
          </cell>
          <cell r="BK61">
            <v>317</v>
          </cell>
          <cell r="BL61">
            <v>317.00000000000006</v>
          </cell>
          <cell r="BM61">
            <v>317.00000000000006</v>
          </cell>
          <cell r="BN61">
            <v>317.00000000000006</v>
          </cell>
          <cell r="BO61">
            <v>314.74629868421368</v>
          </cell>
          <cell r="BP61">
            <v>314.2438831943814</v>
          </cell>
          <cell r="BQ61">
            <v>313.75139261038908</v>
          </cell>
          <cell r="BR61">
            <v>313.76872866584222</v>
          </cell>
          <cell r="DT61" t="str">
            <v>mstag:averageDilutedSharesOutstanding</v>
          </cell>
          <cell r="DU61">
            <v>6</v>
          </cell>
          <cell r="DV61" t="str">
            <v>ms_eqr_gcim_Decimal:ms_eqr_gcim_decimal</v>
          </cell>
          <cell r="DW61" t="b">
            <v>0</v>
          </cell>
          <cell r="DX61" t="str">
            <v>mstag:averageDilutedSharesOutstanding</v>
          </cell>
          <cell r="DY61">
            <v>6</v>
          </cell>
          <cell r="DZ61" t="str">
            <v>ms_eqr_gcim_Decimal:ms_eqr_gcim_decimal</v>
          </cell>
          <cell r="EA61" t="b">
            <v>0</v>
          </cell>
        </row>
        <row r="63">
          <cell r="A63" t="str">
            <v>EBITDA</v>
          </cell>
          <cell r="B63">
            <v>1474.8</v>
          </cell>
          <cell r="C63">
            <v>1323</v>
          </cell>
          <cell r="D63">
            <v>1348</v>
          </cell>
          <cell r="E63">
            <v>1382</v>
          </cell>
          <cell r="F63">
            <v>1446</v>
          </cell>
          <cell r="G63">
            <v>1494</v>
          </cell>
          <cell r="H63">
            <v>1533</v>
          </cell>
          <cell r="I63">
            <v>1574</v>
          </cell>
          <cell r="J63">
            <v>1538</v>
          </cell>
          <cell r="K63">
            <v>1611</v>
          </cell>
          <cell r="L63">
            <v>1610</v>
          </cell>
          <cell r="M63">
            <v>1427</v>
          </cell>
          <cell r="N63">
            <v>1639</v>
          </cell>
          <cell r="O63">
            <v>1667.4287903330328</v>
          </cell>
          <cell r="P63">
            <v>1725.5240117625483</v>
          </cell>
          <cell r="Q63">
            <v>1785.4679034254848</v>
          </cell>
          <cell r="R63">
            <v>1837.7151430198653</v>
          </cell>
          <cell r="S63">
            <v>1891.3355837199017</v>
          </cell>
          <cell r="T63">
            <v>1946.3321423368834</v>
          </cell>
          <cell r="U63">
            <v>2002.711384627481</v>
          </cell>
          <cell r="W63">
            <v>417</v>
          </cell>
          <cell r="X63">
            <v>453</v>
          </cell>
          <cell r="Y63">
            <v>293</v>
          </cell>
          <cell r="Z63">
            <v>219</v>
          </cell>
          <cell r="AA63">
            <v>439</v>
          </cell>
          <cell r="AB63">
            <v>445</v>
          </cell>
          <cell r="AC63">
            <v>319</v>
          </cell>
          <cell r="AD63">
            <v>475</v>
          </cell>
          <cell r="AE63">
            <v>456.99999999999989</v>
          </cell>
          <cell r="AF63">
            <v>471</v>
          </cell>
          <cell r="AG63">
            <v>350</v>
          </cell>
          <cell r="AH63">
            <v>211</v>
          </cell>
          <cell r="AI63">
            <v>502</v>
          </cell>
          <cell r="AJ63">
            <v>490</v>
          </cell>
          <cell r="AK63">
            <v>295.5</v>
          </cell>
          <cell r="AL63">
            <v>211</v>
          </cell>
          <cell r="AM63">
            <v>499</v>
          </cell>
          <cell r="AN63">
            <v>497.97327935222665</v>
          </cell>
          <cell r="AO63">
            <v>342.49295774647891</v>
          </cell>
          <cell r="AP63">
            <v>234.53376290129449</v>
          </cell>
          <cell r="AQ63">
            <v>498</v>
          </cell>
          <cell r="AR63">
            <v>430</v>
          </cell>
          <cell r="AS63">
            <v>343</v>
          </cell>
          <cell r="AT63">
            <v>267</v>
          </cell>
          <cell r="AU63">
            <v>538</v>
          </cell>
          <cell r="AV63">
            <v>453</v>
          </cell>
          <cell r="AW63">
            <v>367</v>
          </cell>
          <cell r="AX63">
            <v>253</v>
          </cell>
          <cell r="AY63">
            <v>509</v>
          </cell>
          <cell r="AZ63">
            <v>423</v>
          </cell>
          <cell r="BA63">
            <v>372</v>
          </cell>
          <cell r="BB63">
            <v>296.5</v>
          </cell>
          <cell r="BC63">
            <v>459.5</v>
          </cell>
          <cell r="BD63">
            <v>370.5</v>
          </cell>
          <cell r="BE63">
            <v>320.5</v>
          </cell>
          <cell r="BF63">
            <v>272.5</v>
          </cell>
          <cell r="BG63">
            <v>519.25</v>
          </cell>
          <cell r="BH63">
            <v>423.25</v>
          </cell>
          <cell r="BI63">
            <v>376.25</v>
          </cell>
          <cell r="BJ63">
            <v>306.25</v>
          </cell>
          <cell r="BK63">
            <v>436.67954702530926</v>
          </cell>
          <cell r="BL63">
            <v>470.67039931813929</v>
          </cell>
          <cell r="BM63">
            <v>398.11707192469214</v>
          </cell>
          <cell r="BN63">
            <v>361.96177206489222</v>
          </cell>
          <cell r="BO63">
            <v>432.84622563571929</v>
          </cell>
          <cell r="BP63">
            <v>423.47962261477767</v>
          </cell>
          <cell r="BQ63">
            <v>375.98295513340986</v>
          </cell>
          <cell r="BR63">
            <v>296.44836035559172</v>
          </cell>
        </row>
        <row r="64">
          <cell r="P64">
            <v>-5.9253930737132032E-3</v>
          </cell>
        </row>
        <row r="65">
          <cell r="A65" t="str">
            <v>% Growth</v>
          </cell>
          <cell r="N65" t="str">
            <v xml:space="preserve"> </v>
          </cell>
        </row>
        <row r="66">
          <cell r="A66" t="str">
            <v>Net Sales</v>
          </cell>
          <cell r="C66">
            <v>6.2727430254721828E-2</v>
          </cell>
          <cell r="D66">
            <v>8.8863525191586579E-2</v>
          </cell>
          <cell r="E66">
            <v>6.4540281521413556E-2</v>
          </cell>
          <cell r="F66">
            <v>6.1752707835138532E-2</v>
          </cell>
          <cell r="G66">
            <v>1.7620561738208806E-2</v>
          </cell>
          <cell r="H66">
            <v>2.4736362452805638E-2</v>
          </cell>
          <cell r="I66">
            <v>1.613517977385337E-2</v>
          </cell>
          <cell r="J66">
            <v>-5.1512878219554858E-2</v>
          </cell>
          <cell r="K66">
            <v>1.1863959926179835E-2</v>
          </cell>
          <cell r="L66">
            <v>5.6018759770712911E-3</v>
          </cell>
          <cell r="M66">
            <v>-7.0475450187848176E-2</v>
          </cell>
          <cell r="N66">
            <v>0.12222996515679441</v>
          </cell>
          <cell r="O66">
            <v>3.6281411592982371E-2</v>
          </cell>
          <cell r="P66">
            <v>1.5953893447397283E-2</v>
          </cell>
          <cell r="Q66">
            <v>2.1466945134153814E-2</v>
          </cell>
          <cell r="R66">
            <v>2.1166447116647724E-2</v>
          </cell>
          <cell r="S66">
            <v>2.0879596164058212E-2</v>
          </cell>
          <cell r="T66">
            <v>2.0608782641569068E-2</v>
          </cell>
          <cell r="U66">
            <v>2.0356271054896347E-2</v>
          </cell>
          <cell r="AA66">
            <v>9.5337873232058667E-2</v>
          </cell>
          <cell r="AB66">
            <v>5.8571428571428497E-2</v>
          </cell>
          <cell r="AC66">
            <v>4.1391721655668956E-2</v>
          </cell>
          <cell r="AD66">
            <v>0.59176552686671324</v>
          </cell>
          <cell r="AE66">
            <v>9.0865614538497841E-3</v>
          </cell>
          <cell r="AF66">
            <v>2.6090868196131378E-2</v>
          </cell>
          <cell r="AG66">
            <v>5.7603686635944618E-2</v>
          </cell>
          <cell r="AH66">
            <v>-0.36256028057869361</v>
          </cell>
          <cell r="AI66">
            <v>2.0379146919431212E-2</v>
          </cell>
          <cell r="AJ66">
            <v>-1.2713722051731713E-2</v>
          </cell>
          <cell r="AK66">
            <v>1.9607843137254832E-2</v>
          </cell>
          <cell r="AL66">
            <v>9.6286107290233902E-2</v>
          </cell>
          <cell r="AM66">
            <v>6.7347886669763213E-2</v>
          </cell>
          <cell r="AN66">
            <v>6.8827708703374846E-2</v>
          </cell>
          <cell r="AO66">
            <v>5.2350427350427386E-2</v>
          </cell>
          <cell r="AP66">
            <v>7.590966122961107E-2</v>
          </cell>
          <cell r="AQ66">
            <v>-2.0887728459530019E-2</v>
          </cell>
          <cell r="AR66">
            <v>-0.11840465309513915</v>
          </cell>
          <cell r="AS66">
            <v>-0.14416243654822336</v>
          </cell>
          <cell r="AT66">
            <v>-0.10903790087463561</v>
          </cell>
          <cell r="AU66">
            <v>-2.0888888888888846E-2</v>
          </cell>
          <cell r="AV66">
            <v>1.4608859566446641E-2</v>
          </cell>
          <cell r="AW66">
            <v>6.8801897983392646E-2</v>
          </cell>
          <cell r="AX66">
            <v>-6.5445026178010401E-3</v>
          </cell>
          <cell r="AY66">
            <v>-1.4071720381298225E-2</v>
          </cell>
          <cell r="AZ66">
            <v>-1.207617278216444E-2</v>
          </cell>
          <cell r="BA66">
            <v>6.1043285238624456E-3</v>
          </cell>
          <cell r="BB66">
            <v>5.8629776021080326E-2</v>
          </cell>
          <cell r="BC66">
            <v>-7.228360957642721E-2</v>
          </cell>
          <cell r="BD66">
            <v>-8.6506817113305101E-2</v>
          </cell>
          <cell r="BE66">
            <v>-6.3430777716491971E-2</v>
          </cell>
          <cell r="BF66">
            <v>-5.4760423148724313E-2</v>
          </cell>
          <cell r="BG66">
            <v>9.4292803970223327E-2</v>
          </cell>
          <cell r="BH66">
            <v>0.11271230056613479</v>
          </cell>
          <cell r="BI66">
            <v>0.15547703180212014</v>
          </cell>
          <cell r="BJ66">
            <v>0.13429888084265973</v>
          </cell>
          <cell r="BK66">
            <v>-1.8140589569160981E-2</v>
          </cell>
          <cell r="BL66">
            <v>3.1499661900757703E-2</v>
          </cell>
          <cell r="BM66">
            <v>1.5982829237211948E-2</v>
          </cell>
          <cell r="BN66">
            <v>0.13504198848162896</v>
          </cell>
          <cell r="BO66">
            <v>2.2043879907621244E-2</v>
          </cell>
          <cell r="BP66">
            <v>-8.7921964050854395E-3</v>
          </cell>
          <cell r="BQ66">
            <v>-3.1979695431472166E-4</v>
          </cell>
          <cell r="BR66">
            <v>-5.4716522678186053E-2</v>
          </cell>
        </row>
        <row r="67">
          <cell r="A67" t="str">
            <v>COGS</v>
          </cell>
          <cell r="C67">
            <v>9.9297573435504383E-2</v>
          </cell>
          <cell r="D67">
            <v>0.10514086552425206</v>
          </cell>
          <cell r="E67">
            <v>0.10039421813403426</v>
          </cell>
          <cell r="F67">
            <v>7.2605684260807157E-2</v>
          </cell>
          <cell r="G67">
            <v>1.5855731102188964E-2</v>
          </cell>
          <cell r="H67">
            <v>1.9271176258843781E-3</v>
          </cell>
          <cell r="I67">
            <v>5.4473856924086572E-2</v>
          </cell>
          <cell r="J67">
            <v>-5.8921161825726154E-2</v>
          </cell>
          <cell r="K67">
            <v>-2.2045855379189128E-3</v>
          </cell>
          <cell r="L67">
            <v>1.9885108263367313E-2</v>
          </cell>
          <cell r="M67">
            <v>-5.4376083188908186E-2</v>
          </cell>
          <cell r="N67">
            <v>0.15670103092783516</v>
          </cell>
          <cell r="O67">
            <v>4.1158030000478796E-2</v>
          </cell>
          <cell r="P67">
            <v>1.2728642992008821E-2</v>
          </cell>
          <cell r="Q67">
            <v>1.8213865691051545E-2</v>
          </cell>
          <cell r="R67">
            <v>1.7903934506051211E-2</v>
          </cell>
          <cell r="S67">
            <v>1.7607546176352962E-2</v>
          </cell>
          <cell r="T67">
            <v>1.7327082375840686E-2</v>
          </cell>
          <cell r="U67">
            <v>1.7064799212783699E-2</v>
          </cell>
          <cell r="AA67">
            <v>0.12364620938628157</v>
          </cell>
          <cell r="AB67">
            <v>9.0759075907590692E-2</v>
          </cell>
          <cell r="AC67">
            <v>4.020100502512558E-2</v>
          </cell>
          <cell r="AD67">
            <v>0.52981651376146788</v>
          </cell>
          <cell r="AE67">
            <v>-1.3654618473895597E-2</v>
          </cell>
          <cell r="AF67">
            <v>9.0771558245084094E-3</v>
          </cell>
          <cell r="AG67">
            <v>5.2173913043478182E-2</v>
          </cell>
          <cell r="AH67">
            <v>-0.31693546598206068</v>
          </cell>
          <cell r="AI67">
            <v>6.514657980456029E-3</v>
          </cell>
          <cell r="AJ67">
            <v>-3.5982008995502301E-2</v>
          </cell>
          <cell r="AK67">
            <v>4.5913682277318735E-3</v>
          </cell>
          <cell r="AL67">
            <v>4.8059177896377259E-2</v>
          </cell>
          <cell r="AM67">
            <v>8.737864077669899E-2</v>
          </cell>
          <cell r="AN67">
            <v>0.12149814819229632</v>
          </cell>
          <cell r="AO67">
            <v>0.10534248706678584</v>
          </cell>
          <cell r="AP67">
            <v>9.3193717277486821E-2</v>
          </cell>
          <cell r="AQ67">
            <v>1.4880952380953438E-3</v>
          </cell>
          <cell r="AR67">
            <v>-0.11457584053033176</v>
          </cell>
          <cell r="AS67">
            <v>-0.1680757286507315</v>
          </cell>
          <cell r="AT67">
            <v>-0.13122605363984674</v>
          </cell>
          <cell r="AU67">
            <v>-4.9034175334323971E-2</v>
          </cell>
          <cell r="AV67">
            <v>3.9154267815191268E-3</v>
          </cell>
          <cell r="AW67">
            <v>5.2683896620278281E-2</v>
          </cell>
          <cell r="AX67">
            <v>-2.2050716648290836E-3</v>
          </cell>
          <cell r="AY67">
            <v>-1.5625000000000222E-3</v>
          </cell>
          <cell r="AZ67">
            <v>5.4602184087364503E-3</v>
          </cell>
          <cell r="BA67">
            <v>2.0774315391879128E-2</v>
          </cell>
          <cell r="BB67">
            <v>6.9613259668508398E-2</v>
          </cell>
          <cell r="BC67">
            <v>-5.0860719874804339E-2</v>
          </cell>
          <cell r="BD67">
            <v>-7.4476338246702856E-2</v>
          </cell>
          <cell r="BE67">
            <v>-4.4403330249768724E-2</v>
          </cell>
          <cell r="BF67">
            <v>-4.3388429752066138E-2</v>
          </cell>
          <cell r="BG67">
            <v>0.1236603462489696</v>
          </cell>
          <cell r="BH67">
            <v>0.13998323554065384</v>
          </cell>
          <cell r="BI67">
            <v>0.19651500484027107</v>
          </cell>
          <cell r="BJ67">
            <v>0.17710583153347725</v>
          </cell>
          <cell r="BK67">
            <v>1.687454145267786E-2</v>
          </cell>
          <cell r="BL67">
            <v>2.8142737265777651E-2</v>
          </cell>
          <cell r="BM67">
            <v>1.603214879202941E-2</v>
          </cell>
          <cell r="BN67">
            <v>0.11625416044404679</v>
          </cell>
          <cell r="BO67">
            <v>2.4438603933595315E-2</v>
          </cell>
          <cell r="BP67">
            <v>-7.2509932694344581E-3</v>
          </cell>
          <cell r="BQ67">
            <v>1.2235964626130524E-3</v>
          </cell>
          <cell r="BR67">
            <v>-5.9889284720019975E-2</v>
          </cell>
        </row>
        <row r="68">
          <cell r="A68" t="str">
            <v>Gross Profit</v>
          </cell>
          <cell r="C68">
            <v>1.9325502084122759E-2</v>
          </cell>
          <cell r="D68">
            <v>6.8029739776951592E-2</v>
          </cell>
          <cell r="E68">
            <v>1.7055342847198007E-2</v>
          </cell>
          <cell r="F68">
            <v>4.62012320328542E-2</v>
          </cell>
          <cell r="G68">
            <v>2.0213252083764788E-2</v>
          </cell>
          <cell r="H68">
            <v>5.8102013059858626E-2</v>
          </cell>
          <cell r="I68">
            <v>-3.6969696969696986E-2</v>
          </cell>
          <cell r="J68">
            <v>-4.0276903713027057E-2</v>
          </cell>
          <cell r="K68">
            <v>3.2786885245901676E-2</v>
          </cell>
          <cell r="L68">
            <v>-1.492063492063489E-2</v>
          </cell>
          <cell r="M68">
            <v>-9.4424750241701605E-2</v>
          </cell>
          <cell r="N68">
            <v>6.8683274021352325E-2</v>
          </cell>
          <cell r="O68">
            <v>2.8082261962796062E-2</v>
          </cell>
          <cell r="P68">
            <v>2.1445536114680586E-2</v>
          </cell>
          <cell r="Q68">
            <v>2.6958702903692178E-2</v>
          </cell>
          <cell r="R68">
            <v>2.6627230256309087E-2</v>
          </cell>
          <cell r="S68">
            <v>2.630980678195205E-2</v>
          </cell>
          <cell r="T68">
            <v>2.6008829110572007E-2</v>
          </cell>
          <cell r="U68">
            <v>2.5726567218343099E-2</v>
          </cell>
          <cell r="AA68">
            <v>5.6179775280898792E-2</v>
          </cell>
          <cell r="AB68">
            <v>1.4639639639639546E-2</v>
          </cell>
          <cell r="AC68">
            <v>4.3154761904761862E-2</v>
          </cell>
          <cell r="AD68">
            <v>0.68805704099821741</v>
          </cell>
          <cell r="AE68">
            <v>4.2553191489361764E-2</v>
          </cell>
          <cell r="AF68">
            <v>5.105438401775797E-2</v>
          </cell>
          <cell r="AG68">
            <v>6.5620542082738931E-2</v>
          </cell>
          <cell r="AH68">
            <v>-0.42683008276655865</v>
          </cell>
          <cell r="AI68">
            <v>3.9682539682539764E-2</v>
          </cell>
          <cell r="AJ68">
            <v>2.0063357972544882E-2</v>
          </cell>
          <cell r="AK68">
            <v>4.1499330655957234E-2</v>
          </cell>
          <cell r="AL68">
            <v>0.17724672442663914</v>
          </cell>
          <cell r="AM68">
            <v>4.0348964013086075E-2</v>
          </cell>
          <cell r="AN68">
            <v>-1.2904954195580576E-3</v>
          </cell>
          <cell r="AO68">
            <v>-2.2165399551495879E-2</v>
          </cell>
          <cell r="AP68">
            <v>5.007824726134591E-2</v>
          </cell>
          <cell r="AQ68">
            <v>-5.2410901467505266E-2</v>
          </cell>
          <cell r="AR68">
            <v>-0.12412849100135859</v>
          </cell>
          <cell r="AS68">
            <v>-0.1061515011676526</v>
          </cell>
          <cell r="AT68">
            <v>-7.4515648286140101E-2</v>
          </cell>
          <cell r="AU68">
            <v>2.1017699115044142E-2</v>
          </cell>
          <cell r="AV68">
            <v>3.076923076923066E-2</v>
          </cell>
          <cell r="AW68">
            <v>9.2647058823529305E-2</v>
          </cell>
          <cell r="AX68">
            <v>-1.2882447665056307E-2</v>
          </cell>
          <cell r="AY68">
            <v>-3.1419284940411685E-2</v>
          </cell>
          <cell r="AZ68">
            <v>-3.788748564867972E-2</v>
          </cell>
          <cell r="BA68">
            <v>-1.4804845222072704E-2</v>
          </cell>
          <cell r="BB68">
            <v>4.2414355628058731E-2</v>
          </cell>
          <cell r="BC68">
            <v>-0.1029082774049217</v>
          </cell>
          <cell r="BD68">
            <v>-0.1050119331742243</v>
          </cell>
          <cell r="BE68">
            <v>-9.1530054644808789E-2</v>
          </cell>
          <cell r="BF68">
            <v>-7.1987480438184703E-2</v>
          </cell>
          <cell r="BG68">
            <v>4.9875311720698257E-2</v>
          </cell>
          <cell r="BH68">
            <v>6.9333333333333247E-2</v>
          </cell>
          <cell r="BI68">
            <v>9.1729323308270772E-2</v>
          </cell>
          <cell r="BJ68">
            <v>6.7453625632377667E-2</v>
          </cell>
          <cell r="BK68">
            <v>-7.4821852731591476E-2</v>
          </cell>
          <cell r="BL68">
            <v>3.7192202428903309E-2</v>
          </cell>
          <cell r="BM68">
            <v>1.5898863714134404E-2</v>
          </cell>
          <cell r="BN68">
            <v>0.16739385666640727</v>
          </cell>
          <cell r="BO68">
            <v>1.7783177083487534E-2</v>
          </cell>
          <cell r="BP68">
            <v>-1.1569770115159028E-2</v>
          </cell>
          <cell r="BQ68">
            <v>-3.1575058880320972E-3</v>
          </cell>
          <cell r="BR68">
            <v>-4.4826461918956229E-2</v>
          </cell>
        </row>
        <row r="69">
          <cell r="A69" t="str">
            <v>SG&amp;A</v>
          </cell>
          <cell r="C69">
            <v>0.20094086021505353</v>
          </cell>
          <cell r="D69">
            <v>6.9759373251261358E-3</v>
          </cell>
          <cell r="E69">
            <v>2.0810784977320917E-3</v>
          </cell>
          <cell r="F69">
            <v>4.8130350903005548E-2</v>
          </cell>
          <cell r="G69">
            <v>1.258831302649166E-2</v>
          </cell>
          <cell r="H69">
            <v>7.1171838251018471E-2</v>
          </cell>
          <cell r="I69">
            <v>-7.4146341463414589E-2</v>
          </cell>
          <cell r="J69">
            <v>-6.4278187565858791E-2</v>
          </cell>
          <cell r="K69">
            <v>7.8828828828829689E-3</v>
          </cell>
          <cell r="L69">
            <v>-1.6201117318435765E-2</v>
          </cell>
          <cell r="M69">
            <v>-6.5871663827370863E-2</v>
          </cell>
          <cell r="N69">
            <v>7.6595744680851174E-2</v>
          </cell>
          <cell r="O69">
            <v>2.6889006461028098E-2</v>
          </cell>
          <cell r="P69">
            <v>7.6561678080362405E-3</v>
          </cell>
          <cell r="Q69">
            <v>1.6919426821091266E-2</v>
          </cell>
          <cell r="R69">
            <v>2.1489238271883204E-2</v>
          </cell>
          <cell r="S69">
            <v>2.1034078743166207E-2</v>
          </cell>
          <cell r="T69">
            <v>2.0614033286542544E-2</v>
          </cell>
          <cell r="U69">
            <v>2.0230896140151167E-2</v>
          </cell>
          <cell r="AA69">
            <v>6.2639821029082832E-2</v>
          </cell>
          <cell r="AB69">
            <v>5.0100200400801542E-2</v>
          </cell>
          <cell r="AC69">
            <v>1.3422818791946289E-2</v>
          </cell>
          <cell r="AD69">
            <v>0.33660933660933656</v>
          </cell>
          <cell r="AE69">
            <v>4.0000000000000258E-2</v>
          </cell>
          <cell r="AF69">
            <v>3.8167938931297662E-2</v>
          </cell>
          <cell r="AG69">
            <v>4.1942604856512133E-2</v>
          </cell>
          <cell r="AH69">
            <v>-0.25773545658075558</v>
          </cell>
          <cell r="AI69">
            <v>-3.0364372469635859E-2</v>
          </cell>
          <cell r="AJ69">
            <v>0</v>
          </cell>
          <cell r="AK69">
            <v>9.5338983050847537E-2</v>
          </cell>
          <cell r="AL69">
            <v>0.26302678514240041</v>
          </cell>
          <cell r="AM69">
            <v>9.1858037578288032E-2</v>
          </cell>
          <cell r="AN69">
            <v>-1.3271871190293605E-2</v>
          </cell>
          <cell r="AO69">
            <v>-4.9782666532964592E-2</v>
          </cell>
          <cell r="AP69">
            <v>-7.2549019607843102E-2</v>
          </cell>
          <cell r="AQ69">
            <v>-9.7514340344168282E-2</v>
          </cell>
          <cell r="AR69">
            <v>-0.10205315335083609</v>
          </cell>
          <cell r="AS69">
            <v>-0.1878066968921992</v>
          </cell>
          <cell r="AT69">
            <v>-0.10570824524312894</v>
          </cell>
          <cell r="AU69">
            <v>-5.7203389830508433E-2</v>
          </cell>
          <cell r="AV69">
            <v>-4.1493775933609811E-3</v>
          </cell>
          <cell r="AW69">
            <v>0.10025062656641603</v>
          </cell>
          <cell r="AX69">
            <v>7.0921985815601829E-3</v>
          </cell>
          <cell r="AY69">
            <v>1.1235955056179803E-2</v>
          </cell>
          <cell r="AZ69">
            <v>-2.0833333333333259E-3</v>
          </cell>
          <cell r="BA69">
            <v>-3.1890660592255093E-2</v>
          </cell>
          <cell r="BB69">
            <v>-4.4600938967136128E-2</v>
          </cell>
          <cell r="BC69">
            <v>-9.9999999999999978E-2</v>
          </cell>
          <cell r="BD69">
            <v>-7.3068893528183687E-2</v>
          </cell>
          <cell r="BE69">
            <v>-3.7647058823529367E-2</v>
          </cell>
          <cell r="BF69">
            <v>-5.4054054054054057E-2</v>
          </cell>
          <cell r="BG69">
            <v>3.9506172839506082E-2</v>
          </cell>
          <cell r="BH69">
            <v>7.4324324324324342E-2</v>
          </cell>
          <cell r="BI69">
            <v>9.5354523227383803E-2</v>
          </cell>
          <cell r="BJ69">
            <v>0.10389610389610393</v>
          </cell>
          <cell r="BK69">
            <v>4.9881235154394243E-2</v>
          </cell>
          <cell r="BL69">
            <v>-3.3884079548951007E-2</v>
          </cell>
          <cell r="BM69">
            <v>-1.9854798756520742E-2</v>
          </cell>
          <cell r="BN69">
            <v>0.12159549701235961</v>
          </cell>
          <cell r="BO69">
            <v>-1.929840623138579E-2</v>
          </cell>
          <cell r="BP69">
            <v>3.3104135556574432E-2</v>
          </cell>
          <cell r="BQ69">
            <v>1.3773361754441993E-2</v>
          </cell>
          <cell r="BR69">
            <v>1.990781166409028E-2</v>
          </cell>
        </row>
        <row r="70">
          <cell r="A70" t="str">
            <v>Operating Income</v>
          </cell>
          <cell r="C70">
            <v>-0.16942422236929178</v>
          </cell>
          <cell r="D70">
            <v>0.1005976095617529</v>
          </cell>
          <cell r="E70">
            <v>1.538461538461533E-2</v>
          </cell>
          <cell r="F70">
            <v>4.0106951871657692E-2</v>
          </cell>
          <cell r="G70">
            <v>3.2562125107112205E-2</v>
          </cell>
          <cell r="H70">
            <v>3.7344398340249052E-2</v>
          </cell>
          <cell r="I70">
            <v>2.4000000000000021E-2</v>
          </cell>
          <cell r="J70">
            <v>-4.6874999999999556E-3</v>
          </cell>
          <cell r="K70">
            <v>6.7503924646781899E-2</v>
          </cell>
          <cell r="L70">
            <v>-1.3235294117647012E-2</v>
          </cell>
          <cell r="M70">
            <v>-0.13189269746646792</v>
          </cell>
          <cell r="N70">
            <v>5.7510729613733824E-2</v>
          </cell>
          <cell r="O70">
            <v>2.9797566746587512E-2</v>
          </cell>
          <cell r="P70">
            <v>4.1211767185221904E-2</v>
          </cell>
          <cell r="Q70">
            <v>4.0885626531502073E-2</v>
          </cell>
          <cell r="R70">
            <v>3.3590765073422624E-2</v>
          </cell>
          <cell r="S70">
            <v>3.3376299308218949E-2</v>
          </cell>
          <cell r="T70">
            <v>3.3148501065543234E-2</v>
          </cell>
          <cell r="U70">
            <v>3.2911500878369138E-2</v>
          </cell>
          <cell r="AA70">
            <v>4.8022598870056443E-2</v>
          </cell>
          <cell r="AB70">
            <v>-3.0848329048843159E-2</v>
          </cell>
          <cell r="AC70">
            <v>0.10222222222222221</v>
          </cell>
          <cell r="AD70">
            <v>1.616883116883117</v>
          </cell>
          <cell r="AE70">
            <v>4.582210242587581E-2</v>
          </cell>
          <cell r="AF70">
            <v>6.8965517241379226E-2</v>
          </cell>
          <cell r="AG70">
            <v>0.1088709677419355</v>
          </cell>
          <cell r="AH70">
            <v>-0.6550868486352357</v>
          </cell>
          <cell r="AI70">
            <v>0.12886597938144373</v>
          </cell>
          <cell r="AJ70">
            <v>4.7146401985111552E-2</v>
          </cell>
          <cell r="AK70">
            <v>-5.0909090909090904E-2</v>
          </cell>
          <cell r="AL70">
            <v>-7.1942446043165464E-2</v>
          </cell>
          <cell r="AM70">
            <v>-1.5981735159817378E-2</v>
          </cell>
          <cell r="AN70">
            <v>1.4154690408120008E-2</v>
          </cell>
          <cell r="AO70">
            <v>3.2540067994172084E-2</v>
          </cell>
          <cell r="AP70">
            <v>0.53827493540051674</v>
          </cell>
          <cell r="AQ70">
            <v>2.3201856148491462E-3</v>
          </cell>
          <cell r="AR70">
            <v>-0.15181620555977038</v>
          </cell>
          <cell r="AS70">
            <v>4.2698860666875671E-2</v>
          </cell>
          <cell r="AT70">
            <v>-2.2045568007654781E-3</v>
          </cell>
          <cell r="AU70">
            <v>0.1064814814814814</v>
          </cell>
          <cell r="AV70">
            <v>7.7134986225895208E-2</v>
          </cell>
          <cell r="AW70">
            <v>8.1850533807829251E-2</v>
          </cell>
          <cell r="AX70">
            <v>-5.555555555555558E-2</v>
          </cell>
          <cell r="AY70">
            <v>-7.112970711297073E-2</v>
          </cell>
          <cell r="AZ70">
            <v>-8.1841432225063904E-2</v>
          </cell>
          <cell r="BA70">
            <v>9.8684210526316374E-3</v>
          </cell>
          <cell r="BB70">
            <v>0.2406417112299466</v>
          </cell>
          <cell r="BC70">
            <v>-0.11036036036036034</v>
          </cell>
          <cell r="BD70">
            <v>-0.14763231197771587</v>
          </cell>
          <cell r="BE70">
            <v>-0.16612377850162863</v>
          </cell>
          <cell r="BF70">
            <v>-0.10344827586206895</v>
          </cell>
          <cell r="BG70">
            <v>6.5822784810126489E-2</v>
          </cell>
          <cell r="BH70">
            <v>6.2091503267973858E-2</v>
          </cell>
          <cell r="BI70">
            <v>8.59375E-2</v>
          </cell>
          <cell r="BJ70">
            <v>0</v>
          </cell>
          <cell r="BK70">
            <v>-0.1995249406175772</v>
          </cell>
          <cell r="BL70">
            <v>0.14151031474716946</v>
          </cell>
          <cell r="BM70">
            <v>7.3516276616485188E-2</v>
          </cell>
          <cell r="BN70">
            <v>0.26097223576722572</v>
          </cell>
          <cell r="BO70">
            <v>6.6418369443054459E-2</v>
          </cell>
          <cell r="BP70">
            <v>-6.4127306199551315E-2</v>
          </cell>
          <cell r="BQ70">
            <v>-2.412993548387099E-2</v>
          </cell>
          <cell r="BR70">
            <v>-0.13905357057072665</v>
          </cell>
        </row>
        <row r="71">
          <cell r="A71" t="str">
            <v>Continuing Net Income</v>
          </cell>
          <cell r="C71">
            <v>-0.18296195240260715</v>
          </cell>
          <cell r="D71">
            <v>0.16228571428571414</v>
          </cell>
          <cell r="E71">
            <v>3.883333971829539E-2</v>
          </cell>
          <cell r="F71">
            <v>4.0540371034707645E-2</v>
          </cell>
          <cell r="G71">
            <v>6.9096365378819913E-2</v>
          </cell>
          <cell r="H71">
            <v>6.2191955009515798E-2</v>
          </cell>
          <cell r="I71">
            <v>3.6410923276983143E-2</v>
          </cell>
          <cell r="J71">
            <v>-3.4629861982433674E-3</v>
          </cell>
          <cell r="K71">
            <v>6.8452290453529629E-2</v>
          </cell>
          <cell r="L71">
            <v>-1.3472331271522919E-2</v>
          </cell>
          <cell r="M71">
            <v>-0.11607471014734871</v>
          </cell>
          <cell r="N71">
            <v>6.2162162162162193E-2</v>
          </cell>
          <cell r="O71">
            <v>1.599661180836387E-2</v>
          </cell>
          <cell r="P71">
            <v>4.1327036484021473E-2</v>
          </cell>
          <cell r="Q71">
            <v>4.3701340310681402E-2</v>
          </cell>
          <cell r="R71">
            <v>4.0429363833423659E-2</v>
          </cell>
          <cell r="S71">
            <v>4.0247859757979398E-2</v>
          </cell>
          <cell r="T71">
            <v>4.0055962286305036E-2</v>
          </cell>
          <cell r="U71">
            <v>3.9812867997685908E-2</v>
          </cell>
          <cell r="AA71">
            <v>6.1611374407583019E-2</v>
          </cell>
          <cell r="AB71">
            <v>-3.5636710066689337E-2</v>
          </cell>
          <cell r="AC71">
            <v>5.9815950920245164E-2</v>
          </cell>
          <cell r="AD71">
            <v>2.4139784946236555</v>
          </cell>
          <cell r="AE71">
            <v>8.035714285714235E-2</v>
          </cell>
          <cell r="AF71">
            <v>0.12079241828515896</v>
          </cell>
          <cell r="AG71">
            <v>0.20115774240231565</v>
          </cell>
          <cell r="AH71">
            <v>-0.70866141732283472</v>
          </cell>
          <cell r="AI71">
            <v>0.11157024793388493</v>
          </cell>
          <cell r="AJ71">
            <v>6.2992125984252079E-2</v>
          </cell>
          <cell r="AK71">
            <v>6.6265060240963791E-2</v>
          </cell>
          <cell r="AL71">
            <v>-0.28378378378378377</v>
          </cell>
          <cell r="AM71">
            <v>3.7174721189590088E-3</v>
          </cell>
          <cell r="AN71">
            <v>-1.3703703703703884E-2</v>
          </cell>
          <cell r="AO71">
            <v>-6.7401129943502558E-2</v>
          </cell>
          <cell r="AP71">
            <v>0.7960923941299789</v>
          </cell>
          <cell r="AQ71">
            <v>4.0740740740740744E-2</v>
          </cell>
          <cell r="AR71">
            <v>-0.12129177619226417</v>
          </cell>
          <cell r="AS71">
            <v>3.5924153389470748E-2</v>
          </cell>
          <cell r="AT71">
            <v>0.12403344679060058</v>
          </cell>
          <cell r="AU71">
            <v>6.7615658362989217E-2</v>
          </cell>
          <cell r="AV71">
            <v>8.5470085470085388E-2</v>
          </cell>
          <cell r="AW71">
            <v>7.3728346022288394E-2</v>
          </cell>
          <cell r="AX71">
            <v>5.6074766355140193E-2</v>
          </cell>
          <cell r="AY71">
            <v>-7.3333333333333361E-2</v>
          </cell>
          <cell r="AZ71">
            <v>-6.6929133858267709E-2</v>
          </cell>
          <cell r="BA71">
            <v>-6.0321440315684871E-3</v>
          </cell>
          <cell r="BB71">
            <v>0.23606039977721394</v>
          </cell>
          <cell r="BC71">
            <v>-0.10071942446043169</v>
          </cell>
          <cell r="BD71">
            <v>-0.19831223628691985</v>
          </cell>
          <cell r="BE71">
            <v>-6.3013698630136949E-2</v>
          </cell>
          <cell r="BF71">
            <v>-7.6426264800861121E-2</v>
          </cell>
          <cell r="BG71">
            <v>6.4000000000000057E-2</v>
          </cell>
          <cell r="BH71">
            <v>5.7894736842105221E-2</v>
          </cell>
          <cell r="BI71">
            <v>7.0175438596491224E-2</v>
          </cell>
          <cell r="BJ71">
            <v>5.4263565891472965E-2</v>
          </cell>
          <cell r="BK71">
            <v>-0.2142857142857143</v>
          </cell>
          <cell r="BL71">
            <v>0.18174782770244491</v>
          </cell>
          <cell r="BM71">
            <v>2.5216525254096789E-2</v>
          </cell>
          <cell r="BN71">
            <v>0.20902499552708109</v>
          </cell>
          <cell r="BO71">
            <v>8.4786601443190834E-2</v>
          </cell>
          <cell r="BP71">
            <v>-8.2065514032158782E-2</v>
          </cell>
          <cell r="BQ71">
            <v>-3.7081746627974699E-2</v>
          </cell>
          <cell r="BR71">
            <v>-0.14007830977587499</v>
          </cell>
        </row>
        <row r="72">
          <cell r="A72" t="str">
            <v>Net Income</v>
          </cell>
          <cell r="C72">
            <v>-0.18914752582087246</v>
          </cell>
          <cell r="D72">
            <v>0.13117870722433467</v>
          </cell>
          <cell r="E72">
            <v>8.7394957983193189E-2</v>
          </cell>
          <cell r="F72">
            <v>4.6651736428729107E-2</v>
          </cell>
          <cell r="G72">
            <v>7.0372850340547632E-3</v>
          </cell>
          <cell r="H72">
            <v>0.22003221096196368</v>
          </cell>
          <cell r="I72">
            <v>0.55168269230769229</v>
          </cell>
          <cell r="J72">
            <v>-0.38168861347792404</v>
          </cell>
          <cell r="K72">
            <v>6.3098250112511689E-2</v>
          </cell>
          <cell r="L72">
            <v>-1.3472331271522919E-2</v>
          </cell>
          <cell r="M72">
            <v>-0.11368572287747669</v>
          </cell>
          <cell r="N72">
            <v>6.7385444743935263E-2</v>
          </cell>
          <cell r="O72">
            <v>8.2996677795126317E-3</v>
          </cell>
          <cell r="P72">
            <v>4.1327036484021473E-2</v>
          </cell>
          <cell r="Q72">
            <v>4.3701340310681402E-2</v>
          </cell>
          <cell r="R72">
            <v>4.0429363833423659E-2</v>
          </cell>
          <cell r="S72">
            <v>4.0247859757979398E-2</v>
          </cell>
          <cell r="T72">
            <v>4.0055962286305036E-2</v>
          </cell>
          <cell r="U72">
            <v>3.9812867997685908E-2</v>
          </cell>
          <cell r="AA72">
            <v>6.1611374407583019E-2</v>
          </cell>
          <cell r="AB72">
            <v>-3.5636710066689337E-2</v>
          </cell>
          <cell r="AC72">
            <v>5.9815950920245164E-2</v>
          </cell>
          <cell r="AD72">
            <v>2.4139784946236555</v>
          </cell>
          <cell r="AE72">
            <v>8.035714285714235E-2</v>
          </cell>
          <cell r="AF72">
            <v>0.12079241828515896</v>
          </cell>
          <cell r="AG72">
            <v>0.20115774240231565</v>
          </cell>
          <cell r="AH72">
            <v>-0.62598425196850394</v>
          </cell>
          <cell r="AI72">
            <v>0.11157024793388493</v>
          </cell>
          <cell r="AJ72">
            <v>0.11811023622047245</v>
          </cell>
          <cell r="AK72">
            <v>0.31325301204819267</v>
          </cell>
          <cell r="AL72">
            <v>-0.35789473684210527</v>
          </cell>
          <cell r="AM72">
            <v>3.7174721189590088E-3</v>
          </cell>
          <cell r="AN72">
            <v>-3.0140845070422695E-2</v>
          </cell>
          <cell r="AO72">
            <v>1.8994036697247707</v>
          </cell>
          <cell r="AP72">
            <v>0.48836661566484496</v>
          </cell>
          <cell r="AQ72">
            <v>4.0740740740740744E-2</v>
          </cell>
          <cell r="AR72">
            <v>-0.15045018878884675</v>
          </cell>
          <cell r="AS72">
            <v>-0.72946034458208753</v>
          </cell>
          <cell r="AT72">
            <v>0.17853917320779988</v>
          </cell>
          <cell r="AU72">
            <v>6.7615658362989217E-2</v>
          </cell>
          <cell r="AV72">
            <v>8.5470085470085388E-2</v>
          </cell>
          <cell r="AW72">
            <v>7.3728346022288394E-2</v>
          </cell>
          <cell r="AX72">
            <v>5.6074766355140193E-2</v>
          </cell>
          <cell r="AY72">
            <v>-7.3333333333333361E-2</v>
          </cell>
          <cell r="AZ72">
            <v>-5.9055118110236227E-2</v>
          </cell>
          <cell r="BA72">
            <v>-5.8574482078255219E-4</v>
          </cell>
          <cell r="BB72">
            <v>0.25375951482146175</v>
          </cell>
          <cell r="BC72">
            <v>-9.3525179856115082E-2</v>
          </cell>
          <cell r="BD72">
            <v>-0.20502092050209209</v>
          </cell>
          <cell r="BE72">
            <v>-6.8119891008174394E-2</v>
          </cell>
          <cell r="BF72">
            <v>-8.946420197931837E-2</v>
          </cell>
          <cell r="BG72">
            <v>5.555555555555558E-2</v>
          </cell>
          <cell r="BH72">
            <v>5.7894736842105221E-2</v>
          </cell>
          <cell r="BI72">
            <v>7.0175438596491224E-2</v>
          </cell>
          <cell r="BJ72">
            <v>0.10077519379844957</v>
          </cell>
          <cell r="BK72">
            <v>-0.24812030075187974</v>
          </cell>
          <cell r="BL72">
            <v>0.18174782770244491</v>
          </cell>
          <cell r="BM72">
            <v>2.5216525254096789E-2</v>
          </cell>
          <cell r="BN72">
            <v>0.15793943233579588</v>
          </cell>
          <cell r="BO72">
            <v>0.13360199850813448</v>
          </cell>
          <cell r="BP72">
            <v>-8.2065514032158782E-2</v>
          </cell>
          <cell r="BQ72">
            <v>-3.7081746627974699E-2</v>
          </cell>
          <cell r="BR72">
            <v>-0.14007830977587499</v>
          </cell>
        </row>
        <row r="73">
          <cell r="A73" t="str">
            <v>Diluted EPS</v>
          </cell>
          <cell r="C73">
            <v>-0.16904646254085109</v>
          </cell>
          <cell r="D73">
            <v>0.16228571428571414</v>
          </cell>
          <cell r="E73">
            <v>3.6311899573348017E-2</v>
          </cell>
          <cell r="F73">
            <v>3.8020902823969971E-2</v>
          </cell>
          <cell r="G73">
            <v>6.6514007008339648E-2</v>
          </cell>
          <cell r="H73">
            <v>0.11047340750994827</v>
          </cell>
          <cell r="I73">
            <v>7.7214502933557361E-2</v>
          </cell>
          <cell r="J73">
            <v>6.0560341504104054E-2</v>
          </cell>
          <cell r="K73">
            <v>0.11517760927802789</v>
          </cell>
          <cell r="L73">
            <v>2.850756952543354E-2</v>
          </cell>
          <cell r="M73">
            <v>-9.0930227066201019E-2</v>
          </cell>
          <cell r="N73">
            <v>7.1879103077841178E-2</v>
          </cell>
          <cell r="O73">
            <v>1.599661180836387E-2</v>
          </cell>
          <cell r="P73">
            <v>4.8566749346029781E-2</v>
          </cell>
          <cell r="Q73">
            <v>5.7815976314613327E-2</v>
          </cell>
          <cell r="R73">
            <v>5.3505856126822682E-2</v>
          </cell>
          <cell r="S73">
            <v>5.2346371270468373E-2</v>
          </cell>
          <cell r="T73">
            <v>5.1196450738744348E-2</v>
          </cell>
          <cell r="U73">
            <v>5.0016472473523255E-2</v>
          </cell>
          <cell r="AA73">
            <v>6.0838918884123627E-2</v>
          </cell>
          <cell r="AB73">
            <v>-4.0295469921439508E-2</v>
          </cell>
          <cell r="AC73">
            <v>5.7256009009809983E-2</v>
          </cell>
          <cell r="AD73">
            <v>2.397485844891174</v>
          </cell>
          <cell r="AE73">
            <v>7.5920893719806148E-2</v>
          </cell>
          <cell r="AF73">
            <v>0.12079241828515896</v>
          </cell>
          <cell r="AG73">
            <v>0.20406611465994828</v>
          </cell>
          <cell r="AH73">
            <v>-0.71006208358570566</v>
          </cell>
          <cell r="AI73">
            <v>0.1362718089990822</v>
          </cell>
          <cell r="AJ73">
            <v>0.11412339280374773</v>
          </cell>
          <cell r="AK73">
            <v>0.11485435412536238</v>
          </cell>
          <cell r="AL73">
            <v>-0.23993381136238279</v>
          </cell>
          <cell r="AM73">
            <v>4.7694784041697025E-2</v>
          </cell>
          <cell r="AN73">
            <v>9.2928420648625831E-3</v>
          </cell>
          <cell r="AO73">
            <v>-3.3132405059536851E-2</v>
          </cell>
          <cell r="AP73">
            <v>0.89775800134488315</v>
          </cell>
          <cell r="AQ73">
            <v>0.1063216641298832</v>
          </cell>
          <cell r="AR73">
            <v>-6.3034877376281662E-2</v>
          </cell>
          <cell r="AS73">
            <v>0.11179465476447437</v>
          </cell>
          <cell r="AT73">
            <v>0.18470570670259301</v>
          </cell>
          <cell r="AU73">
            <v>0.12624195174130382</v>
          </cell>
          <cell r="AV73">
            <v>0.14226793877956667</v>
          </cell>
          <cell r="AW73">
            <v>0.11454258139740459</v>
          </cell>
          <cell r="AX73">
            <v>9.01416943020803E-2</v>
          </cell>
          <cell r="AY73">
            <v>-5.140039447731759E-2</v>
          </cell>
          <cell r="AZ73">
            <v>-3.3203680865192986E-2</v>
          </cell>
          <cell r="BA73">
            <v>5.2436553378339079E-2</v>
          </cell>
          <cell r="BB73">
            <v>0.30494302267501538</v>
          </cell>
          <cell r="BC73">
            <v>-5.6034675365297826E-2</v>
          </cell>
          <cell r="BD73">
            <v>-0.1708400699291508</v>
          </cell>
          <cell r="BE73">
            <v>-5.007352372107432E-2</v>
          </cell>
          <cell r="BF73">
            <v>-5.894537391381105E-2</v>
          </cell>
          <cell r="BG73">
            <v>8.4202531645569678E-2</v>
          </cell>
          <cell r="BH73">
            <v>7.4633577614923396E-2</v>
          </cell>
          <cell r="BI73">
            <v>7.5576955005811186E-2</v>
          </cell>
          <cell r="BJ73">
            <v>5.4263565891472743E-2</v>
          </cell>
          <cell r="BK73">
            <v>-0.21676430824695814</v>
          </cell>
          <cell r="BL73">
            <v>0.1780199165740457</v>
          </cell>
          <cell r="BM73">
            <v>2.5216525254096789E-2</v>
          </cell>
          <cell r="BN73">
            <v>0.20902499552708087</v>
          </cell>
          <cell r="BO73">
            <v>9.2554079571576242E-2</v>
          </cell>
          <cell r="BP73">
            <v>-7.6935739791595847E-2</v>
          </cell>
          <cell r="BQ73">
            <v>-3.0180661402155917E-2</v>
          </cell>
          <cell r="BR73">
            <v>-0.13396323697950019</v>
          </cell>
        </row>
        <row r="74">
          <cell r="BR74">
            <v>2.9133537214048211E-2</v>
          </cell>
        </row>
        <row r="75">
          <cell r="A75" t="str">
            <v>Margin Analysis</v>
          </cell>
        </row>
        <row r="76">
          <cell r="A76" t="str">
            <v>Gross margin</v>
          </cell>
          <cell r="B76">
            <v>0.457286432160804</v>
          </cell>
          <cell r="C76">
            <v>0.43861079406489484</v>
          </cell>
          <cell r="D76">
            <v>0.43021862833183588</v>
          </cell>
          <cell r="E76">
            <v>0.41102827401884934</v>
          </cell>
          <cell r="F76">
            <v>0.40500794912559618</v>
          </cell>
          <cell r="G76">
            <v>0.40603982705638186</v>
          </cell>
          <cell r="H76">
            <v>0.41926057680091477</v>
          </cell>
          <cell r="I76">
            <v>0.39734933733433359</v>
          </cell>
          <cell r="J76">
            <v>0.40205641972053785</v>
          </cell>
          <cell r="K76">
            <v>0.41036998436685773</v>
          </cell>
          <cell r="L76">
            <v>0.40199507708252363</v>
          </cell>
          <cell r="M76">
            <v>0.3916376306620209</v>
          </cell>
          <cell r="N76">
            <v>0.37295081967213117</v>
          </cell>
          <cell r="O76">
            <v>0.37</v>
          </cell>
          <cell r="P76">
            <v>0.372</v>
          </cell>
          <cell r="Q76">
            <v>0.374</v>
          </cell>
          <cell r="R76">
            <v>0.376</v>
          </cell>
          <cell r="S76">
            <v>0.378</v>
          </cell>
          <cell r="T76">
            <v>0.38</v>
          </cell>
          <cell r="U76">
            <v>0.38200000000000001</v>
          </cell>
          <cell r="W76">
            <v>0.41959140911471976</v>
          </cell>
          <cell r="X76">
            <v>0.42285714285714288</v>
          </cell>
          <cell r="Y76">
            <v>0.40311937612477505</v>
          </cell>
          <cell r="Z76">
            <v>0.39148639218422887</v>
          </cell>
          <cell r="AA76">
            <v>0.40459110473457677</v>
          </cell>
          <cell r="AB76">
            <v>0.40530814215024741</v>
          </cell>
          <cell r="AC76">
            <v>0.40380184331797236</v>
          </cell>
          <cell r="AD76">
            <v>0.41516878562034193</v>
          </cell>
          <cell r="AE76">
            <v>0.41800947867298577</v>
          </cell>
          <cell r="AF76">
            <v>0.41516878562034193</v>
          </cell>
          <cell r="AG76">
            <v>0.40686274509803921</v>
          </cell>
          <cell r="AH76">
            <v>0.37330943027515057</v>
          </cell>
          <cell r="AI76">
            <v>0.42591732466326054</v>
          </cell>
          <cell r="AJ76">
            <v>0.4289520426287744</v>
          </cell>
          <cell r="AK76">
            <v>0.41559829059829062</v>
          </cell>
          <cell r="AL76">
            <v>0.40087829360100374</v>
          </cell>
          <cell r="AM76">
            <v>0.41514360313315929</v>
          </cell>
          <cell r="AN76">
            <v>0.40081154192966639</v>
          </cell>
          <cell r="AO76">
            <v>0.38617021276595748</v>
          </cell>
          <cell r="AP76">
            <v>0.39125364431486881</v>
          </cell>
          <cell r="AQ76">
            <v>0.40177777777777779</v>
          </cell>
          <cell r="AR76">
            <v>0.39820923656927426</v>
          </cell>
          <cell r="AS76">
            <v>0.40332147093712928</v>
          </cell>
          <cell r="AT76">
            <v>0.406413612565445</v>
          </cell>
          <cell r="AU76">
            <v>0.41897412619155699</v>
          </cell>
          <cell r="AV76">
            <v>0.40455178820250814</v>
          </cell>
          <cell r="AW76">
            <v>0.41231964483906769</v>
          </cell>
          <cell r="AX76">
            <v>0.40382081686429511</v>
          </cell>
          <cell r="AY76">
            <v>0.41160220994475138</v>
          </cell>
          <cell r="AZ76">
            <v>0.39398213446168312</v>
          </cell>
          <cell r="BA76">
            <v>0.40375068946497517</v>
          </cell>
          <cell r="BB76">
            <v>0.39763534536403233</v>
          </cell>
          <cell r="BC76">
            <v>0.39801488833746901</v>
          </cell>
          <cell r="BD76">
            <v>0.38600102933607822</v>
          </cell>
          <cell r="BE76">
            <v>0.39163722025912839</v>
          </cell>
          <cell r="BF76">
            <v>0.39038841342988806</v>
          </cell>
          <cell r="BG76">
            <v>0.38185941043083899</v>
          </cell>
          <cell r="BH76">
            <v>0.37095282146160963</v>
          </cell>
          <cell r="BI76">
            <v>0.37003058103975534</v>
          </cell>
          <cell r="BJ76">
            <v>0.367382472431805</v>
          </cell>
          <cell r="BK76">
            <v>0.35981524249422631</v>
          </cell>
          <cell r="BL76">
            <v>0.373</v>
          </cell>
          <cell r="BM76">
            <v>0.37</v>
          </cell>
          <cell r="BN76">
            <v>0.37785389942933062</v>
          </cell>
          <cell r="BO76">
            <v>0.3583152424942263</v>
          </cell>
          <cell r="BP76">
            <v>0.35586102586584833</v>
          </cell>
          <cell r="BQ76">
            <v>0.35128426395939089</v>
          </cell>
          <cell r="BR76">
            <v>0.34700549232408484</v>
          </cell>
        </row>
        <row r="77">
          <cell r="A77" t="str">
            <v>SG&amp;A as % of Sales</v>
          </cell>
          <cell r="B77">
            <v>0.25784092878184023</v>
          </cell>
          <cell r="C77">
            <v>0.29137453122452306</v>
          </cell>
          <cell r="D77">
            <v>0.2694618149146451</v>
          </cell>
          <cell r="E77">
            <v>0.25365182585455059</v>
          </cell>
          <cell r="F77">
            <v>0.25039745627980919</v>
          </cell>
          <cell r="G77">
            <v>0.249159212553062</v>
          </cell>
          <cell r="H77">
            <v>0.26044975225511369</v>
          </cell>
          <cell r="I77">
            <v>0.23730932733183296</v>
          </cell>
          <cell r="J77">
            <v>0.23411547587661483</v>
          </cell>
          <cell r="K77">
            <v>0.23319437206878582</v>
          </cell>
          <cell r="L77">
            <v>0.22813835989117762</v>
          </cell>
          <cell r="M77">
            <v>0.22926829268292684</v>
          </cell>
          <cell r="N77">
            <v>0.21994535519125682</v>
          </cell>
          <cell r="O77">
            <v>0.21795186591340493</v>
          </cell>
          <cell r="P77">
            <v>0.21617176073579741</v>
          </cell>
          <cell r="Q77">
            <v>0.21520937517315555</v>
          </cell>
          <cell r="R77">
            <v>0.21527740294965153</v>
          </cell>
          <cell r="S77">
            <v>0.21530997937546736</v>
          </cell>
          <cell r="T77">
            <v>0.21531108706362387</v>
          </cell>
          <cell r="U77">
            <v>0.21528463100121695</v>
          </cell>
          <cell r="W77">
            <v>0.23415400733368255</v>
          </cell>
          <cell r="X77">
            <v>0.23761904761904762</v>
          </cell>
          <cell r="Y77">
            <v>0.26814637072585484</v>
          </cell>
          <cell r="Z77">
            <v>0.28401953942777391</v>
          </cell>
          <cell r="AA77">
            <v>0.22716403634624582</v>
          </cell>
          <cell r="AB77">
            <v>0.23571749887539362</v>
          </cell>
          <cell r="AC77">
            <v>0.26094470046082952</v>
          </cell>
          <cell r="AD77">
            <v>0.2384918895221394</v>
          </cell>
          <cell r="AE77">
            <v>0.23412322274881522</v>
          </cell>
          <cell r="AF77">
            <v>0.2384918895221394</v>
          </cell>
          <cell r="AG77">
            <v>0.2570806100217865</v>
          </cell>
          <cell r="AH77">
            <v>0.27771108089413271</v>
          </cell>
          <cell r="AI77">
            <v>0.222480260102183</v>
          </cell>
          <cell r="AJ77">
            <v>0.24156305506216696</v>
          </cell>
          <cell r="AK77">
            <v>0.27617521367521369</v>
          </cell>
          <cell r="AL77">
            <v>0.31994981179422838</v>
          </cell>
          <cell r="AM77">
            <v>0.22758920800696258</v>
          </cell>
          <cell r="AN77">
            <v>0.22300793605005415</v>
          </cell>
          <cell r="AO77">
            <v>0.24937175705708492</v>
          </cell>
          <cell r="AP77">
            <v>0.27580174927113704</v>
          </cell>
          <cell r="AQ77">
            <v>0.20977777777777779</v>
          </cell>
          <cell r="AR77">
            <v>0.22714420358152687</v>
          </cell>
          <cell r="AS77">
            <v>0.23665480427046262</v>
          </cell>
          <cell r="AT77">
            <v>0.27683246073298429</v>
          </cell>
          <cell r="AU77">
            <v>0.20199727644121651</v>
          </cell>
          <cell r="AV77">
            <v>0.22294472828611239</v>
          </cell>
          <cell r="AW77">
            <v>0.24361820199778025</v>
          </cell>
          <cell r="AX77">
            <v>0.28063241106719367</v>
          </cell>
          <cell r="AY77">
            <v>0.20718232044198895</v>
          </cell>
          <cell r="AZ77">
            <v>0.22519981194170194</v>
          </cell>
          <cell r="BA77">
            <v>0.2344180915609487</v>
          </cell>
          <cell r="BB77">
            <v>0.25326695706285002</v>
          </cell>
          <cell r="BC77">
            <v>0.20099255583126552</v>
          </cell>
          <cell r="BD77">
            <v>0.2285126093669583</v>
          </cell>
          <cell r="BE77">
            <v>0.24087161366313309</v>
          </cell>
          <cell r="BF77">
            <v>0.25345622119815669</v>
          </cell>
          <cell r="BG77">
            <v>0.19092970521541949</v>
          </cell>
          <cell r="BH77">
            <v>0.2206290471785384</v>
          </cell>
          <cell r="BI77">
            <v>0.22833843017329256</v>
          </cell>
          <cell r="BJ77">
            <v>0.24666279744631456</v>
          </cell>
          <cell r="BK77">
            <v>0.20415704387990763</v>
          </cell>
          <cell r="BL77">
            <v>0.20664401828339074</v>
          </cell>
          <cell r="BM77">
            <v>0.22028405417230529</v>
          </cell>
          <cell r="BN77">
            <v>0.24374065955599308</v>
          </cell>
          <cell r="BO77">
            <v>0.19589876936615599</v>
          </cell>
          <cell r="BP77">
            <v>0.20105125053678558</v>
          </cell>
          <cell r="BQ77">
            <v>0.19767182952604423</v>
          </cell>
          <cell r="BR77">
            <v>0.21963382200327425</v>
          </cell>
        </row>
        <row r="78">
          <cell r="A78" t="str">
            <v>OCI margin</v>
          </cell>
          <cell r="B78">
            <v>0.20946109859643042</v>
          </cell>
          <cell r="C78">
            <v>0.16370454916028046</v>
          </cell>
          <cell r="D78">
            <v>0.16546870320455226</v>
          </cell>
          <cell r="E78">
            <v>0.1578281052187368</v>
          </cell>
          <cell r="F78">
            <v>0.15461049284578696</v>
          </cell>
          <cell r="G78">
            <v>0.15688061450331989</v>
          </cell>
          <cell r="H78">
            <v>0.15881082454580103</v>
          </cell>
          <cell r="I78">
            <v>0.16004001000250062</v>
          </cell>
          <cell r="J78">
            <v>0.16794094384392302</v>
          </cell>
          <cell r="K78">
            <v>0.17717561229807191</v>
          </cell>
          <cell r="L78">
            <v>0.17385671719134602</v>
          </cell>
          <cell r="M78">
            <v>0.16236933797909409</v>
          </cell>
          <cell r="N78">
            <v>0.15300546448087432</v>
          </cell>
          <cell r="O78">
            <v>0.15204813408659507</v>
          </cell>
          <cell r="P78">
            <v>0.15582823926420261</v>
          </cell>
          <cell r="Q78">
            <v>0.15879062482684445</v>
          </cell>
          <cell r="R78">
            <v>0.1607225970503485</v>
          </cell>
          <cell r="S78">
            <v>0.16269002062453264</v>
          </cell>
          <cell r="T78">
            <v>0.16468891293637614</v>
          </cell>
          <cell r="U78">
            <v>0.16671536899878306</v>
          </cell>
          <cell r="W78">
            <v>0.18543740178103718</v>
          </cell>
          <cell r="X78">
            <v>0.18523809523809523</v>
          </cell>
          <cell r="Y78">
            <v>0.13497300539892021</v>
          </cell>
          <cell r="Z78">
            <v>0.10746685275645498</v>
          </cell>
          <cell r="AA78">
            <v>0.17742706838833094</v>
          </cell>
          <cell r="AB78">
            <v>0.16959064327485379</v>
          </cell>
          <cell r="AC78">
            <v>0.14285714285714285</v>
          </cell>
          <cell r="AD78">
            <v>0.17667689609820253</v>
          </cell>
          <cell r="AE78">
            <v>0.18388625592417057</v>
          </cell>
          <cell r="AF78">
            <v>0.17667689609820253</v>
          </cell>
          <cell r="AG78">
            <v>0.14978213507625274</v>
          </cell>
          <cell r="AH78">
            <v>9.5598349381017883E-2</v>
          </cell>
          <cell r="AI78">
            <v>0.20343706456107757</v>
          </cell>
          <cell r="AJ78">
            <v>0.18738898756660746</v>
          </cell>
          <cell r="AK78">
            <v>0.13942307692307693</v>
          </cell>
          <cell r="AL78">
            <v>8.0928481806775407E-2</v>
          </cell>
          <cell r="AM78">
            <v>0.1875543951261967</v>
          </cell>
          <cell r="AN78">
            <v>0.17780360587961225</v>
          </cell>
          <cell r="AO78">
            <v>0.13679845570887253</v>
          </cell>
          <cell r="AP78">
            <v>0.11570697764820213</v>
          </cell>
          <cell r="AQ78">
            <v>0.192</v>
          </cell>
          <cell r="AR78">
            <v>0.17106503298774742</v>
          </cell>
          <cell r="AS78">
            <v>0.16666666666666666</v>
          </cell>
          <cell r="AT78">
            <v>0.12958115183246074</v>
          </cell>
          <cell r="AU78">
            <v>0.21697684975034046</v>
          </cell>
          <cell r="AV78">
            <v>0.18160705991639572</v>
          </cell>
          <cell r="AW78">
            <v>0.16870144284128746</v>
          </cell>
          <cell r="AX78">
            <v>0.12318840579710146</v>
          </cell>
          <cell r="AY78">
            <v>0.20441988950276244</v>
          </cell>
          <cell r="AZ78">
            <v>0.16878232251998118</v>
          </cell>
          <cell r="BA78">
            <v>0.16933259790402647</v>
          </cell>
          <cell r="BB78">
            <v>0.14436838830118232</v>
          </cell>
          <cell r="BC78">
            <v>0.19602977667493796</v>
          </cell>
          <cell r="BD78">
            <v>0.15748841996911991</v>
          </cell>
          <cell r="BE78">
            <v>0.15076560659599528</v>
          </cell>
          <cell r="BF78">
            <v>0.13693219223173139</v>
          </cell>
          <cell r="BG78">
            <v>0.19092970521541949</v>
          </cell>
          <cell r="BH78">
            <v>0.15032377428307123</v>
          </cell>
          <cell r="BI78">
            <v>0.14169215086646278</v>
          </cell>
          <cell r="BJ78">
            <v>0.12071967498549042</v>
          </cell>
          <cell r="BK78">
            <v>0.1556581986143187</v>
          </cell>
          <cell r="BL78">
            <v>0.16635598171660929</v>
          </cell>
          <cell r="BM78">
            <v>0.14971594582769471</v>
          </cell>
          <cell r="BN78">
            <v>0.13411323987333751</v>
          </cell>
          <cell r="BO78">
            <v>0.16241647312807031</v>
          </cell>
          <cell r="BP78">
            <v>0.15480977532906276</v>
          </cell>
          <cell r="BQ78">
            <v>0.15361243443334671</v>
          </cell>
          <cell r="BR78">
            <v>0.12737167032081059</v>
          </cell>
        </row>
        <row r="79">
          <cell r="A79" t="str">
            <v>Operating margin</v>
          </cell>
          <cell r="B79">
            <v>0.20946109859643042</v>
          </cell>
          <cell r="C79">
            <v>0.16370454916028046</v>
          </cell>
          <cell r="D79">
            <v>0.16546870320455226</v>
          </cell>
          <cell r="E79">
            <v>0.1578281052187368</v>
          </cell>
          <cell r="F79">
            <v>0.15461049284578696</v>
          </cell>
          <cell r="G79">
            <v>0.15688061450331989</v>
          </cell>
          <cell r="H79">
            <v>0.15881082454580103</v>
          </cell>
          <cell r="I79">
            <v>0.16004001000250062</v>
          </cell>
          <cell r="J79">
            <v>0.16794094384392302</v>
          </cell>
          <cell r="K79">
            <v>0.17717561229807191</v>
          </cell>
          <cell r="L79">
            <v>0.17385671719134602</v>
          </cell>
          <cell r="M79">
            <v>0.16236933797909409</v>
          </cell>
          <cell r="N79">
            <v>0.15300546448087432</v>
          </cell>
          <cell r="O79">
            <v>0.15204813408659507</v>
          </cell>
          <cell r="P79">
            <v>0.15582823926420261</v>
          </cell>
          <cell r="Q79">
            <v>0.15879062482684445</v>
          </cell>
          <cell r="R79">
            <v>0.1607225970503485</v>
          </cell>
          <cell r="S79">
            <v>0.16269002062453264</v>
          </cell>
          <cell r="T79">
            <v>0.16468891293637614</v>
          </cell>
          <cell r="U79">
            <v>0.16671536899878306</v>
          </cell>
          <cell r="W79">
            <v>0.18543740178103718</v>
          </cell>
          <cell r="X79">
            <v>0.18523809523809523</v>
          </cell>
          <cell r="Y79">
            <v>0.13497300539892021</v>
          </cell>
          <cell r="Z79">
            <v>0.10746685275645498</v>
          </cell>
          <cell r="AA79">
            <v>0.17742706838833094</v>
          </cell>
          <cell r="AB79">
            <v>0.16959064327485379</v>
          </cell>
          <cell r="AC79">
            <v>0.14285714285714285</v>
          </cell>
          <cell r="AD79">
            <v>0.17667689609820253</v>
          </cell>
          <cell r="AE79">
            <v>0.18388625592417057</v>
          </cell>
          <cell r="AF79">
            <v>0.17667689609820253</v>
          </cell>
          <cell r="AG79">
            <v>0.14978213507625274</v>
          </cell>
          <cell r="AH79">
            <v>9.5598349381017883E-2</v>
          </cell>
          <cell r="AI79">
            <v>0.20343706456107757</v>
          </cell>
          <cell r="AJ79">
            <v>0.18738898756660746</v>
          </cell>
          <cell r="AK79">
            <v>0.13942307692307693</v>
          </cell>
          <cell r="AL79">
            <v>8.0928481806775407E-2</v>
          </cell>
          <cell r="AM79">
            <v>0.1875543951261967</v>
          </cell>
          <cell r="AN79">
            <v>0.17780360587961225</v>
          </cell>
          <cell r="AO79">
            <v>0.13679845570887253</v>
          </cell>
          <cell r="AP79">
            <v>0.11570697764820213</v>
          </cell>
          <cell r="AQ79">
            <v>0.192</v>
          </cell>
          <cell r="AR79">
            <v>0.17106503298774742</v>
          </cell>
          <cell r="AS79">
            <v>0.16666666666666666</v>
          </cell>
          <cell r="AT79">
            <v>0.12958115183246074</v>
          </cell>
          <cell r="AU79">
            <v>0.21697684975034046</v>
          </cell>
          <cell r="AV79">
            <v>0.18160705991639572</v>
          </cell>
          <cell r="AW79">
            <v>0.16870144284128746</v>
          </cell>
          <cell r="AX79">
            <v>0.12318840579710146</v>
          </cell>
          <cell r="AY79">
            <v>0.20441988950276244</v>
          </cell>
          <cell r="AZ79">
            <v>0.16878232251998118</v>
          </cell>
          <cell r="BA79">
            <v>0.16933259790402647</v>
          </cell>
          <cell r="BB79">
            <v>0.14436838830118232</v>
          </cell>
          <cell r="BC79">
            <v>0.19602977667493796</v>
          </cell>
          <cell r="BD79">
            <v>0.15748841996911991</v>
          </cell>
          <cell r="BE79">
            <v>0.15076560659599528</v>
          </cell>
          <cell r="BF79">
            <v>0.13693219223173139</v>
          </cell>
          <cell r="BG79">
            <v>0.19092970521541949</v>
          </cell>
          <cell r="BH79">
            <v>0.15032377428307123</v>
          </cell>
          <cell r="BI79">
            <v>0.14169215086646278</v>
          </cell>
          <cell r="BJ79">
            <v>0.12071967498549042</v>
          </cell>
          <cell r="BK79">
            <v>0.1556581986143187</v>
          </cell>
          <cell r="BL79">
            <v>0.16635598171660929</v>
          </cell>
          <cell r="BM79">
            <v>0.14971594582769471</v>
          </cell>
          <cell r="BN79">
            <v>0.13411323987333751</v>
          </cell>
          <cell r="BO79">
            <v>0.16241647312807031</v>
          </cell>
          <cell r="BP79">
            <v>0.15480977532906276</v>
          </cell>
          <cell r="BQ79">
            <v>0.15361243443334671</v>
          </cell>
          <cell r="BR79">
            <v>0.12737167032081059</v>
          </cell>
        </row>
        <row r="80">
          <cell r="A80" t="str">
            <v>EBITDA margin</v>
          </cell>
          <cell r="B80">
            <v>0.25555363022006583</v>
          </cell>
          <cell r="C80">
            <v>0.21571824555682373</v>
          </cell>
          <cell r="D80">
            <v>0.20185684336627732</v>
          </cell>
          <cell r="E80">
            <v>0.19440146293430863</v>
          </cell>
          <cell r="F80">
            <v>0.1915739268680445</v>
          </cell>
          <cell r="G80">
            <v>0.19450592370785055</v>
          </cell>
          <cell r="H80">
            <v>0.19476559522297041</v>
          </cell>
          <cell r="I80">
            <v>0.19679919979994998</v>
          </cell>
          <cell r="J80">
            <v>0.20274189296071712</v>
          </cell>
          <cell r="K80">
            <v>0.20987493486190725</v>
          </cell>
          <cell r="L80">
            <v>0.20857624044565359</v>
          </cell>
          <cell r="M80">
            <v>0.19888501742160278</v>
          </cell>
          <cell r="N80">
            <v>0.20355191256830601</v>
          </cell>
          <cell r="O80">
            <v>0.19983236196372992</v>
          </cell>
          <cell r="P80">
            <v>0.20354738808728495</v>
          </cell>
          <cell r="Q80">
            <v>0.20619221161038104</v>
          </cell>
          <cell r="R80">
            <v>0.20782695130430864</v>
          </cell>
          <cell r="S80">
            <v>0.20951626453227135</v>
          </cell>
          <cell r="T80">
            <v>0.2112549055533382</v>
          </cell>
          <cell r="U80">
            <v>0.21303765665715499</v>
          </cell>
          <cell r="W80">
            <v>0.21843897328444212</v>
          </cell>
          <cell r="X80">
            <v>0.21571428571428572</v>
          </cell>
          <cell r="Y80">
            <v>0.17576484703059389</v>
          </cell>
          <cell r="Z80">
            <v>0.15282623866015352</v>
          </cell>
          <cell r="AA80">
            <v>0.20994739359158299</v>
          </cell>
          <cell r="AB80">
            <v>0.20017993702204229</v>
          </cell>
          <cell r="AC80">
            <v>0.18375576036866359</v>
          </cell>
          <cell r="AD80">
            <v>0.20824199912319158</v>
          </cell>
          <cell r="AE80">
            <v>0.21658767772511842</v>
          </cell>
          <cell r="AF80">
            <v>0.20648838228846997</v>
          </cell>
          <cell r="AG80">
            <v>0.19063180827886711</v>
          </cell>
          <cell r="AH80">
            <v>0.14511691884456671</v>
          </cell>
          <cell r="AI80">
            <v>0.23316302833255922</v>
          </cell>
          <cell r="AJ80">
            <v>0.21758436944937834</v>
          </cell>
          <cell r="AK80">
            <v>0.1578525641025641</v>
          </cell>
          <cell r="AL80">
            <v>0.13237139272271017</v>
          </cell>
          <cell r="AM80">
            <v>0.21714534377719757</v>
          </cell>
          <cell r="AN80">
            <v>0.20688545049947099</v>
          </cell>
          <cell r="AO80">
            <v>0.17385429327232432</v>
          </cell>
          <cell r="AP80">
            <v>0.13675438070046325</v>
          </cell>
          <cell r="AQ80">
            <v>0.22133333333333333</v>
          </cell>
          <cell r="AR80">
            <v>0.20263901979264845</v>
          </cell>
          <cell r="AS80">
            <v>0.20344009489916964</v>
          </cell>
          <cell r="AT80">
            <v>0.17473821989528796</v>
          </cell>
          <cell r="AU80">
            <v>0.24421243758511121</v>
          </cell>
          <cell r="AV80">
            <v>0.21040408732001858</v>
          </cell>
          <cell r="AW80">
            <v>0.20366259711431742</v>
          </cell>
          <cell r="AX80">
            <v>0.16666666666666666</v>
          </cell>
          <cell r="AY80">
            <v>0.2343462246777164</v>
          </cell>
          <cell r="AZ80">
            <v>0.19887165021156558</v>
          </cell>
          <cell r="BA80">
            <v>0.20518477661334805</v>
          </cell>
          <cell r="BB80">
            <v>0.18450528935905414</v>
          </cell>
          <cell r="BC80">
            <v>0.22803970223325062</v>
          </cell>
          <cell r="BD80">
            <v>0.19068450849202265</v>
          </cell>
          <cell r="BE80">
            <v>0.18875147232037692</v>
          </cell>
          <cell r="BF80">
            <v>0.1793943383805135</v>
          </cell>
          <cell r="BG80">
            <v>0.23548752834467121</v>
          </cell>
          <cell r="BH80">
            <v>0.19576780758556891</v>
          </cell>
          <cell r="BI80">
            <v>0.19176860346585117</v>
          </cell>
          <cell r="BJ80">
            <v>0.1777423099245502</v>
          </cell>
          <cell r="BK80">
            <v>0.20169955982693269</v>
          </cell>
          <cell r="BL80">
            <v>0.21105328031569581</v>
          </cell>
          <cell r="BM80">
            <v>0.19972178094377735</v>
          </cell>
          <cell r="BN80">
            <v>0.18508256117848279</v>
          </cell>
          <cell r="BO80">
            <v>0.19561681891591559</v>
          </cell>
          <cell r="BP80">
            <v>0.18730204521329694</v>
          </cell>
          <cell r="BQ80">
            <v>0.19091534609210553</v>
          </cell>
          <cell r="BR80">
            <v>0.16933471586830823</v>
          </cell>
        </row>
        <row r="81">
          <cell r="A81" t="str">
            <v>Net Margin</v>
          </cell>
          <cell r="B81">
            <v>0.1143129440304973</v>
          </cell>
          <cell r="C81">
            <v>8.7885211152780043E-2</v>
          </cell>
          <cell r="D81">
            <v>9.3811320754716973E-2</v>
          </cell>
          <cell r="E81">
            <v>9.1545927697285132E-2</v>
          </cell>
          <cell r="F81">
            <v>8.9716967868228373E-2</v>
          </cell>
          <cell r="G81">
            <v>9.4255253743002212E-2</v>
          </cell>
          <cell r="H81">
            <v>9.7700419260576807E-2</v>
          </cell>
          <cell r="I81">
            <v>9.9649912478119523E-2</v>
          </cell>
          <cell r="J81">
            <v>0.1046981281307672</v>
          </cell>
          <cell r="K81">
            <v>0.11055335424307079</v>
          </cell>
          <cell r="L81">
            <v>0.10845638362156046</v>
          </cell>
          <cell r="M81">
            <v>0.10313588850174216</v>
          </cell>
          <cell r="N81">
            <v>9.7615499254843516E-2</v>
          </cell>
          <cell r="O81">
            <v>9.5704714369475141E-2</v>
          </cell>
          <cell r="P81">
            <v>9.8094910836694735E-2</v>
          </cell>
          <cell r="Q81">
            <v>0.10023015468647281</v>
          </cell>
          <cell r="R81">
            <v>0.10212086028856802</v>
          </cell>
          <cell r="S81">
            <v>0.104058310843892</v>
          </cell>
          <cell r="T81">
            <v>0.10604108886709428</v>
          </cell>
          <cell r="U81">
            <v>0.10806312644748622</v>
          </cell>
          <cell r="W81">
            <v>0.1105290728129911</v>
          </cell>
          <cell r="X81">
            <v>0.11190476190476191</v>
          </cell>
          <cell r="Y81">
            <v>7.8224355128974202E-2</v>
          </cell>
          <cell r="Z81">
            <v>5.1919050942079555E-2</v>
          </cell>
          <cell r="AA81">
            <v>0.10712577714012435</v>
          </cell>
          <cell r="AB81">
            <v>0.10194573690253173</v>
          </cell>
          <cell r="AC81">
            <v>7.9608294930875567E-2</v>
          </cell>
          <cell r="AD81">
            <v>0.11135466900482245</v>
          </cell>
          <cell r="AE81">
            <v>0.11469194312796203</v>
          </cell>
          <cell r="AF81">
            <v>0.11135466900482245</v>
          </cell>
          <cell r="AG81">
            <v>9.0413943355119819E-2</v>
          </cell>
          <cell r="AH81">
            <v>5.0894085281980743E-2</v>
          </cell>
          <cell r="AI81">
            <v>0.12494194147700882</v>
          </cell>
          <cell r="AJ81">
            <v>0.11989342806394317</v>
          </cell>
          <cell r="AK81">
            <v>9.4551282051282048E-2</v>
          </cell>
          <cell r="AL81">
            <v>3.3249686323713924E-2</v>
          </cell>
          <cell r="AM81">
            <v>0.1174934725848564</v>
          </cell>
          <cell r="AN81">
            <v>0.11063564603240547</v>
          </cell>
          <cell r="AO81">
            <v>8.379187817258886E-2</v>
          </cell>
          <cell r="AP81">
            <v>5.5506062325882732E-2</v>
          </cell>
          <cell r="AQ81">
            <v>0.12488888888888888</v>
          </cell>
          <cell r="AR81">
            <v>0.11027332704995288</v>
          </cell>
          <cell r="AS81">
            <v>0.10142348754448399</v>
          </cell>
          <cell r="AT81">
            <v>7.0026178010471202E-2</v>
          </cell>
          <cell r="AU81">
            <v>0.13617793917385385</v>
          </cell>
          <cell r="AV81">
            <v>0.11797491871806781</v>
          </cell>
          <cell r="AW81">
            <v>0.10189098067137142</v>
          </cell>
          <cell r="AX81">
            <v>7.4440052700922271E-2</v>
          </cell>
          <cell r="AY81">
            <v>0.1279926335174954</v>
          </cell>
          <cell r="AZ81">
            <v>0.11142454160789844</v>
          </cell>
          <cell r="BA81">
            <v>0.10066188637617209</v>
          </cell>
          <cell r="BB81">
            <v>8.6916506020426373E-2</v>
          </cell>
          <cell r="BC81">
            <v>0.12406947890818859</v>
          </cell>
          <cell r="BD81">
            <v>9.7786927431806489E-2</v>
          </cell>
          <cell r="BE81">
            <v>0.10070671378091872</v>
          </cell>
          <cell r="BF81">
            <v>8.492429229756418E-2</v>
          </cell>
          <cell r="BG81">
            <v>0.12063492063492064</v>
          </cell>
          <cell r="BH81">
            <v>9.2969472710453291E-2</v>
          </cell>
          <cell r="BI81">
            <v>9.3272171253822631E-2</v>
          </cell>
          <cell r="BJ81">
            <v>7.8932095182820655E-2</v>
          </cell>
          <cell r="BK81">
            <v>9.6535796766743648E-2</v>
          </cell>
          <cell r="BL81">
            <v>0.10651139935011469</v>
          </cell>
          <cell r="BM81">
            <v>9.4119869513486373E-2</v>
          </cell>
          <cell r="BN81">
            <v>8.4076956618153759E-2</v>
          </cell>
          <cell r="BO81">
            <v>0.10246207716802896</v>
          </cell>
          <cell r="BP81">
            <v>9.7439025112190644E-2</v>
          </cell>
          <cell r="BQ81">
            <v>9.5344734309725926E-2</v>
          </cell>
          <cell r="BR81">
            <v>7.6135561049509429E-2</v>
          </cell>
        </row>
        <row r="83">
          <cell r="A83" t="str">
            <v>SG&amp;A Margin</v>
          </cell>
          <cell r="AU83">
            <v>-7.5293286931961412E-3</v>
          </cell>
          <cell r="AV83">
            <v>-8.6399399737253635E-3</v>
          </cell>
          <cell r="AW83">
            <v>-6.0628562174886713E-3</v>
          </cell>
          <cell r="AX83">
            <v>8.806193048168931E-3</v>
          </cell>
        </row>
        <row r="84">
          <cell r="A84" t="str">
            <v>Marketing and selling expenses</v>
          </cell>
          <cell r="B84">
            <v>0.15421937272569744</v>
          </cell>
          <cell r="C84">
            <v>0.17499999999999999</v>
          </cell>
          <cell r="D84">
            <v>0.17100000000000001</v>
          </cell>
          <cell r="E84">
            <v>0.16218877479251653</v>
          </cell>
          <cell r="F84">
            <v>0.15699523052464229</v>
          </cell>
          <cell r="G84">
            <v>0.15674521546673612</v>
          </cell>
          <cell r="H84">
            <v>0.16795832803963917</v>
          </cell>
          <cell r="I84">
            <v>0.14528632158039509</v>
          </cell>
          <cell r="J84">
            <v>0.14197205378328501</v>
          </cell>
          <cell r="K84">
            <v>0.13783220427305889</v>
          </cell>
          <cell r="L84">
            <v>0.13045731312346159</v>
          </cell>
          <cell r="M84">
            <v>0.13114982578397213</v>
          </cell>
          <cell r="N84">
            <v>0.11761053154495778</v>
          </cell>
          <cell r="O84">
            <v>0.1205</v>
          </cell>
          <cell r="P84">
            <v>0.11951582547594738</v>
          </cell>
          <cell r="Q84">
            <v>0.11898374716676503</v>
          </cell>
          <cell r="R84">
            <v>0.11902135798066384</v>
          </cell>
          <cell r="S84">
            <v>0.11903936865148033</v>
          </cell>
          <cell r="T84">
            <v>0.11903998106386918</v>
          </cell>
          <cell r="U84">
            <v>0.11902535418510091</v>
          </cell>
          <cell r="W84">
            <v>0.15348349921424831</v>
          </cell>
          <cell r="X84">
            <v>0.16190476190476191</v>
          </cell>
          <cell r="Y84">
            <v>0.16496700659868027</v>
          </cell>
          <cell r="Z84">
            <v>0.17085833914863924</v>
          </cell>
          <cell r="AA84">
            <v>0.15016738402678145</v>
          </cell>
          <cell r="AB84">
            <v>0.16419253261358524</v>
          </cell>
          <cell r="AC84">
            <v>0.15841013824884792</v>
          </cell>
          <cell r="AD84">
            <v>0.1595791319596668</v>
          </cell>
          <cell r="AE84">
            <v>0.15165876777251186</v>
          </cell>
          <cell r="AF84">
            <v>0.1595791319596668</v>
          </cell>
          <cell r="AG84">
            <v>0.15522875816993464</v>
          </cell>
          <cell r="AH84">
            <v>0.16159559834938103</v>
          </cell>
          <cell r="AI84">
            <v>0.14677194612169067</v>
          </cell>
          <cell r="AJ84">
            <v>0.1603019538188277</v>
          </cell>
          <cell r="AK84">
            <v>0.17948717948717949</v>
          </cell>
          <cell r="AL84">
            <v>0.19385194479297366</v>
          </cell>
          <cell r="AM84">
            <v>0.1514360313315927</v>
          </cell>
          <cell r="AN84">
            <v>0.14547961472385942</v>
          </cell>
          <cell r="AO84">
            <v>0.15004571822926296</v>
          </cell>
          <cell r="AP84">
            <v>0.15335276967930028</v>
          </cell>
          <cell r="AQ84">
            <v>0.13644444444444445</v>
          </cell>
          <cell r="AR84">
            <v>0.14844486333647502</v>
          </cell>
          <cell r="AS84">
            <v>0.14590747330960854</v>
          </cell>
          <cell r="AT84">
            <v>0.13678010471204188</v>
          </cell>
          <cell r="AU84">
            <v>0.12891511575124831</v>
          </cell>
          <cell r="AV84">
            <v>0.13980492336274966</v>
          </cell>
          <cell r="AW84">
            <v>0.13984461709211987</v>
          </cell>
          <cell r="AX84">
            <v>0.14558629776021081</v>
          </cell>
          <cell r="AY84">
            <v>0.12753222836095765</v>
          </cell>
          <cell r="AZ84">
            <v>0.13681241184767279</v>
          </cell>
          <cell r="BA84">
            <v>0.13403199117484832</v>
          </cell>
          <cell r="BB84">
            <v>0.12196639701306783</v>
          </cell>
          <cell r="BC84">
            <v>0.11910669975186104</v>
          </cell>
          <cell r="BD84">
            <v>0.1399897066392177</v>
          </cell>
          <cell r="BE84">
            <v>0.14016489988221437</v>
          </cell>
          <cell r="BF84">
            <v>0.12574061882817644</v>
          </cell>
          <cell r="BG84">
            <v>0.10702947845804989</v>
          </cell>
          <cell r="BH84">
            <v>0.12719703977798336</v>
          </cell>
          <cell r="BI84">
            <v>0.12487257900101936</v>
          </cell>
          <cell r="BJ84">
            <v>0.11085316308763785</v>
          </cell>
          <cell r="BK84">
            <v>0.12055427251732101</v>
          </cell>
          <cell r="BL84">
            <v>0.12</v>
          </cell>
          <cell r="BM84">
            <v>0.125</v>
          </cell>
          <cell r="BN84">
            <v>0.1164233759697119</v>
          </cell>
          <cell r="BO84">
            <v>0.11600000000000001</v>
          </cell>
          <cell r="BP84">
            <v>0.11700000000000001</v>
          </cell>
          <cell r="BQ84">
            <v>0.11800000000000002</v>
          </cell>
          <cell r="BR84">
            <v>0.11245866856308888</v>
          </cell>
        </row>
        <row r="85">
          <cell r="A85" t="str">
            <v>Administrative expenses</v>
          </cell>
          <cell r="B85">
            <v>7.7282966556922544E-2</v>
          </cell>
          <cell r="C85">
            <v>8.7207239523887162E-2</v>
          </cell>
          <cell r="D85">
            <v>8.1091344713986227E-2</v>
          </cell>
          <cell r="E85">
            <v>7.6552374454916305E-2</v>
          </cell>
          <cell r="F85">
            <v>8.1478537360890307E-2</v>
          </cell>
          <cell r="G85">
            <v>8.2158859964826261E-2</v>
          </cell>
          <cell r="H85">
            <v>7.9278363613263875E-2</v>
          </cell>
          <cell r="I85">
            <v>7.6019004751187794E-2</v>
          </cell>
          <cell r="J85">
            <v>7.7906670181914051E-2</v>
          </cell>
          <cell r="K85">
            <v>7.8817092235539343E-2</v>
          </cell>
          <cell r="L85">
            <v>7.9284881461329185E-2</v>
          </cell>
          <cell r="M85">
            <v>8.0836236933797906E-2</v>
          </cell>
          <cell r="N85">
            <v>8.4078489816194729E-2</v>
          </cell>
          <cell r="O85">
            <v>8.2500000000000004E-2</v>
          </cell>
          <cell r="P85">
            <v>8.1826187566520006E-2</v>
          </cell>
          <cell r="Q85">
            <v>8.1461901587204288E-2</v>
          </cell>
          <cell r="R85">
            <v>8.1487651729500149E-2</v>
          </cell>
          <cell r="S85">
            <v>8.1499982686698169E-2</v>
          </cell>
          <cell r="T85">
            <v>8.150040197318846E-2</v>
          </cell>
          <cell r="U85">
            <v>8.1490387720089846E-2</v>
          </cell>
          <cell r="W85">
            <v>6.4431639601885804E-2</v>
          </cell>
          <cell r="X85">
            <v>6.4761904761904757E-2</v>
          </cell>
          <cell r="Y85">
            <v>8.3383323335332937E-2</v>
          </cell>
          <cell r="Z85">
            <v>0.10203128401953943</v>
          </cell>
          <cell r="AA85">
            <v>6.6475370636059308E-2</v>
          </cell>
          <cell r="AB85">
            <v>6.1178587494376969E-2</v>
          </cell>
          <cell r="AC85">
            <v>8.3525345622119815E-2</v>
          </cell>
          <cell r="AD85">
            <v>6.8391056554142918E-2</v>
          </cell>
          <cell r="AE85">
            <v>6.5876777251184834E-2</v>
          </cell>
          <cell r="AF85">
            <v>6.8391056554142918E-2</v>
          </cell>
          <cell r="AG85">
            <v>8.714596949891068E-2</v>
          </cell>
          <cell r="AH85">
            <v>9.2936726272352124E-2</v>
          </cell>
          <cell r="AI85">
            <v>6.2703204830469109E-2</v>
          </cell>
          <cell r="AJ85">
            <v>6.8827708703374776E-2</v>
          </cell>
          <cell r="AK85">
            <v>8.2799145299145296E-2</v>
          </cell>
          <cell r="AL85">
            <v>0.1122961104140527</v>
          </cell>
          <cell r="AM85">
            <v>6.6144473455178418E-2</v>
          </cell>
          <cell r="AN85">
            <v>6.4302901805843818E-2</v>
          </cell>
          <cell r="AO85">
            <v>8.347613901487165E-2</v>
          </cell>
          <cell r="AP85">
            <v>9.7959183673469383E-2</v>
          </cell>
          <cell r="AQ85">
            <v>6.222222222222222E-2</v>
          </cell>
          <cell r="AR85">
            <v>6.5032987747408108E-2</v>
          </cell>
          <cell r="AS85">
            <v>7.6512455516014238E-2</v>
          </cell>
          <cell r="AT85">
            <v>0.12041884816753927</v>
          </cell>
          <cell r="AU85">
            <v>6.0372219700408535E-2</v>
          </cell>
          <cell r="AV85">
            <v>6.9205759405480724E-2</v>
          </cell>
          <cell r="AW85">
            <v>8.6570477247502775E-2</v>
          </cell>
          <cell r="AX85">
            <v>0.11001317523056653</v>
          </cell>
          <cell r="AY85">
            <v>6.4456721915285453E-2</v>
          </cell>
          <cell r="AZ85">
            <v>7.240244475787494E-2</v>
          </cell>
          <cell r="BA85">
            <v>8.1632653061224483E-2</v>
          </cell>
          <cell r="BB85">
            <v>0.10578718108276292</v>
          </cell>
          <cell r="BC85">
            <v>6.7990074441687351E-2</v>
          </cell>
          <cell r="BD85">
            <v>7.4626865671641784E-2</v>
          </cell>
          <cell r="BE85">
            <v>7.9505300353356886E-2</v>
          </cell>
          <cell r="BF85">
            <v>0.10730743910467412</v>
          </cell>
          <cell r="BG85">
            <v>7.029478458049887E-2</v>
          </cell>
          <cell r="BH85">
            <v>7.5393154486586497E-2</v>
          </cell>
          <cell r="BI85">
            <v>8.3588175331294604E-2</v>
          </cell>
          <cell r="BJ85">
            <v>0.11317469529889727</v>
          </cell>
          <cell r="BK85">
            <v>6.8360277136258654E-2</v>
          </cell>
          <cell r="BL85">
            <v>7.0000000000000007E-2</v>
          </cell>
          <cell r="BM85">
            <v>8.2000000000000003E-2</v>
          </cell>
          <cell r="BN85">
            <v>0.1129168055304917</v>
          </cell>
          <cell r="BO85">
            <v>6.4000000000000001E-2</v>
          </cell>
          <cell r="BP85">
            <v>6.4000000000000001E-2</v>
          </cell>
          <cell r="BQ85">
            <v>6.4000000000000001E-2</v>
          </cell>
          <cell r="BR85">
            <v>6.4000000000000001E-2</v>
          </cell>
        </row>
        <row r="86">
          <cell r="A86" t="str">
            <v>Research and development expenses</v>
          </cell>
          <cell r="B86">
            <v>1.1089932420724312E-2</v>
          </cell>
          <cell r="C86">
            <v>1.2862057720528289E-2</v>
          </cell>
          <cell r="D86">
            <v>1.3177598083258461E-2</v>
          </cell>
          <cell r="E86">
            <v>1.3082008721339147E-2</v>
          </cell>
          <cell r="F86">
            <v>1.2586115527291998E-2</v>
          </cell>
          <cell r="G86">
            <v>1.2640281213383675E-2</v>
          </cell>
          <cell r="H86">
            <v>1.4229449879303774E-2</v>
          </cell>
          <cell r="I86">
            <v>1.4378594648662165E-2</v>
          </cell>
          <cell r="J86">
            <v>1.5027682573161087E-2</v>
          </cell>
          <cell r="K86">
            <v>1.6023970818134444E-2</v>
          </cell>
          <cell r="L86">
            <v>1.6712009327633112E-2</v>
          </cell>
          <cell r="M86">
            <v>1.6167247386759582E-2</v>
          </cell>
          <cell r="N86">
            <v>1.5896671634376552E-2</v>
          </cell>
          <cell r="O86">
            <v>1.2999999999999999E-2</v>
          </cell>
          <cell r="P86">
            <v>1.2893823495330423E-2</v>
          </cell>
          <cell r="Q86">
            <v>1.2836420856165522E-2</v>
          </cell>
          <cell r="R86">
            <v>1.2840478454345475E-2</v>
          </cell>
          <cell r="S86">
            <v>1.2842421514267587E-2</v>
          </cell>
          <cell r="T86">
            <v>1.2842487583653936E-2</v>
          </cell>
          <cell r="U86">
            <v>1.2840909580135368E-2</v>
          </cell>
          <cell r="W86">
            <v>1.1000523834468309E-2</v>
          </cell>
          <cell r="X86">
            <v>0.01</v>
          </cell>
          <cell r="Y86">
            <v>1.259748050389922E-2</v>
          </cell>
          <cell r="Z86">
            <v>2.09351011863224E-2</v>
          </cell>
          <cell r="AA86">
            <v>9.5648015303682454E-3</v>
          </cell>
          <cell r="AB86">
            <v>1.1246063877642825E-2</v>
          </cell>
          <cell r="AC86">
            <v>1.3824884792626729E-2</v>
          </cell>
          <cell r="AD86">
            <v>1.052170100832968E-2</v>
          </cell>
          <cell r="AE86">
            <v>1.1374407582938388E-2</v>
          </cell>
          <cell r="AF86">
            <v>1.052170100832968E-2</v>
          </cell>
          <cell r="AG86">
            <v>1.3616557734204794E-2</v>
          </cell>
          <cell r="AH86">
            <v>1.6568088033012383E-2</v>
          </cell>
          <cell r="AI86">
            <v>1.2076172782164421E-2</v>
          </cell>
          <cell r="AJ86">
            <v>1.1101243339253997E-2</v>
          </cell>
          <cell r="AK86">
            <v>1.3888888888888888E-2</v>
          </cell>
          <cell r="AL86">
            <v>2.1957340025094103E-2</v>
          </cell>
          <cell r="AM86">
            <v>1.1749347258485639E-2</v>
          </cell>
          <cell r="AN86">
            <v>1.1401223724440393E-2</v>
          </cell>
          <cell r="AO86">
            <v>1.5849899812950312E-2</v>
          </cell>
          <cell r="AP86">
            <v>1.9241982507288629E-2</v>
          </cell>
          <cell r="AQ86">
            <v>1.2888888888888889E-2</v>
          </cell>
          <cell r="AR86">
            <v>1.2723845428840716E-2</v>
          </cell>
          <cell r="AS86">
            <v>1.601423487544484E-2</v>
          </cell>
          <cell r="AT86">
            <v>2.0287958115183247E-2</v>
          </cell>
          <cell r="AU86">
            <v>1.3163867453472538E-2</v>
          </cell>
          <cell r="AV86">
            <v>1.3005109150023224E-2</v>
          </cell>
          <cell r="AW86">
            <v>1.7203107658157604E-2</v>
          </cell>
          <cell r="AX86">
            <v>2.30566534914361E-2</v>
          </cell>
          <cell r="AY86">
            <v>1.427255985267035E-2</v>
          </cell>
          <cell r="AZ86">
            <v>1.4574518100611189E-2</v>
          </cell>
          <cell r="BA86">
            <v>1.8201875344732488E-2</v>
          </cell>
          <cell r="BB86">
            <v>2.1157436216552583E-2</v>
          </cell>
          <cell r="BC86">
            <v>1.3895781637717122E-2</v>
          </cell>
          <cell r="BD86">
            <v>1.3896037056098817E-2</v>
          </cell>
          <cell r="BE86">
            <v>1.7667844522968199E-2</v>
          </cell>
          <cell r="BF86">
            <v>2.0408163265306121E-2</v>
          </cell>
          <cell r="BG86">
            <v>1.2244897959183673E-2</v>
          </cell>
          <cell r="BH86">
            <v>1.4801110083256245E-2</v>
          </cell>
          <cell r="BI86">
            <v>1.7838939857288481E-2</v>
          </cell>
          <cell r="BJ86">
            <v>1.9733023795705164E-2</v>
          </cell>
          <cell r="BK86">
            <v>1.4318706697459584E-2</v>
          </cell>
          <cell r="BL86">
            <v>1.2E-2</v>
          </cell>
          <cell r="BM86">
            <v>1.2E-2</v>
          </cell>
          <cell r="BN86">
            <v>1.3699737399261754E-2</v>
          </cell>
          <cell r="BO86">
            <v>1.4999999999999999E-2</v>
          </cell>
          <cell r="BP86">
            <v>1.4999999999999999E-2</v>
          </cell>
          <cell r="BQ86">
            <v>1.4999999999999999E-2</v>
          </cell>
          <cell r="BR86">
            <v>1.5000000000000003E-2</v>
          </cell>
        </row>
        <row r="87">
          <cell r="A87" t="str">
            <v>Other expenses / (income)</v>
          </cell>
          <cell r="B87">
            <v>1.5248657078495927E-2</v>
          </cell>
          <cell r="C87">
            <v>1.6305233980107615E-2</v>
          </cell>
          <cell r="D87">
            <v>4.1928721174004195E-3</v>
          </cell>
          <cell r="E87">
            <v>1.8286678857785904E-3</v>
          </cell>
          <cell r="F87">
            <v>-5.2994170641229468E-4</v>
          </cell>
          <cell r="G87">
            <v>-2.3851440918840343E-3</v>
          </cell>
          <cell r="H87">
            <v>-1.5245839156396901E-3</v>
          </cell>
          <cell r="I87">
            <v>1.6254063515878971E-3</v>
          </cell>
          <cell r="J87">
            <v>-7.9093066174532034E-4</v>
          </cell>
          <cell r="K87">
            <v>5.2110474205315264E-4</v>
          </cell>
          <cell r="L87">
            <v>1.6841559787537247E-3</v>
          </cell>
          <cell r="M87">
            <v>1.5331010452961672E-3</v>
          </cell>
          <cell r="N87">
            <v>3.6015896671634379E-3</v>
          </cell>
          <cell r="O87">
            <v>1.9518659134049304E-3</v>
          </cell>
          <cell r="P87">
            <v>1.9359241979996205E-3</v>
          </cell>
          <cell r="Q87">
            <v>1.9273055630207394E-3</v>
          </cell>
          <cell r="R87">
            <v>1.9279147851421043E-3</v>
          </cell>
          <cell r="S87">
            <v>1.9282065230213099E-3</v>
          </cell>
          <cell r="T87">
            <v>1.9282164429123203E-3</v>
          </cell>
          <cell r="U87">
            <v>1.9279795158908489E-3</v>
          </cell>
          <cell r="W87">
            <v>5.2383446830801469E-3</v>
          </cell>
          <cell r="X87">
            <v>9.5238095238095238E-4</v>
          </cell>
          <cell r="Y87">
            <v>7.1985602879424118E-3</v>
          </cell>
          <cell r="Z87">
            <v>-7.6762037683182132E-3</v>
          </cell>
          <cell r="AA87">
            <v>9.5648015303682454E-4</v>
          </cell>
          <cell r="AB87">
            <v>-8.9968511021142603E-4</v>
          </cell>
          <cell r="AC87">
            <v>-1.152073732718894E-3</v>
          </cell>
          <cell r="AD87">
            <v>0</v>
          </cell>
          <cell r="AE87">
            <v>-4.7393364928909954E-4</v>
          </cell>
          <cell r="AF87">
            <v>0</v>
          </cell>
          <cell r="AG87">
            <v>1.0893246187363835E-3</v>
          </cell>
          <cell r="AH87">
            <v>-1.3287683473013252E-2</v>
          </cell>
          <cell r="AI87">
            <v>9.2893636785880169E-4</v>
          </cell>
          <cell r="AJ87">
            <v>1.3321492007104796E-3</v>
          </cell>
          <cell r="AK87">
            <v>-2.136752136752137E-3</v>
          </cell>
          <cell r="AL87">
            <v>-8.1555834378920951E-3</v>
          </cell>
          <cell r="AM87">
            <v>-1.7406440382941688E-3</v>
          </cell>
          <cell r="AN87">
            <v>1.824195795910463E-3</v>
          </cell>
          <cell r="AO87">
            <v>0</v>
          </cell>
          <cell r="AP87">
            <v>5.2478134110787176E-3</v>
          </cell>
          <cell r="AQ87">
            <v>-1.7777777777777779E-3</v>
          </cell>
          <cell r="AR87">
            <v>9.42507068803016E-4</v>
          </cell>
          <cell r="AS87">
            <v>-1.7793594306049821E-3</v>
          </cell>
          <cell r="AT87">
            <v>-6.5445026178010475E-4</v>
          </cell>
          <cell r="AU87">
            <v>-4.5392646391284613E-4</v>
          </cell>
          <cell r="AV87">
            <v>9.2893636785880169E-4</v>
          </cell>
          <cell r="AW87">
            <v>0</v>
          </cell>
          <cell r="AX87">
            <v>1.976284584980237E-3</v>
          </cell>
          <cell r="AY87">
            <v>9.2081031307550648E-4</v>
          </cell>
          <cell r="AZ87">
            <v>1.4104372355430183E-3</v>
          </cell>
          <cell r="BA87">
            <v>5.5157198014340876E-4</v>
          </cell>
          <cell r="BB87">
            <v>4.3559427504667085E-3</v>
          </cell>
          <cell r="BC87">
            <v>0</v>
          </cell>
          <cell r="BD87">
            <v>5.1466803911477102E-4</v>
          </cell>
          <cell r="BE87">
            <v>3.5335689045936395E-3</v>
          </cell>
          <cell r="BF87">
            <v>2.6333113890717576E-3</v>
          </cell>
          <cell r="BG87">
            <v>5.8956916099773245E-3</v>
          </cell>
          <cell r="BH87">
            <v>3.2377428307122924E-3</v>
          </cell>
          <cell r="BI87">
            <v>2.0387359836900876E-3</v>
          </cell>
          <cell r="BJ87">
            <v>2.901915264074289E-3</v>
          </cell>
          <cell r="BK87">
            <v>9.2378752886836026E-4</v>
          </cell>
          <cell r="BL87">
            <v>4.6440182833907273E-3</v>
          </cell>
          <cell r="BM87">
            <v>1.2840541723052601E-3</v>
          </cell>
          <cell r="BN87">
            <v>7.0074065652721534E-4</v>
          </cell>
          <cell r="BO87">
            <v>8.9876936615598813E-4</v>
          </cell>
          <cell r="BP87">
            <v>5.0512505367855676E-3</v>
          </cell>
          <cell r="BQ87">
            <v>6.7182952604422086E-4</v>
          </cell>
          <cell r="BR87">
            <v>-3.2670923092308443E-4</v>
          </cell>
        </row>
        <row r="88">
          <cell r="A88" t="str">
            <v>Total</v>
          </cell>
          <cell r="B88">
            <v>0.25784092878184023</v>
          </cell>
          <cell r="C88">
            <v>0.29137453122452306</v>
          </cell>
          <cell r="D88">
            <v>0.2694618149146451</v>
          </cell>
          <cell r="E88">
            <v>0.25365182585455059</v>
          </cell>
          <cell r="F88">
            <v>0.25039745627980919</v>
          </cell>
          <cell r="G88">
            <v>0.249159212553062</v>
          </cell>
          <cell r="H88">
            <v>0.26044975225511369</v>
          </cell>
          <cell r="I88">
            <v>0.23730932733183296</v>
          </cell>
          <cell r="J88">
            <v>0.23411547587661483</v>
          </cell>
          <cell r="K88">
            <v>0.23319437206878582</v>
          </cell>
          <cell r="L88">
            <v>0.22813835989117762</v>
          </cell>
          <cell r="M88">
            <v>0.22926829268292684</v>
          </cell>
          <cell r="N88">
            <v>0.21994535519125682</v>
          </cell>
          <cell r="O88">
            <v>0.21795186591340493</v>
          </cell>
          <cell r="P88">
            <v>0.21617176073579741</v>
          </cell>
          <cell r="Q88">
            <v>0.21520937517315555</v>
          </cell>
          <cell r="R88">
            <v>0.21527740294965153</v>
          </cell>
          <cell r="S88">
            <v>0.21530997937546736</v>
          </cell>
          <cell r="T88">
            <v>0.21531108706362387</v>
          </cell>
          <cell r="U88">
            <v>0.21528463100121695</v>
          </cell>
          <cell r="W88">
            <v>0.23415400733368255</v>
          </cell>
          <cell r="X88">
            <v>0.23761904761904762</v>
          </cell>
          <cell r="Y88">
            <v>0.26814637072585484</v>
          </cell>
          <cell r="Z88">
            <v>0.28401953942777391</v>
          </cell>
          <cell r="AA88">
            <v>0.22716403634624582</v>
          </cell>
          <cell r="AB88">
            <v>0.23571749887539362</v>
          </cell>
          <cell r="AC88">
            <v>0.26094470046082952</v>
          </cell>
          <cell r="AD88">
            <v>0.2384918895221394</v>
          </cell>
          <cell r="AE88">
            <v>0.23412322274881522</v>
          </cell>
          <cell r="AF88">
            <v>0.2384918895221394</v>
          </cell>
          <cell r="AG88">
            <v>0.2570806100217865</v>
          </cell>
          <cell r="AH88">
            <v>0.27771108089413271</v>
          </cell>
          <cell r="AI88">
            <v>0.222480260102183</v>
          </cell>
          <cell r="AJ88">
            <v>0.24156305506216696</v>
          </cell>
          <cell r="AK88">
            <v>0.27617521367521369</v>
          </cell>
          <cell r="AL88">
            <v>0.31994981179422838</v>
          </cell>
          <cell r="AM88">
            <v>0.22758920800696258</v>
          </cell>
          <cell r="AN88">
            <v>0.22300793605005415</v>
          </cell>
          <cell r="AO88">
            <v>0.24937175705708492</v>
          </cell>
          <cell r="AP88">
            <v>0.27580174927113704</v>
          </cell>
          <cell r="AQ88">
            <v>0.20977777777777779</v>
          </cell>
          <cell r="AR88">
            <v>0.22714420358152687</v>
          </cell>
          <cell r="AS88">
            <v>0.23665480427046262</v>
          </cell>
          <cell r="AT88">
            <v>0.27683246073298429</v>
          </cell>
          <cell r="AU88">
            <v>0.20199727644121651</v>
          </cell>
          <cell r="AV88">
            <v>0.22294472828611239</v>
          </cell>
          <cell r="AW88">
            <v>0.24361820199778025</v>
          </cell>
          <cell r="AX88">
            <v>0.28063241106719367</v>
          </cell>
          <cell r="AY88">
            <v>0.20718232044198895</v>
          </cell>
          <cell r="AZ88">
            <v>0.22519981194170194</v>
          </cell>
          <cell r="BA88">
            <v>0.2344180915609487</v>
          </cell>
          <cell r="BB88">
            <v>0.25326695706285002</v>
          </cell>
          <cell r="BC88">
            <v>0.20099255583126552</v>
          </cell>
          <cell r="BD88">
            <v>0.2285126093669583</v>
          </cell>
          <cell r="BE88">
            <v>0.24087161366313309</v>
          </cell>
          <cell r="BF88">
            <v>0.25345622119815669</v>
          </cell>
          <cell r="BG88">
            <v>0.19092970521541949</v>
          </cell>
          <cell r="BH88">
            <v>0.2206290471785384</v>
          </cell>
          <cell r="BI88">
            <v>0.22833843017329256</v>
          </cell>
          <cell r="BJ88">
            <v>0.24666279744631456</v>
          </cell>
          <cell r="BK88">
            <v>0.20415704387990763</v>
          </cell>
          <cell r="BL88">
            <v>0.20664401828339074</v>
          </cell>
          <cell r="BM88">
            <v>0.22028405417230529</v>
          </cell>
          <cell r="BN88">
            <v>0.24374065955599308</v>
          </cell>
          <cell r="BO88">
            <v>0.19589876936615599</v>
          </cell>
          <cell r="BP88">
            <v>0.20105125053678558</v>
          </cell>
          <cell r="BQ88">
            <v>0.19767182952604423</v>
          </cell>
          <cell r="BR88">
            <v>0.21963382200327425</v>
          </cell>
        </row>
        <row r="90">
          <cell r="A90" t="str">
            <v>Divisional OI Margin</v>
          </cell>
        </row>
        <row r="91">
          <cell r="A91" t="str">
            <v>U.S. Soup, Sauces and Beverages</v>
          </cell>
          <cell r="B91">
            <v>0.30568720379146919</v>
          </cell>
          <cell r="C91">
            <v>0.24722662440570523</v>
          </cell>
          <cell r="D91">
            <v>0.26222826086956524</v>
          </cell>
          <cell r="E91">
            <v>0.24349566377585058</v>
          </cell>
          <cell r="F91">
            <v>0.2395093608779858</v>
          </cell>
          <cell r="G91">
            <v>0.24777402517654282</v>
          </cell>
          <cell r="H91">
            <v>0.24706219547148181</v>
          </cell>
          <cell r="I91">
            <v>0.24251497005988024</v>
          </cell>
          <cell r="J91">
            <v>0.24497885835095137</v>
          </cell>
          <cell r="K91">
            <v>0.25486486486486487</v>
          </cell>
          <cell r="L91">
            <v>0.23903133903133902</v>
          </cell>
          <cell r="M91">
            <v>0.22628571428571428</v>
          </cell>
          <cell r="N91">
            <v>0.23698134224450013</v>
          </cell>
          <cell r="O91">
            <v>0.22845730105987255</v>
          </cell>
          <cell r="P91">
            <v>0.23363137257657546</v>
          </cell>
          <cell r="Q91">
            <v>0.23664165499678272</v>
          </cell>
          <cell r="R91">
            <v>0.23727879108880887</v>
          </cell>
          <cell r="S91">
            <v>0.23795512715726339</v>
          </cell>
          <cell r="T91">
            <v>0.23867178302839467</v>
          </cell>
          <cell r="U91">
            <v>0.23942988376347701</v>
          </cell>
          <cell r="W91">
            <v>0.29444444444444445</v>
          </cell>
          <cell r="X91">
            <v>0.25894736842105265</v>
          </cell>
          <cell r="Y91">
            <v>0.22135007849293564</v>
          </cell>
          <cell r="Z91">
            <v>0.15264187866927592</v>
          </cell>
          <cell r="AA91">
            <v>0.27565392354124746</v>
          </cell>
          <cell r="AB91">
            <v>0.22489539748953974</v>
          </cell>
          <cell r="AC91">
            <v>0.23923444976076555</v>
          </cell>
          <cell r="AD91">
            <v>0.23772102161100198</v>
          </cell>
          <cell r="AE91">
            <v>0.28865979381443296</v>
          </cell>
          <cell r="AF91">
            <v>0.23772102161100198</v>
          </cell>
          <cell r="AG91">
            <v>0.23983169705469845</v>
          </cell>
          <cell r="AH91">
            <v>0.20503597122302158</v>
          </cell>
          <cell r="AI91">
            <v>0.30608365019011408</v>
          </cell>
          <cell r="AJ91">
            <v>0.26653696498054474</v>
          </cell>
          <cell r="AK91">
            <v>0.22469135802469137</v>
          </cell>
          <cell r="AL91">
            <v>0.14023372287145242</v>
          </cell>
          <cell r="AM91">
            <v>0.28258887876025524</v>
          </cell>
          <cell r="AN91">
            <v>0.26166514181152789</v>
          </cell>
          <cell r="AO91">
            <v>0.21208384710234279</v>
          </cell>
          <cell r="AP91">
            <v>0.18424962852897475</v>
          </cell>
          <cell r="AQ91">
            <v>0.26210350584307179</v>
          </cell>
          <cell r="AR91">
            <v>0.23936170212765959</v>
          </cell>
          <cell r="AS91">
            <v>0.24133663366336633</v>
          </cell>
          <cell r="AT91">
            <v>0.22769230769230769</v>
          </cell>
          <cell r="AU91">
            <v>0.29035087719298247</v>
          </cell>
          <cell r="AV91">
            <v>0.24250936329588016</v>
          </cell>
          <cell r="AW91">
            <v>0.25235849056603776</v>
          </cell>
          <cell r="AX91">
            <v>0.21583850931677018</v>
          </cell>
          <cell r="AY91">
            <v>0.26745240253853125</v>
          </cell>
          <cell r="AZ91">
            <v>0.21526418786692758</v>
          </cell>
          <cell r="BA91">
            <v>0.24807197943444731</v>
          </cell>
          <cell r="BB91">
            <v>0.21581548599670511</v>
          </cell>
          <cell r="BC91">
            <v>0.27052238805970147</v>
          </cell>
          <cell r="BD91">
            <v>0.20573689416419386</v>
          </cell>
          <cell r="BE91">
            <v>0.2129032258064516</v>
          </cell>
          <cell r="BF91">
            <v>0.20093457943925233</v>
          </cell>
          <cell r="BG91">
            <v>0.28018433179723501</v>
          </cell>
          <cell r="BH91">
            <v>0.22463054187192119</v>
          </cell>
          <cell r="BI91">
            <v>0.2290909090909091</v>
          </cell>
          <cell r="BJ91">
            <v>0.19519519519519518</v>
          </cell>
          <cell r="BK91">
            <v>0.22749273959341723</v>
          </cell>
          <cell r="BL91">
            <v>0.25108831184410058</v>
          </cell>
          <cell r="BM91">
            <v>0.23734204030460174</v>
          </cell>
          <cell r="BN91">
            <v>0.18836026269813622</v>
          </cell>
          <cell r="BO91">
            <v>0.25008010305656397</v>
          </cell>
          <cell r="BP91">
            <v>0.22660531951508658</v>
          </cell>
          <cell r="BQ91">
            <v>0.24262825380252953</v>
          </cell>
          <cell r="BR91">
            <v>0.21307617924500682</v>
          </cell>
        </row>
        <row r="92">
          <cell r="A92" t="str">
            <v>U.S. Simple Meals</v>
          </cell>
          <cell r="K92">
            <v>0.25085091899251194</v>
          </cell>
          <cell r="L92">
            <v>0.23882224645583425</v>
          </cell>
          <cell r="M92">
            <v>0.2413793103448276</v>
          </cell>
          <cell r="N92">
            <v>0.25658125658125658</v>
          </cell>
          <cell r="O92">
            <v>0.246</v>
          </cell>
          <cell r="P92">
            <v>0.251</v>
          </cell>
          <cell r="Q92">
            <v>0.254</v>
          </cell>
          <cell r="R92">
            <v>0.254</v>
          </cell>
          <cell r="S92">
            <v>0.254</v>
          </cell>
          <cell r="T92">
            <v>0.254</v>
          </cell>
          <cell r="U92">
            <v>0.254</v>
          </cell>
          <cell r="AY92">
            <v>0.267260579064588</v>
          </cell>
          <cell r="AZ92">
            <v>0.21021377672209027</v>
          </cell>
          <cell r="BA92">
            <v>0.23965517241379311</v>
          </cell>
          <cell r="BB92">
            <v>0.23433874709976799</v>
          </cell>
          <cell r="BC92">
            <v>0.2974828375286041</v>
          </cell>
          <cell r="BD92">
            <v>0.21116504854368931</v>
          </cell>
          <cell r="BE92">
            <v>0.21164021164021163</v>
          </cell>
          <cell r="BF92">
            <v>0.22559652928416485</v>
          </cell>
          <cell r="BG92">
            <v>0.30580357142857145</v>
          </cell>
          <cell r="BH92">
            <v>0.22929171668667467</v>
          </cell>
          <cell r="BI92">
            <v>0.24880382775119617</v>
          </cell>
          <cell r="BJ92">
            <v>0.2231237322515213</v>
          </cell>
          <cell r="BK92">
            <v>0.24534883720930231</v>
          </cell>
          <cell r="BL92">
            <v>0.26</v>
          </cell>
          <cell r="BM92">
            <v>0.255</v>
          </cell>
          <cell r="BN92">
            <v>0.21550774375095855</v>
          </cell>
          <cell r="BO92">
            <v>0.2653488372093023</v>
          </cell>
          <cell r="BP92">
            <v>0.23687360178970918</v>
          </cell>
          <cell r="BQ92">
            <v>0.26291666666666669</v>
          </cell>
          <cell r="BR92">
            <v>0.2311369867943299</v>
          </cell>
        </row>
        <row r="93">
          <cell r="A93" t="str">
            <v>U.S. Beverages</v>
          </cell>
          <cell r="K93">
            <v>0.27034120734908135</v>
          </cell>
          <cell r="L93">
            <v>0.23978919631093545</v>
          </cell>
          <cell r="M93">
            <v>0.1731266149870801</v>
          </cell>
          <cell r="N93">
            <v>0.16172506738544473</v>
          </cell>
          <cell r="O93">
            <v>0.157</v>
          </cell>
          <cell r="P93">
            <v>0.16250000000000001</v>
          </cell>
          <cell r="Q93">
            <v>0.16750000000000001</v>
          </cell>
          <cell r="R93">
            <v>0.17250000000000001</v>
          </cell>
          <cell r="S93">
            <v>0.17750000000000002</v>
          </cell>
          <cell r="T93">
            <v>0.18250000000000002</v>
          </cell>
          <cell r="U93">
            <v>0.18750000000000003</v>
          </cell>
          <cell r="AY93">
            <v>0.26829268292682928</v>
          </cell>
          <cell r="AZ93">
            <v>0.2388888888888889</v>
          </cell>
          <cell r="BA93">
            <v>0.27272727272727271</v>
          </cell>
          <cell r="BB93">
            <v>0.17045454545454544</v>
          </cell>
          <cell r="BC93">
            <v>0.15151515151515152</v>
          </cell>
          <cell r="BD93">
            <v>0.18181818181818182</v>
          </cell>
          <cell r="BE93">
            <v>0.21634615384615385</v>
          </cell>
          <cell r="BF93">
            <v>0.13812154696132597</v>
          </cell>
          <cell r="BG93">
            <v>0.15873015873015872</v>
          </cell>
          <cell r="BH93">
            <v>0.2032967032967033</v>
          </cell>
          <cell r="BI93">
            <v>0.16666666666666666</v>
          </cell>
          <cell r="BJ93">
            <v>0.11560693641618497</v>
          </cell>
          <cell r="BK93">
            <v>0.13872832369942195</v>
          </cell>
          <cell r="BL93">
            <v>0.20599999999999999</v>
          </cell>
          <cell r="BM93">
            <v>0.18</v>
          </cell>
          <cell r="BN93">
            <v>0.10288412890453143</v>
          </cell>
          <cell r="BO93">
            <v>0.16872832369942195</v>
          </cell>
          <cell r="BP93">
            <v>0.17363636363636364</v>
          </cell>
          <cell r="BQ93">
            <v>0.17013157894736841</v>
          </cell>
          <cell r="BR93">
            <v>0.15979742112718215</v>
          </cell>
        </row>
        <row r="94">
          <cell r="A94" t="str">
            <v>Global Baking and Snacking</v>
          </cell>
          <cell r="B94">
            <v>0.14661134163208853</v>
          </cell>
          <cell r="C94">
            <v>0.12939615129396151</v>
          </cell>
          <cell r="D94">
            <v>0.11274509803921569</v>
          </cell>
          <cell r="E94">
            <v>0.10291382517048978</v>
          </cell>
          <cell r="F94">
            <v>0.10907003444316878</v>
          </cell>
          <cell r="G94">
            <v>0.10417859187178019</v>
          </cell>
          <cell r="H94">
            <v>0.11729729729729729</v>
          </cell>
          <cell r="I94">
            <v>0.1282798833819242</v>
          </cell>
          <cell r="J94">
            <v>0.14355362946912242</v>
          </cell>
          <cell r="K94">
            <v>0.16303797468354431</v>
          </cell>
          <cell r="L94">
            <v>0.16465677179962895</v>
          </cell>
          <cell r="M94">
            <v>0.1436388508891929</v>
          </cell>
          <cell r="N94">
            <v>0.13902331720193578</v>
          </cell>
          <cell r="O94">
            <v>0.13500000000000001</v>
          </cell>
          <cell r="P94">
            <v>0.13600000000000001</v>
          </cell>
          <cell r="Q94">
            <v>0.13800000000000001</v>
          </cell>
          <cell r="R94">
            <v>0.14000000000000001</v>
          </cell>
          <cell r="S94">
            <v>0.14200000000000002</v>
          </cell>
          <cell r="T94">
            <v>0.14400000000000002</v>
          </cell>
          <cell r="U94">
            <v>0.14600000000000002</v>
          </cell>
          <cell r="W94">
            <v>0.10096153846153846</v>
          </cell>
          <cell r="X94">
            <v>0.10579345088161209</v>
          </cell>
          <cell r="Y94">
            <v>6.9408740359897178E-2</v>
          </cell>
          <cell r="Z94">
            <v>0.13381995133819952</v>
          </cell>
          <cell r="AA94">
            <v>9.7995545657015584E-2</v>
          </cell>
          <cell r="AB94">
            <v>0.10392609699769054</v>
          </cell>
          <cell r="AC94">
            <v>8.076009501187649E-2</v>
          </cell>
          <cell r="AD94">
            <v>9.3240093240093247E-2</v>
          </cell>
          <cell r="AE94">
            <v>9.8253275109170299E-2</v>
          </cell>
          <cell r="AF94">
            <v>9.3240093240093247E-2</v>
          </cell>
          <cell r="AG94">
            <v>8.2938388625592413E-2</v>
          </cell>
          <cell r="AH94">
            <v>0.14155251141552511</v>
          </cell>
          <cell r="AI94">
            <v>0.14049586776859505</v>
          </cell>
          <cell r="AJ94">
            <v>0.11894273127753303</v>
          </cell>
          <cell r="AK94">
            <v>0.10430839002267574</v>
          </cell>
          <cell r="AL94">
            <v>0.1040339702760085</v>
          </cell>
          <cell r="AM94">
            <v>0.13721804511278196</v>
          </cell>
          <cell r="AN94">
            <v>0.1384928716904277</v>
          </cell>
          <cell r="AO94">
            <v>0.10358565737051793</v>
          </cell>
          <cell r="AP94">
            <v>0.1350844277673546</v>
          </cell>
          <cell r="AQ94">
            <v>0.16306483300589392</v>
          </cell>
          <cell r="AR94">
            <v>0.125</v>
          </cell>
          <cell r="AS94">
            <v>0.13457076566125289</v>
          </cell>
          <cell r="AT94">
            <v>0.14806866952789699</v>
          </cell>
          <cell r="AU94">
            <v>0.18867924528301888</v>
          </cell>
          <cell r="AV94">
            <v>0.1492842535787321</v>
          </cell>
          <cell r="AW94">
            <v>0.15932914046121593</v>
          </cell>
          <cell r="AX94">
            <v>0.1524008350730689</v>
          </cell>
          <cell r="AY94">
            <v>0.18382352941176472</v>
          </cell>
          <cell r="AZ94">
            <v>0.15399239543726237</v>
          </cell>
          <cell r="BA94">
            <v>0.15559772296015181</v>
          </cell>
          <cell r="BB94">
            <v>0.16457960644007155</v>
          </cell>
          <cell r="BC94">
            <v>0.15492957746478872</v>
          </cell>
          <cell r="BD94">
            <v>0.13498098859315588</v>
          </cell>
          <cell r="BE94">
            <v>0.13443830570902393</v>
          </cell>
          <cell r="BF94">
            <v>0.14928057553956833</v>
          </cell>
          <cell r="BG94">
            <v>0.1480836236933798</v>
          </cell>
          <cell r="BH94">
            <v>0.1319073083778966</v>
          </cell>
          <cell r="BI94">
            <v>0.12852112676056338</v>
          </cell>
          <cell r="BJ94">
            <v>0.14736842105263157</v>
          </cell>
          <cell r="BK94">
            <v>0.12807881773399016</v>
          </cell>
          <cell r="BL94">
            <v>0.129</v>
          </cell>
          <cell r="BM94">
            <v>0.13</v>
          </cell>
          <cell r="BN94">
            <v>0.15110542178501141</v>
          </cell>
          <cell r="BO94">
            <v>0.12807881773399016</v>
          </cell>
          <cell r="BP94">
            <v>0.13271517996870108</v>
          </cell>
          <cell r="BQ94">
            <v>0.13556737588652482</v>
          </cell>
          <cell r="BR94">
            <v>0.13812266191794914</v>
          </cell>
        </row>
        <row r="95">
          <cell r="A95" t="str">
            <v>International Simple Meals and Beverages</v>
          </cell>
          <cell r="B95">
            <v>8.0696202531645569E-2</v>
          </cell>
          <cell r="C95">
            <v>0.1</v>
          </cell>
          <cell r="D95">
            <v>0.13977746870653684</v>
          </cell>
          <cell r="E95">
            <v>0.12852664576802508</v>
          </cell>
          <cell r="F95">
            <v>0.12742219612448621</v>
          </cell>
          <cell r="G95">
            <v>0.13245448838669177</v>
          </cell>
          <cell r="H95">
            <v>0.12071428571428572</v>
          </cell>
          <cell r="I95">
            <v>0.11677018633540373</v>
          </cell>
          <cell r="J95">
            <v>0.10022107590272661</v>
          </cell>
          <cell r="K95">
            <v>0.11314125087842586</v>
          </cell>
          <cell r="L95">
            <v>0.12645249487354751</v>
          </cell>
          <cell r="M95">
            <v>0.12155963302752294</v>
          </cell>
          <cell r="N95">
            <v>0.12428078250863062</v>
          </cell>
          <cell r="O95">
            <v>0.12</v>
          </cell>
          <cell r="P95">
            <v>0.123</v>
          </cell>
          <cell r="Q95">
            <v>0.125</v>
          </cell>
          <cell r="R95">
            <v>0.127</v>
          </cell>
          <cell r="S95">
            <v>0.129</v>
          </cell>
          <cell r="T95">
            <v>0.13100000000000001</v>
          </cell>
          <cell r="U95">
            <v>0.13300000000000001</v>
          </cell>
          <cell r="W95">
            <v>0.13730569948186527</v>
          </cell>
          <cell r="X95">
            <v>0.14223194748358861</v>
          </cell>
          <cell r="Y95">
            <v>0.13834951456310679</v>
          </cell>
          <cell r="Z95">
            <v>8.8235294117647065E-2</v>
          </cell>
          <cell r="AA95">
            <v>0.12980769230769232</v>
          </cell>
          <cell r="AB95">
            <v>0.13745019920318724</v>
          </cell>
          <cell r="AC95">
            <v>0.13333333333333333</v>
          </cell>
          <cell r="AD95">
            <v>0.16770186335403728</v>
          </cell>
          <cell r="AE95">
            <v>0.13095238095238096</v>
          </cell>
          <cell r="AF95">
            <v>0.16770186335403728</v>
          </cell>
          <cell r="AG95">
            <v>0.16279069767441862</v>
          </cell>
          <cell r="AH95">
            <v>1.9230769230769232E-2</v>
          </cell>
          <cell r="AI95">
            <v>0.13872832369942195</v>
          </cell>
          <cell r="AJ95">
            <v>0.14603960396039603</v>
          </cell>
          <cell r="AK95">
            <v>0.12609970674486803</v>
          </cell>
          <cell r="AL95">
            <v>6.1488673139158574E-2</v>
          </cell>
          <cell r="AM95">
            <v>0.13110539845758354</v>
          </cell>
          <cell r="AN95">
            <v>0.1331877729257642</v>
          </cell>
          <cell r="AO95">
            <v>0.115</v>
          </cell>
          <cell r="AP95">
            <v>7.4585635359116026E-2</v>
          </cell>
          <cell r="AQ95">
            <v>0.1</v>
          </cell>
          <cell r="AR95">
            <v>0.12787723785166241</v>
          </cell>
          <cell r="AS95">
            <v>9.7643097643097643E-2</v>
          </cell>
          <cell r="AT95">
            <v>6.5743944636678195E-2</v>
          </cell>
          <cell r="AU95">
            <v>0.11764705882352941</v>
          </cell>
          <cell r="AV95">
            <v>0.16933638443935928</v>
          </cell>
          <cell r="AW95">
            <v>0.11178247734138973</v>
          </cell>
          <cell r="AX95">
            <v>2.1352313167259787E-2</v>
          </cell>
          <cell r="AY95">
            <v>0.13709677419354838</v>
          </cell>
          <cell r="AZ95">
            <v>0.16389548693586697</v>
          </cell>
          <cell r="BA95">
            <v>0.11581920903954802</v>
          </cell>
          <cell r="BB95">
            <v>7.5949367088607597E-2</v>
          </cell>
          <cell r="BC95">
            <v>0.11737089201877934</v>
          </cell>
          <cell r="BD95">
            <v>0.15021459227467812</v>
          </cell>
          <cell r="BE95">
            <v>0.12389380530973451</v>
          </cell>
          <cell r="BF95">
            <v>0.09</v>
          </cell>
          <cell r="BG95">
            <v>0.14798206278026907</v>
          </cell>
          <cell r="BH95">
            <v>0.14102564102564102</v>
          </cell>
          <cell r="BI95">
            <v>0.12444444444444444</v>
          </cell>
          <cell r="BJ95">
            <v>7.4866310160427801E-2</v>
          </cell>
          <cell r="BK95">
            <v>0.10362694300518134</v>
          </cell>
          <cell r="BL95">
            <v>0.14000000000000001</v>
          </cell>
          <cell r="BM95">
            <v>0.125</v>
          </cell>
          <cell r="BN95">
            <v>0.10765483573530518</v>
          </cell>
          <cell r="BO95">
            <v>0.10612694300518134</v>
          </cell>
          <cell r="BP95">
            <v>0.17590375586854459</v>
          </cell>
          <cell r="BQ95">
            <v>0.13766129032258065</v>
          </cell>
          <cell r="BR95">
            <v>0.11204325058811233</v>
          </cell>
        </row>
        <row r="96">
          <cell r="A96" t="str">
            <v>North America Foodservice</v>
          </cell>
          <cell r="B96">
            <v>0.2540913006029285</v>
          </cell>
          <cell r="C96">
            <v>0.19966159052453469</v>
          </cell>
          <cell r="D96">
            <v>0.1152073732718894</v>
          </cell>
          <cell r="E96">
            <v>0.11184939091915837</v>
          </cell>
          <cell r="F96">
            <v>0.1044776119402985</v>
          </cell>
          <cell r="G96">
            <v>0.1014760147601476</v>
          </cell>
          <cell r="H96">
            <v>0.10954063604240283</v>
          </cell>
          <cell r="I96">
            <v>0.10518292682926829</v>
          </cell>
          <cell r="J96">
            <v>8.681135225375626E-2</v>
          </cell>
          <cell r="K96">
            <v>7.4394463667820071E-2</v>
          </cell>
          <cell r="L96">
            <v>0.13898305084745763</v>
          </cell>
          <cell r="M96">
            <v>0.13934426229508196</v>
          </cell>
          <cell r="N96">
            <v>8.7945413191811983E-2</v>
          </cell>
          <cell r="O96">
            <v>8.8999999999999996E-2</v>
          </cell>
          <cell r="P96">
            <v>9.0999999999999998E-2</v>
          </cell>
          <cell r="Q96">
            <v>9.6000000000000002E-2</v>
          </cell>
          <cell r="R96">
            <v>0.10100000000000001</v>
          </cell>
          <cell r="S96">
            <v>0.10600000000000001</v>
          </cell>
          <cell r="T96">
            <v>0.11100000000000002</v>
          </cell>
          <cell r="U96">
            <v>0.11600000000000002</v>
          </cell>
          <cell r="W96">
            <v>0.10628019323671498</v>
          </cell>
          <cell r="X96">
            <v>0.21283783783783783</v>
          </cell>
          <cell r="Y96">
            <v>0.10480349344978165</v>
          </cell>
          <cell r="Z96">
            <v>-4.6783625730994149E-2</v>
          </cell>
          <cell r="AA96">
            <v>9.0517241379310345E-2</v>
          </cell>
          <cell r="AB96">
            <v>0.21084337349397592</v>
          </cell>
          <cell r="AC96">
            <v>0.10276679841897234</v>
          </cell>
          <cell r="AD96">
            <v>0.19658119658119658</v>
          </cell>
          <cell r="AE96">
            <v>9.9236641221374045E-2</v>
          </cell>
          <cell r="AF96">
            <v>0.19658119658119658</v>
          </cell>
          <cell r="AG96">
            <v>9.9630996309963096E-2</v>
          </cell>
          <cell r="AH96">
            <v>-0.06</v>
          </cell>
          <cell r="AI96">
            <v>9.5940959409594101E-2</v>
          </cell>
          <cell r="AJ96">
            <v>0.19125683060109289</v>
          </cell>
          <cell r="AK96">
            <v>8.2142857142857142E-2</v>
          </cell>
          <cell r="AL96">
            <v>2.3255813953488372E-2</v>
          </cell>
          <cell r="AM96">
            <v>8.9285714285714288E-2</v>
          </cell>
          <cell r="AN96">
            <v>0.11610581775830514</v>
          </cell>
          <cell r="AO96">
            <v>0.13032279278785552</v>
          </cell>
          <cell r="AP96">
            <v>0</v>
          </cell>
          <cell r="AQ96">
            <v>0.11042944785276074</v>
          </cell>
          <cell r="AR96">
            <v>9.815950920245399E-2</v>
          </cell>
          <cell r="AS96">
            <v>0.12</v>
          </cell>
          <cell r="AT96">
            <v>0</v>
          </cell>
          <cell r="AU96">
            <v>0.16352201257861634</v>
          </cell>
          <cell r="AV96">
            <v>0.1069182389937107</v>
          </cell>
          <cell r="AW96">
            <v>-2.0547945205479451E-2</v>
          </cell>
          <cell r="AX96">
            <v>2.6315789473684209E-2</v>
          </cell>
          <cell r="AY96">
            <v>0.15032679738562091</v>
          </cell>
          <cell r="AZ96">
            <v>0.13291139240506328</v>
          </cell>
          <cell r="BA96">
            <v>0.14285714285714285</v>
          </cell>
          <cell r="BB96">
            <v>0.128</v>
          </cell>
          <cell r="BC96">
            <v>0.16666666666666666</v>
          </cell>
          <cell r="BD96">
            <v>0.16184971098265896</v>
          </cell>
          <cell r="BE96">
            <v>0.12987012987012986</v>
          </cell>
          <cell r="BF96">
            <v>8.2644628099173556E-2</v>
          </cell>
          <cell r="BG96">
            <v>0.10526315789473684</v>
          </cell>
          <cell r="BH96">
            <v>8.5227272727272721E-2</v>
          </cell>
          <cell r="BI96">
            <v>7.8488372093023256E-2</v>
          </cell>
          <cell r="BJ96">
            <v>8.3333333333333329E-2</v>
          </cell>
          <cell r="BK96">
            <v>8.7878787878787876E-2</v>
          </cell>
          <cell r="BL96">
            <v>8.6249265282131657E-2</v>
          </cell>
          <cell r="BM96">
            <v>7.9429555934242169E-2</v>
          </cell>
          <cell r="BN96">
            <v>0.10325830519477862</v>
          </cell>
          <cell r="BO96">
            <v>8.8878787878787877E-2</v>
          </cell>
          <cell r="BP96">
            <v>9.6778551532033422E-2</v>
          </cell>
          <cell r="BQ96">
            <v>6.5245810055865924E-2</v>
          </cell>
          <cell r="BR96">
            <v>8.2046783166074486E-2</v>
          </cell>
        </row>
        <row r="97">
          <cell r="A97" t="str">
            <v>Unallocated Corporate Expense</v>
          </cell>
          <cell r="B97">
            <v>-2.1348119909894301E-2</v>
          </cell>
          <cell r="C97">
            <v>-2.3316484591553888E-2</v>
          </cell>
          <cell r="D97">
            <v>-1.9317160826594789E-2</v>
          </cell>
          <cell r="E97">
            <v>-1.1253340835560557E-2</v>
          </cell>
          <cell r="F97">
            <v>-1.1526232114467409E-2</v>
          </cell>
          <cell r="G97">
            <v>-1.3670095039708372E-2</v>
          </cell>
          <cell r="H97">
            <v>-1.5499936475670181E-2</v>
          </cell>
          <cell r="I97">
            <v>-1.6504126031507877E-2</v>
          </cell>
          <cell r="J97">
            <v>-1.3973108357500659E-2</v>
          </cell>
          <cell r="K97">
            <v>-1.420010422094841E-2</v>
          </cell>
          <cell r="L97">
            <v>-1.5416504728591787E-2</v>
          </cell>
          <cell r="M97">
            <v>-1.8536585365853658E-2</v>
          </cell>
          <cell r="N97">
            <v>-1.9746646795827123E-2</v>
          </cell>
          <cell r="O97">
            <v>-1.4999999999999999E-2</v>
          </cell>
          <cell r="P97">
            <v>-1.4999999999999999E-2</v>
          </cell>
          <cell r="Q97">
            <v>-1.4999999999999999E-2</v>
          </cell>
          <cell r="R97">
            <v>-1.4999999999999999E-2</v>
          </cell>
          <cell r="S97">
            <v>-1.4999999999999999E-2</v>
          </cell>
          <cell r="T97">
            <v>-1.4999999999999999E-2</v>
          </cell>
          <cell r="U97">
            <v>-1.4999999999999999E-2</v>
          </cell>
          <cell r="W97">
            <v>-1.4667365112624411E-2</v>
          </cell>
          <cell r="X97">
            <v>-1.2857142857142857E-2</v>
          </cell>
          <cell r="Y97">
            <v>-1.4397120575884824E-2</v>
          </cell>
          <cell r="Z97">
            <v>-6.9783670621074664E-4</v>
          </cell>
          <cell r="AA97">
            <v>-1.0521281683405069E-2</v>
          </cell>
          <cell r="AB97">
            <v>-9.8965362123256857E-3</v>
          </cell>
          <cell r="AC97">
            <v>-1.1520737327188941E-2</v>
          </cell>
          <cell r="AD97">
            <v>-1.2713722051731697E-2</v>
          </cell>
          <cell r="AE97">
            <v>-8.5308056872037911E-3</v>
          </cell>
          <cell r="AF97">
            <v>-1.2713722051731697E-2</v>
          </cell>
          <cell r="AG97">
            <v>-1.5250544662309368E-2</v>
          </cell>
          <cell r="AH97">
            <v>-2.0632737276478678E-2</v>
          </cell>
          <cell r="AI97">
            <v>-1.2076172782164421E-2</v>
          </cell>
          <cell r="AJ97">
            <v>-1.5541740674955595E-2</v>
          </cell>
          <cell r="AK97">
            <v>-1.7628205128205128E-2</v>
          </cell>
          <cell r="AL97">
            <v>-1.7565872020075281E-2</v>
          </cell>
          <cell r="AM97">
            <v>-1.2184508268059183E-2</v>
          </cell>
          <cell r="AN97">
            <v>-1.2216594985274058E-2</v>
          </cell>
          <cell r="AO97">
            <v>-1.7258883248730966E-2</v>
          </cell>
          <cell r="AP97">
            <v>-1.4322176870748301E-2</v>
          </cell>
          <cell r="AQ97">
            <v>-9.3333333333333341E-3</v>
          </cell>
          <cell r="AR97">
            <v>-1.3195098963242224E-2</v>
          </cell>
          <cell r="AS97">
            <v>-1.1269276393831554E-2</v>
          </cell>
          <cell r="AT97">
            <v>-2.4869109947643978E-2</v>
          </cell>
          <cell r="AU97">
            <v>-1.0440308669995461E-2</v>
          </cell>
          <cell r="AV97">
            <v>-1.4862981885740827E-2</v>
          </cell>
          <cell r="AW97">
            <v>-1.1098779134295227E-2</v>
          </cell>
          <cell r="AX97">
            <v>-2.2397891963109356E-2</v>
          </cell>
          <cell r="AY97">
            <v>-1.1510128913443831E-2</v>
          </cell>
          <cell r="AZ97">
            <v>-1.5044663845792195E-2</v>
          </cell>
          <cell r="BA97">
            <v>-1.7098731384445669E-2</v>
          </cell>
          <cell r="BB97">
            <v>-1.9290603609209707E-2</v>
          </cell>
          <cell r="BC97">
            <v>-1.7369727047146403E-2</v>
          </cell>
          <cell r="BD97">
            <v>-1.8528049408131755E-2</v>
          </cell>
          <cell r="BE97">
            <v>-1.7667844522968199E-2</v>
          </cell>
          <cell r="BF97">
            <v>-2.1066491112574061E-2</v>
          </cell>
          <cell r="BG97">
            <v>-1.5873015873015872E-2</v>
          </cell>
          <cell r="BH97">
            <v>-1.8501387604070305E-2</v>
          </cell>
          <cell r="BI97">
            <v>-1.9877675840978593E-2</v>
          </cell>
          <cell r="BJ97">
            <v>-2.6117237376668601E-2</v>
          </cell>
          <cell r="BK97">
            <v>-1.1547344110854504E-2</v>
          </cell>
          <cell r="BL97">
            <v>-1.4999999999999999E-2</v>
          </cell>
          <cell r="BM97">
            <v>-1.4999999999999999E-2</v>
          </cell>
          <cell r="BN97">
            <v>-1.8822205137621891E-2</v>
          </cell>
          <cell r="BO97">
            <v>-1.6547344110854505E-2</v>
          </cell>
          <cell r="BP97">
            <v>-1.9467338886453311E-2</v>
          </cell>
          <cell r="BQ97">
            <v>-1.4999999999999999E-2</v>
          </cell>
          <cell r="BR97">
            <v>-2.6136532113860307E-2</v>
          </cell>
        </row>
        <row r="98">
          <cell r="A98" t="str">
            <v>Total</v>
          </cell>
          <cell r="B98">
            <v>0.20946109859643042</v>
          </cell>
          <cell r="C98">
            <v>0.16370454916028046</v>
          </cell>
          <cell r="D98">
            <v>0.16546870320455226</v>
          </cell>
          <cell r="E98">
            <v>0.1578281052187368</v>
          </cell>
          <cell r="F98">
            <v>0.15461049284578696</v>
          </cell>
          <cell r="G98">
            <v>0.15688061450331989</v>
          </cell>
          <cell r="H98">
            <v>0.15881082454580103</v>
          </cell>
          <cell r="I98">
            <v>0.16004001000250062</v>
          </cell>
          <cell r="J98">
            <v>0.16794094384392302</v>
          </cell>
          <cell r="K98">
            <v>0.17717561229807191</v>
          </cell>
          <cell r="L98">
            <v>0.17385671719134602</v>
          </cell>
          <cell r="M98">
            <v>0.16236933797909409</v>
          </cell>
          <cell r="N98">
            <v>0.15300546448087432</v>
          </cell>
          <cell r="O98">
            <v>0.15204813408659507</v>
          </cell>
          <cell r="P98">
            <v>0.15582823926420261</v>
          </cell>
          <cell r="Q98">
            <v>0.15879062482684445</v>
          </cell>
          <cell r="R98">
            <v>0.1607225970503485</v>
          </cell>
          <cell r="S98">
            <v>0.16269002062453264</v>
          </cell>
          <cell r="T98">
            <v>0.16468891293637614</v>
          </cell>
          <cell r="U98">
            <v>0.16671536899878306</v>
          </cell>
          <cell r="W98">
            <v>0.18543740178103718</v>
          </cell>
          <cell r="X98">
            <v>0.18523809523809523</v>
          </cell>
          <cell r="Y98">
            <v>0.13497300539892021</v>
          </cell>
          <cell r="Z98">
            <v>0.10746685275645498</v>
          </cell>
          <cell r="AA98">
            <v>0.17742706838833094</v>
          </cell>
          <cell r="AB98">
            <v>0.16959064327485379</v>
          </cell>
          <cell r="AC98">
            <v>0.14285714285714285</v>
          </cell>
          <cell r="AD98">
            <v>0.17667689609820253</v>
          </cell>
          <cell r="AE98">
            <v>0.18388625592417063</v>
          </cell>
          <cell r="AF98">
            <v>0.17667689609820253</v>
          </cell>
          <cell r="AG98">
            <v>0.14978213507625274</v>
          </cell>
          <cell r="AH98">
            <v>9.5598349381017883E-2</v>
          </cell>
          <cell r="AI98">
            <v>0.20343706456107757</v>
          </cell>
          <cell r="AJ98">
            <v>0.18738898756660746</v>
          </cell>
          <cell r="AK98">
            <v>0.13942307692307693</v>
          </cell>
          <cell r="AL98">
            <v>8.0928481806775407E-2</v>
          </cell>
          <cell r="AM98">
            <v>0.1875543951261967</v>
          </cell>
          <cell r="AN98">
            <v>0.17780360587961225</v>
          </cell>
          <cell r="AO98">
            <v>0.1367984557088725</v>
          </cell>
          <cell r="AP98">
            <v>0.11570697764820213</v>
          </cell>
          <cell r="AQ98">
            <v>0.192</v>
          </cell>
          <cell r="AR98">
            <v>0.17106503298774742</v>
          </cell>
          <cell r="AS98">
            <v>0.16666666666666666</v>
          </cell>
          <cell r="AT98">
            <v>0.12958115183246074</v>
          </cell>
          <cell r="AU98">
            <v>0.21697684975034046</v>
          </cell>
          <cell r="AV98">
            <v>0.18160705991639572</v>
          </cell>
          <cell r="AW98">
            <v>0.16870144284128746</v>
          </cell>
          <cell r="AX98">
            <v>0.2147562582345191</v>
          </cell>
          <cell r="AY98">
            <v>0.20441988950276244</v>
          </cell>
          <cell r="AZ98">
            <v>0.16878232251998118</v>
          </cell>
          <cell r="BA98">
            <v>0.16933259790402647</v>
          </cell>
          <cell r="BB98">
            <v>0.14436838830118232</v>
          </cell>
          <cell r="BC98">
            <v>0.19602977667493796</v>
          </cell>
          <cell r="BD98">
            <v>0.15748841996911991</v>
          </cell>
          <cell r="BE98">
            <v>0.15076560659599528</v>
          </cell>
          <cell r="BF98">
            <v>0.13693219223173139</v>
          </cell>
          <cell r="BG98">
            <v>0.19092970521541949</v>
          </cell>
          <cell r="BH98">
            <v>0.15032377428307123</v>
          </cell>
          <cell r="BI98">
            <v>0.14169215086646278</v>
          </cell>
          <cell r="BJ98">
            <v>0.12071967498549042</v>
          </cell>
          <cell r="BK98">
            <v>0.1556581986143187</v>
          </cell>
          <cell r="BL98">
            <v>0.16635598171660929</v>
          </cell>
          <cell r="BM98">
            <v>0.14971594582769471</v>
          </cell>
          <cell r="BN98">
            <v>0.13411323987333751</v>
          </cell>
          <cell r="BO98">
            <v>0.16241647312807031</v>
          </cell>
          <cell r="BP98">
            <v>0.15480977532906276</v>
          </cell>
          <cell r="BQ98">
            <v>0.15361243443334671</v>
          </cell>
          <cell r="BR98">
            <v>0.12737167032081059</v>
          </cell>
        </row>
        <row r="100">
          <cell r="A100" t="str">
            <v xml:space="preserve">   NA Foodservice (ex-Bolthouse)</v>
          </cell>
          <cell r="M100">
            <v>0.13934426229508196</v>
          </cell>
          <cell r="N100">
            <v>9.9982930187009891E-2</v>
          </cell>
          <cell r="O100">
            <v>0.12642045454545456</v>
          </cell>
          <cell r="BC100">
            <v>0.16666666666666666</v>
          </cell>
          <cell r="BD100">
            <v>0.16184971098265896</v>
          </cell>
          <cell r="BE100">
            <v>0.12987012987012986</v>
          </cell>
          <cell r="BF100">
            <v>8.2644628099173556E-2</v>
          </cell>
          <cell r="BG100">
            <v>0.13080444735120994</v>
          </cell>
          <cell r="BH100">
            <v>9.5523756758305794E-2</v>
          </cell>
          <cell r="BI100">
            <v>7.1942446043165464E-2</v>
          </cell>
          <cell r="BJ100">
            <v>9.8848513664324303E-2</v>
          </cell>
        </row>
        <row r="101">
          <cell r="A101" t="str">
            <v xml:space="preserve">   Total (ex-Bolthouse)</v>
          </cell>
          <cell r="M101">
            <v>0.16236933797909409</v>
          </cell>
          <cell r="N101">
            <v>0.16078331765020906</v>
          </cell>
          <cell r="O101">
            <v>0</v>
          </cell>
          <cell r="BC101">
            <v>0.19602977667493796</v>
          </cell>
          <cell r="BD101">
            <v>0.15748841996911991</v>
          </cell>
          <cell r="BE101">
            <v>0.15076560659599528</v>
          </cell>
          <cell r="BF101">
            <v>0.13693219223173139</v>
          </cell>
          <cell r="BG101">
            <v>0.20000982849280061</v>
          </cell>
          <cell r="BH101">
            <v>0.15759808320060356</v>
          </cell>
          <cell r="BI101">
            <v>0.14854866249288559</v>
          </cell>
          <cell r="BJ101">
            <v>0.12662671867066352</v>
          </cell>
        </row>
        <row r="102">
          <cell r="BG102">
            <v>-3.5862219315456717E-2</v>
          </cell>
          <cell r="BH102">
            <v>-6.6325954224353167E-2</v>
          </cell>
          <cell r="BI102">
            <v>-5.7927683826964393E-2</v>
          </cell>
          <cell r="BJ102">
            <v>1.6203885565150747E-2</v>
          </cell>
        </row>
        <row r="103">
          <cell r="A103" t="str">
            <v>Incremental Margin</v>
          </cell>
        </row>
        <row r="104">
          <cell r="A104" t="str">
            <v>U.S. Soup, Sauces and Beverages</v>
          </cell>
          <cell r="J104">
            <v>0.32727272727272727</v>
          </cell>
          <cell r="K104">
            <v>-0.19047619047619047</v>
          </cell>
          <cell r="L104">
            <v>0.54736842105263162</v>
          </cell>
          <cell r="M104">
            <v>4.7</v>
          </cell>
          <cell r="N104">
            <v>0.64835164835164838</v>
          </cell>
          <cell r="O104">
            <v>-0.1794395116650952</v>
          </cell>
          <cell r="P104">
            <v>-0.13972497000386389</v>
          </cell>
          <cell r="Q104">
            <v>0.52818431651611297</v>
          </cell>
          <cell r="R104">
            <v>0.24479094660912878</v>
          </cell>
          <cell r="S104">
            <v>0.2448676459663599</v>
          </cell>
          <cell r="T104">
            <v>0.24494374991023254</v>
          </cell>
          <cell r="U104">
            <v>0.24501926169645269</v>
          </cell>
          <cell r="AY104">
            <v>0.97297297297297303</v>
          </cell>
          <cell r="AZ104">
            <v>0.84782608695652173</v>
          </cell>
          <cell r="BA104">
            <v>0.3</v>
          </cell>
          <cell r="BB104">
            <v>0.21621621621621623</v>
          </cell>
          <cell r="BC104">
            <v>0.16129032258064516</v>
          </cell>
          <cell r="BD104">
            <v>1.0909090909090908</v>
          </cell>
          <cell r="BE104">
            <v>9.3333333333333339</v>
          </cell>
          <cell r="BF104">
            <v>-5.7142857142857141E-2</v>
          </cell>
          <cell r="BG104">
            <v>1.0769230769230769</v>
          </cell>
          <cell r="BH104">
            <v>5</v>
          </cell>
          <cell r="BI104">
            <v>0.48</v>
          </cell>
          <cell r="BJ104">
            <v>4.1666666666666664E-2</v>
          </cell>
          <cell r="BK104">
            <v>1.3269230769230769</v>
          </cell>
          <cell r="BL104">
            <v>0.86549138039511786</v>
          </cell>
          <cell r="BM104">
            <v>-1.1122184773988675</v>
          </cell>
          <cell r="BN104">
            <v>0.13685383205031856</v>
          </cell>
          <cell r="BO104">
            <v>0.92885090909090817</v>
          </cell>
          <cell r="BP104">
            <v>0.33194259567387802</v>
          </cell>
          <cell r="BQ104">
            <v>-2.6209508881923173E-2</v>
          </cell>
          <cell r="BR104">
            <v>0.37876831210210571</v>
          </cell>
        </row>
        <row r="105">
          <cell r="A105" t="str">
            <v>U.S. Simple Meals</v>
          </cell>
          <cell r="K105">
            <v>0.25085091899251194</v>
          </cell>
          <cell r="L105">
            <v>0.42780748663101603</v>
          </cell>
          <cell r="M105">
            <v>-0.04</v>
          </cell>
          <cell r="N105">
            <v>0.5934959349593496</v>
          </cell>
          <cell r="O105">
            <v>-7.3231364499075302E-2</v>
          </cell>
          <cell r="P105">
            <v>-0.93956883417185033</v>
          </cell>
          <cell r="Q105">
            <v>0.55352717391304262</v>
          </cell>
          <cell r="R105">
            <v>0.25352717391304447</v>
          </cell>
          <cell r="S105">
            <v>0.25352717391304302</v>
          </cell>
          <cell r="T105">
            <v>0.25352717391304308</v>
          </cell>
          <cell r="U105">
            <v>0.25352717391304364</v>
          </cell>
          <cell r="AY105">
            <v>0.267260579064588</v>
          </cell>
          <cell r="AZ105">
            <v>0.21021377672209027</v>
          </cell>
          <cell r="BA105">
            <v>0.23965517241379311</v>
          </cell>
          <cell r="BB105">
            <v>-0.1111111111111111</v>
          </cell>
          <cell r="BC105">
            <v>-0.83333333333333337</v>
          </cell>
          <cell r="BD105">
            <v>0.16666666666666666</v>
          </cell>
          <cell r="BE105">
            <v>1.4615384615384615</v>
          </cell>
          <cell r="BF105">
            <v>0.1</v>
          </cell>
          <cell r="BG105">
            <v>0.63636363636363635</v>
          </cell>
          <cell r="BH105">
            <v>1.8888888888888888</v>
          </cell>
          <cell r="BI105">
            <v>0.6</v>
          </cell>
          <cell r="BJ105">
            <v>0.1875</v>
          </cell>
          <cell r="BK105">
            <v>1.75</v>
          </cell>
          <cell r="BL105">
            <v>0.76168175176755626</v>
          </cell>
          <cell r="BM105">
            <v>-41.074787234020292</v>
          </cell>
          <cell r="BN105">
            <v>0.16830194153490116</v>
          </cell>
          <cell r="BO105">
            <v>0.70979328165374711</v>
          </cell>
          <cell r="BP105">
            <v>0.36187360178970973</v>
          </cell>
          <cell r="BQ105">
            <v>0.1379166666666661</v>
          </cell>
          <cell r="BR105">
            <v>2.028092645340715E-2</v>
          </cell>
        </row>
        <row r="106">
          <cell r="A106" t="str">
            <v>U.S. Beverages</v>
          </cell>
          <cell r="K106">
            <v>0.27034120734908135</v>
          </cell>
          <cell r="L106">
            <v>8</v>
          </cell>
          <cell r="M106">
            <v>-3.2</v>
          </cell>
          <cell r="N106">
            <v>0.4375</v>
          </cell>
          <cell r="O106">
            <v>0.3378148530170193</v>
          </cell>
          <cell r="P106">
            <v>0.3285859788684557</v>
          </cell>
          <cell r="Q106">
            <v>0.42065698478561381</v>
          </cell>
          <cell r="R106">
            <v>0.1706569847856157</v>
          </cell>
          <cell r="S106">
            <v>0.17065698478561464</v>
          </cell>
          <cell r="T106">
            <v>0.17065698478561486</v>
          </cell>
          <cell r="U106">
            <v>0.17065698478561625</v>
          </cell>
          <cell r="AY106">
            <v>0.26829268292682928</v>
          </cell>
          <cell r="AZ106">
            <v>0.2388888888888889</v>
          </cell>
          <cell r="BA106">
            <v>0.27272727272727271</v>
          </cell>
          <cell r="BB106">
            <v>12</v>
          </cell>
          <cell r="BC106">
            <v>3.5714285714285716</v>
          </cell>
          <cell r="BD106">
            <v>-1.2857142857142858</v>
          </cell>
          <cell r="BE106">
            <v>-0.9</v>
          </cell>
          <cell r="BF106">
            <v>-1</v>
          </cell>
          <cell r="BG106">
            <v>0</v>
          </cell>
          <cell r="BH106">
            <v>-0.6</v>
          </cell>
          <cell r="BI106">
            <v>1.2</v>
          </cell>
          <cell r="BJ106">
            <v>0.625</v>
          </cell>
          <cell r="BK106">
            <v>0.375</v>
          </cell>
          <cell r="BL106">
            <v>0.13841758241758248</v>
          </cell>
          <cell r="BM106">
            <v>-0.35333333333333461</v>
          </cell>
          <cell r="BN106">
            <v>-0.14610294117647016</v>
          </cell>
          <cell r="BO106">
            <v>-1.0312716763005805</v>
          </cell>
          <cell r="BP106">
            <v>0.24506493506493504</v>
          </cell>
          <cell r="BQ106">
            <v>-0.41320175438596601</v>
          </cell>
          <cell r="BR106">
            <v>0.93171195491079795</v>
          </cell>
        </row>
        <row r="107">
          <cell r="A107" t="str">
            <v>Global Baking and Snacking</v>
          </cell>
          <cell r="K107">
            <v>0.44186046511627908</v>
          </cell>
          <cell r="L107">
            <v>0.18232044198895028</v>
          </cell>
          <cell r="M107">
            <v>-1.0810810810810811</v>
          </cell>
          <cell r="N107">
            <v>1.2500000000000001E-2</v>
          </cell>
          <cell r="O107">
            <v>9.0029370445768489E-2</v>
          </cell>
          <cell r="P107">
            <v>1.0807705427145871</v>
          </cell>
          <cell r="Q107">
            <v>0.23556557377049192</v>
          </cell>
          <cell r="R107">
            <v>0.20423224043715815</v>
          </cell>
          <cell r="S107">
            <v>0.20623224043715818</v>
          </cell>
          <cell r="T107">
            <v>0.20823224043715904</v>
          </cell>
          <cell r="U107">
            <v>0.21023224043715824</v>
          </cell>
          <cell r="AY107">
            <v>0</v>
          </cell>
          <cell r="AZ107">
            <v>0.21621621621621623</v>
          </cell>
          <cell r="BA107">
            <v>0.12</v>
          </cell>
          <cell r="BB107">
            <v>0.23749999999999999</v>
          </cell>
          <cell r="BC107">
            <v>-0.5</v>
          </cell>
          <cell r="BD107" t="e">
            <v>#DIV/0!</v>
          </cell>
          <cell r="BE107">
            <v>-0.5625</v>
          </cell>
          <cell r="BF107">
            <v>3</v>
          </cell>
          <cell r="BG107">
            <v>-0.5</v>
          </cell>
          <cell r="BH107">
            <v>8.5714285714285715E-2</v>
          </cell>
          <cell r="BI107">
            <v>0</v>
          </cell>
          <cell r="BJ107">
            <v>7.1428571428571425E-2</v>
          </cell>
          <cell r="BK107">
            <v>-0.2</v>
          </cell>
          <cell r="BL107">
            <v>7.6199287724748918E-2</v>
          </cell>
          <cell r="BM107">
            <v>0.15250709863320863</v>
          </cell>
          <cell r="BN107">
            <v>0.17237577028586454</v>
          </cell>
          <cell r="BO107">
            <v>0.12807881773399205</v>
          </cell>
          <cell r="BP107">
            <v>-0.86728482003128748</v>
          </cell>
          <cell r="BQ107">
            <v>0.88556737588652668</v>
          </cell>
          <cell r="BR107">
            <v>0.60802951982812947</v>
          </cell>
        </row>
        <row r="108">
          <cell r="A108" t="str">
            <v>International Simple Meals and Beverages</v>
          </cell>
          <cell r="K108">
            <v>0.37878787878787878</v>
          </cell>
          <cell r="L108">
            <v>0.6</v>
          </cell>
          <cell r="M108">
            <v>0.13367174280879865</v>
          </cell>
          <cell r="N108">
            <v>-0.66666666666666663</v>
          </cell>
          <cell r="O108">
            <v>0.25356420952203718</v>
          </cell>
          <cell r="P108">
            <v>0.18159388607896138</v>
          </cell>
          <cell r="Q108">
            <v>0.26973076923077038</v>
          </cell>
          <cell r="R108">
            <v>0.27173076923077033</v>
          </cell>
          <cell r="S108">
            <v>0.2737307692307695</v>
          </cell>
          <cell r="T108">
            <v>0.27573076923077044</v>
          </cell>
          <cell r="U108">
            <v>0.27773076923077089</v>
          </cell>
          <cell r="AY108">
            <v>-3.5</v>
          </cell>
          <cell r="AZ108">
            <v>0.3125</v>
          </cell>
          <cell r="BA108">
            <v>0.17391304347826086</v>
          </cell>
          <cell r="BB108">
            <v>0.51428571428571423</v>
          </cell>
          <cell r="BC108">
            <v>0.16352201257861634</v>
          </cell>
          <cell r="BD108">
            <v>0.18085106382978725</v>
          </cell>
          <cell r="BE108">
            <v>0.1015625</v>
          </cell>
          <cell r="BF108">
            <v>5.1724137931034482E-2</v>
          </cell>
          <cell r="BG108">
            <v>0.8</v>
          </cell>
          <cell r="BH108">
            <v>-2</v>
          </cell>
          <cell r="BI108">
            <v>0</v>
          </cell>
          <cell r="BJ108">
            <v>0.30769230769230771</v>
          </cell>
          <cell r="BK108">
            <v>0.43333333333333335</v>
          </cell>
          <cell r="BL108">
            <v>0.18297357663409272</v>
          </cell>
          <cell r="BM108">
            <v>0.10823061715955</v>
          </cell>
          <cell r="BN108">
            <v>0.51138221432052788</v>
          </cell>
          <cell r="BO108">
            <v>-6.0539723661484676E-2</v>
          </cell>
          <cell r="BP108">
            <v>0.25923708920187882</v>
          </cell>
          <cell r="BQ108">
            <v>-0.61233870967741366</v>
          </cell>
          <cell r="BR108">
            <v>0.10835012587949616</v>
          </cell>
        </row>
        <row r="109">
          <cell r="A109" t="str">
            <v>North America Foodservice</v>
          </cell>
          <cell r="K109">
            <v>0.42857142857142855</v>
          </cell>
          <cell r="L109">
            <v>3.25</v>
          </cell>
          <cell r="M109">
            <v>0.15</v>
          </cell>
          <cell r="N109">
            <v>4.372355430183357E-2</v>
          </cell>
          <cell r="O109">
            <v>0.12244419313331664</v>
          </cell>
          <cell r="P109">
            <v>-0.11359588562799357</v>
          </cell>
          <cell r="Q109">
            <v>0.58822121650977532</v>
          </cell>
          <cell r="R109">
            <v>0.59322121650977788</v>
          </cell>
          <cell r="S109">
            <v>0.59822121650977789</v>
          </cell>
          <cell r="T109">
            <v>0.60322121650977545</v>
          </cell>
          <cell r="U109">
            <v>0.60822121650977379</v>
          </cell>
          <cell r="AY109">
            <v>0.5</v>
          </cell>
          <cell r="AZ109">
            <v>-4</v>
          </cell>
          <cell r="BA109">
            <v>3.125</v>
          </cell>
          <cell r="BB109">
            <v>1.1818181818181819</v>
          </cell>
          <cell r="BC109">
            <v>0.44444444444444442</v>
          </cell>
          <cell r="BD109">
            <v>0.46666666666666667</v>
          </cell>
          <cell r="BE109" t="e">
            <v>#DIV/0!</v>
          </cell>
          <cell r="BF109">
            <v>1.5</v>
          </cell>
          <cell r="BG109">
            <v>4.3478260869565216E-2</v>
          </cell>
          <cell r="BH109">
            <v>1.11731843575419E-2</v>
          </cell>
          <cell r="BI109">
            <v>3.6842105263157891E-2</v>
          </cell>
          <cell r="BJ109">
            <v>8.3798882681564241E-2</v>
          </cell>
          <cell r="BK109">
            <v>-0.7142857142857143</v>
          </cell>
          <cell r="BL109">
            <v>-0.3085769332282447</v>
          </cell>
          <cell r="BM109">
            <v>0.12897454366496633</v>
          </cell>
          <cell r="BN109">
            <v>0.30960639820891733</v>
          </cell>
          <cell r="BO109">
            <v>0.11387878787878795</v>
          </cell>
          <cell r="BP109">
            <v>-7.8221448467966637E-2</v>
          </cell>
          <cell r="BQ109">
            <v>0.13191247672253287</v>
          </cell>
          <cell r="BR109">
            <v>0.18689896198585171</v>
          </cell>
        </row>
        <row r="110">
          <cell r="A110" t="str">
            <v>Unallocated Corporate Expense</v>
          </cell>
        </row>
        <row r="111">
          <cell r="A111" t="str">
            <v>Total</v>
          </cell>
          <cell r="J111">
            <v>1.4563106796116505E-2</v>
          </cell>
          <cell r="K111">
            <v>0.9555555555555556</v>
          </cell>
          <cell r="L111">
            <v>-0.41860465116279072</v>
          </cell>
          <cell r="M111">
            <v>0.32536764705882354</v>
          </cell>
          <cell r="N111">
            <v>7.6396807297605479E-2</v>
          </cell>
          <cell r="O111">
            <v>0.12566188415180968</v>
          </cell>
          <cell r="P111">
            <v>0.60698266093466047</v>
          </cell>
          <cell r="Q111">
            <v>0.36072478578510864</v>
          </cell>
          <cell r="R111">
            <v>0.2389284369383417</v>
          </cell>
          <cell r="S111">
            <v>0.23990505182029098</v>
          </cell>
          <cell r="T111">
            <v>0.24088431342475194</v>
          </cell>
          <cell r="U111">
            <v>0.24186637531199359</v>
          </cell>
          <cell r="AY111">
            <v>1.096774193548387</v>
          </cell>
          <cell r="AZ111">
            <v>1.2307692307692308</v>
          </cell>
          <cell r="BA111">
            <v>0.27272727272727271</v>
          </cell>
          <cell r="BB111">
            <v>-1.0561797752808988</v>
          </cell>
          <cell r="BC111">
            <v>0.31210191082802546</v>
          </cell>
          <cell r="BD111">
            <v>0.28804347826086957</v>
          </cell>
          <cell r="BE111">
            <v>0.44347826086956521</v>
          </cell>
          <cell r="BF111">
            <v>0.27272727272727271</v>
          </cell>
          <cell r="BG111">
            <v>0.1368421052631579</v>
          </cell>
          <cell r="BH111">
            <v>8.6757990867579904E-2</v>
          </cell>
          <cell r="BI111">
            <v>8.3333333333333329E-2</v>
          </cell>
          <cell r="BJ111">
            <v>0</v>
          </cell>
          <cell r="BK111">
            <v>2.1</v>
          </cell>
          <cell r="BL111">
            <v>0.67532041073330418</v>
          </cell>
          <cell r="BM111">
            <v>0.65174189143127681</v>
          </cell>
          <cell r="BN111">
            <v>0.23329398386593017</v>
          </cell>
          <cell r="BO111">
            <v>0.46899927715682399</v>
          </cell>
          <cell r="BP111">
            <v>1.1958919231429759</v>
          </cell>
          <cell r="BQ111">
            <v>11.87346031745825</v>
          </cell>
          <cell r="BR111">
            <v>0.35540410300308894</v>
          </cell>
        </row>
        <row r="113">
          <cell r="A113" t="str">
            <v>YoY Change (bps)</v>
          </cell>
        </row>
        <row r="114">
          <cell r="A114" t="str">
            <v>YoY Change (bps)</v>
          </cell>
          <cell r="C114">
            <v>-186.75638095909164</v>
          </cell>
          <cell r="D114">
            <v>-83.921657330589539</v>
          </cell>
          <cell r="E114">
            <v>-191.90354312986545</v>
          </cell>
          <cell r="F114">
            <v>-60.203248932531594</v>
          </cell>
          <cell r="G114">
            <v>10.31877930785685</v>
          </cell>
          <cell r="H114">
            <v>132.20749744532912</v>
          </cell>
          <cell r="I114">
            <v>-219.11239466581191</v>
          </cell>
          <cell r="J114">
            <v>47.070823862042644</v>
          </cell>
          <cell r="K114">
            <v>83.135646463198825</v>
          </cell>
          <cell r="L114">
            <v>-83.749072843340983</v>
          </cell>
          <cell r="M114">
            <v>-103.57446420502737</v>
          </cell>
          <cell r="N114">
            <v>-186.86810989889725</v>
          </cell>
          <cell r="O114">
            <v>-194.19131234782338</v>
          </cell>
          <cell r="P114">
            <v>0</v>
          </cell>
          <cell r="Q114">
            <v>20.000000000000572</v>
          </cell>
          <cell r="R114">
            <v>19.999999999999464</v>
          </cell>
          <cell r="S114">
            <v>20</v>
          </cell>
          <cell r="T114">
            <v>20</v>
          </cell>
          <cell r="U114">
            <v>20.000000000000572</v>
          </cell>
          <cell r="AA114">
            <v>-150.00304380142992</v>
          </cell>
          <cell r="AB114">
            <v>-175.49000706895467</v>
          </cell>
          <cell r="AC114">
            <v>6.8246719319731142</v>
          </cell>
          <cell r="AD114">
            <v>236.8239343611306</v>
          </cell>
          <cell r="AE114">
            <v>134.18373938409002</v>
          </cell>
          <cell r="AF114">
            <v>98.606434700945215</v>
          </cell>
          <cell r="AG114">
            <v>30.609017800668493</v>
          </cell>
          <cell r="AH114">
            <v>-417.1624091607784</v>
          </cell>
          <cell r="AI114">
            <v>79.078459902747753</v>
          </cell>
          <cell r="AJ114">
            <v>137.83257008432471</v>
          </cell>
          <cell r="AK114">
            <v>87.355455002514077</v>
          </cell>
          <cell r="AL114">
            <v>274.25748896739657</v>
          </cell>
          <cell r="AM114">
            <v>-107.73721530101254</v>
          </cell>
          <cell r="AN114">
            <v>-281.40500699108009</v>
          </cell>
          <cell r="AO114">
            <v>-294.28077832333145</v>
          </cell>
          <cell r="AP114">
            <v>-96.246492861349338</v>
          </cell>
          <cell r="AQ114">
            <v>-133.658253553815</v>
          </cell>
          <cell r="AR114">
            <v>-26.023053603921319</v>
          </cell>
          <cell r="AS114">
            <v>171.51258171171801</v>
          </cell>
          <cell r="AT114">
            <v>151.59968250576193</v>
          </cell>
          <cell r="AU114">
            <v>171.96348413779205</v>
          </cell>
          <cell r="AV114">
            <v>63.425516332338837</v>
          </cell>
          <cell r="AW114">
            <v>89.981739019384108</v>
          </cell>
          <cell r="AX114">
            <v>-25.927957011498968</v>
          </cell>
          <cell r="AY114">
            <v>-73.719162468056098</v>
          </cell>
          <cell r="AZ114">
            <v>-105.69653740825025</v>
          </cell>
          <cell r="BA114">
            <v>-85.689553740925234</v>
          </cell>
          <cell r="BB114">
            <v>-61.854715002627735</v>
          </cell>
          <cell r="BC114">
            <v>-135.87321607282377</v>
          </cell>
          <cell r="BD114">
            <v>-79.811051256049041</v>
          </cell>
          <cell r="BE114">
            <v>-121.13469205846772</v>
          </cell>
          <cell r="BF114">
            <v>-72.469319341442741</v>
          </cell>
          <cell r="BG114">
            <v>-161.55477906630023</v>
          </cell>
          <cell r="BH114">
            <v>-150.48207874468588</v>
          </cell>
          <cell r="BI114">
            <v>-216.06639219373059</v>
          </cell>
          <cell r="BJ114">
            <v>-230.05940998083062</v>
          </cell>
          <cell r="BK114">
            <v>-220.44167936612681</v>
          </cell>
          <cell r="BL114">
            <v>-140.91795595761292</v>
          </cell>
          <cell r="BM114">
            <v>-177.46317080364449</v>
          </cell>
          <cell r="BN114">
            <v>-239.69945433964801</v>
          </cell>
          <cell r="BO114">
            <v>-15</v>
          </cell>
          <cell r="BP114">
            <v>-10</v>
          </cell>
          <cell r="BQ114">
            <v>-10</v>
          </cell>
          <cell r="BR114">
            <v>35.929653262446458</v>
          </cell>
        </row>
        <row r="115">
          <cell r="A115" t="str">
            <v>Gross Margin</v>
          </cell>
          <cell r="C115">
            <v>-186.75638095909164</v>
          </cell>
          <cell r="D115">
            <v>-83.921657330589539</v>
          </cell>
          <cell r="E115">
            <v>-191.90354312986545</v>
          </cell>
          <cell r="F115">
            <v>-60.203248932531594</v>
          </cell>
          <cell r="G115">
            <v>10.31877930785685</v>
          </cell>
          <cell r="H115">
            <v>132.20749744532912</v>
          </cell>
          <cell r="I115">
            <v>-219.11239466581191</v>
          </cell>
          <cell r="J115">
            <v>47.070823862042644</v>
          </cell>
          <cell r="K115">
            <v>83.135646463198825</v>
          </cell>
          <cell r="L115">
            <v>-83.749072843340983</v>
          </cell>
          <cell r="M115">
            <v>-103.57446420502737</v>
          </cell>
          <cell r="N115">
            <v>-186.86810989889725</v>
          </cell>
          <cell r="O115">
            <v>-29.508196721311776</v>
          </cell>
          <cell r="P115">
            <v>20.000000000000018</v>
          </cell>
          <cell r="Q115">
            <v>20.000000000000018</v>
          </cell>
          <cell r="R115">
            <v>20.000000000000018</v>
          </cell>
          <cell r="S115">
            <v>20.000000000000018</v>
          </cell>
          <cell r="T115">
            <v>20.000000000000018</v>
          </cell>
          <cell r="U115">
            <v>20.000000000000018</v>
          </cell>
          <cell r="AA115">
            <v>-150.00304380142992</v>
          </cell>
          <cell r="AB115">
            <v>-175.49000706895467</v>
          </cell>
          <cell r="AC115">
            <v>6.8246719319731142</v>
          </cell>
          <cell r="AD115">
            <v>236.8239343611306</v>
          </cell>
          <cell r="AE115">
            <v>134.18373938409002</v>
          </cell>
          <cell r="AF115">
            <v>98.606434700945215</v>
          </cell>
          <cell r="AG115">
            <v>30.609017800668493</v>
          </cell>
          <cell r="AH115">
            <v>-418.59355345191364</v>
          </cell>
          <cell r="AI115">
            <v>79.078459902747753</v>
          </cell>
          <cell r="AJ115">
            <v>137.83257008432471</v>
          </cell>
          <cell r="AK115">
            <v>87.355455002514077</v>
          </cell>
          <cell r="AL115">
            <v>275.68863325853175</v>
          </cell>
          <cell r="AM115">
            <v>-107.73721530101254</v>
          </cell>
          <cell r="AN115">
            <v>-281.40500699108009</v>
          </cell>
          <cell r="AO115">
            <v>-294.28077832333145</v>
          </cell>
          <cell r="AP115">
            <v>-96.246492861349338</v>
          </cell>
          <cell r="AQ115">
            <v>-133.658253553815</v>
          </cell>
          <cell r="AR115">
            <v>-26.023053603921319</v>
          </cell>
          <cell r="AS115">
            <v>171.51258171171801</v>
          </cell>
          <cell r="AT115">
            <v>151.59968250576193</v>
          </cell>
          <cell r="AU115">
            <v>171.96348413779205</v>
          </cell>
          <cell r="AV115">
            <v>63.425516332338837</v>
          </cell>
          <cell r="AW115">
            <v>89.981739019384108</v>
          </cell>
          <cell r="AX115">
            <v>-25.927957011498968</v>
          </cell>
          <cell r="AY115">
            <v>-73.719162468056098</v>
          </cell>
          <cell r="AZ115">
            <v>-105.69653740825025</v>
          </cell>
          <cell r="BA115">
            <v>-85.689553740925234</v>
          </cell>
          <cell r="BB115">
            <v>-61.854715002627735</v>
          </cell>
          <cell r="BC115">
            <v>-135.87321607282377</v>
          </cell>
          <cell r="BD115">
            <v>-79.811051256049041</v>
          </cell>
          <cell r="BE115">
            <v>-121.13469205846772</v>
          </cell>
          <cell r="BF115">
            <v>-72.469319341442741</v>
          </cell>
          <cell r="BG115">
            <v>-161.55477906630023</v>
          </cell>
          <cell r="BH115">
            <v>-150.48207874468588</v>
          </cell>
          <cell r="BI115">
            <v>-216.06639219373059</v>
          </cell>
          <cell r="BJ115">
            <v>-230.05940998083062</v>
          </cell>
          <cell r="BK115">
            <v>-220.44167936612681</v>
          </cell>
          <cell r="BL115">
            <v>20.471785383904262</v>
          </cell>
          <cell r="BM115">
            <v>-0.30581039755339656</v>
          </cell>
          <cell r="BN115">
            <v>104.71426997525623</v>
          </cell>
          <cell r="BO115">
            <v>-82.582745137516341</v>
          </cell>
          <cell r="BP115">
            <v>81.533987174081119</v>
          </cell>
          <cell r="BQ115">
            <v>27.479716580239288</v>
          </cell>
          <cell r="BR115">
            <v>160.7010710046647</v>
          </cell>
        </row>
        <row r="116">
          <cell r="A116" t="str">
            <v>Operating Margin</v>
          </cell>
          <cell r="C116">
            <v>-457.56549436149959</v>
          </cell>
          <cell r="D116">
            <v>17.641540442717986</v>
          </cell>
          <cell r="E116">
            <v>-76.405979858154566</v>
          </cell>
          <cell r="F116">
            <v>-32.176123729498464</v>
          </cell>
          <cell r="G116">
            <v>22.701216575329308</v>
          </cell>
          <cell r="H116">
            <v>19.302100424811453</v>
          </cell>
          <cell r="I116">
            <v>12.291854566995886</v>
          </cell>
          <cell r="J116">
            <v>79.009338414224032</v>
          </cell>
          <cell r="K116">
            <v>92.34668454148887</v>
          </cell>
          <cell r="L116">
            <v>-33.188951067258941</v>
          </cell>
          <cell r="M116">
            <v>-114.8737921225193</v>
          </cell>
          <cell r="N116">
            <v>-93.638734982197661</v>
          </cell>
          <cell r="O116">
            <v>-9.5733039427925437</v>
          </cell>
          <cell r="P116">
            <v>37.801051776075454</v>
          </cell>
          <cell r="Q116">
            <v>29.62385562641834</v>
          </cell>
          <cell r="R116">
            <v>19.319722235040526</v>
          </cell>
          <cell r="S116">
            <v>19.674235741841407</v>
          </cell>
          <cell r="T116">
            <v>19.988923118434975</v>
          </cell>
          <cell r="U116">
            <v>20.264560624069226</v>
          </cell>
          <cell r="AA116">
            <v>-80.103333927062366</v>
          </cell>
          <cell r="AB116">
            <v>-156.47451963241437</v>
          </cell>
          <cell r="AC116">
            <v>78.841374582226393</v>
          </cell>
          <cell r="AD116">
            <v>692.10043341747541</v>
          </cell>
          <cell r="AE116">
            <v>64.59187535839628</v>
          </cell>
          <cell r="AF116">
            <v>70.862528233487382</v>
          </cell>
          <cell r="AG116">
            <v>69.249922191098875</v>
          </cell>
          <cell r="AH116">
            <v>-810.78546717184645</v>
          </cell>
          <cell r="AI116">
            <v>195.50808636907001</v>
          </cell>
          <cell r="AJ116">
            <v>107.12091468404932</v>
          </cell>
          <cell r="AK116">
            <v>-103.59058153175809</v>
          </cell>
          <cell r="AL116">
            <v>-146.69867574242477</v>
          </cell>
          <cell r="AM116">
            <v>-158.8266943488087</v>
          </cell>
          <cell r="AN116">
            <v>-95.853816869952141</v>
          </cell>
          <cell r="AO116">
            <v>-26.24621214204398</v>
          </cell>
          <cell r="AP116">
            <v>347.78495841426724</v>
          </cell>
          <cell r="AQ116">
            <v>44.45604873803299</v>
          </cell>
          <cell r="AR116">
            <v>-67.385728918648297</v>
          </cell>
          <cell r="AS116">
            <v>298.68210957794128</v>
          </cell>
          <cell r="AT116">
            <v>138.74174184258612</v>
          </cell>
          <cell r="AU116">
            <v>249.76849750340452</v>
          </cell>
          <cell r="AV116">
            <v>105.42026928648308</v>
          </cell>
          <cell r="AW116">
            <v>20.347761746208061</v>
          </cell>
          <cell r="AX116">
            <v>-63.927460353592899</v>
          </cell>
          <cell r="AY116">
            <v>-125.5696024757802</v>
          </cell>
          <cell r="AZ116">
            <v>-128.24737396414542</v>
          </cell>
          <cell r="BA116">
            <v>6.3115506273900284</v>
          </cell>
          <cell r="BB116">
            <v>211.7998250408086</v>
          </cell>
          <cell r="BC116">
            <v>-83.901128278244812</v>
          </cell>
          <cell r="BD116">
            <v>-112.93902550861267</v>
          </cell>
          <cell r="BE116">
            <v>-185.66991308031189</v>
          </cell>
          <cell r="BF116">
            <v>-74.361960694509236</v>
          </cell>
          <cell r="BG116">
            <v>-51.000714595184625</v>
          </cell>
          <cell r="BH116">
            <v>-71.646456860486879</v>
          </cell>
          <cell r="BI116">
            <v>-90.734557295324976</v>
          </cell>
          <cell r="BJ116">
            <v>-162.12517246240967</v>
          </cell>
          <cell r="BK116">
            <v>-352.71506601100788</v>
          </cell>
          <cell r="BL116">
            <v>160.32207433538059</v>
          </cell>
          <cell r="BM116">
            <v>80.237949612319284</v>
          </cell>
          <cell r="BN116">
            <v>133.93564887847083</v>
          </cell>
          <cell r="BO116">
            <v>67.582745137516056</v>
          </cell>
          <cell r="BP116">
            <v>-91.533987174080849</v>
          </cell>
          <cell r="BQ116">
            <v>-37.479716580238467</v>
          </cell>
          <cell r="BR116">
            <v>-124.77141774221795</v>
          </cell>
        </row>
        <row r="118">
          <cell r="A118" t="str">
            <v>Divisional OI Margin Change YoY</v>
          </cell>
        </row>
        <row r="119">
          <cell r="A119" t="str">
            <v>U.S. Soup, Sauces and Beverages</v>
          </cell>
          <cell r="C119">
            <v>-584.60579385763958</v>
          </cell>
          <cell r="D119">
            <v>150.01636463860018</v>
          </cell>
          <cell r="E119">
            <v>-187.32597093714665</v>
          </cell>
          <cell r="F119">
            <v>-39.863028978647797</v>
          </cell>
          <cell r="G119">
            <v>82.646642985570168</v>
          </cell>
          <cell r="H119">
            <v>-7.1182970506100673</v>
          </cell>
          <cell r="I119">
            <v>-45.472254116015741</v>
          </cell>
          <cell r="J119">
            <v>24.638882910711366</v>
          </cell>
          <cell r="K119">
            <v>98.860065139134974</v>
          </cell>
          <cell r="L119">
            <v>-158.33525833525846</v>
          </cell>
          <cell r="M119">
            <v>-127.4562474562474</v>
          </cell>
          <cell r="N119">
            <v>106.95627958785842</v>
          </cell>
          <cell r="O119">
            <v>-85.240411846275734</v>
          </cell>
          <cell r="P119">
            <v>51.740715167029052</v>
          </cell>
          <cell r="Q119">
            <v>30.102824202072608</v>
          </cell>
          <cell r="R119">
            <v>6.3713609202614707</v>
          </cell>
          <cell r="S119">
            <v>6.7633606845451943</v>
          </cell>
          <cell r="T119">
            <v>7.166558711312887</v>
          </cell>
          <cell r="U119">
            <v>7.5810073508233984</v>
          </cell>
          <cell r="AA119">
            <v>-187.90520903196995</v>
          </cell>
          <cell r="AB119">
            <v>-340.51970931512909</v>
          </cell>
          <cell r="AC119">
            <v>178.84371267829908</v>
          </cell>
          <cell r="AD119">
            <v>850.79142941726059</v>
          </cell>
          <cell r="AE119">
            <v>130.05870273185505</v>
          </cell>
          <cell r="AF119">
            <v>128.25624121462238</v>
          </cell>
          <cell r="AG119">
            <v>5.9724729393290099</v>
          </cell>
          <cell r="AH119">
            <v>-326.85050387980391</v>
          </cell>
          <cell r="AI119">
            <v>174.23856375681112</v>
          </cell>
          <cell r="AJ119">
            <v>288.15943369542771</v>
          </cell>
          <cell r="AK119">
            <v>-151.40339030007084</v>
          </cell>
          <cell r="AL119">
            <v>-648.02248351569165</v>
          </cell>
          <cell r="AM119">
            <v>-234.94771429858841</v>
          </cell>
          <cell r="AN119">
            <v>-48.718231690168537</v>
          </cell>
          <cell r="AO119">
            <v>-126.07510922348575</v>
          </cell>
          <cell r="AP119">
            <v>440.15905657522336</v>
          </cell>
          <cell r="AQ119">
            <v>-204.85372917183443</v>
          </cell>
          <cell r="AR119">
            <v>-223.03439683868302</v>
          </cell>
          <cell r="AS119">
            <v>292.52786561023538</v>
          </cell>
          <cell r="AT119">
            <v>434.4267916333294</v>
          </cell>
          <cell r="AU119">
            <v>282.47371349910679</v>
          </cell>
          <cell r="AV119">
            <v>31.476611682205725</v>
          </cell>
          <cell r="AW119">
            <v>110.21856902671433</v>
          </cell>
          <cell r="AX119">
            <v>-118.53798375537517</v>
          </cell>
          <cell r="AY119">
            <v>-228.98474654451218</v>
          </cell>
          <cell r="AZ119">
            <v>-272.45175428952581</v>
          </cell>
          <cell r="BA119">
            <v>-42.865111315904535</v>
          </cell>
          <cell r="BB119">
            <v>-0.23023320065068686</v>
          </cell>
          <cell r="BC119">
            <v>30.699855211702154</v>
          </cell>
          <cell r="BD119">
            <v>-95.27293702733725</v>
          </cell>
          <cell r="BE119">
            <v>-351.6875362799571</v>
          </cell>
          <cell r="BF119">
            <v>-148.80906557452778</v>
          </cell>
          <cell r="BG119">
            <v>96.619437375335409</v>
          </cell>
          <cell r="BH119">
            <v>188.93647707727334</v>
          </cell>
          <cell r="BI119">
            <v>161.87683284457495</v>
          </cell>
          <cell r="BJ119">
            <v>-57.393842440571497</v>
          </cell>
          <cell r="BK119">
            <v>-526.91592203817777</v>
          </cell>
          <cell r="BL119">
            <v>264.57769972179386</v>
          </cell>
          <cell r="BM119">
            <v>82.511312136926421</v>
          </cell>
          <cell r="BN119">
            <v>-68.349324970589649</v>
          </cell>
          <cell r="BO119">
            <v>225.87363463146741</v>
          </cell>
          <cell r="BP119">
            <v>-23.666431017358434</v>
          </cell>
          <cell r="BQ119">
            <v>59.693210879123711</v>
          </cell>
          <cell r="BR119">
            <v>-105.70544401716813</v>
          </cell>
        </row>
        <row r="120">
          <cell r="A120" t="str">
            <v>U.S. Simple Meals</v>
          </cell>
          <cell r="L120">
            <v>-120.28672536677692</v>
          </cell>
          <cell r="M120">
            <v>25.570638889933495</v>
          </cell>
          <cell r="N120">
            <v>152.01946236428981</v>
          </cell>
          <cell r="O120">
            <v>-105.81256581256582</v>
          </cell>
          <cell r="P120">
            <v>50.000000000000043</v>
          </cell>
          <cell r="Q120">
            <v>30.000000000000028</v>
          </cell>
          <cell r="R120">
            <v>0</v>
          </cell>
          <cell r="S120">
            <v>0</v>
          </cell>
          <cell r="T120">
            <v>0</v>
          </cell>
          <cell r="U120">
            <v>0</v>
          </cell>
          <cell r="BC120">
            <v>302.22258464016107</v>
          </cell>
          <cell r="BD120">
            <v>9.5127182159904233</v>
          </cell>
          <cell r="BE120">
            <v>-280.14960773581481</v>
          </cell>
          <cell r="BF120">
            <v>-87.422178156031379</v>
          </cell>
          <cell r="BG120">
            <v>83.207338999673482</v>
          </cell>
          <cell r="BH120">
            <v>181.26668142985358</v>
          </cell>
          <cell r="BI120">
            <v>371.63616110984537</v>
          </cell>
          <cell r="BJ120">
            <v>-24.727970326435532</v>
          </cell>
          <cell r="BK120">
            <v>-604.54734219269142</v>
          </cell>
          <cell r="BL120">
            <v>307.08283313325342</v>
          </cell>
          <cell r="BM120">
            <v>61.961722488038383</v>
          </cell>
          <cell r="BN120">
            <v>-76.159885005627487</v>
          </cell>
          <cell r="BO120">
            <v>200</v>
          </cell>
          <cell r="BP120">
            <v>-25</v>
          </cell>
          <cell r="BQ120">
            <v>25</v>
          </cell>
          <cell r="BR120">
            <v>110.59766717109815</v>
          </cell>
        </row>
        <row r="121">
          <cell r="A121" t="str">
            <v>U.S. Beverages</v>
          </cell>
          <cell r="L121">
            <v>-305.52011038145895</v>
          </cell>
          <cell r="M121">
            <v>-666.62581323855363</v>
          </cell>
          <cell r="N121">
            <v>-114.01547601635365</v>
          </cell>
          <cell r="O121">
            <v>-47.250673854447314</v>
          </cell>
          <cell r="P121">
            <v>55.00000000000005</v>
          </cell>
          <cell r="Q121">
            <v>50.000000000000043</v>
          </cell>
          <cell r="R121">
            <v>0</v>
          </cell>
          <cell r="S121">
            <v>0</v>
          </cell>
          <cell r="T121">
            <v>0</v>
          </cell>
          <cell r="U121">
            <v>0</v>
          </cell>
          <cell r="BC121">
            <v>-1167.7753141167777</v>
          </cell>
          <cell r="BD121">
            <v>-570.70707070707078</v>
          </cell>
          <cell r="BE121">
            <v>-563.81118881118857</v>
          </cell>
          <cell r="BF121">
            <v>-323.32998493219469</v>
          </cell>
          <cell r="BG121">
            <v>72.15007215007202</v>
          </cell>
          <cell r="BH121">
            <v>214.78521478521472</v>
          </cell>
          <cell r="BI121">
            <v>-496.79487179487199</v>
          </cell>
          <cell r="BJ121">
            <v>-225.14610545141005</v>
          </cell>
          <cell r="BK121">
            <v>-200.01835030736771</v>
          </cell>
          <cell r="BL121">
            <v>27.032967032966926</v>
          </cell>
          <cell r="BM121">
            <v>133.33333333333337</v>
          </cell>
          <cell r="BN121">
            <v>-127.22807511653542</v>
          </cell>
          <cell r="BO121">
            <v>300</v>
          </cell>
          <cell r="BP121">
            <v>-25</v>
          </cell>
          <cell r="BQ121">
            <v>175</v>
          </cell>
          <cell r="BR121">
            <v>-738.98231046730905</v>
          </cell>
        </row>
        <row r="122">
          <cell r="A122" t="str">
            <v>Global Baking and Snacking</v>
          </cell>
          <cell r="C122">
            <v>-172.15190338127019</v>
          </cell>
          <cell r="D122">
            <v>-166.51053254745821</v>
          </cell>
          <cell r="E122">
            <v>-98.312728687259124</v>
          </cell>
          <cell r="F122">
            <v>61.562092726789999</v>
          </cell>
          <cell r="G122">
            <v>-48.914425713885848</v>
          </cell>
          <cell r="H122">
            <v>131.18705425517103</v>
          </cell>
          <cell r="I122">
            <v>109.82586084626905</v>
          </cell>
          <cell r="J122">
            <v>152.73746087198225</v>
          </cell>
          <cell r="K122">
            <v>194.84345214421884</v>
          </cell>
          <cell r="L122">
            <v>16.18797116084647</v>
          </cell>
          <cell r="M122">
            <v>-210.17920910436055</v>
          </cell>
          <cell r="N122">
            <v>-46.155336872571176</v>
          </cell>
          <cell r="O122">
            <v>-40.233172019357724</v>
          </cell>
          <cell r="P122">
            <v>10.000000000000009</v>
          </cell>
          <cell r="Q122">
            <v>20.000000000000018</v>
          </cell>
          <cell r="R122">
            <v>20.000000000000018</v>
          </cell>
          <cell r="S122">
            <v>20.000000000000018</v>
          </cell>
          <cell r="T122">
            <v>20.000000000000018</v>
          </cell>
          <cell r="U122">
            <v>20.000000000000018</v>
          </cell>
          <cell r="AA122">
            <v>-29.659928045228796</v>
          </cell>
          <cell r="AB122">
            <v>-18.673538839215492</v>
          </cell>
          <cell r="AC122">
            <v>113.51354651979312</v>
          </cell>
          <cell r="AD122">
            <v>-405.79858098106268</v>
          </cell>
          <cell r="AE122">
            <v>2.5772945215471466</v>
          </cell>
          <cell r="AF122">
            <v>-106.8600375759729</v>
          </cell>
          <cell r="AG122">
            <v>21.782936137159233</v>
          </cell>
          <cell r="AH122">
            <v>483.12418175431861</v>
          </cell>
          <cell r="AI122">
            <v>422.42592659424747</v>
          </cell>
          <cell r="AJ122">
            <v>257.02638037439789</v>
          </cell>
          <cell r="AK122">
            <v>213.70001397083325</v>
          </cell>
          <cell r="AL122">
            <v>-375.18541139516611</v>
          </cell>
          <cell r="AM122">
            <v>-32.778226558130839</v>
          </cell>
          <cell r="AN122">
            <v>195.50140412894672</v>
          </cell>
          <cell r="AO122">
            <v>-7.2273265215780373</v>
          </cell>
          <cell r="AP122">
            <v>310.50457491346106</v>
          </cell>
          <cell r="AQ122">
            <v>258.46787893111957</v>
          </cell>
          <cell r="AR122">
            <v>-134.92871690427705</v>
          </cell>
          <cell r="AS122">
            <v>309.85108290734962</v>
          </cell>
          <cell r="AT122">
            <v>129.84241760542386</v>
          </cell>
          <cell r="AU122">
            <v>256.14412277124967</v>
          </cell>
          <cell r="AV122">
            <v>242.84253578732097</v>
          </cell>
          <cell r="AW122">
            <v>247.58374799963039</v>
          </cell>
          <cell r="AX122">
            <v>43.321655451719067</v>
          </cell>
          <cell r="AY122">
            <v>-48.557158712541629</v>
          </cell>
          <cell r="AZ122">
            <v>47.081418585302735</v>
          </cell>
          <cell r="BA122">
            <v>-37.314175010641215</v>
          </cell>
          <cell r="BB122">
            <v>121.78771367002655</v>
          </cell>
          <cell r="BC122">
            <v>-288.93951946976</v>
          </cell>
          <cell r="BD122">
            <v>-190.11406844106489</v>
          </cell>
          <cell r="BE122">
            <v>-211.59417251127883</v>
          </cell>
          <cell r="BF122">
            <v>-152.9903090050322</v>
          </cell>
          <cell r="BG122">
            <v>-68.459537714089251</v>
          </cell>
          <cell r="BH122">
            <v>-30.73680215259278</v>
          </cell>
          <cell r="BI122">
            <v>-59.171789484605554</v>
          </cell>
          <cell r="BJ122">
            <v>-19.121544869367678</v>
          </cell>
          <cell r="BK122">
            <v>-200.04805959389637</v>
          </cell>
          <cell r="BL122">
            <v>-29.073083778966001</v>
          </cell>
          <cell r="BM122">
            <v>14.788732394366289</v>
          </cell>
          <cell r="BN122">
            <v>37.370007323798418</v>
          </cell>
          <cell r="BO122">
            <v>0</v>
          </cell>
          <cell r="BP122">
            <v>-50</v>
          </cell>
          <cell r="BQ122">
            <v>150</v>
          </cell>
          <cell r="BR122">
            <v>-179.28293496063591</v>
          </cell>
        </row>
        <row r="123">
          <cell r="A123" t="str">
            <v>International Simple Meals and Beverages</v>
          </cell>
          <cell r="C123">
            <v>193.03797468354435</v>
          </cell>
          <cell r="D123">
            <v>397.77468706536837</v>
          </cell>
          <cell r="E123">
            <v>-112.50822938511762</v>
          </cell>
          <cell r="F123">
            <v>-11.044496435388684</v>
          </cell>
          <cell r="G123">
            <v>50.322922622055565</v>
          </cell>
          <cell r="H123">
            <v>-117.40202672406053</v>
          </cell>
          <cell r="I123">
            <v>-39.440993788819881</v>
          </cell>
          <cell r="J123">
            <v>-165.49110432677122</v>
          </cell>
          <cell r="K123">
            <v>129.20174975699251</v>
          </cell>
          <cell r="L123">
            <v>133.11243995121652</v>
          </cell>
          <cell r="M123">
            <v>-48.92861846024568</v>
          </cell>
          <cell r="N123">
            <v>27.211494811076737</v>
          </cell>
          <cell r="O123">
            <v>-42.80782508630621</v>
          </cell>
          <cell r="P123">
            <v>30.000000000000028</v>
          </cell>
          <cell r="Q123">
            <v>20.000000000000018</v>
          </cell>
          <cell r="R123">
            <v>20.000000000000018</v>
          </cell>
          <cell r="S123">
            <v>20.000000000000018</v>
          </cell>
          <cell r="T123">
            <v>20.000000000000018</v>
          </cell>
          <cell r="U123">
            <v>20.000000000000018</v>
          </cell>
          <cell r="AA123">
            <v>-74.980071741729546</v>
          </cell>
          <cell r="AB123">
            <v>-47.817482804013714</v>
          </cell>
          <cell r="AC123">
            <v>-50.161812297734585</v>
          </cell>
          <cell r="AD123">
            <v>794.66569236390217</v>
          </cell>
          <cell r="AE123">
            <v>11.446886446886406</v>
          </cell>
          <cell r="AF123">
            <v>302.51664150850036</v>
          </cell>
          <cell r="AG123">
            <v>294.57364341085287</v>
          </cell>
          <cell r="AH123">
            <v>-1484.7109412326804</v>
          </cell>
          <cell r="AI123">
            <v>77.759427470409932</v>
          </cell>
          <cell r="AJ123">
            <v>-216.62259393641247</v>
          </cell>
          <cell r="AK123">
            <v>-366.90990929550583</v>
          </cell>
          <cell r="AL123">
            <v>422.57903908389341</v>
          </cell>
          <cell r="AM123">
            <v>-76.229252418384135</v>
          </cell>
          <cell r="AN123">
            <v>-128.51831034631834</v>
          </cell>
          <cell r="AO123">
            <v>-110.9970674486803</v>
          </cell>
          <cell r="AP123">
            <v>130.96962219957453</v>
          </cell>
          <cell r="AQ123">
            <v>-311.05398457583533</v>
          </cell>
          <cell r="AR123">
            <v>-53.105350741017851</v>
          </cell>
          <cell r="AS123">
            <v>-173.56902356902361</v>
          </cell>
          <cell r="AT123">
            <v>-88.416907224378306</v>
          </cell>
          <cell r="AU123">
            <v>176.47058823529406</v>
          </cell>
          <cell r="AV123">
            <v>414.59146587696864</v>
          </cell>
          <cell r="AW123">
            <v>141.39379698292083</v>
          </cell>
          <cell r="AX123">
            <v>-443.91631469418405</v>
          </cell>
          <cell r="AY123">
            <v>194.49715370018967</v>
          </cell>
          <cell r="AZ123">
            <v>-54.408975034923031</v>
          </cell>
          <cell r="BA123">
            <v>40.367316981582967</v>
          </cell>
          <cell r="BB123">
            <v>545.97053921347811</v>
          </cell>
          <cell r="BC123">
            <v>-197.25882174769032</v>
          </cell>
          <cell r="BD123">
            <v>-136.80894661188853</v>
          </cell>
          <cell r="BE123">
            <v>80.745962701864883</v>
          </cell>
          <cell r="BF123">
            <v>140.50632911392398</v>
          </cell>
          <cell r="BG123">
            <v>306.11170761489723</v>
          </cell>
          <cell r="BH123">
            <v>-91.889512490370976</v>
          </cell>
          <cell r="BI123">
            <v>5.5063913470992931</v>
          </cell>
          <cell r="BJ123">
            <v>-151.33689839572196</v>
          </cell>
          <cell r="BK123">
            <v>-443.55119775087729</v>
          </cell>
          <cell r="BL123">
            <v>-10.25641025641011</v>
          </cell>
          <cell r="BM123">
            <v>5.5555555555555909</v>
          </cell>
          <cell r="BN123">
            <v>327.88525574877383</v>
          </cell>
          <cell r="BO123">
            <v>25</v>
          </cell>
          <cell r="BP123">
            <v>-25</v>
          </cell>
          <cell r="BQ123">
            <v>-75</v>
          </cell>
          <cell r="BR123">
            <v>3.4112292853787087</v>
          </cell>
        </row>
        <row r="124">
          <cell r="A124" t="str">
            <v>North America Foodservice</v>
          </cell>
          <cell r="C124">
            <v>-544.29710078393816</v>
          </cell>
          <cell r="D124">
            <v>-844.54217252645287</v>
          </cell>
          <cell r="E124">
            <v>-33.579823527310346</v>
          </cell>
          <cell r="F124">
            <v>-73.717789788598637</v>
          </cell>
          <cell r="G124">
            <v>-30.015971801509028</v>
          </cell>
          <cell r="H124">
            <v>80.646212822552272</v>
          </cell>
          <cell r="I124">
            <v>-43.577092131345388</v>
          </cell>
          <cell r="J124">
            <v>-183.71574575512028</v>
          </cell>
          <cell r="K124">
            <v>-124.16888585936189</v>
          </cell>
          <cell r="L124">
            <v>645.88587179637557</v>
          </cell>
          <cell r="M124">
            <v>3.6121144762432666</v>
          </cell>
          <cell r="N124">
            <v>-513.9884910326997</v>
          </cell>
          <cell r="O124">
            <v>10.545868081880128</v>
          </cell>
          <cell r="P124">
            <v>20.000000000000018</v>
          </cell>
          <cell r="Q124">
            <v>50.000000000000043</v>
          </cell>
          <cell r="R124">
            <v>50.000000000000043</v>
          </cell>
          <cell r="S124">
            <v>50.000000000000043</v>
          </cell>
          <cell r="T124">
            <v>50.000000000000043</v>
          </cell>
          <cell r="U124">
            <v>50.000000000000043</v>
          </cell>
          <cell r="AA124">
            <v>-157.6295185740463</v>
          </cell>
          <cell r="AB124">
            <v>-19.944643438619124</v>
          </cell>
          <cell r="AC124">
            <v>-20.366950308093184</v>
          </cell>
          <cell r="AD124">
            <v>2433.6482231219074</v>
          </cell>
          <cell r="AE124">
            <v>87.193998420636987</v>
          </cell>
          <cell r="AF124">
            <v>-142.62176912779339</v>
          </cell>
          <cell r="AG124">
            <v>-31.358021090092393</v>
          </cell>
          <cell r="AH124">
            <v>-2565.8119658119658</v>
          </cell>
          <cell r="AI124">
            <v>-32.956818117799436</v>
          </cell>
          <cell r="AJ124">
            <v>-53.243659801036905</v>
          </cell>
          <cell r="AK124">
            <v>-174.88139167105953</v>
          </cell>
          <cell r="AL124">
            <v>832.55813953488371</v>
          </cell>
          <cell r="AM124">
            <v>-66.552451238798128</v>
          </cell>
          <cell r="AN124">
            <v>-751.51012842787748</v>
          </cell>
          <cell r="AO124">
            <v>481.7993564499838</v>
          </cell>
          <cell r="AP124">
            <v>-232.55813953488371</v>
          </cell>
          <cell r="AQ124">
            <v>211.43733567046451</v>
          </cell>
          <cell r="AR124">
            <v>-179.46308555851152</v>
          </cell>
          <cell r="AS124">
            <v>-103.22792787855528</v>
          </cell>
          <cell r="AT124">
            <v>0</v>
          </cell>
          <cell r="AU124">
            <v>530.92564725855607</v>
          </cell>
          <cell r="AV124">
            <v>87.587297912567053</v>
          </cell>
          <cell r="AW124">
            <v>-1405.4794520547944</v>
          </cell>
          <cell r="AX124">
            <v>263.15789473684208</v>
          </cell>
          <cell r="AY124">
            <v>-131.95215192995434</v>
          </cell>
          <cell r="AZ124">
            <v>259.9315341135258</v>
          </cell>
          <cell r="BA124">
            <v>1634.050880626223</v>
          </cell>
          <cell r="BB124">
            <v>1016.8421052631579</v>
          </cell>
          <cell r="BC124">
            <v>163.3986928104575</v>
          </cell>
          <cell r="BD124">
            <v>289.38318577595686</v>
          </cell>
          <cell r="BE124">
            <v>-129.87012987012992</v>
          </cell>
          <cell r="BF124">
            <v>-453.55371900826447</v>
          </cell>
          <cell r="BG124">
            <v>-614.03508771929819</v>
          </cell>
          <cell r="BH124">
            <v>-766.22438255386237</v>
          </cell>
          <cell r="BI124">
            <v>-513.817577771066</v>
          </cell>
          <cell r="BJ124">
            <v>6.8870523415977267</v>
          </cell>
          <cell r="BK124">
            <v>-173.8437001594896</v>
          </cell>
          <cell r="BL124">
            <v>10.219925548589359</v>
          </cell>
          <cell r="BM124">
            <v>9.4118384121891214</v>
          </cell>
          <cell r="BN124">
            <v>199.24971861445289</v>
          </cell>
          <cell r="BO124">
            <v>10</v>
          </cell>
          <cell r="BP124">
            <v>-35</v>
          </cell>
          <cell r="BQ124">
            <v>10</v>
          </cell>
          <cell r="BR124">
            <v>-47.795641393147406</v>
          </cell>
        </row>
        <row r="125">
          <cell r="A125" t="str">
            <v>Unallocated Corporate Expense</v>
          </cell>
          <cell r="C125">
            <v>-19.683646816595868</v>
          </cell>
          <cell r="D125">
            <v>39.993237649590988</v>
          </cell>
          <cell r="E125">
            <v>80.638199910342323</v>
          </cell>
          <cell r="F125">
            <v>-2.7289127890685152</v>
          </cell>
          <cell r="G125">
            <v>-21.438629252409637</v>
          </cell>
          <cell r="H125">
            <v>-18.298414359618089</v>
          </cell>
          <cell r="I125">
            <v>-10.041895558376961</v>
          </cell>
          <cell r="J125">
            <v>25.31017674007218</v>
          </cell>
          <cell r="K125">
            <v>-2.2699586344775149</v>
          </cell>
          <cell r="L125">
            <v>-12.164005076433764</v>
          </cell>
          <cell r="M125">
            <v>-31.200806372618707</v>
          </cell>
          <cell r="N125">
            <v>-12.10061429973465</v>
          </cell>
          <cell r="O125">
            <v>47.466467958271231</v>
          </cell>
          <cell r="P125">
            <v>0</v>
          </cell>
          <cell r="Q125">
            <v>0</v>
          </cell>
          <cell r="R125">
            <v>0</v>
          </cell>
          <cell r="S125">
            <v>0</v>
          </cell>
          <cell r="T125">
            <v>0</v>
          </cell>
          <cell r="U125">
            <v>0</v>
          </cell>
          <cell r="AA125">
            <v>41.460834292193425</v>
          </cell>
          <cell r="AB125">
            <v>29.606066448171713</v>
          </cell>
          <cell r="AC125">
            <v>28.76383248695883</v>
          </cell>
          <cell r="AD125">
            <v>-120.15885345520951</v>
          </cell>
          <cell r="AE125">
            <v>19.904759962012779</v>
          </cell>
          <cell r="AF125">
            <v>-28.171858394060116</v>
          </cell>
          <cell r="AG125">
            <v>-37.29807335120428</v>
          </cell>
          <cell r="AH125">
            <v>-79.190152247469811</v>
          </cell>
          <cell r="AI125">
            <v>-35.453670949606305</v>
          </cell>
          <cell r="AJ125">
            <v>-28.280186232238975</v>
          </cell>
          <cell r="AK125">
            <v>-23.776604658957595</v>
          </cell>
          <cell r="AL125">
            <v>30.66865256403397</v>
          </cell>
          <cell r="AM125">
            <v>-1.0833548589476125</v>
          </cell>
          <cell r="AN125">
            <v>33.251456896815377</v>
          </cell>
          <cell r="AO125">
            <v>3.6932187947416248</v>
          </cell>
          <cell r="AP125">
            <v>32.43695149326981</v>
          </cell>
          <cell r="AQ125">
            <v>28.511749347258487</v>
          </cell>
          <cell r="AR125">
            <v>-9.7850397796816679</v>
          </cell>
          <cell r="AS125">
            <v>59.896068548994116</v>
          </cell>
          <cell r="AT125">
            <v>-105.46933076895677</v>
          </cell>
          <cell r="AU125">
            <v>-11.069753366621267</v>
          </cell>
          <cell r="AV125">
            <v>-16.678829224986025</v>
          </cell>
          <cell r="AW125">
            <v>1.7049725953632682</v>
          </cell>
          <cell r="AX125">
            <v>24.712179845346217</v>
          </cell>
          <cell r="AY125">
            <v>-10.698202434483699</v>
          </cell>
          <cell r="AZ125">
            <v>-1.8168196005136776</v>
          </cell>
          <cell r="BA125">
            <v>-59.999522501504416</v>
          </cell>
          <cell r="BB125">
            <v>31.072883538996489</v>
          </cell>
          <cell r="BC125">
            <v>-58.595981337025719</v>
          </cell>
          <cell r="BD125">
            <v>-34.833855623395607</v>
          </cell>
          <cell r="BE125">
            <v>-5.6911313852252983</v>
          </cell>
          <cell r="BF125">
            <v>-17.758875033643541</v>
          </cell>
          <cell r="BG125">
            <v>14.967111741305308</v>
          </cell>
          <cell r="BH125">
            <v>0.26661804061450106</v>
          </cell>
          <cell r="BI125">
            <v>-22.098313180103947</v>
          </cell>
          <cell r="BJ125">
            <v>-50.507462640945398</v>
          </cell>
          <cell r="BK125">
            <v>43.256717621613682</v>
          </cell>
          <cell r="BL125">
            <v>35.01387604070306</v>
          </cell>
          <cell r="BM125">
            <v>48.776758409785941</v>
          </cell>
          <cell r="BN125">
            <v>72.950322390467093</v>
          </cell>
          <cell r="BO125">
            <v>-50</v>
          </cell>
          <cell r="BP125">
            <v>-50</v>
          </cell>
          <cell r="BQ125">
            <v>-50</v>
          </cell>
          <cell r="BR125">
            <v>-12.985191548970237</v>
          </cell>
        </row>
        <row r="127">
          <cell r="A127" t="str">
            <v xml:space="preserve">   North America Foodservice (ex-Bolthouse)</v>
          </cell>
          <cell r="N127">
            <v>-393.61332108072065</v>
          </cell>
          <cell r="BG127">
            <v>-358.62219315456719</v>
          </cell>
          <cell r="BH127">
            <v>-663.25954224353166</v>
          </cell>
          <cell r="BI127">
            <v>-579.27683826964392</v>
          </cell>
          <cell r="BJ127">
            <v>162.03885565150748</v>
          </cell>
          <cell r="BK127">
            <v>-1308.0444735120993</v>
          </cell>
          <cell r="BL127">
            <v>-955.23756758305797</v>
          </cell>
          <cell r="BM127">
            <v>-719.42446043165467</v>
          </cell>
          <cell r="BN127">
            <v>-988.48513664324298</v>
          </cell>
        </row>
        <row r="128">
          <cell r="A128" t="str">
            <v xml:space="preserve">   Total (ex-Bolthouse)</v>
          </cell>
          <cell r="N128">
            <v>-15.860203288850238</v>
          </cell>
          <cell r="BG128">
            <v>39.800518178626511</v>
          </cell>
          <cell r="BH128">
            <v>1.0966323148364765</v>
          </cell>
          <cell r="BI128">
            <v>-22.169441031096859</v>
          </cell>
          <cell r="BJ128">
            <v>-103.05473561067868</v>
          </cell>
          <cell r="BK128">
            <v>-2000.098284928006</v>
          </cell>
          <cell r="BL128">
            <v>-1575.9808320060356</v>
          </cell>
          <cell r="BM128">
            <v>-1485.4866249288559</v>
          </cell>
          <cell r="BN128">
            <v>-1266.2671867066351</v>
          </cell>
        </row>
        <row r="130">
          <cell r="A130" t="str">
            <v>Segment Data</v>
          </cell>
        </row>
        <row r="132">
          <cell r="A132" t="str">
            <v>Net Sales</v>
          </cell>
        </row>
        <row r="133">
          <cell r="A133" t="str">
            <v>U.S. Soup, Sauces and Beverages</v>
          </cell>
          <cell r="B133">
            <v>2532</v>
          </cell>
          <cell r="C133">
            <v>2524</v>
          </cell>
          <cell r="D133">
            <v>2944</v>
          </cell>
          <cell r="E133">
            <v>2998</v>
          </cell>
          <cell r="F133">
            <v>3098</v>
          </cell>
          <cell r="G133">
            <v>3257</v>
          </cell>
          <cell r="H133">
            <v>3489</v>
          </cell>
          <cell r="I133">
            <v>3674</v>
          </cell>
          <cell r="J133">
            <v>3784</v>
          </cell>
          <cell r="K133">
            <v>3700</v>
          </cell>
          <cell r="L133">
            <v>3510</v>
          </cell>
          <cell r="M133">
            <v>3500</v>
          </cell>
          <cell r="N133">
            <v>3591</v>
          </cell>
          <cell r="O133">
            <v>3666.043076923077</v>
          </cell>
          <cell r="P133">
            <v>3761.4540307692305</v>
          </cell>
          <cell r="Q133">
            <v>3838.9818244905655</v>
          </cell>
          <cell r="R133">
            <v>3918.5963656758154</v>
          </cell>
          <cell r="S133">
            <v>4000.3694309380726</v>
          </cell>
          <cell r="T133">
            <v>4084.3756478332652</v>
          </cell>
          <cell r="U133">
            <v>4170.6926154269267</v>
          </cell>
          <cell r="W133">
            <v>900</v>
          </cell>
          <cell r="X133">
            <v>950</v>
          </cell>
          <cell r="Y133">
            <v>637</v>
          </cell>
          <cell r="Z133">
            <v>511</v>
          </cell>
          <cell r="AA133">
            <v>994</v>
          </cell>
          <cell r="AB133">
            <v>956</v>
          </cell>
          <cell r="AC133">
            <v>627</v>
          </cell>
          <cell r="AD133">
            <v>1018</v>
          </cell>
          <cell r="AE133">
            <v>970</v>
          </cell>
          <cell r="AF133">
            <v>1018</v>
          </cell>
          <cell r="AG133">
            <v>713</v>
          </cell>
          <cell r="AH133">
            <v>556</v>
          </cell>
          <cell r="AI133">
            <v>1052</v>
          </cell>
          <cell r="AJ133">
            <v>1028</v>
          </cell>
          <cell r="AK133">
            <v>810</v>
          </cell>
          <cell r="AL133">
            <v>599</v>
          </cell>
          <cell r="AM133">
            <v>1097</v>
          </cell>
          <cell r="AN133">
            <v>1093</v>
          </cell>
          <cell r="AO133">
            <v>811</v>
          </cell>
          <cell r="AP133">
            <v>673</v>
          </cell>
          <cell r="AQ133">
            <v>1198</v>
          </cell>
          <cell r="AR133">
            <v>1128</v>
          </cell>
          <cell r="AS133">
            <v>808</v>
          </cell>
          <cell r="AT133">
            <v>650</v>
          </cell>
          <cell r="AU133">
            <v>1140</v>
          </cell>
          <cell r="AV133">
            <v>1068</v>
          </cell>
          <cell r="AW133">
            <v>848</v>
          </cell>
          <cell r="AX133">
            <v>644</v>
          </cell>
          <cell r="AY133">
            <v>1103</v>
          </cell>
          <cell r="AZ133">
            <v>1022</v>
          </cell>
          <cell r="BA133">
            <v>778</v>
          </cell>
          <cell r="BB133">
            <v>607</v>
          </cell>
          <cell r="BC133">
            <v>1072</v>
          </cell>
          <cell r="BD133">
            <v>1011</v>
          </cell>
          <cell r="BE133">
            <v>775</v>
          </cell>
          <cell r="BF133">
            <v>642</v>
          </cell>
          <cell r="BG133">
            <v>1085</v>
          </cell>
          <cell r="BH133">
            <v>1015</v>
          </cell>
          <cell r="BI133">
            <v>825</v>
          </cell>
          <cell r="BJ133">
            <v>666</v>
          </cell>
          <cell r="BK133">
            <v>1033</v>
          </cell>
          <cell r="BL133">
            <v>1058.7085</v>
          </cell>
          <cell r="BM133">
            <v>819.9559999999999</v>
          </cell>
          <cell r="BN133">
            <v>754.37857692307705</v>
          </cell>
          <cell r="BO133">
            <v>1067.375</v>
          </cell>
          <cell r="BP133">
            <v>1045.96</v>
          </cell>
          <cell r="BQ133">
            <v>842.8599999999999</v>
          </cell>
          <cell r="BR133">
            <v>657.2149999999998</v>
          </cell>
        </row>
        <row r="134">
          <cell r="A134" t="str">
            <v>U.S. Simple Meals</v>
          </cell>
          <cell r="K134">
            <v>2938</v>
          </cell>
          <cell r="L134">
            <v>2751</v>
          </cell>
          <cell r="M134">
            <v>2726</v>
          </cell>
          <cell r="N134">
            <v>2849</v>
          </cell>
          <cell r="O134">
            <v>2943.4330769230769</v>
          </cell>
          <cell r="P134">
            <v>3023.2473230769228</v>
          </cell>
          <cell r="Q134">
            <v>3068.5960329230766</v>
          </cell>
          <cell r="R134">
            <v>3114.6249734169223</v>
          </cell>
          <cell r="S134">
            <v>3161.3443480181759</v>
          </cell>
          <cell r="T134">
            <v>3208.7645132384482</v>
          </cell>
          <cell r="U134">
            <v>3256.8959809370244</v>
          </cell>
          <cell r="AX134">
            <v>467</v>
          </cell>
          <cell r="AY134">
            <v>898</v>
          </cell>
          <cell r="AZ134">
            <v>842</v>
          </cell>
          <cell r="BA134">
            <v>580</v>
          </cell>
          <cell r="BB134">
            <v>431</v>
          </cell>
          <cell r="BC134">
            <v>874</v>
          </cell>
          <cell r="BD134">
            <v>824</v>
          </cell>
          <cell r="BE134">
            <v>567</v>
          </cell>
          <cell r="BF134">
            <v>461</v>
          </cell>
          <cell r="BG134">
            <v>896</v>
          </cell>
          <cell r="BH134">
            <v>833</v>
          </cell>
          <cell r="BI134">
            <v>627</v>
          </cell>
          <cell r="BJ134">
            <v>493</v>
          </cell>
          <cell r="BK134">
            <v>860</v>
          </cell>
          <cell r="BL134">
            <v>883.98849999999993</v>
          </cell>
          <cell r="BM134">
            <v>626.90599999999995</v>
          </cell>
          <cell r="BN134">
            <v>572.53857692307702</v>
          </cell>
          <cell r="BO134">
            <v>898.69999999999993</v>
          </cell>
          <cell r="BP134">
            <v>876.12</v>
          </cell>
          <cell r="BQ134">
            <v>658.56</v>
          </cell>
          <cell r="BR134">
            <v>490.82999999999993</v>
          </cell>
        </row>
        <row r="135">
          <cell r="A135" t="str">
            <v>U.S. Beverages</v>
          </cell>
          <cell r="K135">
            <v>762</v>
          </cell>
          <cell r="L135">
            <v>759</v>
          </cell>
          <cell r="M135">
            <v>774</v>
          </cell>
          <cell r="N135">
            <v>742</v>
          </cell>
          <cell r="O135">
            <v>722.61</v>
          </cell>
          <cell r="P135">
            <v>738.20670769230776</v>
          </cell>
          <cell r="Q135">
            <v>770.38579156748915</v>
          </cell>
          <cell r="R135">
            <v>803.97139225889316</v>
          </cell>
          <cell r="S135">
            <v>839.02508291989659</v>
          </cell>
          <cell r="T135">
            <v>875.61113459481726</v>
          </cell>
          <cell r="U135">
            <v>913.79663448990266</v>
          </cell>
          <cell r="AX135">
            <v>177</v>
          </cell>
          <cell r="AY135">
            <v>205</v>
          </cell>
          <cell r="AZ135">
            <v>180</v>
          </cell>
          <cell r="BA135">
            <v>198</v>
          </cell>
          <cell r="BB135">
            <v>176</v>
          </cell>
          <cell r="BC135">
            <v>198</v>
          </cell>
          <cell r="BD135">
            <v>187</v>
          </cell>
          <cell r="BE135">
            <v>208</v>
          </cell>
          <cell r="BF135">
            <v>181</v>
          </cell>
          <cell r="BG135">
            <v>189</v>
          </cell>
          <cell r="BH135">
            <v>182</v>
          </cell>
          <cell r="BI135">
            <v>198</v>
          </cell>
          <cell r="BJ135">
            <v>173</v>
          </cell>
          <cell r="BK135">
            <v>173</v>
          </cell>
          <cell r="BL135">
            <v>174.72</v>
          </cell>
          <cell r="BM135">
            <v>193.05</v>
          </cell>
          <cell r="BN135">
            <v>181.84000000000003</v>
          </cell>
          <cell r="BO135">
            <v>168.67500000000001</v>
          </cell>
          <cell r="BP135">
            <v>169.84</v>
          </cell>
          <cell r="BQ135">
            <v>184.3</v>
          </cell>
          <cell r="BR135">
            <v>166.38499999999988</v>
          </cell>
        </row>
        <row r="136">
          <cell r="A136" t="str">
            <v>Global Baking and Snacking</v>
          </cell>
          <cell r="B136">
            <v>1446</v>
          </cell>
          <cell r="C136">
            <v>1507</v>
          </cell>
          <cell r="D136">
            <v>1428</v>
          </cell>
          <cell r="E136">
            <v>1613</v>
          </cell>
          <cell r="F136">
            <v>1742</v>
          </cell>
          <cell r="G136">
            <v>1747</v>
          </cell>
          <cell r="H136">
            <v>1850</v>
          </cell>
          <cell r="I136">
            <v>2058</v>
          </cell>
          <cell r="J136">
            <v>1846</v>
          </cell>
          <cell r="K136">
            <v>1975</v>
          </cell>
          <cell r="L136">
            <v>2156</v>
          </cell>
          <cell r="M136">
            <v>2193</v>
          </cell>
          <cell r="N136">
            <v>2273</v>
          </cell>
          <cell r="O136">
            <v>2476.3549472322097</v>
          </cell>
          <cell r="P136">
            <v>2519.1812165391834</v>
          </cell>
          <cell r="Q136">
            <v>2594.7566530353588</v>
          </cell>
          <cell r="R136">
            <v>2672.5993526264197</v>
          </cell>
          <cell r="S136">
            <v>2752.7773332052125</v>
          </cell>
          <cell r="T136">
            <v>2835.3606532013691</v>
          </cell>
          <cell r="U136">
            <v>2920.4214727974104</v>
          </cell>
          <cell r="W136">
            <v>416</v>
          </cell>
          <cell r="X136">
            <v>397</v>
          </cell>
          <cell r="Y136">
            <v>389</v>
          </cell>
          <cell r="Z136">
            <v>411</v>
          </cell>
          <cell r="AA136">
            <v>449</v>
          </cell>
          <cell r="AB136">
            <v>433</v>
          </cell>
          <cell r="AC136">
            <v>421</v>
          </cell>
          <cell r="AD136">
            <v>429</v>
          </cell>
          <cell r="AE136">
            <v>458</v>
          </cell>
          <cell r="AF136">
            <v>429</v>
          </cell>
          <cell r="AG136">
            <v>422</v>
          </cell>
          <cell r="AH136">
            <v>438</v>
          </cell>
          <cell r="AI136">
            <v>484</v>
          </cell>
          <cell r="AJ136">
            <v>454</v>
          </cell>
          <cell r="AK136">
            <v>441</v>
          </cell>
          <cell r="AL136">
            <v>471</v>
          </cell>
          <cell r="AM136">
            <v>532</v>
          </cell>
          <cell r="AN136">
            <v>491</v>
          </cell>
          <cell r="AO136">
            <v>502</v>
          </cell>
          <cell r="AP136">
            <v>533</v>
          </cell>
          <cell r="AQ136">
            <v>509</v>
          </cell>
          <cell r="AR136">
            <v>440</v>
          </cell>
          <cell r="AS136">
            <v>431</v>
          </cell>
          <cell r="AT136">
            <v>466</v>
          </cell>
          <cell r="AU136">
            <v>530</v>
          </cell>
          <cell r="AV136">
            <v>489</v>
          </cell>
          <cell r="AW136">
            <v>477</v>
          </cell>
          <cell r="AX136">
            <v>479</v>
          </cell>
          <cell r="AY136">
            <v>544</v>
          </cell>
          <cell r="AZ136">
            <v>526</v>
          </cell>
          <cell r="BA136">
            <v>527</v>
          </cell>
          <cell r="BB136">
            <v>559</v>
          </cell>
          <cell r="BC136">
            <v>568</v>
          </cell>
          <cell r="BD136">
            <v>526</v>
          </cell>
          <cell r="BE136">
            <v>543</v>
          </cell>
          <cell r="BF136">
            <v>556</v>
          </cell>
          <cell r="BG136">
            <v>574</v>
          </cell>
          <cell r="BH136">
            <v>561</v>
          </cell>
          <cell r="BI136">
            <v>568</v>
          </cell>
          <cell r="BJ136">
            <v>570</v>
          </cell>
          <cell r="BK136">
            <v>609</v>
          </cell>
          <cell r="BL136">
            <v>591.88973481072685</v>
          </cell>
          <cell r="BM136">
            <v>605.32155857532894</v>
          </cell>
          <cell r="BN136">
            <v>670.14365384615394</v>
          </cell>
          <cell r="BO136">
            <v>612.04499999999996</v>
          </cell>
          <cell r="BP136">
            <v>642.19500000000005</v>
          </cell>
          <cell r="BQ136">
            <v>575.28</v>
          </cell>
          <cell r="BR136">
            <v>604.04</v>
          </cell>
        </row>
        <row r="137">
          <cell r="A137" t="str">
            <v>International Simple Meals and Beverages</v>
          </cell>
          <cell r="B137">
            <v>632</v>
          </cell>
          <cell r="C137">
            <v>920</v>
          </cell>
          <cell r="D137">
            <v>1438</v>
          </cell>
          <cell r="E137">
            <v>1595</v>
          </cell>
          <cell r="F137">
            <v>1703</v>
          </cell>
          <cell r="G137">
            <v>1593</v>
          </cell>
          <cell r="H137">
            <v>1400</v>
          </cell>
          <cell r="I137">
            <v>1610</v>
          </cell>
          <cell r="J137">
            <v>1357</v>
          </cell>
          <cell r="K137">
            <v>1423</v>
          </cell>
          <cell r="L137">
            <v>1463</v>
          </cell>
          <cell r="M137">
            <v>872</v>
          </cell>
          <cell r="N137">
            <v>869</v>
          </cell>
          <cell r="O137">
            <v>841.1482273334143</v>
          </cell>
          <cell r="P137">
            <v>839.38083535880014</v>
          </cell>
          <cell r="Q137">
            <v>851.97154788918203</v>
          </cell>
          <cell r="R137">
            <v>864.75112110751968</v>
          </cell>
          <cell r="S137">
            <v>877.72238792413236</v>
          </cell>
          <cell r="T137">
            <v>890.88822374299423</v>
          </cell>
          <cell r="U137">
            <v>904.25154709913909</v>
          </cell>
          <cell r="W137">
            <v>386</v>
          </cell>
          <cell r="X137">
            <v>457</v>
          </cell>
          <cell r="Y137">
            <v>412</v>
          </cell>
          <cell r="Z137">
            <v>340</v>
          </cell>
          <cell r="AA137">
            <v>416</v>
          </cell>
          <cell r="AB137">
            <v>502</v>
          </cell>
          <cell r="AC137">
            <v>435</v>
          </cell>
          <cell r="AD137">
            <v>483</v>
          </cell>
          <cell r="AE137">
            <v>420</v>
          </cell>
          <cell r="AF137">
            <v>483</v>
          </cell>
          <cell r="AG137">
            <v>430</v>
          </cell>
          <cell r="AH137">
            <v>260</v>
          </cell>
          <cell r="AI137">
            <v>346</v>
          </cell>
          <cell r="AJ137">
            <v>404</v>
          </cell>
          <cell r="AK137">
            <v>341</v>
          </cell>
          <cell r="AL137">
            <v>309</v>
          </cell>
          <cell r="AM137">
            <v>389</v>
          </cell>
          <cell r="AN137">
            <v>458</v>
          </cell>
          <cell r="AO137">
            <v>400</v>
          </cell>
          <cell r="AP137">
            <v>362</v>
          </cell>
          <cell r="AQ137">
            <v>380</v>
          </cell>
          <cell r="AR137">
            <v>391</v>
          </cell>
          <cell r="AS137">
            <v>297</v>
          </cell>
          <cell r="AT137">
            <v>289</v>
          </cell>
          <cell r="AU137">
            <v>374</v>
          </cell>
          <cell r="AV137">
            <v>437</v>
          </cell>
          <cell r="AW137">
            <v>331</v>
          </cell>
          <cell r="AX137">
            <v>281</v>
          </cell>
          <cell r="AY137">
            <v>372</v>
          </cell>
          <cell r="AZ137">
            <v>421</v>
          </cell>
          <cell r="BA137">
            <v>354</v>
          </cell>
          <cell r="BB137">
            <v>316</v>
          </cell>
          <cell r="BC137">
            <v>213</v>
          </cell>
          <cell r="BD137">
            <v>233</v>
          </cell>
          <cell r="BE137">
            <v>226</v>
          </cell>
          <cell r="BF137">
            <v>200</v>
          </cell>
          <cell r="BG137">
            <v>223</v>
          </cell>
          <cell r="BH137">
            <v>234</v>
          </cell>
          <cell r="BI137">
            <v>225</v>
          </cell>
          <cell r="BJ137">
            <v>187</v>
          </cell>
          <cell r="BK137">
            <v>193</v>
          </cell>
          <cell r="BL137">
            <v>228.41517279225963</v>
          </cell>
          <cell r="BM137">
            <v>217.5459391565393</v>
          </cell>
          <cell r="BN137">
            <v>202.18711538461537</v>
          </cell>
          <cell r="BO137">
            <v>190.10499999999999</v>
          </cell>
          <cell r="BP137">
            <v>206.61</v>
          </cell>
          <cell r="BQ137">
            <v>187.86</v>
          </cell>
          <cell r="BR137">
            <v>170.63499999999999</v>
          </cell>
        </row>
        <row r="138">
          <cell r="A138" t="str">
            <v>North America Foodservice</v>
          </cell>
          <cell r="B138">
            <v>1161</v>
          </cell>
          <cell r="C138">
            <v>1182</v>
          </cell>
          <cell r="D138">
            <v>868</v>
          </cell>
          <cell r="E138">
            <v>903</v>
          </cell>
          <cell r="F138">
            <v>1005</v>
          </cell>
          <cell r="G138">
            <v>1084</v>
          </cell>
          <cell r="H138">
            <v>1132</v>
          </cell>
          <cell r="I138">
            <v>656</v>
          </cell>
          <cell r="J138">
            <v>599</v>
          </cell>
          <cell r="K138">
            <v>578</v>
          </cell>
          <cell r="L138">
            <v>590</v>
          </cell>
          <cell r="M138">
            <v>610</v>
          </cell>
          <cell r="N138">
            <v>1319</v>
          </cell>
          <cell r="O138">
            <v>1360.5916746579931</v>
          </cell>
          <cell r="P138">
            <v>1357.2433308636109</v>
          </cell>
          <cell r="Q138">
            <v>1373.5302508339744</v>
          </cell>
          <cell r="R138">
            <v>1386.5787882168972</v>
          </cell>
          <cell r="S138">
            <v>1396.2848397344153</v>
          </cell>
          <cell r="T138">
            <v>1402.5681215132201</v>
          </cell>
          <cell r="U138">
            <v>1405.3732577562466</v>
          </cell>
          <cell r="W138">
            <v>207</v>
          </cell>
          <cell r="X138">
            <v>296</v>
          </cell>
          <cell r="Y138">
            <v>229</v>
          </cell>
          <cell r="Z138">
            <v>171</v>
          </cell>
          <cell r="AA138">
            <v>232</v>
          </cell>
          <cell r="AB138">
            <v>332</v>
          </cell>
          <cell r="AC138">
            <v>253</v>
          </cell>
          <cell r="AD138">
            <v>351</v>
          </cell>
          <cell r="AE138">
            <v>262</v>
          </cell>
          <cell r="AF138">
            <v>351</v>
          </cell>
          <cell r="AG138">
            <v>271</v>
          </cell>
          <cell r="AH138">
            <v>200</v>
          </cell>
          <cell r="AI138">
            <v>271</v>
          </cell>
          <cell r="AJ138">
            <v>366</v>
          </cell>
          <cell r="AK138">
            <v>280</v>
          </cell>
          <cell r="AL138">
            <v>215</v>
          </cell>
          <cell r="AM138">
            <v>280</v>
          </cell>
          <cell r="AN138">
            <v>365</v>
          </cell>
          <cell r="AO138">
            <v>257</v>
          </cell>
          <cell r="AP138">
            <v>147</v>
          </cell>
          <cell r="AQ138">
            <v>163</v>
          </cell>
          <cell r="AR138">
            <v>163</v>
          </cell>
          <cell r="AS138">
            <v>150</v>
          </cell>
          <cell r="AT138">
            <v>123</v>
          </cell>
          <cell r="AU138">
            <v>159</v>
          </cell>
          <cell r="AV138">
            <v>159</v>
          </cell>
          <cell r="AW138">
            <v>146</v>
          </cell>
          <cell r="AX138">
            <v>114</v>
          </cell>
          <cell r="AY138">
            <v>153</v>
          </cell>
          <cell r="AZ138">
            <v>158</v>
          </cell>
          <cell r="BA138">
            <v>154</v>
          </cell>
          <cell r="BB138">
            <v>125</v>
          </cell>
          <cell r="BC138">
            <v>162</v>
          </cell>
          <cell r="BD138">
            <v>173</v>
          </cell>
          <cell r="BE138">
            <v>154</v>
          </cell>
          <cell r="BF138">
            <v>121</v>
          </cell>
          <cell r="BG138">
            <v>323</v>
          </cell>
          <cell r="BH138">
            <v>352</v>
          </cell>
          <cell r="BI138">
            <v>344</v>
          </cell>
          <cell r="BJ138">
            <v>300</v>
          </cell>
          <cell r="BK138">
            <v>330</v>
          </cell>
          <cell r="BL138">
            <v>351.08886142645144</v>
          </cell>
          <cell r="BM138">
            <v>350.53481323154165</v>
          </cell>
          <cell r="BN138">
            <v>328.96800000000007</v>
          </cell>
          <cell r="BO138">
            <v>343.2</v>
          </cell>
          <cell r="BP138">
            <v>366.18</v>
          </cell>
          <cell r="BQ138">
            <v>363.37</v>
          </cell>
          <cell r="BR138">
            <v>318.77499999999986</v>
          </cell>
        </row>
        <row r="139">
          <cell r="A139" t="str">
            <v>Total</v>
          </cell>
          <cell r="B139">
            <v>5771</v>
          </cell>
          <cell r="C139">
            <v>6133</v>
          </cell>
          <cell r="D139">
            <v>6678</v>
          </cell>
          <cell r="E139">
            <v>7109</v>
          </cell>
          <cell r="F139">
            <v>7548</v>
          </cell>
          <cell r="G139">
            <v>7681</v>
          </cell>
          <cell r="H139">
            <v>7871</v>
          </cell>
          <cell r="I139">
            <v>7998</v>
          </cell>
          <cell r="J139">
            <v>7586</v>
          </cell>
          <cell r="K139">
            <v>7676</v>
          </cell>
          <cell r="L139">
            <v>7719</v>
          </cell>
          <cell r="M139">
            <v>7175</v>
          </cell>
          <cell r="N139">
            <v>8052</v>
          </cell>
          <cell r="O139">
            <v>8344.1379261466936</v>
          </cell>
          <cell r="P139">
            <v>8477.2594135308245</v>
          </cell>
          <cell r="Q139">
            <v>8659.2402762490801</v>
          </cell>
          <cell r="R139">
            <v>8842.5256276266518</v>
          </cell>
          <cell r="S139">
            <v>9027.1539918018316</v>
          </cell>
          <cell r="T139">
            <v>9213.1926462908486</v>
          </cell>
          <cell r="U139">
            <v>9400.7388930797224</v>
          </cell>
          <cell r="W139">
            <v>1909</v>
          </cell>
          <cell r="X139">
            <v>2100</v>
          </cell>
          <cell r="Y139">
            <v>1667</v>
          </cell>
          <cell r="Z139">
            <v>1433</v>
          </cell>
          <cell r="AA139">
            <v>2091</v>
          </cell>
          <cell r="AB139">
            <v>2223</v>
          </cell>
          <cell r="AC139">
            <v>1736</v>
          </cell>
          <cell r="AD139">
            <v>2281</v>
          </cell>
          <cell r="AE139">
            <v>2110</v>
          </cell>
          <cell r="AF139">
            <v>2281</v>
          </cell>
          <cell r="AG139">
            <v>1836</v>
          </cell>
          <cell r="AH139">
            <v>1454</v>
          </cell>
          <cell r="AI139">
            <v>2153</v>
          </cell>
          <cell r="AJ139">
            <v>2252</v>
          </cell>
          <cell r="AK139">
            <v>1872</v>
          </cell>
          <cell r="AL139">
            <v>1594</v>
          </cell>
          <cell r="AM139">
            <v>2298</v>
          </cell>
          <cell r="AN139">
            <v>2407</v>
          </cell>
          <cell r="AO139">
            <v>1970</v>
          </cell>
          <cell r="AP139">
            <v>1715</v>
          </cell>
          <cell r="AQ139">
            <v>2250</v>
          </cell>
          <cell r="AR139">
            <v>2122</v>
          </cell>
          <cell r="AS139">
            <v>1686</v>
          </cell>
          <cell r="AT139">
            <v>1528</v>
          </cell>
          <cell r="AU139">
            <v>2203</v>
          </cell>
          <cell r="AV139">
            <v>2153</v>
          </cell>
          <cell r="AW139">
            <v>1802</v>
          </cell>
          <cell r="AX139">
            <v>1518</v>
          </cell>
          <cell r="AY139">
            <v>2172</v>
          </cell>
          <cell r="AZ139">
            <v>2127</v>
          </cell>
          <cell r="BA139">
            <v>1813</v>
          </cell>
          <cell r="BB139">
            <v>1607</v>
          </cell>
          <cell r="BC139">
            <v>2015</v>
          </cell>
          <cell r="BD139">
            <v>1943</v>
          </cell>
          <cell r="BE139">
            <v>1698</v>
          </cell>
          <cell r="BF139">
            <v>1519</v>
          </cell>
          <cell r="BG139">
            <v>2205</v>
          </cell>
          <cell r="BH139">
            <v>2162</v>
          </cell>
          <cell r="BI139">
            <v>1962</v>
          </cell>
          <cell r="BJ139">
            <v>1723</v>
          </cell>
          <cell r="BK139">
            <v>2165</v>
          </cell>
          <cell r="BL139">
            <v>2230.102269029438</v>
          </cell>
          <cell r="BM139">
            <v>1993.3583109634098</v>
          </cell>
          <cell r="BN139">
            <v>1955.6773461538467</v>
          </cell>
          <cell r="BO139">
            <v>2212.7249999999999</v>
          </cell>
          <cell r="BP139">
            <v>2260.9450000000002</v>
          </cell>
          <cell r="BQ139">
            <v>1969.37</v>
          </cell>
          <cell r="BR139">
            <v>1750.6649999999995</v>
          </cell>
        </row>
        <row r="141">
          <cell r="A141" t="str">
            <v>Net Sales (% of Total)</v>
          </cell>
        </row>
        <row r="142">
          <cell r="A142" t="str">
            <v>U.S. Soup, Sauces and Beverages</v>
          </cell>
          <cell r="B142">
            <v>0.43874545139490556</v>
          </cell>
          <cell r="C142">
            <v>0.41154410565791621</v>
          </cell>
          <cell r="D142">
            <v>0.44085055405810125</v>
          </cell>
          <cell r="E142">
            <v>0.42171894781263186</v>
          </cell>
          <cell r="F142">
            <v>0.41043985161632218</v>
          </cell>
          <cell r="G142">
            <v>0.42403332899362062</v>
          </cell>
          <cell r="H142">
            <v>0.44327277347223987</v>
          </cell>
          <cell r="I142">
            <v>0.45936484121030258</v>
          </cell>
          <cell r="J142">
            <v>0.49881360400738201</v>
          </cell>
          <cell r="K142">
            <v>0.48202188639916621</v>
          </cell>
          <cell r="L142">
            <v>0.45472211426350562</v>
          </cell>
          <cell r="M142">
            <v>0.48780487804878048</v>
          </cell>
          <cell r="N142">
            <v>0.44597615499254845</v>
          </cell>
          <cell r="O142">
            <v>0.43935552232848196</v>
          </cell>
          <cell r="P142">
            <v>0.44371109190848324</v>
          </cell>
          <cell r="Q142">
            <v>0.44333933486293048</v>
          </cell>
          <cell r="R142">
            <v>0.4431535209163508</v>
          </cell>
          <cell r="S142">
            <v>0.44314846457378243</v>
          </cell>
          <cell r="T142">
            <v>0.44331816392416362</v>
          </cell>
          <cell r="U142">
            <v>0.44365582991536423</v>
          </cell>
          <cell r="W142">
            <v>0.47145102147721318</v>
          </cell>
          <cell r="X142">
            <v>0.45238095238095238</v>
          </cell>
          <cell r="Y142">
            <v>0.38212357528494301</v>
          </cell>
          <cell r="Z142">
            <v>0.35659455687369157</v>
          </cell>
          <cell r="AA142">
            <v>0.47537063605930174</v>
          </cell>
          <cell r="AB142">
            <v>0.43004948268106163</v>
          </cell>
          <cell r="AC142">
            <v>0.36117511520737328</v>
          </cell>
          <cell r="AD142">
            <v>0.44629548443665057</v>
          </cell>
          <cell r="AE142">
            <v>0.45971563981042651</v>
          </cell>
          <cell r="AF142">
            <v>0.44629548443665057</v>
          </cell>
          <cell r="AG142">
            <v>0.38834422657952072</v>
          </cell>
          <cell r="AH142">
            <v>0.38239339752407153</v>
          </cell>
          <cell r="AI142">
            <v>0.48862052949372969</v>
          </cell>
          <cell r="AJ142">
            <v>0.45648312611012432</v>
          </cell>
          <cell r="AK142">
            <v>0.43269230769230771</v>
          </cell>
          <cell r="AL142">
            <v>0.37578419071518193</v>
          </cell>
          <cell r="AM142">
            <v>0.47737162750217582</v>
          </cell>
          <cell r="AN142">
            <v>0.45409223099293727</v>
          </cell>
          <cell r="AO142">
            <v>0.41167512690355329</v>
          </cell>
          <cell r="AP142">
            <v>0.39241982507288631</v>
          </cell>
          <cell r="AQ142">
            <v>0.5324444444444445</v>
          </cell>
          <cell r="AR142">
            <v>0.53157398680490109</v>
          </cell>
          <cell r="AS142">
            <v>0.47924080664294189</v>
          </cell>
          <cell r="AT142">
            <v>0.42539267015706805</v>
          </cell>
          <cell r="AU142">
            <v>0.51747616886064463</v>
          </cell>
          <cell r="AV142">
            <v>0.49605202043660007</v>
          </cell>
          <cell r="AW142">
            <v>0.47058823529411764</v>
          </cell>
          <cell r="AX142">
            <v>0.42424242424242425</v>
          </cell>
          <cell r="AY142">
            <v>0.50782688766114181</v>
          </cell>
          <cell r="AZ142">
            <v>0.48048895157498822</v>
          </cell>
          <cell r="BA142">
            <v>0.42912300055157199</v>
          </cell>
          <cell r="BB142">
            <v>0.37772246421904171</v>
          </cell>
          <cell r="BC142">
            <v>0.53200992555831261</v>
          </cell>
          <cell r="BD142">
            <v>0.52032938754503344</v>
          </cell>
          <cell r="BE142">
            <v>0.45641931684334514</v>
          </cell>
          <cell r="BF142">
            <v>0.42264647794601712</v>
          </cell>
          <cell r="BG142">
            <v>0.49206349206349204</v>
          </cell>
          <cell r="BH142">
            <v>0.46947271045328398</v>
          </cell>
          <cell r="BI142">
            <v>0.42048929663608564</v>
          </cell>
          <cell r="BJ142">
            <v>0.3865351131746953</v>
          </cell>
          <cell r="BK142">
            <v>0.47713625866050807</v>
          </cell>
          <cell r="BL142">
            <v>0.4747354032605689</v>
          </cell>
          <cell r="BM142">
            <v>0.41134400949907851</v>
          </cell>
          <cell r="BN142">
            <v>0.38573774881970363</v>
          </cell>
          <cell r="BO142">
            <v>0.48238032290501531</v>
          </cell>
          <cell r="BP142">
            <v>0.46262071832795576</v>
          </cell>
          <cell r="BQ142">
            <v>0.42798458390246624</v>
          </cell>
          <cell r="BR142">
            <v>0.3754087732375983</v>
          </cell>
        </row>
        <row r="143">
          <cell r="A143" t="str">
            <v>U.S. Simple Meals</v>
          </cell>
          <cell r="AY143">
            <v>0.41344383057090239</v>
          </cell>
          <cell r="AZ143">
            <v>0.39586271744240714</v>
          </cell>
          <cell r="BA143">
            <v>0.31991174848317705</v>
          </cell>
          <cell r="BB143">
            <v>0.26820161792159303</v>
          </cell>
          <cell r="BC143">
            <v>0.43374689826302731</v>
          </cell>
          <cell r="BD143">
            <v>0.42408646423057128</v>
          </cell>
          <cell r="BE143">
            <v>0.33392226148409893</v>
          </cell>
          <cell r="BF143">
            <v>0.3034891375905201</v>
          </cell>
          <cell r="BG143">
            <v>0.40634920634920635</v>
          </cell>
          <cell r="BH143">
            <v>0.3852913968547641</v>
          </cell>
          <cell r="BI143">
            <v>0.31957186544342508</v>
          </cell>
          <cell r="BJ143">
            <v>0.2861288450377249</v>
          </cell>
          <cell r="BK143">
            <v>0.39722863741339492</v>
          </cell>
          <cell r="BL143">
            <v>0.39638922047495168</v>
          </cell>
          <cell r="BM143">
            <v>0.3144973969567017</v>
          </cell>
          <cell r="BN143">
            <v>0.29275717594677159</v>
          </cell>
          <cell r="BO143">
            <v>0.40615078692562334</v>
          </cell>
          <cell r="BP143">
            <v>0.3875016862418148</v>
          </cell>
          <cell r="BQ143">
            <v>0.33440135677907146</v>
          </cell>
          <cell r="BR143">
            <v>0.28036774597081682</v>
          </cell>
        </row>
        <row r="144">
          <cell r="A144" t="str">
            <v>U.S. Beverages</v>
          </cell>
          <cell r="AY144">
            <v>9.4383057090239406E-2</v>
          </cell>
          <cell r="AZ144">
            <v>8.4626234132581094E-2</v>
          </cell>
          <cell r="BA144">
            <v>0.10921125206839492</v>
          </cell>
          <cell r="BB144">
            <v>0.10952084629744867</v>
          </cell>
          <cell r="BC144">
            <v>9.8263027295285355E-2</v>
          </cell>
          <cell r="BD144">
            <v>9.6242923314462173E-2</v>
          </cell>
          <cell r="BE144">
            <v>0.12249705535924617</v>
          </cell>
          <cell r="BF144">
            <v>0.11915734035549704</v>
          </cell>
          <cell r="BG144">
            <v>8.5714285714285715E-2</v>
          </cell>
          <cell r="BH144">
            <v>8.4181313598519894E-2</v>
          </cell>
          <cell r="BI144">
            <v>0.10091743119266056</v>
          </cell>
          <cell r="BJ144">
            <v>0.1004062681369704</v>
          </cell>
          <cell r="BK144">
            <v>7.9907621247113161E-2</v>
          </cell>
          <cell r="BL144">
            <v>7.8346182785617197E-2</v>
          </cell>
          <cell r="BM144">
            <v>9.6846612542376809E-2</v>
          </cell>
          <cell r="BN144">
            <v>9.2980572872932016E-2</v>
          </cell>
          <cell r="BO144">
            <v>7.622953597939193E-2</v>
          </cell>
          <cell r="BP144">
            <v>7.5119032086140972E-2</v>
          </cell>
          <cell r="BQ144">
            <v>9.3583227123394799E-2</v>
          </cell>
          <cell r="BR144">
            <v>9.504102726678143E-2</v>
          </cell>
        </row>
        <row r="145">
          <cell r="A145" t="str">
            <v>Global Baking and Snacking</v>
          </cell>
          <cell r="B145">
            <v>0.25056316063073991</v>
          </cell>
          <cell r="C145">
            <v>0.24571987608022175</v>
          </cell>
          <cell r="D145">
            <v>0.21383647798742139</v>
          </cell>
          <cell r="E145">
            <v>0.22689548459698974</v>
          </cell>
          <cell r="F145">
            <v>0.23078961314255431</v>
          </cell>
          <cell r="G145">
            <v>0.22744434318448117</v>
          </cell>
          <cell r="H145">
            <v>0.23504002032778554</v>
          </cell>
          <cell r="I145">
            <v>0.25731432858214554</v>
          </cell>
          <cell r="J145">
            <v>0.24334300026364356</v>
          </cell>
          <cell r="K145">
            <v>0.25729546638874412</v>
          </cell>
          <cell r="L145">
            <v>0.27931079155331001</v>
          </cell>
          <cell r="M145">
            <v>0.30564459930313587</v>
          </cell>
          <cell r="N145">
            <v>0.28229011425732736</v>
          </cell>
          <cell r="O145">
            <v>0.29677780606579518</v>
          </cell>
          <cell r="P145">
            <v>0.29716929654390872</v>
          </cell>
          <cell r="Q145">
            <v>0.29965176739030602</v>
          </cell>
          <cell r="R145">
            <v>0.3022438910752413</v>
          </cell>
          <cell r="S145">
            <v>0.30494409818478729</v>
          </cell>
          <cell r="T145">
            <v>0.30775006689378853</v>
          </cell>
          <cell r="U145">
            <v>0.31065871587469096</v>
          </cell>
          <cell r="W145">
            <v>0.21791513881613411</v>
          </cell>
          <cell r="X145">
            <v>0.18904761904761905</v>
          </cell>
          <cell r="Y145">
            <v>0.23335332933413316</v>
          </cell>
          <cell r="Z145">
            <v>0.28681088625261691</v>
          </cell>
          <cell r="AA145">
            <v>0.21472979435676709</v>
          </cell>
          <cell r="AB145">
            <v>0.19478182636077374</v>
          </cell>
          <cell r="AC145">
            <v>0.24251152073732718</v>
          </cell>
          <cell r="AD145">
            <v>0.18807540552389304</v>
          </cell>
          <cell r="AE145">
            <v>0.21706161137440758</v>
          </cell>
          <cell r="AF145">
            <v>0.18807540552389304</v>
          </cell>
          <cell r="AG145">
            <v>0.22984749455337691</v>
          </cell>
          <cell r="AH145">
            <v>0.30123796423658872</v>
          </cell>
          <cell r="AI145">
            <v>0.22480260102183</v>
          </cell>
          <cell r="AJ145">
            <v>0.20159857904085257</v>
          </cell>
          <cell r="AK145">
            <v>0.23557692307692307</v>
          </cell>
          <cell r="AL145">
            <v>0.29548306148055209</v>
          </cell>
          <cell r="AM145">
            <v>0.23150565709312446</v>
          </cell>
          <cell r="AN145">
            <v>0.20398836726215205</v>
          </cell>
          <cell r="AO145">
            <v>0.25482233502538071</v>
          </cell>
          <cell r="AP145">
            <v>0.31078717201166178</v>
          </cell>
          <cell r="AQ145">
            <v>0.22622222222222221</v>
          </cell>
          <cell r="AR145">
            <v>0.20735155513666353</v>
          </cell>
          <cell r="AS145">
            <v>0.25563463819691579</v>
          </cell>
          <cell r="AT145">
            <v>0.30497382198952877</v>
          </cell>
          <cell r="AU145">
            <v>0.24058102587380845</v>
          </cell>
          <cell r="AV145">
            <v>0.227124941941477</v>
          </cell>
          <cell r="AW145">
            <v>0.26470588235294118</v>
          </cell>
          <cell r="AX145">
            <v>0.31554677206851117</v>
          </cell>
          <cell r="AY145">
            <v>0.25046040515653778</v>
          </cell>
          <cell r="AZ145">
            <v>0.24729666196520922</v>
          </cell>
          <cell r="BA145">
            <v>0.29067843353557637</v>
          </cell>
          <cell r="BB145">
            <v>0.34785314250155569</v>
          </cell>
          <cell r="BC145">
            <v>0.28188585607940447</v>
          </cell>
          <cell r="BD145">
            <v>0.27071538857436955</v>
          </cell>
          <cell r="BE145">
            <v>0.31978798586572438</v>
          </cell>
          <cell r="BF145">
            <v>0.36603028308097435</v>
          </cell>
          <cell r="BG145">
            <v>0.26031746031746034</v>
          </cell>
          <cell r="BH145">
            <v>0.25948196114708605</v>
          </cell>
          <cell r="BI145">
            <v>0.28950050968399593</v>
          </cell>
          <cell r="BJ145">
            <v>0.33081834010446892</v>
          </cell>
          <cell r="BK145">
            <v>0.28129330254041568</v>
          </cell>
          <cell r="BL145">
            <v>0.26540923393092775</v>
          </cell>
          <cell r="BM145">
            <v>0.3036692175441208</v>
          </cell>
          <cell r="BN145">
            <v>0.34266575473919508</v>
          </cell>
          <cell r="BO145">
            <v>0.27660237941904214</v>
          </cell>
          <cell r="BP145">
            <v>0.28403831141403263</v>
          </cell>
          <cell r="BQ145">
            <v>0.2921137216470242</v>
          </cell>
          <cell r="BR145">
            <v>0.34503460113728218</v>
          </cell>
        </row>
        <row r="146">
          <cell r="A146" t="str">
            <v>International Simple Meals and Beverages</v>
          </cell>
          <cell r="B146">
            <v>0.10951308265465258</v>
          </cell>
          <cell r="C146">
            <v>0.15000815261699005</v>
          </cell>
          <cell r="D146">
            <v>0.2153339323150644</v>
          </cell>
          <cell r="E146">
            <v>0.22436348290898861</v>
          </cell>
          <cell r="F146">
            <v>0.22562268150503445</v>
          </cell>
          <cell r="G146">
            <v>0.20739487045957558</v>
          </cell>
          <cell r="H146">
            <v>0.17786812349129716</v>
          </cell>
          <cell r="I146">
            <v>0.20130032508127033</v>
          </cell>
          <cell r="J146">
            <v>0.17888215133139995</v>
          </cell>
          <cell r="K146">
            <v>0.18538301198540907</v>
          </cell>
          <cell r="L146">
            <v>0.18953232283974608</v>
          </cell>
          <cell r="M146">
            <v>0.12153310104529617</v>
          </cell>
          <cell r="N146">
            <v>0.10792349726775956</v>
          </cell>
          <cell r="O146">
            <v>0.10080708573831723</v>
          </cell>
          <cell r="P146">
            <v>9.9015589167772491E-2</v>
          </cell>
          <cell r="Q146">
            <v>9.838871779848915E-2</v>
          </cell>
          <cell r="R146">
            <v>9.7794584660946052E-2</v>
          </cell>
          <cell r="S146">
            <v>9.7231352065252394E-2</v>
          </cell>
          <cell r="T146">
            <v>9.669701459044798E-2</v>
          </cell>
          <cell r="U146">
            <v>9.6189412064704452E-2</v>
          </cell>
          <cell r="W146">
            <v>0.20220010476689365</v>
          </cell>
          <cell r="X146">
            <v>0.21761904761904763</v>
          </cell>
          <cell r="Y146">
            <v>0.2471505698860228</v>
          </cell>
          <cell r="Z146">
            <v>0.23726448011165388</v>
          </cell>
          <cell r="AA146">
            <v>0.19894787183165949</v>
          </cell>
          <cell r="AB146">
            <v>0.22582096266306792</v>
          </cell>
          <cell r="AC146">
            <v>0.25057603686635943</v>
          </cell>
          <cell r="AD146">
            <v>0.2117492327926348</v>
          </cell>
          <cell r="AE146">
            <v>0.1990521327014218</v>
          </cell>
          <cell r="AF146">
            <v>0.2117492327926348</v>
          </cell>
          <cell r="AG146">
            <v>0.23420479302832245</v>
          </cell>
          <cell r="AH146">
            <v>0.17881705639614856</v>
          </cell>
          <cell r="AI146">
            <v>0.16070599163957269</v>
          </cell>
          <cell r="AJ146">
            <v>0.17939609236234458</v>
          </cell>
          <cell r="AK146">
            <v>0.18215811965811965</v>
          </cell>
          <cell r="AL146">
            <v>0.19385194479297366</v>
          </cell>
          <cell r="AM146">
            <v>0.16927763272410792</v>
          </cell>
          <cell r="AN146">
            <v>0.19027835479850436</v>
          </cell>
          <cell r="AO146">
            <v>0.20304568527918782</v>
          </cell>
          <cell r="AP146">
            <v>0.21107871720116619</v>
          </cell>
          <cell r="AQ146">
            <v>0.16888888888888889</v>
          </cell>
          <cell r="AR146">
            <v>0.18426013195098964</v>
          </cell>
          <cell r="AS146">
            <v>0.17615658362989323</v>
          </cell>
          <cell r="AT146">
            <v>0.18913612565445026</v>
          </cell>
          <cell r="AU146">
            <v>0.16976849750340445</v>
          </cell>
          <cell r="AV146">
            <v>0.20297259637714818</v>
          </cell>
          <cell r="AW146">
            <v>0.18368479467258603</v>
          </cell>
          <cell r="AX146">
            <v>0.18511198945981555</v>
          </cell>
          <cell r="AY146">
            <v>0.17127071823204421</v>
          </cell>
          <cell r="AZ146">
            <v>0.19793135872120357</v>
          </cell>
          <cell r="BA146">
            <v>0.19525648097076667</v>
          </cell>
          <cell r="BB146">
            <v>0.19663970130678282</v>
          </cell>
          <cell r="BC146">
            <v>0.10570719602977667</v>
          </cell>
          <cell r="BD146">
            <v>0.11991765311374164</v>
          </cell>
          <cell r="BE146">
            <v>0.13309776207302709</v>
          </cell>
          <cell r="BF146">
            <v>0.1316655694535879</v>
          </cell>
          <cell r="BG146">
            <v>0.10113378684807256</v>
          </cell>
          <cell r="BH146">
            <v>0.10823311748381129</v>
          </cell>
          <cell r="BI146">
            <v>0.11467889908256881</v>
          </cell>
          <cell r="BJ146">
            <v>0.1085316308763784</v>
          </cell>
          <cell r="BK146">
            <v>8.9145496535796773E-2</v>
          </cell>
          <cell r="BL146">
            <v>0.10242363140219041</v>
          </cell>
          <cell r="BM146">
            <v>0.10913539124403439</v>
          </cell>
          <cell r="BN146">
            <v>0.10338469982395039</v>
          </cell>
          <cell r="BO146">
            <v>8.5914426781457248E-2</v>
          </cell>
          <cell r="BP146">
            <v>9.138214330733388E-2</v>
          </cell>
          <cell r="BQ146">
            <v>9.5390911814438137E-2</v>
          </cell>
          <cell r="BR146">
            <v>9.7468676188762579E-2</v>
          </cell>
        </row>
        <row r="147">
          <cell r="A147" t="str">
            <v>North America Foodservice</v>
          </cell>
          <cell r="B147">
            <v>0.20117830531970196</v>
          </cell>
          <cell r="C147">
            <v>0.19272786564487202</v>
          </cell>
          <cell r="D147">
            <v>0.12997903563941299</v>
          </cell>
          <cell r="E147">
            <v>0.12702208468138979</v>
          </cell>
          <cell r="F147">
            <v>0.13314785373608903</v>
          </cell>
          <cell r="G147">
            <v>0.14112745736232263</v>
          </cell>
          <cell r="H147">
            <v>0.14381908270867744</v>
          </cell>
          <cell r="I147">
            <v>8.2020505126281576E-2</v>
          </cell>
          <cell r="J147">
            <v>7.8961244397574473E-2</v>
          </cell>
          <cell r="K147">
            <v>7.5299635226680567E-2</v>
          </cell>
          <cell r="L147">
            <v>7.6434771343438263E-2</v>
          </cell>
          <cell r="M147">
            <v>8.5017421602787455E-2</v>
          </cell>
          <cell r="N147">
            <v>0.16381023348236462</v>
          </cell>
          <cell r="O147">
            <v>0.16305958586740568</v>
          </cell>
          <cell r="P147">
            <v>0.16010402237983556</v>
          </cell>
          <cell r="Q147">
            <v>0.1586201799482744</v>
          </cell>
          <cell r="R147">
            <v>0.15680800334746184</v>
          </cell>
          <cell r="S147">
            <v>0.15467608517617801</v>
          </cell>
          <cell r="T147">
            <v>0.15223475459159991</v>
          </cell>
          <cell r="U147">
            <v>0.1494960421452404</v>
          </cell>
          <cell r="W147">
            <v>0.10843373493975904</v>
          </cell>
          <cell r="X147">
            <v>0.14095238095238094</v>
          </cell>
          <cell r="Y147">
            <v>0.13737252549490103</v>
          </cell>
          <cell r="Z147">
            <v>0.11933007676203769</v>
          </cell>
          <cell r="AA147">
            <v>0.11095169775227164</v>
          </cell>
          <cell r="AB147">
            <v>0.14934772829509671</v>
          </cell>
          <cell r="AC147">
            <v>0.14573732718894009</v>
          </cell>
          <cell r="AD147">
            <v>0.15387987724682156</v>
          </cell>
          <cell r="AE147">
            <v>0.12417061611374408</v>
          </cell>
          <cell r="AF147">
            <v>0.15387987724682156</v>
          </cell>
          <cell r="AG147">
            <v>0.14760348583877997</v>
          </cell>
          <cell r="AH147">
            <v>0.13755158184319119</v>
          </cell>
          <cell r="AI147">
            <v>0.12587087784486764</v>
          </cell>
          <cell r="AJ147">
            <v>0.16252220248667851</v>
          </cell>
          <cell r="AK147">
            <v>0.14957264957264957</v>
          </cell>
          <cell r="AL147">
            <v>0.13488080301129235</v>
          </cell>
          <cell r="AM147">
            <v>0.12184508268059181</v>
          </cell>
          <cell r="AN147">
            <v>0.15164104694640632</v>
          </cell>
          <cell r="AO147">
            <v>0.13045685279187819</v>
          </cell>
          <cell r="AP147">
            <v>8.5714285714285715E-2</v>
          </cell>
          <cell r="AQ147">
            <v>7.244444444444445E-2</v>
          </cell>
          <cell r="AR147">
            <v>7.6814326107445804E-2</v>
          </cell>
          <cell r="AS147">
            <v>8.8967971530249115E-2</v>
          </cell>
          <cell r="AT147">
            <v>8.0497382198952874E-2</v>
          </cell>
          <cell r="AU147">
            <v>7.2174307762142537E-2</v>
          </cell>
          <cell r="AV147">
            <v>7.3850441244774731E-2</v>
          </cell>
          <cell r="AW147">
            <v>8.1021087680355167E-2</v>
          </cell>
          <cell r="AX147">
            <v>7.5098814229249009E-2</v>
          </cell>
          <cell r="AY147">
            <v>7.0441988950276244E-2</v>
          </cell>
          <cell r="AZ147">
            <v>7.4283027738598961E-2</v>
          </cell>
          <cell r="BA147">
            <v>8.4942084942084939E-2</v>
          </cell>
          <cell r="BB147">
            <v>7.7784691972619793E-2</v>
          </cell>
          <cell r="BC147">
            <v>8.0397022332506202E-2</v>
          </cell>
          <cell r="BD147">
            <v>8.9037570766855381E-2</v>
          </cell>
          <cell r="BE147">
            <v>9.0694935217903422E-2</v>
          </cell>
          <cell r="BF147">
            <v>7.9657669519420674E-2</v>
          </cell>
          <cell r="BG147">
            <v>0.14648526077097507</v>
          </cell>
          <cell r="BH147">
            <v>0.16281221091581868</v>
          </cell>
          <cell r="BI147">
            <v>0.17533129459734964</v>
          </cell>
          <cell r="BJ147">
            <v>0.17411491584445735</v>
          </cell>
          <cell r="BK147">
            <v>0.15242494226327943</v>
          </cell>
          <cell r="BL147">
            <v>0.15743173140631289</v>
          </cell>
          <cell r="BM147">
            <v>0.17585138171276629</v>
          </cell>
          <cell r="BN147">
            <v>0.1682117966171508</v>
          </cell>
          <cell r="BO147">
            <v>0.1551028708944853</v>
          </cell>
          <cell r="BP147">
            <v>0.1619588269506777</v>
          </cell>
          <cell r="BQ147">
            <v>0.18451078263607146</v>
          </cell>
          <cell r="BR147">
            <v>0.18208794943635701</v>
          </cell>
        </row>
        <row r="148">
          <cell r="A148" t="str">
            <v>Total</v>
          </cell>
          <cell r="B148">
            <v>1</v>
          </cell>
          <cell r="C148">
            <v>1</v>
          </cell>
          <cell r="D148">
            <v>1</v>
          </cell>
          <cell r="E148">
            <v>0.99999999999999989</v>
          </cell>
          <cell r="F148">
            <v>1</v>
          </cell>
          <cell r="G148">
            <v>1</v>
          </cell>
          <cell r="H148">
            <v>1</v>
          </cell>
          <cell r="I148">
            <v>1.0000000000000002</v>
          </cell>
          <cell r="J148">
            <v>1</v>
          </cell>
          <cell r="K148">
            <v>1</v>
          </cell>
          <cell r="L148">
            <v>0.99999999999999989</v>
          </cell>
          <cell r="M148">
            <v>0.99999999999999989</v>
          </cell>
          <cell r="N148">
            <v>1</v>
          </cell>
          <cell r="O148">
            <v>1</v>
          </cell>
          <cell r="P148">
            <v>1</v>
          </cell>
          <cell r="Q148">
            <v>1</v>
          </cell>
          <cell r="R148">
            <v>0.99999999999999989</v>
          </cell>
          <cell r="S148">
            <v>1</v>
          </cell>
          <cell r="T148">
            <v>1</v>
          </cell>
          <cell r="U148">
            <v>1</v>
          </cell>
          <cell r="W148">
            <v>1</v>
          </cell>
          <cell r="X148">
            <v>1</v>
          </cell>
          <cell r="Y148">
            <v>1</v>
          </cell>
          <cell r="Z148">
            <v>1.0000000000000002</v>
          </cell>
          <cell r="AA148">
            <v>1</v>
          </cell>
          <cell r="AB148">
            <v>1</v>
          </cell>
          <cell r="AC148">
            <v>0.99999999999999989</v>
          </cell>
          <cell r="AD148">
            <v>1</v>
          </cell>
          <cell r="AE148">
            <v>1</v>
          </cell>
          <cell r="AF148">
            <v>1</v>
          </cell>
          <cell r="AG148">
            <v>1</v>
          </cell>
          <cell r="AH148">
            <v>0.99999999999999989</v>
          </cell>
          <cell r="AI148">
            <v>1</v>
          </cell>
          <cell r="AJ148">
            <v>0.99999999999999989</v>
          </cell>
          <cell r="AK148">
            <v>1</v>
          </cell>
          <cell r="AL148">
            <v>1</v>
          </cell>
          <cell r="AM148">
            <v>1</v>
          </cell>
          <cell r="AN148">
            <v>1</v>
          </cell>
          <cell r="AO148">
            <v>1</v>
          </cell>
          <cell r="AP148">
            <v>1</v>
          </cell>
          <cell r="AQ148">
            <v>1</v>
          </cell>
          <cell r="AR148">
            <v>1</v>
          </cell>
          <cell r="AS148">
            <v>1</v>
          </cell>
          <cell r="AT148">
            <v>1</v>
          </cell>
          <cell r="AU148">
            <v>1.0000000000000002</v>
          </cell>
          <cell r="AV148">
            <v>0.99999999999999989</v>
          </cell>
          <cell r="AW148">
            <v>1</v>
          </cell>
          <cell r="AX148">
            <v>1</v>
          </cell>
          <cell r="AY148">
            <v>1.5078268876611418</v>
          </cell>
          <cell r="AZ148">
            <v>1.4804889515749879</v>
          </cell>
          <cell r="BA148">
            <v>1.429123000551572</v>
          </cell>
          <cell r="BB148">
            <v>1.3777224642190415</v>
          </cell>
          <cell r="BC148">
            <v>0.99999999999999989</v>
          </cell>
          <cell r="BD148">
            <v>1</v>
          </cell>
          <cell r="BE148">
            <v>1</v>
          </cell>
          <cell r="BF148">
            <v>1</v>
          </cell>
          <cell r="BG148">
            <v>1</v>
          </cell>
          <cell r="BH148">
            <v>1</v>
          </cell>
          <cell r="BI148">
            <v>1</v>
          </cell>
          <cell r="BJ148">
            <v>1.3865351131746952</v>
          </cell>
          <cell r="BK148">
            <v>0.99999999999999989</v>
          </cell>
          <cell r="BL148">
            <v>1</v>
          </cell>
          <cell r="BM148">
            <v>0.99999999999999989</v>
          </cell>
          <cell r="BN148">
            <v>1.3857377488197036</v>
          </cell>
          <cell r="BO148">
            <v>0.99999999999999989</v>
          </cell>
          <cell r="BP148">
            <v>1</v>
          </cell>
          <cell r="BQ148">
            <v>1</v>
          </cell>
          <cell r="BR148">
            <v>1.3754087732375984</v>
          </cell>
        </row>
        <row r="150">
          <cell r="A150" t="str">
            <v>Operating Income</v>
          </cell>
          <cell r="BK150">
            <v>228</v>
          </cell>
          <cell r="BL150">
            <v>0.26511627906976742</v>
          </cell>
          <cell r="BM150">
            <v>-4.0687292358804028E-2</v>
          </cell>
        </row>
        <row r="151">
          <cell r="A151" t="str">
            <v>U.S. Soup, Sauces and Beverages</v>
          </cell>
          <cell r="B151">
            <v>774</v>
          </cell>
          <cell r="C151">
            <v>624</v>
          </cell>
          <cell r="D151">
            <v>772</v>
          </cell>
          <cell r="E151">
            <v>730</v>
          </cell>
          <cell r="F151">
            <v>742</v>
          </cell>
          <cell r="G151">
            <v>807</v>
          </cell>
          <cell r="H151">
            <v>862</v>
          </cell>
          <cell r="I151">
            <v>891</v>
          </cell>
          <cell r="J151">
            <v>927</v>
          </cell>
          <cell r="K151">
            <v>943</v>
          </cell>
          <cell r="L151">
            <v>839</v>
          </cell>
          <cell r="M151">
            <v>792</v>
          </cell>
          <cell r="N151">
            <v>851</v>
          </cell>
          <cell r="O151">
            <v>837.53430692307688</v>
          </cell>
          <cell r="P151">
            <v>878.7936680923076</v>
          </cell>
          <cell r="Q151">
            <v>908.46301245001587</v>
          </cell>
          <cell r="R151">
            <v>929.79980841255747</v>
          </cell>
          <cell r="S151">
            <v>951.90841661489844</v>
          </cell>
          <cell r="T151">
            <v>974.82521842612005</v>
          </cell>
          <cell r="U151">
            <v>998.58844812486097</v>
          </cell>
          <cell r="W151">
            <v>265</v>
          </cell>
          <cell r="X151">
            <v>246</v>
          </cell>
          <cell r="Y151">
            <v>141</v>
          </cell>
          <cell r="Z151">
            <v>78</v>
          </cell>
          <cell r="AA151">
            <v>274</v>
          </cell>
          <cell r="AB151">
            <v>215</v>
          </cell>
          <cell r="AC151">
            <v>150</v>
          </cell>
          <cell r="AD151">
            <v>242</v>
          </cell>
          <cell r="AE151">
            <v>280</v>
          </cell>
          <cell r="AF151">
            <v>242</v>
          </cell>
          <cell r="AG151">
            <v>171</v>
          </cell>
          <cell r="AH151">
            <v>114</v>
          </cell>
          <cell r="AI151">
            <v>322</v>
          </cell>
          <cell r="AJ151">
            <v>274</v>
          </cell>
          <cell r="AK151">
            <v>182</v>
          </cell>
          <cell r="AL151">
            <v>84</v>
          </cell>
          <cell r="AM151">
            <v>310</v>
          </cell>
          <cell r="AN151">
            <v>286</v>
          </cell>
          <cell r="AO151">
            <v>172</v>
          </cell>
          <cell r="AP151">
            <v>124</v>
          </cell>
          <cell r="AQ151">
            <v>314</v>
          </cell>
          <cell r="AR151">
            <v>270</v>
          </cell>
          <cell r="AS151">
            <v>195</v>
          </cell>
          <cell r="AT151">
            <v>148</v>
          </cell>
          <cell r="AU151">
            <v>331</v>
          </cell>
          <cell r="AV151">
            <v>259</v>
          </cell>
          <cell r="AW151">
            <v>214</v>
          </cell>
          <cell r="AX151">
            <v>139</v>
          </cell>
          <cell r="AY151">
            <v>295</v>
          </cell>
          <cell r="AZ151">
            <v>220</v>
          </cell>
          <cell r="BA151">
            <v>193</v>
          </cell>
          <cell r="BB151">
            <v>131</v>
          </cell>
          <cell r="BC151">
            <v>290</v>
          </cell>
          <cell r="BD151">
            <v>208</v>
          </cell>
          <cell r="BE151">
            <v>165</v>
          </cell>
          <cell r="BF151">
            <v>129</v>
          </cell>
          <cell r="BG151">
            <v>304</v>
          </cell>
          <cell r="BH151">
            <v>228</v>
          </cell>
          <cell r="BI151">
            <v>189</v>
          </cell>
          <cell r="BJ151">
            <v>130</v>
          </cell>
          <cell r="BK151">
            <v>235</v>
          </cell>
          <cell r="BL151">
            <v>265.82932999999997</v>
          </cell>
          <cell r="BM151">
            <v>194.61002999999999</v>
          </cell>
          <cell r="BN151">
            <v>142.09494692307695</v>
          </cell>
          <cell r="BO151">
            <v>266.92924999999997</v>
          </cell>
          <cell r="BP151">
            <v>237.02009999999999</v>
          </cell>
          <cell r="BQ151">
            <v>204.50165000000001</v>
          </cell>
          <cell r="BR151">
            <v>140.03686114250712</v>
          </cell>
        </row>
        <row r="152">
          <cell r="A152" t="str">
            <v>U.S. Simple Meals</v>
          </cell>
          <cell r="K152">
            <v>737</v>
          </cell>
          <cell r="L152">
            <v>657</v>
          </cell>
          <cell r="M152">
            <v>658</v>
          </cell>
          <cell r="N152">
            <v>731</v>
          </cell>
          <cell r="O152">
            <v>724.08453692307694</v>
          </cell>
          <cell r="P152">
            <v>758.83507809230764</v>
          </cell>
          <cell r="Q152">
            <v>779.42339236246141</v>
          </cell>
          <cell r="R152">
            <v>791.11474324789833</v>
          </cell>
          <cell r="S152">
            <v>802.98146439661673</v>
          </cell>
          <cell r="T152">
            <v>815.02618636256591</v>
          </cell>
          <cell r="U152">
            <v>827.25157915800423</v>
          </cell>
          <cell r="AX152">
            <v>97</v>
          </cell>
          <cell r="AY152">
            <v>240</v>
          </cell>
          <cell r="AZ152">
            <v>177</v>
          </cell>
          <cell r="BA152">
            <v>139</v>
          </cell>
          <cell r="BB152">
            <v>101</v>
          </cell>
          <cell r="BC152">
            <v>260</v>
          </cell>
          <cell r="BD152">
            <v>174</v>
          </cell>
          <cell r="BE152">
            <v>120</v>
          </cell>
          <cell r="BF152">
            <v>104</v>
          </cell>
          <cell r="BG152">
            <v>274</v>
          </cell>
          <cell r="BH152">
            <v>191</v>
          </cell>
          <cell r="BI152">
            <v>156</v>
          </cell>
          <cell r="BJ152">
            <v>110</v>
          </cell>
          <cell r="BK152">
            <v>211</v>
          </cell>
          <cell r="BL152">
            <v>229.83700999999999</v>
          </cell>
          <cell r="BM152">
            <v>159.86103</v>
          </cell>
          <cell r="BN152">
            <v>123.38649692307695</v>
          </cell>
          <cell r="BO152">
            <v>238.46899999999997</v>
          </cell>
          <cell r="BP152">
            <v>207.52969999999999</v>
          </cell>
          <cell r="BQ152">
            <v>173.1464</v>
          </cell>
          <cell r="BR152">
            <v>113.44896722826093</v>
          </cell>
        </row>
        <row r="153">
          <cell r="A153" t="str">
            <v>U.S. Beverages</v>
          </cell>
          <cell r="K153">
            <v>206</v>
          </cell>
          <cell r="L153">
            <v>182</v>
          </cell>
          <cell r="M153">
            <v>134</v>
          </cell>
          <cell r="N153">
            <v>120</v>
          </cell>
          <cell r="O153">
            <v>113.44977</v>
          </cell>
          <cell r="P153">
            <v>119.95859000000002</v>
          </cell>
          <cell r="Q153">
            <v>129.03962008755445</v>
          </cell>
          <cell r="R153">
            <v>138.68506516465908</v>
          </cell>
          <cell r="S153">
            <v>148.92695221828166</v>
          </cell>
          <cell r="T153">
            <v>159.79903206355417</v>
          </cell>
          <cell r="U153">
            <v>171.33686896685677</v>
          </cell>
          <cell r="AX153">
            <v>42</v>
          </cell>
          <cell r="AY153">
            <v>55</v>
          </cell>
          <cell r="AZ153">
            <v>43</v>
          </cell>
          <cell r="BA153">
            <v>54</v>
          </cell>
          <cell r="BB153">
            <v>30</v>
          </cell>
          <cell r="BC153">
            <v>30</v>
          </cell>
          <cell r="BD153">
            <v>34</v>
          </cell>
          <cell r="BE153">
            <v>45</v>
          </cell>
          <cell r="BF153">
            <v>25</v>
          </cell>
          <cell r="BG153">
            <v>30</v>
          </cell>
          <cell r="BH153">
            <v>37</v>
          </cell>
          <cell r="BI153">
            <v>33</v>
          </cell>
          <cell r="BJ153">
            <v>20</v>
          </cell>
          <cell r="BK153">
            <v>24</v>
          </cell>
          <cell r="BL153">
            <v>35.992319999999999</v>
          </cell>
          <cell r="BM153">
            <v>34.749000000000002</v>
          </cell>
          <cell r="BN153">
            <v>18.708449999999999</v>
          </cell>
          <cell r="BO153">
            <v>28.460249999999998</v>
          </cell>
          <cell r="BP153">
            <v>29.490400000000001</v>
          </cell>
          <cell r="BQ153">
            <v>31.355250000000002</v>
          </cell>
          <cell r="BR153">
            <v>26.58789391424618</v>
          </cell>
        </row>
        <row r="154">
          <cell r="A154" t="str">
            <v>Global Baking and Snacking</v>
          </cell>
          <cell r="B154">
            <v>212</v>
          </cell>
          <cell r="C154">
            <v>195</v>
          </cell>
          <cell r="D154">
            <v>161</v>
          </cell>
          <cell r="E154">
            <v>166</v>
          </cell>
          <cell r="F154">
            <v>190</v>
          </cell>
          <cell r="G154">
            <v>182</v>
          </cell>
          <cell r="H154">
            <v>217</v>
          </cell>
          <cell r="I154">
            <v>264</v>
          </cell>
          <cell r="J154">
            <v>265</v>
          </cell>
          <cell r="K154">
            <v>322</v>
          </cell>
          <cell r="L154">
            <v>355</v>
          </cell>
          <cell r="M154">
            <v>315</v>
          </cell>
          <cell r="N154">
            <v>316</v>
          </cell>
          <cell r="O154">
            <v>334.30791787634831</v>
          </cell>
          <cell r="P154">
            <v>342.60864544932895</v>
          </cell>
          <cell r="Q154">
            <v>358.07641811887953</v>
          </cell>
          <cell r="R154">
            <v>374.16390936769881</v>
          </cell>
          <cell r="S154">
            <v>390.89438131514021</v>
          </cell>
          <cell r="T154">
            <v>408.29193406099722</v>
          </cell>
          <cell r="U154">
            <v>426.38153502842198</v>
          </cell>
          <cell r="W154">
            <v>42</v>
          </cell>
          <cell r="X154">
            <v>42</v>
          </cell>
          <cell r="Y154">
            <v>27</v>
          </cell>
          <cell r="Z154">
            <v>55</v>
          </cell>
          <cell r="AA154">
            <v>44</v>
          </cell>
          <cell r="AB154">
            <v>45</v>
          </cell>
          <cell r="AC154">
            <v>34</v>
          </cell>
          <cell r="AD154">
            <v>40</v>
          </cell>
          <cell r="AE154">
            <v>45</v>
          </cell>
          <cell r="AF154">
            <v>40</v>
          </cell>
          <cell r="AG154">
            <v>35</v>
          </cell>
          <cell r="AH154">
            <v>62</v>
          </cell>
          <cell r="AI154">
            <v>68</v>
          </cell>
          <cell r="AJ154">
            <v>54</v>
          </cell>
          <cell r="AK154">
            <v>46</v>
          </cell>
          <cell r="AL154">
            <v>49</v>
          </cell>
          <cell r="AM154">
            <v>73</v>
          </cell>
          <cell r="AN154">
            <v>68</v>
          </cell>
          <cell r="AO154">
            <v>52</v>
          </cell>
          <cell r="AP154">
            <v>72</v>
          </cell>
          <cell r="AQ154">
            <v>83</v>
          </cell>
          <cell r="AR154">
            <v>55</v>
          </cell>
          <cell r="AS154">
            <v>58</v>
          </cell>
          <cell r="AT154">
            <v>69</v>
          </cell>
          <cell r="AU154">
            <v>100</v>
          </cell>
          <cell r="AV154">
            <v>73</v>
          </cell>
          <cell r="AW154">
            <v>76</v>
          </cell>
          <cell r="AX154">
            <v>73</v>
          </cell>
          <cell r="AY154">
            <v>100</v>
          </cell>
          <cell r="AZ154">
            <v>81</v>
          </cell>
          <cell r="BA154">
            <v>82</v>
          </cell>
          <cell r="BB154">
            <v>92</v>
          </cell>
          <cell r="BC154">
            <v>88</v>
          </cell>
          <cell r="BD154">
            <v>71</v>
          </cell>
          <cell r="BE154">
            <v>73</v>
          </cell>
          <cell r="BF154">
            <v>83</v>
          </cell>
          <cell r="BG154">
            <v>85</v>
          </cell>
          <cell r="BH154">
            <v>74</v>
          </cell>
          <cell r="BI154">
            <v>73</v>
          </cell>
          <cell r="BJ154">
            <v>84</v>
          </cell>
          <cell r="BK154">
            <v>78</v>
          </cell>
          <cell r="BL154">
            <v>76.353775790583768</v>
          </cell>
          <cell r="BM154">
            <v>78.691802614792763</v>
          </cell>
          <cell r="BN154">
            <v>101.26233947097177</v>
          </cell>
          <cell r="BO154">
            <v>78.39</v>
          </cell>
          <cell r="BP154">
            <v>85.229024999999993</v>
          </cell>
          <cell r="BQ154">
            <v>77.989199999999997</v>
          </cell>
          <cell r="BR154">
            <v>83.431612704917995</v>
          </cell>
        </row>
        <row r="155">
          <cell r="A155" t="str">
            <v>International Simple Meals and Beverages</v>
          </cell>
          <cell r="B155">
            <v>51</v>
          </cell>
          <cell r="C155">
            <v>92</v>
          </cell>
          <cell r="D155">
            <v>201</v>
          </cell>
          <cell r="E155">
            <v>205</v>
          </cell>
          <cell r="F155">
            <v>217</v>
          </cell>
          <cell r="G155">
            <v>211</v>
          </cell>
          <cell r="H155">
            <v>169</v>
          </cell>
          <cell r="I155">
            <v>188</v>
          </cell>
          <cell r="J155">
            <v>136</v>
          </cell>
          <cell r="K155">
            <v>161</v>
          </cell>
          <cell r="L155">
            <v>185</v>
          </cell>
          <cell r="M155">
            <v>106</v>
          </cell>
          <cell r="N155">
            <v>108</v>
          </cell>
          <cell r="O155">
            <v>100.93778728000972</v>
          </cell>
          <cell r="P155">
            <v>103.24384274913241</v>
          </cell>
          <cell r="Q155">
            <v>106.49644348614775</v>
          </cell>
          <cell r="R155">
            <v>109.82339238065499</v>
          </cell>
          <cell r="S155">
            <v>113.22618804221308</v>
          </cell>
          <cell r="T155">
            <v>116.70635731033225</v>
          </cell>
          <cell r="U155">
            <v>120.2654557641855</v>
          </cell>
          <cell r="W155">
            <v>53</v>
          </cell>
          <cell r="X155">
            <v>65</v>
          </cell>
          <cell r="Y155">
            <v>57</v>
          </cell>
          <cell r="Z155">
            <v>30</v>
          </cell>
          <cell r="AA155">
            <v>54</v>
          </cell>
          <cell r="AB155">
            <v>69</v>
          </cell>
          <cell r="AC155">
            <v>58</v>
          </cell>
          <cell r="AD155">
            <v>81</v>
          </cell>
          <cell r="AE155">
            <v>55</v>
          </cell>
          <cell r="AF155">
            <v>81</v>
          </cell>
          <cell r="AG155">
            <v>70</v>
          </cell>
          <cell r="AH155">
            <v>5</v>
          </cell>
          <cell r="AI155">
            <v>48</v>
          </cell>
          <cell r="AJ155">
            <v>59</v>
          </cell>
          <cell r="AK155">
            <v>43</v>
          </cell>
          <cell r="AL155">
            <v>19</v>
          </cell>
          <cell r="AM155">
            <v>51</v>
          </cell>
          <cell r="AN155">
            <v>61</v>
          </cell>
          <cell r="AO155">
            <v>46</v>
          </cell>
          <cell r="AP155">
            <v>27</v>
          </cell>
          <cell r="AQ155">
            <v>38</v>
          </cell>
          <cell r="AR155">
            <v>50</v>
          </cell>
          <cell r="AS155">
            <v>29</v>
          </cell>
          <cell r="AT155">
            <v>19</v>
          </cell>
          <cell r="AU155">
            <v>44</v>
          </cell>
          <cell r="AV155">
            <v>74</v>
          </cell>
          <cell r="AW155">
            <v>37</v>
          </cell>
          <cell r="AX155">
            <v>6</v>
          </cell>
          <cell r="AY155">
            <v>51</v>
          </cell>
          <cell r="AZ155">
            <v>69</v>
          </cell>
          <cell r="BA155">
            <v>41</v>
          </cell>
          <cell r="BB155">
            <v>24</v>
          </cell>
          <cell r="BC155">
            <v>25</v>
          </cell>
          <cell r="BD155">
            <v>35</v>
          </cell>
          <cell r="BE155">
            <v>28</v>
          </cell>
          <cell r="BF155">
            <v>18</v>
          </cell>
          <cell r="BG155">
            <v>33</v>
          </cell>
          <cell r="BH155">
            <v>33</v>
          </cell>
          <cell r="BI155">
            <v>28</v>
          </cell>
          <cell r="BJ155">
            <v>14</v>
          </cell>
          <cell r="BK155">
            <v>20</v>
          </cell>
          <cell r="BL155">
            <v>31.97812419091635</v>
          </cell>
          <cell r="BM155">
            <v>27.193242394567413</v>
          </cell>
          <cell r="BN155">
            <v>21.766420694525962</v>
          </cell>
          <cell r="BO155">
            <v>20.175262499999999</v>
          </cell>
          <cell r="BP155">
            <v>36.343474999999998</v>
          </cell>
          <cell r="BQ155">
            <v>25.861050000000002</v>
          </cell>
          <cell r="BR155">
            <v>19.118500064102548</v>
          </cell>
        </row>
        <row r="156">
          <cell r="A156" t="str">
            <v>North America Foodservice</v>
          </cell>
          <cell r="B156">
            <v>295</v>
          </cell>
          <cell r="C156">
            <v>236</v>
          </cell>
          <cell r="D156">
            <v>100</v>
          </cell>
          <cell r="E156">
            <v>101</v>
          </cell>
          <cell r="F156">
            <v>105</v>
          </cell>
          <cell r="G156">
            <v>110</v>
          </cell>
          <cell r="H156">
            <v>124</v>
          </cell>
          <cell r="I156">
            <v>69</v>
          </cell>
          <cell r="J156">
            <v>52</v>
          </cell>
          <cell r="K156">
            <v>43</v>
          </cell>
          <cell r="L156">
            <v>82</v>
          </cell>
          <cell r="M156">
            <v>85</v>
          </cell>
          <cell r="N156">
            <v>116</v>
          </cell>
          <cell r="O156">
            <v>121.09265904456137</v>
          </cell>
          <cell r="P156">
            <v>123.50914310858859</v>
          </cell>
          <cell r="Q156">
            <v>131.85890408006154</v>
          </cell>
          <cell r="R156">
            <v>140.04445760990663</v>
          </cell>
          <cell r="S156">
            <v>148.00619301184804</v>
          </cell>
          <cell r="T156">
            <v>155.68506148796746</v>
          </cell>
          <cell r="U156">
            <v>163.02329789972464</v>
          </cell>
          <cell r="W156">
            <v>22</v>
          </cell>
          <cell r="X156">
            <v>63</v>
          </cell>
          <cell r="Y156">
            <v>24</v>
          </cell>
          <cell r="Z156">
            <v>-8</v>
          </cell>
          <cell r="AA156">
            <v>21</v>
          </cell>
          <cell r="AB156">
            <v>70</v>
          </cell>
          <cell r="AC156">
            <v>26</v>
          </cell>
          <cell r="AD156">
            <v>69</v>
          </cell>
          <cell r="AE156">
            <v>26</v>
          </cell>
          <cell r="AF156">
            <v>69</v>
          </cell>
          <cell r="AG156">
            <v>27</v>
          </cell>
          <cell r="AH156">
            <v>-12</v>
          </cell>
          <cell r="AI156">
            <v>26</v>
          </cell>
          <cell r="AJ156">
            <v>70</v>
          </cell>
          <cell r="AK156">
            <v>23</v>
          </cell>
          <cell r="AL156">
            <v>5</v>
          </cell>
          <cell r="AM156">
            <v>25</v>
          </cell>
          <cell r="AN156">
            <v>42.378623481781375</v>
          </cell>
          <cell r="AO156">
            <v>33.492957746478872</v>
          </cell>
          <cell r="AP156">
            <v>0</v>
          </cell>
          <cell r="AQ156">
            <v>18</v>
          </cell>
          <cell r="AR156">
            <v>16</v>
          </cell>
          <cell r="AS156">
            <v>18</v>
          </cell>
          <cell r="AT156">
            <v>0</v>
          </cell>
          <cell r="AU156">
            <v>26</v>
          </cell>
          <cell r="AV156">
            <v>17</v>
          </cell>
          <cell r="AW156">
            <v>-3</v>
          </cell>
          <cell r="AX156">
            <v>3</v>
          </cell>
          <cell r="AY156">
            <v>23</v>
          </cell>
          <cell r="AZ156">
            <v>21</v>
          </cell>
          <cell r="BA156">
            <v>22</v>
          </cell>
          <cell r="BB156">
            <v>16</v>
          </cell>
          <cell r="BC156">
            <v>27</v>
          </cell>
          <cell r="BD156">
            <v>28</v>
          </cell>
          <cell r="BE156">
            <v>20</v>
          </cell>
          <cell r="BF156">
            <v>10</v>
          </cell>
          <cell r="BG156">
            <v>34</v>
          </cell>
          <cell r="BH156">
            <v>30</v>
          </cell>
          <cell r="BI156">
            <v>27</v>
          </cell>
          <cell r="BJ156">
            <v>25</v>
          </cell>
          <cell r="BK156">
            <v>29</v>
          </cell>
          <cell r="BL156">
            <v>30.281156346771571</v>
          </cell>
          <cell r="BM156">
            <v>27.842824554473868</v>
          </cell>
          <cell r="BN156">
            <v>33.968678143315941</v>
          </cell>
          <cell r="BO156">
            <v>30.5032</v>
          </cell>
          <cell r="BP156">
            <v>35.438369999999999</v>
          </cell>
          <cell r="BQ156">
            <v>23.708370000000002</v>
          </cell>
          <cell r="BR156">
            <v>26.154463303765382</v>
          </cell>
        </row>
        <row r="157">
          <cell r="A157" t="str">
            <v>Unallocated Corporate Expense</v>
          </cell>
          <cell r="B157">
            <v>-123.2</v>
          </cell>
          <cell r="C157">
            <v>-143</v>
          </cell>
          <cell r="D157">
            <v>-129</v>
          </cell>
          <cell r="E157">
            <v>-80</v>
          </cell>
          <cell r="F157">
            <v>-87</v>
          </cell>
          <cell r="G157">
            <v>-105</v>
          </cell>
          <cell r="H157">
            <v>-122</v>
          </cell>
          <cell r="I157">
            <v>-132</v>
          </cell>
          <cell r="J157">
            <v>-106</v>
          </cell>
          <cell r="K157">
            <v>-109</v>
          </cell>
          <cell r="L157">
            <v>-119</v>
          </cell>
          <cell r="M157">
            <v>-133</v>
          </cell>
          <cell r="N157">
            <v>-159</v>
          </cell>
          <cell r="O157">
            <v>-125.16206889220039</v>
          </cell>
          <cell r="P157">
            <v>-127.15889120296237</v>
          </cell>
          <cell r="Q157">
            <v>-129.88860414373619</v>
          </cell>
          <cell r="R157">
            <v>-132.63788441439976</v>
          </cell>
          <cell r="S157">
            <v>-135.40730987702747</v>
          </cell>
          <cell r="T157">
            <v>-138.19788969436271</v>
          </cell>
          <cell r="U157">
            <v>-141.01108339619583</v>
          </cell>
          <cell r="W157">
            <v>-28</v>
          </cell>
          <cell r="X157">
            <v>-27</v>
          </cell>
          <cell r="Y157">
            <v>-24</v>
          </cell>
          <cell r="Z157">
            <v>-1</v>
          </cell>
          <cell r="AA157">
            <v>-22</v>
          </cell>
          <cell r="AB157">
            <v>-22</v>
          </cell>
          <cell r="AC157">
            <v>-20</v>
          </cell>
          <cell r="AD157">
            <v>-29</v>
          </cell>
          <cell r="AE157">
            <v>-18</v>
          </cell>
          <cell r="AF157">
            <v>-29</v>
          </cell>
          <cell r="AG157">
            <v>-28</v>
          </cell>
          <cell r="AH157">
            <v>-30</v>
          </cell>
          <cell r="AI157">
            <v>-26</v>
          </cell>
          <cell r="AJ157">
            <v>-35</v>
          </cell>
          <cell r="AK157">
            <v>-33</v>
          </cell>
          <cell r="AL157">
            <v>-28</v>
          </cell>
          <cell r="AM157">
            <v>-28</v>
          </cell>
          <cell r="AN157">
            <v>-29.405344129554656</v>
          </cell>
          <cell r="AO157">
            <v>-34</v>
          </cell>
          <cell r="AP157">
            <v>-24.562533333333334</v>
          </cell>
          <cell r="AQ157">
            <v>-21</v>
          </cell>
          <cell r="AR157">
            <v>-28</v>
          </cell>
          <cell r="AS157">
            <v>-19</v>
          </cell>
          <cell r="AT157">
            <v>-38</v>
          </cell>
          <cell r="AU157">
            <v>-23</v>
          </cell>
          <cell r="AV157">
            <v>-32</v>
          </cell>
          <cell r="AW157">
            <v>-20</v>
          </cell>
          <cell r="AX157">
            <v>-34</v>
          </cell>
          <cell r="AY157">
            <v>-25</v>
          </cell>
          <cell r="AZ157">
            <v>-32</v>
          </cell>
          <cell r="BA157">
            <v>-31</v>
          </cell>
          <cell r="BB157">
            <v>-31</v>
          </cell>
          <cell r="BC157">
            <v>-35</v>
          </cell>
          <cell r="BD157">
            <v>-36</v>
          </cell>
          <cell r="BE157">
            <v>-30</v>
          </cell>
          <cell r="BF157">
            <v>-32</v>
          </cell>
          <cell r="BG157">
            <v>-35</v>
          </cell>
          <cell r="BH157">
            <v>-40</v>
          </cell>
          <cell r="BI157">
            <v>-39</v>
          </cell>
          <cell r="BJ157">
            <v>-45</v>
          </cell>
          <cell r="BK157">
            <v>-25</v>
          </cell>
          <cell r="BL157">
            <v>-33.451534035441568</v>
          </cell>
          <cell r="BM157">
            <v>-29.900374664451146</v>
          </cell>
          <cell r="BN157">
            <v>-36.810160192307677</v>
          </cell>
          <cell r="BO157">
            <v>-36.61472199769053</v>
          </cell>
          <cell r="BP157">
            <v>-44.014582518632182</v>
          </cell>
          <cell r="BQ157">
            <v>-29.540549999999996</v>
          </cell>
          <cell r="BR157">
            <v>-45.75631199311124</v>
          </cell>
        </row>
        <row r="158">
          <cell r="A158" t="str">
            <v>Total</v>
          </cell>
          <cell r="B158">
            <v>1208.8</v>
          </cell>
          <cell r="C158">
            <v>1004</v>
          </cell>
          <cell r="D158">
            <v>1105</v>
          </cell>
          <cell r="E158">
            <v>1122</v>
          </cell>
          <cell r="F158">
            <v>1167</v>
          </cell>
          <cell r="G158">
            <v>1205</v>
          </cell>
          <cell r="H158">
            <v>1250</v>
          </cell>
          <cell r="I158">
            <v>1280</v>
          </cell>
          <cell r="J158">
            <v>1274</v>
          </cell>
          <cell r="K158">
            <v>1360</v>
          </cell>
          <cell r="L158">
            <v>1342</v>
          </cell>
          <cell r="M158">
            <v>1165</v>
          </cell>
          <cell r="N158">
            <v>1232</v>
          </cell>
          <cell r="O158">
            <v>1268.7106022317957</v>
          </cell>
          <cell r="P158">
            <v>1320.9964081963951</v>
          </cell>
          <cell r="Q158">
            <v>1375.0061739913685</v>
          </cell>
          <cell r="R158">
            <v>1421.1936833564182</v>
          </cell>
          <cell r="S158">
            <v>1468.6278691070722</v>
          </cell>
          <cell r="T158">
            <v>1517.3106815910544</v>
          </cell>
          <cell r="U158">
            <v>1567.2476534209973</v>
          </cell>
          <cell r="W158">
            <v>354</v>
          </cell>
          <cell r="X158">
            <v>389</v>
          </cell>
          <cell r="Y158">
            <v>225</v>
          </cell>
          <cell r="Z158">
            <v>154</v>
          </cell>
          <cell r="AA158">
            <v>371</v>
          </cell>
          <cell r="AB158">
            <v>377</v>
          </cell>
          <cell r="AC158">
            <v>248</v>
          </cell>
          <cell r="AD158">
            <v>403</v>
          </cell>
          <cell r="AE158">
            <v>388</v>
          </cell>
          <cell r="AF158">
            <v>403</v>
          </cell>
          <cell r="AG158">
            <v>275</v>
          </cell>
          <cell r="AH158">
            <v>139</v>
          </cell>
          <cell r="AI158">
            <v>438</v>
          </cell>
          <cell r="AJ158">
            <v>422</v>
          </cell>
          <cell r="AK158">
            <v>261</v>
          </cell>
          <cell r="AL158">
            <v>129</v>
          </cell>
          <cell r="AM158">
            <v>431</v>
          </cell>
          <cell r="AN158">
            <v>427.97327935222671</v>
          </cell>
          <cell r="AO158">
            <v>269.49295774647885</v>
          </cell>
          <cell r="AP158">
            <v>198.43746666666667</v>
          </cell>
          <cell r="AQ158">
            <v>432</v>
          </cell>
          <cell r="AR158">
            <v>363</v>
          </cell>
          <cell r="AS158">
            <v>281</v>
          </cell>
          <cell r="AT158">
            <v>198</v>
          </cell>
          <cell r="AU158">
            <v>478</v>
          </cell>
          <cell r="AV158">
            <v>391</v>
          </cell>
          <cell r="AW158">
            <v>304</v>
          </cell>
          <cell r="AX158">
            <v>326</v>
          </cell>
          <cell r="AY158">
            <v>444</v>
          </cell>
          <cell r="AZ158">
            <v>359</v>
          </cell>
          <cell r="BA158">
            <v>307</v>
          </cell>
          <cell r="BB158">
            <v>232</v>
          </cell>
          <cell r="BC158">
            <v>395</v>
          </cell>
          <cell r="BD158">
            <v>306</v>
          </cell>
          <cell r="BE158">
            <v>256</v>
          </cell>
          <cell r="BF158">
            <v>208</v>
          </cell>
          <cell r="BG158">
            <v>421</v>
          </cell>
          <cell r="BH158">
            <v>325</v>
          </cell>
          <cell r="BI158">
            <v>278</v>
          </cell>
          <cell r="BJ158">
            <v>208</v>
          </cell>
          <cell r="BK158">
            <v>337</v>
          </cell>
          <cell r="BL158">
            <v>370.99085229283008</v>
          </cell>
          <cell r="BM158">
            <v>298.43752489938288</v>
          </cell>
          <cell r="BN158">
            <v>262.28222503958295</v>
          </cell>
          <cell r="BO158">
            <v>359.38299050230938</v>
          </cell>
          <cell r="BP158">
            <v>350.01638748136781</v>
          </cell>
          <cell r="BQ158">
            <v>302.51972000000001</v>
          </cell>
          <cell r="BR158">
            <v>222.98512522218181</v>
          </cell>
        </row>
        <row r="160">
          <cell r="A160" t="str">
            <v>% Growth</v>
          </cell>
        </row>
        <row r="161">
          <cell r="A161" t="str">
            <v>U.S. Soup, Sauces and Beverages</v>
          </cell>
          <cell r="C161">
            <v>-0.19379844961240311</v>
          </cell>
          <cell r="D161">
            <v>0.23717948717948723</v>
          </cell>
          <cell r="E161">
            <v>-5.4404145077720178E-2</v>
          </cell>
          <cell r="F161">
            <v>1.6438356164383494E-2</v>
          </cell>
          <cell r="G161">
            <v>8.7601078167115931E-2</v>
          </cell>
          <cell r="H161">
            <v>6.8153655514250344E-2</v>
          </cell>
          <cell r="I161">
            <v>3.3642691415313175E-2</v>
          </cell>
          <cell r="J161">
            <v>4.0404040404040442E-2</v>
          </cell>
          <cell r="K161">
            <v>1.7259978425026912E-2</v>
          </cell>
          <cell r="L161">
            <v>-0.11028632025450691</v>
          </cell>
          <cell r="M161">
            <v>-5.6019070321811637E-2</v>
          </cell>
          <cell r="N161">
            <v>7.4494949494949392E-2</v>
          </cell>
          <cell r="O161">
            <v>-1.5823376118593524E-2</v>
          </cell>
          <cell r="P161">
            <v>4.9262890878833288E-2</v>
          </cell>
          <cell r="Q161">
            <v>3.3761445302757709E-2</v>
          </cell>
          <cell r="R161">
            <v>2.34866974991077E-2</v>
          </cell>
          <cell r="S161">
            <v>2.3777815398872582E-2</v>
          </cell>
          <cell r="T161">
            <v>2.4074586810269638E-2</v>
          </cell>
          <cell r="U161">
            <v>2.4376913163066671E-2</v>
          </cell>
          <cell r="AA161">
            <v>3.3962264150943389E-2</v>
          </cell>
          <cell r="AB161">
            <v>-0.12601626016260159</v>
          </cell>
          <cell r="AC161">
            <v>6.3829787234042534E-2</v>
          </cell>
          <cell r="AD161">
            <v>2.1025641025641026</v>
          </cell>
          <cell r="AE161">
            <v>2.1897810218978186E-2</v>
          </cell>
          <cell r="AF161">
            <v>0.12558139534883717</v>
          </cell>
          <cell r="AG161">
            <v>0.1399999999999999</v>
          </cell>
          <cell r="AH161">
            <v>-0.52892561983471076</v>
          </cell>
          <cell r="AI161">
            <v>0.14999999999999991</v>
          </cell>
          <cell r="AJ161">
            <v>0.13223140495867769</v>
          </cell>
          <cell r="AK161">
            <v>6.4327485380117011E-2</v>
          </cell>
          <cell r="AL161">
            <v>-0.26315789473684215</v>
          </cell>
          <cell r="AM161">
            <v>-3.7267080745341574E-2</v>
          </cell>
          <cell r="AN161">
            <v>4.3795620437956151E-2</v>
          </cell>
          <cell r="AO161">
            <v>-5.4945054945054972E-2</v>
          </cell>
          <cell r="AP161">
            <v>0.47619047619047628</v>
          </cell>
          <cell r="AQ161">
            <v>1.2903225806451646E-2</v>
          </cell>
          <cell r="AR161">
            <v>-5.5944055944055937E-2</v>
          </cell>
          <cell r="AS161">
            <v>0.13372093023255816</v>
          </cell>
          <cell r="AT161">
            <v>0.19354838709677424</v>
          </cell>
          <cell r="AU161">
            <v>5.4140127388535131E-2</v>
          </cell>
          <cell r="AV161">
            <v>-4.0740740740740744E-2</v>
          </cell>
          <cell r="AW161">
            <v>9.7435897435897534E-2</v>
          </cell>
          <cell r="AX161">
            <v>-6.0810810810810856E-2</v>
          </cell>
          <cell r="AY161">
            <v>-0.10876132930513593</v>
          </cell>
          <cell r="AZ161">
            <v>-0.15057915057915061</v>
          </cell>
          <cell r="BA161">
            <v>-9.8130841121495282E-2</v>
          </cell>
          <cell r="BB161">
            <v>-5.7553956834532349E-2</v>
          </cell>
          <cell r="BC161">
            <v>-1.6949152542372836E-2</v>
          </cell>
          <cell r="BD161">
            <v>-5.4545454545454564E-2</v>
          </cell>
          <cell r="BE161">
            <v>-0.14507772020725385</v>
          </cell>
          <cell r="BF161">
            <v>-1.5267175572519109E-2</v>
          </cell>
          <cell r="BG161">
            <v>4.8275862068965614E-2</v>
          </cell>
          <cell r="BH161">
            <v>9.6153846153846256E-2</v>
          </cell>
          <cell r="BI161">
            <v>0.1454545454545455</v>
          </cell>
          <cell r="BJ161">
            <v>7.7519379844961378E-3</v>
          </cell>
          <cell r="BK161">
            <v>-0.22697368421052633</v>
          </cell>
          <cell r="BL161">
            <v>0.1659181140350876</v>
          </cell>
          <cell r="BM161">
            <v>2.9682698412698327E-2</v>
          </cell>
          <cell r="BN161">
            <v>9.3038053254438147E-2</v>
          </cell>
          <cell r="BO161">
            <v>0.13586914893617008</v>
          </cell>
          <cell r="BP161">
            <v>-3.2571020408163287E-2</v>
          </cell>
          <cell r="BQ161">
            <v>2.4590686274510443E-3</v>
          </cell>
          <cell r="BR161">
            <v>-0.10804547042989099</v>
          </cell>
        </row>
        <row r="162">
          <cell r="A162" t="str">
            <v>U.S. Simple Meals</v>
          </cell>
          <cell r="L162">
            <v>-0.10854816824966074</v>
          </cell>
          <cell r="M162">
            <v>1.5220700152207556E-3</v>
          </cell>
          <cell r="N162">
            <v>0.11094224924012153</v>
          </cell>
          <cell r="O162">
            <v>-9.4602778070083104E-3</v>
          </cell>
          <cell r="P162">
            <v>2.6042110963950815E-2</v>
          </cell>
          <cell r="Q162">
            <v>2.2094496388051166E-2</v>
          </cell>
          <cell r="R162">
            <v>2.0000000000000018E-2</v>
          </cell>
          <cell r="S162">
            <v>2.0000000000000018E-2</v>
          </cell>
          <cell r="T162">
            <v>2.0000000000000018E-2</v>
          </cell>
          <cell r="U162">
            <v>2.0000000000000018E-2</v>
          </cell>
          <cell r="BC162">
            <v>8.3333333333333259E-2</v>
          </cell>
          <cell r="BD162">
            <v>-1.6949152542372836E-2</v>
          </cell>
          <cell r="BE162">
            <v>-0.13669064748201443</v>
          </cell>
          <cell r="BF162">
            <v>2.9702970297029729E-2</v>
          </cell>
          <cell r="BG162">
            <v>5.3846153846153877E-2</v>
          </cell>
          <cell r="BH162">
            <v>9.7701149425287293E-2</v>
          </cell>
          <cell r="BI162">
            <v>0.30000000000000004</v>
          </cell>
          <cell r="BJ162">
            <v>5.7692307692307709E-2</v>
          </cell>
          <cell r="BK162">
            <v>-0.22992700729927007</v>
          </cell>
          <cell r="BL162">
            <v>0.2033351308900524</v>
          </cell>
          <cell r="BM162">
            <v>2.4750192307692265E-2</v>
          </cell>
          <cell r="BN162">
            <v>0.12169542657342669</v>
          </cell>
          <cell r="BO162">
            <v>0.13018483412322257</v>
          </cell>
          <cell r="BP162">
            <v>-3.0235046728972037E-2</v>
          </cell>
          <cell r="BQ162">
            <v>-1.0592000000000046E-2</v>
          </cell>
          <cell r="BR162">
            <v>-4.833620804728711E-3</v>
          </cell>
        </row>
        <row r="163">
          <cell r="A163" t="str">
            <v>U.S. Beverages</v>
          </cell>
          <cell r="L163">
            <v>-0.11650485436893199</v>
          </cell>
          <cell r="M163">
            <v>-0.26373626373626369</v>
          </cell>
          <cell r="N163">
            <v>-0.10447761194029848</v>
          </cell>
          <cell r="O163">
            <v>-5.458525000000003E-2</v>
          </cell>
          <cell r="P163">
            <v>-8.7450441620108843E-2</v>
          </cell>
          <cell r="Q163">
            <v>2.5015730706750894E-2</v>
          </cell>
          <cell r="R163">
            <v>1.0000000000000009E-2</v>
          </cell>
          <cell r="S163">
            <v>1.0000000000000009E-2</v>
          </cell>
          <cell r="T163">
            <v>1.0000000000000009E-2</v>
          </cell>
          <cell r="U163">
            <v>1.0000000000000009E-2</v>
          </cell>
          <cell r="BC163">
            <v>-0.45454545454545459</v>
          </cell>
          <cell r="BD163">
            <v>-0.20930232558139539</v>
          </cell>
          <cell r="BE163">
            <v>-0.16666666666666663</v>
          </cell>
          <cell r="BF163">
            <v>-0.16666666666666663</v>
          </cell>
          <cell r="BG163">
            <v>0</v>
          </cell>
          <cell r="BH163">
            <v>8.8235294117646967E-2</v>
          </cell>
          <cell r="BI163">
            <v>-0.26666666666666672</v>
          </cell>
          <cell r="BJ163">
            <v>-0.19999999999999996</v>
          </cell>
          <cell r="BK163">
            <v>-0.19999999999999996</v>
          </cell>
          <cell r="BL163">
            <v>-2.7234594594594652E-2</v>
          </cell>
          <cell r="BM163">
            <v>5.3000000000000158E-2</v>
          </cell>
          <cell r="BN163">
            <v>-6.4577500000000065E-2</v>
          </cell>
          <cell r="BO163">
            <v>0.18584374999999986</v>
          </cell>
          <cell r="BP163">
            <v>-4.8696774193548342E-2</v>
          </cell>
          <cell r="BQ163">
            <v>8.121551724137932E-2</v>
          </cell>
          <cell r="BR163">
            <v>-0.38167688571520508</v>
          </cell>
        </row>
        <row r="164">
          <cell r="A164" t="str">
            <v>Global Baking and Snacking</v>
          </cell>
          <cell r="C164">
            <v>-8.0188679245283057E-2</v>
          </cell>
          <cell r="D164">
            <v>-0.17435897435897441</v>
          </cell>
          <cell r="E164">
            <v>3.105590062111796E-2</v>
          </cell>
          <cell r="F164">
            <v>0.14457831325301207</v>
          </cell>
          <cell r="G164">
            <v>-4.2105263157894757E-2</v>
          </cell>
          <cell r="H164">
            <v>0.19230769230769229</v>
          </cell>
          <cell r="I164">
            <v>0.21658986175115214</v>
          </cell>
          <cell r="J164">
            <v>3.7878787878788955E-3</v>
          </cell>
          <cell r="K164">
            <v>0.21509433962264146</v>
          </cell>
          <cell r="L164">
            <v>0.10248447204968936</v>
          </cell>
          <cell r="M164">
            <v>-0.11267605633802813</v>
          </cell>
          <cell r="N164">
            <v>3.1746031746031633E-3</v>
          </cell>
          <cell r="O164">
            <v>5.793644897578587E-2</v>
          </cell>
          <cell r="P164">
            <v>2.4829587123482044E-2</v>
          </cell>
          <cell r="Q164">
            <v>4.5147058823529429E-2</v>
          </cell>
          <cell r="R164">
            <v>4.4927536231884169E-2</v>
          </cell>
          <cell r="S164">
            <v>4.4714285714285706E-2</v>
          </cell>
          <cell r="T164">
            <v>4.4507042253521201E-2</v>
          </cell>
          <cell r="U164">
            <v>4.4305555555555598E-2</v>
          </cell>
          <cell r="AA164">
            <v>4.7619047619047672E-2</v>
          </cell>
          <cell r="AB164">
            <v>7.1428571428571397E-2</v>
          </cell>
          <cell r="AC164">
            <v>0.2592592592592593</v>
          </cell>
          <cell r="AD164">
            <v>-0.27272727272727271</v>
          </cell>
          <cell r="AE164">
            <v>2.2727272727272707E-2</v>
          </cell>
          <cell r="AF164">
            <v>-0.11111111111111116</v>
          </cell>
          <cell r="AG164">
            <v>2.9411764705882248E-2</v>
          </cell>
          <cell r="AH164">
            <v>0.55000000000000004</v>
          </cell>
          <cell r="AI164">
            <v>0.51111111111111107</v>
          </cell>
          <cell r="AJ164">
            <v>0.35000000000000009</v>
          </cell>
          <cell r="AK164">
            <v>0.31428571428571428</v>
          </cell>
          <cell r="AL164">
            <v>-0.20967741935483875</v>
          </cell>
          <cell r="AM164">
            <v>7.3529411764705843E-2</v>
          </cell>
          <cell r="AN164">
            <v>0.2592592592592593</v>
          </cell>
          <cell r="AO164">
            <v>0.13043478260869557</v>
          </cell>
          <cell r="AP164">
            <v>0.46938775510204089</v>
          </cell>
          <cell r="AQ164">
            <v>0.13698630136986312</v>
          </cell>
          <cell r="AR164">
            <v>-0.19117647058823528</v>
          </cell>
          <cell r="AS164">
            <v>0.11538461538461542</v>
          </cell>
          <cell r="AT164">
            <v>-4.166666666666663E-2</v>
          </cell>
          <cell r="AU164">
            <v>0.20481927710843384</v>
          </cell>
          <cell r="AV164">
            <v>0.32727272727272738</v>
          </cell>
          <cell r="AW164">
            <v>0.31034482758620685</v>
          </cell>
          <cell r="AX164">
            <v>5.7971014492753659E-2</v>
          </cell>
          <cell r="AY164">
            <v>0</v>
          </cell>
          <cell r="AZ164">
            <v>0.1095890410958904</v>
          </cell>
          <cell r="BA164">
            <v>7.8947368421052655E-2</v>
          </cell>
          <cell r="BB164">
            <v>0.26027397260273966</v>
          </cell>
          <cell r="BC164">
            <v>-0.12</v>
          </cell>
          <cell r="BD164">
            <v>-0.12345679012345678</v>
          </cell>
          <cell r="BE164">
            <v>-0.1097560975609756</v>
          </cell>
          <cell r="BF164">
            <v>-9.7826086956521729E-2</v>
          </cell>
          <cell r="BG164">
            <v>-3.4090909090909061E-2</v>
          </cell>
          <cell r="BH164">
            <v>4.2253521126760507E-2</v>
          </cell>
          <cell r="BI164">
            <v>0</v>
          </cell>
          <cell r="BJ164">
            <v>1.2048192771084265E-2</v>
          </cell>
          <cell r="BK164">
            <v>-8.2352941176470629E-2</v>
          </cell>
          <cell r="BL164">
            <v>3.180778095383463E-2</v>
          </cell>
          <cell r="BM164">
            <v>7.7969898832777496E-2</v>
          </cell>
          <cell r="BN164">
            <v>0.20550404132109246</v>
          </cell>
          <cell r="BO164">
            <v>5.0000000000001155E-3</v>
          </cell>
          <cell r="BP164">
            <v>-3.1488352272727393E-2</v>
          </cell>
          <cell r="BQ164">
            <v>0.14690000000000003</v>
          </cell>
          <cell r="BR164">
            <v>-0.14865701321512248</v>
          </cell>
        </row>
        <row r="165">
          <cell r="A165" t="str">
            <v>International Simple Meals and Beverages</v>
          </cell>
          <cell r="C165">
            <v>0.80392156862745101</v>
          </cell>
          <cell r="D165">
            <v>1.1847826086956523</v>
          </cell>
          <cell r="E165">
            <v>1.990049751243772E-2</v>
          </cell>
          <cell r="F165">
            <v>5.8536585365853711E-2</v>
          </cell>
          <cell r="G165">
            <v>-2.7649769585253448E-2</v>
          </cell>
          <cell r="H165">
            <v>-0.19905213270142175</v>
          </cell>
          <cell r="I165">
            <v>0.11242603550295849</v>
          </cell>
          <cell r="J165">
            <v>-0.27659574468085102</v>
          </cell>
          <cell r="K165">
            <v>0.18382352941176472</v>
          </cell>
          <cell r="L165">
            <v>0.14906832298136652</v>
          </cell>
          <cell r="M165">
            <v>-0.427027027027027</v>
          </cell>
          <cell r="N165">
            <v>1.8867924528301883E-2</v>
          </cell>
          <cell r="O165">
            <v>-6.5390858518428518E-2</v>
          </cell>
          <cell r="P165">
            <v>2.2846304949458718E-2</v>
          </cell>
          <cell r="Q165">
            <v>3.1504065040650397E-2</v>
          </cell>
          <cell r="R165">
            <v>3.1239999999999934E-2</v>
          </cell>
          <cell r="S165">
            <v>3.0984251968503962E-2</v>
          </cell>
          <cell r="T165">
            <v>3.0736434108527E-2</v>
          </cell>
          <cell r="U165">
            <v>3.0496183206106808E-2</v>
          </cell>
          <cell r="AA165">
            <v>1.8867924528301883E-2</v>
          </cell>
          <cell r="AB165">
            <v>6.1538461538461542E-2</v>
          </cell>
          <cell r="AC165">
            <v>1.7543859649122862E-2</v>
          </cell>
          <cell r="AD165">
            <v>1.7000000000000002</v>
          </cell>
          <cell r="AE165">
            <v>1.8518518518518601E-2</v>
          </cell>
          <cell r="AF165">
            <v>0.17391304347826098</v>
          </cell>
          <cell r="AG165">
            <v>0.2068965517241379</v>
          </cell>
          <cell r="AH165">
            <v>-0.93827160493827155</v>
          </cell>
          <cell r="AI165">
            <v>-0.12727272727272732</v>
          </cell>
          <cell r="AJ165">
            <v>-0.27160493827160492</v>
          </cell>
          <cell r="AK165">
            <v>-0.38571428571428568</v>
          </cell>
          <cell r="AL165">
            <v>2.8</v>
          </cell>
          <cell r="AM165">
            <v>6.25E-2</v>
          </cell>
          <cell r="AN165">
            <v>3.3898305084745672E-2</v>
          </cell>
          <cell r="AO165">
            <v>6.9767441860465018E-2</v>
          </cell>
          <cell r="AP165">
            <v>0.42105263157894735</v>
          </cell>
          <cell r="AQ165">
            <v>-0.25490196078431371</v>
          </cell>
          <cell r="AR165">
            <v>-0.18032786885245899</v>
          </cell>
          <cell r="AS165">
            <v>-0.36956521739130432</v>
          </cell>
          <cell r="AT165">
            <v>-0.29629629629629628</v>
          </cell>
          <cell r="AU165">
            <v>0.15789473684210531</v>
          </cell>
          <cell r="AV165">
            <v>0.48</v>
          </cell>
          <cell r="AW165">
            <v>0.27586206896551735</v>
          </cell>
          <cell r="AX165">
            <v>-0.68421052631578949</v>
          </cell>
          <cell r="AY165">
            <v>0.15909090909090917</v>
          </cell>
          <cell r="AZ165">
            <v>-6.7567567567567544E-2</v>
          </cell>
          <cell r="BA165">
            <v>0.10810810810810811</v>
          </cell>
          <cell r="BB165">
            <v>3</v>
          </cell>
          <cell r="BC165">
            <v>-0.50980392156862742</v>
          </cell>
          <cell r="BD165">
            <v>-0.49275362318840576</v>
          </cell>
          <cell r="BE165">
            <v>-0.31707317073170727</v>
          </cell>
          <cell r="BF165">
            <v>-0.25</v>
          </cell>
          <cell r="BG165">
            <v>0.32000000000000006</v>
          </cell>
          <cell r="BH165">
            <v>-5.7142857142857162E-2</v>
          </cell>
          <cell r="BI165">
            <v>0</v>
          </cell>
          <cell r="BJ165">
            <v>-0.22222222222222221</v>
          </cell>
          <cell r="BK165">
            <v>-0.39393939393939392</v>
          </cell>
          <cell r="BL165">
            <v>-3.0965933608595453E-2</v>
          </cell>
          <cell r="BM165">
            <v>-2.8812771622592437E-2</v>
          </cell>
          <cell r="BN165">
            <v>0.55474433532328304</v>
          </cell>
          <cell r="BO165">
            <v>8.7631249999999827E-3</v>
          </cell>
          <cell r="BP165">
            <v>-4.3592763157894843E-2</v>
          </cell>
          <cell r="BQ165">
            <v>-4.2183333333333239E-2</v>
          </cell>
          <cell r="BR165">
            <v>-8.959523504273581E-2</v>
          </cell>
        </row>
        <row r="166">
          <cell r="A166" t="str">
            <v>North America Foodservice</v>
          </cell>
          <cell r="C166">
            <v>-0.19999999999999996</v>
          </cell>
          <cell r="D166">
            <v>-0.57627118644067798</v>
          </cell>
          <cell r="E166">
            <v>1.0000000000000009E-2</v>
          </cell>
          <cell r="F166">
            <v>3.9603960396039639E-2</v>
          </cell>
          <cell r="G166">
            <v>4.7619047619047672E-2</v>
          </cell>
          <cell r="H166">
            <v>0.1272727272727272</v>
          </cell>
          <cell r="I166">
            <v>-0.44354838709677424</v>
          </cell>
          <cell r="J166">
            <v>-0.24637681159420288</v>
          </cell>
          <cell r="K166">
            <v>-0.17307692307692313</v>
          </cell>
          <cell r="L166">
            <v>0.90697674418604657</v>
          </cell>
          <cell r="M166">
            <v>3.6585365853658569E-2</v>
          </cell>
          <cell r="N166">
            <v>0.36470588235294121</v>
          </cell>
          <cell r="O166">
            <v>4.390223314277053E-2</v>
          </cell>
          <cell r="P166">
            <v>1.9955661087085019E-2</v>
          </cell>
          <cell r="Q166">
            <v>6.7604395604395684E-2</v>
          </cell>
          <cell r="R166">
            <v>6.2078125000000206E-2</v>
          </cell>
          <cell r="S166">
            <v>5.685148514851468E-2</v>
          </cell>
          <cell r="T166">
            <v>5.1882075471698208E-2</v>
          </cell>
          <cell r="U166">
            <v>4.7135135135135231E-2</v>
          </cell>
          <cell r="AA166">
            <v>-4.5454545454545414E-2</v>
          </cell>
          <cell r="AB166">
            <v>0.11111111111111116</v>
          </cell>
          <cell r="AC166">
            <v>8.3333333333333259E-2</v>
          </cell>
          <cell r="AD166">
            <v>-9.625</v>
          </cell>
          <cell r="AE166">
            <v>0.23809523809523814</v>
          </cell>
          <cell r="AF166">
            <v>-1.4285714285714235E-2</v>
          </cell>
          <cell r="AG166">
            <v>3.8461538461538547E-2</v>
          </cell>
          <cell r="AH166">
            <v>-1.1739130434782608</v>
          </cell>
          <cell r="AI166">
            <v>0</v>
          </cell>
          <cell r="AJ166">
            <v>1.449275362318847E-2</v>
          </cell>
          <cell r="AK166">
            <v>-0.14814814814814814</v>
          </cell>
          <cell r="AL166">
            <v>-1.4166666666666667</v>
          </cell>
          <cell r="AM166">
            <v>-3.8461538461538436E-2</v>
          </cell>
          <cell r="AN166">
            <v>-0.39459109311740892</v>
          </cell>
          <cell r="AO166">
            <v>0.45621555419473347</v>
          </cell>
          <cell r="AP166">
            <v>-1</v>
          </cell>
          <cell r="AQ166">
            <v>-0.28000000000000003</v>
          </cell>
          <cell r="AR166">
            <v>-0.62245116321726635</v>
          </cell>
          <cell r="AS166">
            <v>-0.46257359125315389</v>
          </cell>
          <cell r="AT166" t="e">
            <v>#DIV/0!</v>
          </cell>
          <cell r="AU166">
            <v>0.44444444444444442</v>
          </cell>
          <cell r="AV166">
            <v>6.25E-2</v>
          </cell>
          <cell r="AW166">
            <v>-1.1666666666666667</v>
          </cell>
          <cell r="AX166" t="e">
            <v>#DIV/0!</v>
          </cell>
          <cell r="AY166">
            <v>-0.11538461538461542</v>
          </cell>
          <cell r="AZ166">
            <v>0.23529411764705888</v>
          </cell>
          <cell r="BA166">
            <v>-8.3333333333333321</v>
          </cell>
          <cell r="BB166">
            <v>4.333333333333333</v>
          </cell>
          <cell r="BC166">
            <v>0.17391304347826098</v>
          </cell>
          <cell r="BD166">
            <v>0.33333333333333326</v>
          </cell>
          <cell r="BE166">
            <v>-9.0909090909090939E-2</v>
          </cell>
          <cell r="BF166">
            <v>-0.375</v>
          </cell>
          <cell r="BG166">
            <v>0.2592592592592593</v>
          </cell>
          <cell r="BH166">
            <v>7.1428571428571397E-2</v>
          </cell>
          <cell r="BI166">
            <v>0.35000000000000009</v>
          </cell>
          <cell r="BJ166">
            <v>1.5</v>
          </cell>
          <cell r="BK166">
            <v>-0.1470588235294118</v>
          </cell>
          <cell r="BL166">
            <v>9.3718782257190547E-3</v>
          </cell>
          <cell r="BM166">
            <v>3.1215724239772813E-2</v>
          </cell>
          <cell r="BN166">
            <v>0.35874712573263756</v>
          </cell>
          <cell r="BO166">
            <v>5.183448275862057E-2</v>
          </cell>
          <cell r="BP166">
            <v>-1.5600833333333397E-2</v>
          </cell>
          <cell r="BQ166">
            <v>3.0798695652173969E-2</v>
          </cell>
          <cell r="BR166">
            <v>-9.8121955042573039E-2</v>
          </cell>
        </row>
        <row r="167">
          <cell r="A167" t="str">
            <v>Unallocated Corporate Expense</v>
          </cell>
          <cell r="C167">
            <v>0.16071428571428559</v>
          </cell>
          <cell r="D167">
            <v>-9.7902097902097918E-2</v>
          </cell>
          <cell r="E167">
            <v>-0.37984496124031009</v>
          </cell>
          <cell r="F167">
            <v>8.7499999999999911E-2</v>
          </cell>
          <cell r="G167">
            <v>0.2068965517241379</v>
          </cell>
          <cell r="H167">
            <v>0.161904761904762</v>
          </cell>
          <cell r="I167">
            <v>8.1967213114754189E-2</v>
          </cell>
          <cell r="J167">
            <v>-0.19696969696969702</v>
          </cell>
          <cell r="K167">
            <v>2.8301886792452935E-2</v>
          </cell>
          <cell r="L167">
            <v>9.174311926605494E-2</v>
          </cell>
          <cell r="M167">
            <v>0.11764705882352944</v>
          </cell>
          <cell r="N167">
            <v>0.19548872180451138</v>
          </cell>
          <cell r="O167">
            <v>-0.21281717677861389</v>
          </cell>
          <cell r="P167">
            <v>1.5953893447397283E-2</v>
          </cell>
          <cell r="Q167">
            <v>2.1466945134153814E-2</v>
          </cell>
          <cell r="R167">
            <v>2.1166447116647724E-2</v>
          </cell>
          <cell r="S167">
            <v>2.0879596164058212E-2</v>
          </cell>
          <cell r="T167">
            <v>2.0608782641569068E-2</v>
          </cell>
          <cell r="U167">
            <v>2.0356271054896347E-2</v>
          </cell>
          <cell r="AA167">
            <v>-0.2142857142857143</v>
          </cell>
          <cell r="AB167">
            <v>-0.18518518518518523</v>
          </cell>
          <cell r="AC167">
            <v>-0.16666666666666663</v>
          </cell>
          <cell r="AD167">
            <v>28</v>
          </cell>
          <cell r="AE167">
            <v>-0.18181818181818177</v>
          </cell>
          <cell r="AF167">
            <v>0.31818181818181812</v>
          </cell>
          <cell r="AG167">
            <v>0.39999999999999991</v>
          </cell>
          <cell r="AH167">
            <v>3.4482758620689724E-2</v>
          </cell>
          <cell r="AI167">
            <v>0.44444444444444442</v>
          </cell>
          <cell r="AJ167">
            <v>0.2068965517241379</v>
          </cell>
          <cell r="AK167">
            <v>0.1785714285714286</v>
          </cell>
          <cell r="AL167">
            <v>-6.6666666666666652E-2</v>
          </cell>
          <cell r="AM167">
            <v>7.6923076923076872E-2</v>
          </cell>
          <cell r="AN167">
            <v>-0.15984731058415269</v>
          </cell>
          <cell r="AO167">
            <v>3.0303030303030276E-2</v>
          </cell>
          <cell r="AP167">
            <v>-0.12276666666666658</v>
          </cell>
          <cell r="AQ167">
            <v>-0.25</v>
          </cell>
          <cell r="AR167">
            <v>-4.7792133408232296E-2</v>
          </cell>
          <cell r="AS167">
            <v>-0.44117647058823528</v>
          </cell>
          <cell r="AT167">
            <v>0.54707169184503224</v>
          </cell>
          <cell r="AU167">
            <v>9.5238095238095344E-2</v>
          </cell>
          <cell r="AV167">
            <v>0.14285714285714279</v>
          </cell>
          <cell r="AW167">
            <v>5.2631578947368363E-2</v>
          </cell>
          <cell r="AX167">
            <v>-0.10526315789473684</v>
          </cell>
          <cell r="AY167">
            <v>8.6956521739130377E-2</v>
          </cell>
          <cell r="AZ167">
            <v>0</v>
          </cell>
          <cell r="BA167">
            <v>0.55000000000000004</v>
          </cell>
          <cell r="BB167">
            <v>-8.8235294117647078E-2</v>
          </cell>
          <cell r="BC167">
            <v>0.39999999999999991</v>
          </cell>
          <cell r="BD167">
            <v>0.125</v>
          </cell>
          <cell r="BE167">
            <v>-3.2258064516129004E-2</v>
          </cell>
          <cell r="BF167">
            <v>3.2258064516129004E-2</v>
          </cell>
          <cell r="BG167">
            <v>0</v>
          </cell>
          <cell r="BH167">
            <v>0.11111111111111116</v>
          </cell>
          <cell r="BI167">
            <v>0.30000000000000004</v>
          </cell>
          <cell r="BJ167">
            <v>0.40625</v>
          </cell>
          <cell r="BK167">
            <v>-0.2857142857142857</v>
          </cell>
          <cell r="BL167">
            <v>-0.16371164911396074</v>
          </cell>
          <cell r="BM167">
            <v>-0.23332372655253475</v>
          </cell>
          <cell r="BN167">
            <v>-0.18199644017094052</v>
          </cell>
          <cell r="BO167">
            <v>0.46458887990762121</v>
          </cell>
          <cell r="BP167">
            <v>0.33377522783733893</v>
          </cell>
          <cell r="BQ167">
            <v>1.4617124999999995</v>
          </cell>
          <cell r="BR167">
            <v>-5.2975653671469836E-3</v>
          </cell>
        </row>
        <row r="168">
          <cell r="A168" t="str">
            <v>Total</v>
          </cell>
          <cell r="C168">
            <v>-0.16942422236929178</v>
          </cell>
          <cell r="D168">
            <v>0.1005976095617529</v>
          </cell>
          <cell r="E168">
            <v>1.538461538461533E-2</v>
          </cell>
          <cell r="F168">
            <v>4.0106951871657692E-2</v>
          </cell>
          <cell r="G168">
            <v>3.2562125107112205E-2</v>
          </cell>
          <cell r="H168">
            <v>3.7344398340249052E-2</v>
          </cell>
          <cell r="I168">
            <v>2.4000000000000021E-2</v>
          </cell>
          <cell r="J168">
            <v>-4.6874999999999556E-3</v>
          </cell>
          <cell r="K168">
            <v>6.7503924646781899E-2</v>
          </cell>
          <cell r="L168">
            <v>-1.3235294117647012E-2</v>
          </cell>
          <cell r="M168">
            <v>-0.13189269746646792</v>
          </cell>
          <cell r="N168">
            <v>5.7510729613733824E-2</v>
          </cell>
          <cell r="O168">
            <v>2.9797566746587512E-2</v>
          </cell>
          <cell r="P168">
            <v>4.1211767185221904E-2</v>
          </cell>
          <cell r="Q168">
            <v>4.0885626531502073E-2</v>
          </cell>
          <cell r="R168">
            <v>3.3590765073422624E-2</v>
          </cell>
          <cell r="S168">
            <v>3.3376299308218949E-2</v>
          </cell>
          <cell r="T168">
            <v>3.3148501065543234E-2</v>
          </cell>
          <cell r="U168">
            <v>3.2911500878369138E-2</v>
          </cell>
          <cell r="AA168">
            <v>4.8022598870056443E-2</v>
          </cell>
          <cell r="AB168">
            <v>-3.0848329048843159E-2</v>
          </cell>
          <cell r="AC168">
            <v>0.10222222222222221</v>
          </cell>
          <cell r="AD168">
            <v>1.616883116883117</v>
          </cell>
          <cell r="AE168">
            <v>4.5822102425876032E-2</v>
          </cell>
          <cell r="AF168">
            <v>6.8965517241379226E-2</v>
          </cell>
          <cell r="AG168">
            <v>0.1088709677419355</v>
          </cell>
          <cell r="AH168">
            <v>-0.6550868486352357</v>
          </cell>
          <cell r="AI168">
            <v>0.12886597938144329</v>
          </cell>
          <cell r="AJ168">
            <v>4.7146401985111552E-2</v>
          </cell>
          <cell r="AK168">
            <v>-5.0909090909090904E-2</v>
          </cell>
          <cell r="AL168">
            <v>-7.1942446043165464E-2</v>
          </cell>
          <cell r="AM168">
            <v>-1.5981735159817378E-2</v>
          </cell>
          <cell r="AN168">
            <v>1.415469040812023E-2</v>
          </cell>
          <cell r="AO168">
            <v>3.2540067994171862E-2</v>
          </cell>
          <cell r="AP168">
            <v>0.53827493540051674</v>
          </cell>
          <cell r="AQ168">
            <v>2.3201856148491462E-3</v>
          </cell>
          <cell r="AR168">
            <v>-0.15181620555977049</v>
          </cell>
          <cell r="AS168">
            <v>4.2698860666875893E-2</v>
          </cell>
          <cell r="AT168">
            <v>-2.2045568007654781E-3</v>
          </cell>
          <cell r="AU168">
            <v>0.1064814814814814</v>
          </cell>
          <cell r="AV168">
            <v>7.7134986225895208E-2</v>
          </cell>
          <cell r="AW168">
            <v>8.1850533807829251E-2</v>
          </cell>
          <cell r="AX168">
            <v>0.64646464646464641</v>
          </cell>
          <cell r="AY168">
            <v>-7.112970711297073E-2</v>
          </cell>
          <cell r="AZ168">
            <v>-8.1841432225063904E-2</v>
          </cell>
          <cell r="BA168">
            <v>9.8684210526316374E-3</v>
          </cell>
          <cell r="BB168">
            <v>-0.28834355828220859</v>
          </cell>
          <cell r="BC168">
            <v>-0.11036036036036034</v>
          </cell>
          <cell r="BD168">
            <v>-0.14763231197771587</v>
          </cell>
          <cell r="BE168">
            <v>-0.16612377850162863</v>
          </cell>
          <cell r="BF168">
            <v>-0.10344827586206895</v>
          </cell>
          <cell r="BG168">
            <v>6.5822784810126489E-2</v>
          </cell>
          <cell r="BH168">
            <v>6.2091503267973858E-2</v>
          </cell>
          <cell r="BI168">
            <v>8.59375E-2</v>
          </cell>
          <cell r="BJ168">
            <v>0</v>
          </cell>
          <cell r="BK168">
            <v>-0.1995249406175772</v>
          </cell>
          <cell r="BL168">
            <v>0.14151031474716946</v>
          </cell>
          <cell r="BM168">
            <v>7.3516276616485188E-2</v>
          </cell>
          <cell r="BN168">
            <v>0.26097223576722572</v>
          </cell>
          <cell r="BO168">
            <v>6.6418369443054459E-2</v>
          </cell>
          <cell r="BP168">
            <v>-6.4127306199551315E-2</v>
          </cell>
          <cell r="BQ168">
            <v>-2.412993548387099E-2</v>
          </cell>
          <cell r="BR168">
            <v>-0.13905357057072665</v>
          </cell>
        </row>
        <row r="170">
          <cell r="A170" t="str">
            <v>Operating Income (% of Total)</v>
          </cell>
        </row>
        <row r="171">
          <cell r="A171" t="str">
            <v>U.S. Soup, Sauces and Beverages</v>
          </cell>
          <cell r="B171">
            <v>0.64030443414956983</v>
          </cell>
          <cell r="C171">
            <v>0.62151394422310757</v>
          </cell>
          <cell r="D171">
            <v>0.69864253393665154</v>
          </cell>
          <cell r="E171">
            <v>0.65062388591800357</v>
          </cell>
          <cell r="F171">
            <v>0.63581833761782347</v>
          </cell>
          <cell r="G171">
            <v>0.66970954356846468</v>
          </cell>
          <cell r="H171">
            <v>0.68959999999999999</v>
          </cell>
          <cell r="I171">
            <v>0.69609374999999996</v>
          </cell>
          <cell r="J171">
            <v>0.72762951334379911</v>
          </cell>
          <cell r="K171">
            <v>0.69338235294117645</v>
          </cell>
          <cell r="L171">
            <v>0.62518628912071539</v>
          </cell>
          <cell r="M171">
            <v>0.67982832618025746</v>
          </cell>
          <cell r="N171">
            <v>0.69074675324675328</v>
          </cell>
          <cell r="O171">
            <v>0.6601460612449882</v>
          </cell>
          <cell r="P171">
            <v>0.66525061131101548</v>
          </cell>
          <cell r="Q171">
            <v>0.66069740604358818</v>
          </cell>
          <cell r="R171">
            <v>0.6542386300343378</v>
          </cell>
          <cell r="S171">
            <v>0.64816175468170845</v>
          </cell>
          <cell r="T171">
            <v>0.64246909367560556</v>
          </cell>
          <cell r="U171">
            <v>0.63716059548415105</v>
          </cell>
          <cell r="W171">
            <v>0.74858757062146897</v>
          </cell>
          <cell r="X171">
            <v>0.63239074550128538</v>
          </cell>
          <cell r="Y171">
            <v>0.62666666666666671</v>
          </cell>
          <cell r="Z171">
            <v>0.50649350649350644</v>
          </cell>
          <cell r="AA171">
            <v>0.73854447439353099</v>
          </cell>
          <cell r="AB171">
            <v>0.57029177718832891</v>
          </cell>
          <cell r="AC171">
            <v>0.60483870967741937</v>
          </cell>
          <cell r="AD171">
            <v>0.60049627791563276</v>
          </cell>
          <cell r="AE171">
            <v>0.72164948453608246</v>
          </cell>
          <cell r="AF171">
            <v>0.60049627791563276</v>
          </cell>
          <cell r="AG171">
            <v>0.62181818181818183</v>
          </cell>
          <cell r="AH171">
            <v>0.82014388489208634</v>
          </cell>
          <cell r="AI171">
            <v>0.73515981735159819</v>
          </cell>
          <cell r="AJ171">
            <v>0.64928909952606639</v>
          </cell>
          <cell r="AK171">
            <v>0.69731800766283525</v>
          </cell>
          <cell r="AL171">
            <v>0.65116279069767447</v>
          </cell>
          <cell r="AM171">
            <v>0.71925754060324831</v>
          </cell>
          <cell r="AN171">
            <v>0.66826601986199907</v>
          </cell>
          <cell r="AO171">
            <v>0.63823560154698444</v>
          </cell>
          <cell r="AP171">
            <v>0.62488199473083372</v>
          </cell>
          <cell r="AQ171">
            <v>0.72685185185185186</v>
          </cell>
          <cell r="AR171">
            <v>0.74380165289256195</v>
          </cell>
          <cell r="AS171">
            <v>0.69395017793594305</v>
          </cell>
          <cell r="AT171">
            <v>0.74747474747474751</v>
          </cell>
          <cell r="AU171">
            <v>0.69246861924686187</v>
          </cell>
          <cell r="AV171">
            <v>0.66240409207161122</v>
          </cell>
          <cell r="AW171">
            <v>0.70394736842105265</v>
          </cell>
          <cell r="AX171">
            <v>0.42638036809815949</v>
          </cell>
          <cell r="AY171">
            <v>0.6644144144144144</v>
          </cell>
          <cell r="AZ171">
            <v>0.61281337047353757</v>
          </cell>
          <cell r="BA171">
            <v>0.62866449511400646</v>
          </cell>
          <cell r="BB171">
            <v>0.56465517241379315</v>
          </cell>
          <cell r="BC171">
            <v>0.73417721518987344</v>
          </cell>
          <cell r="BD171">
            <v>0.6797385620915033</v>
          </cell>
          <cell r="BE171">
            <v>0.64453125</v>
          </cell>
          <cell r="BF171">
            <v>0.62019230769230771</v>
          </cell>
          <cell r="BG171">
            <v>0.7220902612826603</v>
          </cell>
          <cell r="BH171">
            <v>0.70153846153846156</v>
          </cell>
          <cell r="BI171">
            <v>0.67985611510791366</v>
          </cell>
          <cell r="BJ171">
            <v>0.625</v>
          </cell>
          <cell r="BK171">
            <v>0.69732937685459939</v>
          </cell>
          <cell r="BL171">
            <v>0.71653877274088651</v>
          </cell>
          <cell r="BM171">
            <v>0.65209638119607127</v>
          </cell>
          <cell r="BN171">
            <v>0.54176354078753275</v>
          </cell>
          <cell r="BO171">
            <v>0.74274313769528466</v>
          </cell>
          <cell r="BP171">
            <v>0.67716857975004707</v>
          </cell>
          <cell r="BQ171">
            <v>0.67599444426300548</v>
          </cell>
          <cell r="BR171">
            <v>0.62800987735381342</v>
          </cell>
        </row>
        <row r="172">
          <cell r="A172" t="str">
            <v>U.S. Simple Meals</v>
          </cell>
          <cell r="L172">
            <v>0.48956780923994037</v>
          </cell>
          <cell r="M172">
            <v>0.5648068669527897</v>
          </cell>
          <cell r="N172">
            <v>0.5933441558441559</v>
          </cell>
          <cell r="O172">
            <v>0.55781250000000004</v>
          </cell>
          <cell r="P172">
            <v>0.59323958365485074</v>
          </cell>
          <cell r="Q172">
            <v>0.58746231998734444</v>
          </cell>
          <cell r="R172">
            <v>0.58112321946512446</v>
          </cell>
          <cell r="S172">
            <v>0.57492107138557291</v>
          </cell>
          <cell r="T172">
            <v>0.56884991567447174</v>
          </cell>
          <cell r="U172">
            <v>0.56290410991486839</v>
          </cell>
          <cell r="AY172">
            <v>0.54054054054054057</v>
          </cell>
          <cell r="AZ172">
            <v>0.49303621169916434</v>
          </cell>
          <cell r="BA172">
            <v>0.45276872964169379</v>
          </cell>
          <cell r="BB172">
            <v>0.43534482758620691</v>
          </cell>
          <cell r="BC172">
            <v>0.65822784810126578</v>
          </cell>
          <cell r="BD172">
            <v>0.56862745098039214</v>
          </cell>
          <cell r="BE172">
            <v>0.46875</v>
          </cell>
          <cell r="BF172">
            <v>0.5</v>
          </cell>
          <cell r="BG172">
            <v>0.65083135391923985</v>
          </cell>
          <cell r="BH172">
            <v>0.58769230769230774</v>
          </cell>
          <cell r="BI172">
            <v>0.5611510791366906</v>
          </cell>
          <cell r="BJ172">
            <v>0.52884615384615385</v>
          </cell>
          <cell r="BK172">
            <v>0.62611275964391688</v>
          </cell>
          <cell r="BL172">
            <v>0.61952204098710584</v>
          </cell>
          <cell r="BM172">
            <v>0.53565995112007636</v>
          </cell>
          <cell r="BN172">
            <v>0.47043407880368476</v>
          </cell>
          <cell r="BO172">
            <v>0.66355115935423647</v>
          </cell>
          <cell r="BP172">
            <v>0.59291423893987616</v>
          </cell>
          <cell r="BQ172">
            <v>0.57234748200877616</v>
          </cell>
          <cell r="BR172">
            <v>0.50877370010766709</v>
          </cell>
        </row>
        <row r="173">
          <cell r="A173" t="str">
            <v>U.S. Beverages</v>
          </cell>
          <cell r="L173">
            <v>0.13561847988077497</v>
          </cell>
          <cell r="M173">
            <v>0.11502145922746781</v>
          </cell>
          <cell r="N173">
            <v>9.7402597402597407E-2</v>
          </cell>
          <cell r="O173">
            <v>9.9218749999999994E-2</v>
          </cell>
          <cell r="P173">
            <v>9.3848406812782115E-2</v>
          </cell>
          <cell r="Q173">
            <v>9.3200078828281255E-2</v>
          </cell>
          <cell r="R173">
            <v>9.1290522797397661E-2</v>
          </cell>
          <cell r="S173">
            <v>8.9430754317880348E-2</v>
          </cell>
          <cell r="T173">
            <v>8.7618853828439744E-2</v>
          </cell>
          <cell r="U173">
            <v>8.5853003117247667E-2</v>
          </cell>
          <cell r="AY173">
            <v>0.12387387387387387</v>
          </cell>
          <cell r="AZ173">
            <v>0.11977715877437325</v>
          </cell>
          <cell r="BA173">
            <v>0.1758957654723127</v>
          </cell>
          <cell r="BB173">
            <v>0.12931034482758622</v>
          </cell>
          <cell r="BC173">
            <v>7.5949367088607597E-2</v>
          </cell>
          <cell r="BD173">
            <v>0.1111111111111111</v>
          </cell>
          <cell r="BE173">
            <v>0.17578125</v>
          </cell>
          <cell r="BF173">
            <v>0.1201923076923077</v>
          </cell>
          <cell r="BG173">
            <v>7.1258907363420429E-2</v>
          </cell>
          <cell r="BH173">
            <v>0.11384615384615385</v>
          </cell>
          <cell r="BI173">
            <v>0.11870503597122302</v>
          </cell>
          <cell r="BJ173">
            <v>9.6153846153846159E-2</v>
          </cell>
          <cell r="BK173">
            <v>7.1216617210682495E-2</v>
          </cell>
          <cell r="BL173">
            <v>9.7016731753780769E-2</v>
          </cell>
          <cell r="BM173">
            <v>0.11643643007599497</v>
          </cell>
          <cell r="BN173">
            <v>7.1329461983848E-2</v>
          </cell>
          <cell r="BO173">
            <v>7.9191978341048158E-2</v>
          </cell>
          <cell r="BP173">
            <v>8.42543408101709E-2</v>
          </cell>
          <cell r="BQ173">
            <v>0.10364696225422924</v>
          </cell>
          <cell r="BR173">
            <v>0.11923617724614623</v>
          </cell>
        </row>
        <row r="174">
          <cell r="A174" t="str">
            <v>Global Baking and Snacking</v>
          </cell>
          <cell r="B174">
            <v>0.17538054268696229</v>
          </cell>
          <cell r="C174">
            <v>0.19422310756972111</v>
          </cell>
          <cell r="D174">
            <v>0.14570135746606336</v>
          </cell>
          <cell r="E174">
            <v>0.14795008912655971</v>
          </cell>
          <cell r="F174">
            <v>0.16281062553556128</v>
          </cell>
          <cell r="G174">
            <v>0.15103734439834024</v>
          </cell>
          <cell r="H174">
            <v>0.1736</v>
          </cell>
          <cell r="I174">
            <v>0.20624999999999999</v>
          </cell>
          <cell r="J174">
            <v>0.20800627943485087</v>
          </cell>
          <cell r="K174">
            <v>0.23676470588235293</v>
          </cell>
          <cell r="L174">
            <v>0.26453055141579734</v>
          </cell>
          <cell r="M174">
            <v>0.27038626609442062</v>
          </cell>
          <cell r="N174">
            <v>0.2564935064935065</v>
          </cell>
          <cell r="O174">
            <v>0.26350210780004946</v>
          </cell>
          <cell r="P174">
            <v>0.2593562278621977</v>
          </cell>
          <cell r="Q174">
            <v>0.26041804385463602</v>
          </cell>
          <cell r="R174">
            <v>0.26327439655096119</v>
          </cell>
          <cell r="S174">
            <v>0.26616298760066737</v>
          </cell>
          <cell r="T174">
            <v>0.26908921094054494</v>
          </cell>
          <cell r="U174">
            <v>0.27205753608736555</v>
          </cell>
          <cell r="W174">
            <v>0.11864406779661017</v>
          </cell>
          <cell r="X174">
            <v>0.10796915167095116</v>
          </cell>
          <cell r="Y174">
            <v>0.12</v>
          </cell>
          <cell r="Z174">
            <v>0.35714285714285715</v>
          </cell>
          <cell r="AA174">
            <v>0.11859838274932614</v>
          </cell>
          <cell r="AB174">
            <v>0.11936339522546419</v>
          </cell>
          <cell r="AC174">
            <v>0.13709677419354838</v>
          </cell>
          <cell r="AD174">
            <v>9.9255583126550875E-2</v>
          </cell>
          <cell r="AE174">
            <v>0.11597938144329897</v>
          </cell>
          <cell r="AF174">
            <v>9.9255583126550875E-2</v>
          </cell>
          <cell r="AG174">
            <v>0.12727272727272726</v>
          </cell>
          <cell r="AH174">
            <v>0.4460431654676259</v>
          </cell>
          <cell r="AI174">
            <v>0.15525114155251141</v>
          </cell>
          <cell r="AJ174">
            <v>0.12796208530805686</v>
          </cell>
          <cell r="AK174">
            <v>0.17624521072796934</v>
          </cell>
          <cell r="AL174">
            <v>0.37984496124031009</v>
          </cell>
          <cell r="AM174">
            <v>0.16937354988399073</v>
          </cell>
          <cell r="AN174">
            <v>0.15888842430285291</v>
          </cell>
          <cell r="AO174">
            <v>0.19295494930490228</v>
          </cell>
          <cell r="AP174">
            <v>0.36283470661790346</v>
          </cell>
          <cell r="AQ174">
            <v>0.19212962962962962</v>
          </cell>
          <cell r="AR174">
            <v>0.15151515151515152</v>
          </cell>
          <cell r="AS174">
            <v>0.20640569395017794</v>
          </cell>
          <cell r="AT174">
            <v>0.34848484848484851</v>
          </cell>
          <cell r="AU174">
            <v>0.20920502092050208</v>
          </cell>
          <cell r="AV174">
            <v>0.1867007672634271</v>
          </cell>
          <cell r="AW174">
            <v>0.25</v>
          </cell>
          <cell r="AX174">
            <v>0.22392638036809817</v>
          </cell>
          <cell r="AY174">
            <v>0.22522522522522523</v>
          </cell>
          <cell r="AZ174">
            <v>0.22562674094707522</v>
          </cell>
          <cell r="BA174">
            <v>0.26710097719869708</v>
          </cell>
          <cell r="BB174">
            <v>0.39655172413793105</v>
          </cell>
          <cell r="BC174">
            <v>0.22278481012658227</v>
          </cell>
          <cell r="BD174">
            <v>0.23202614379084968</v>
          </cell>
          <cell r="BE174">
            <v>0.28515625</v>
          </cell>
          <cell r="BF174">
            <v>0.39903846153846156</v>
          </cell>
          <cell r="BG174">
            <v>0.20190023752969122</v>
          </cell>
          <cell r="BH174">
            <v>0.22769230769230769</v>
          </cell>
          <cell r="BI174">
            <v>0.26258992805755393</v>
          </cell>
          <cell r="BJ174">
            <v>0.40384615384615385</v>
          </cell>
          <cell r="BK174">
            <v>0.2314540059347181</v>
          </cell>
          <cell r="BL174">
            <v>0.20581040022603114</v>
          </cell>
          <cell r="BM174">
            <v>0.26367931660512001</v>
          </cell>
          <cell r="BN174">
            <v>0.38608159380869028</v>
          </cell>
          <cell r="BO174">
            <v>0.21812384579034846</v>
          </cell>
          <cell r="BP174">
            <v>0.24350009899047065</v>
          </cell>
          <cell r="BQ174">
            <v>0.25779873126948549</v>
          </cell>
          <cell r="BR174">
            <v>0.37415774985791966</v>
          </cell>
        </row>
        <row r="175">
          <cell r="A175" t="str">
            <v>International Simple Meals and Beverages</v>
          </cell>
          <cell r="B175">
            <v>4.2190602250165452E-2</v>
          </cell>
          <cell r="C175">
            <v>9.1633466135458169E-2</v>
          </cell>
          <cell r="D175">
            <v>0.18190045248868777</v>
          </cell>
          <cell r="E175">
            <v>0.18270944741532977</v>
          </cell>
          <cell r="F175">
            <v>0.18594687232219365</v>
          </cell>
          <cell r="G175">
            <v>0.17510373443983401</v>
          </cell>
          <cell r="H175">
            <v>0.13519999999999999</v>
          </cell>
          <cell r="I175">
            <v>0.14687500000000001</v>
          </cell>
          <cell r="J175">
            <v>0.10675039246467818</v>
          </cell>
          <cell r="K175">
            <v>0.11838235294117647</v>
          </cell>
          <cell r="L175">
            <v>0.13785394932935915</v>
          </cell>
          <cell r="M175">
            <v>9.0987124463519309E-2</v>
          </cell>
          <cell r="N175">
            <v>8.7662337662337664E-2</v>
          </cell>
          <cell r="O175">
            <v>7.9559347184810711E-2</v>
          </cell>
          <cell r="P175">
            <v>7.8156035935097679E-2</v>
          </cell>
          <cell r="Q175">
            <v>7.745161112768667E-2</v>
          </cell>
          <cell r="R175">
            <v>7.7275457713326057E-2</v>
          </cell>
          <cell r="S175">
            <v>7.7096581389984625E-2</v>
          </cell>
          <cell r="T175">
            <v>7.6916585855675762E-2</v>
          </cell>
          <cell r="U175">
            <v>7.6736727282168432E-2</v>
          </cell>
          <cell r="W175">
            <v>0.14971751412429379</v>
          </cell>
          <cell r="X175">
            <v>0.16709511568123395</v>
          </cell>
          <cell r="Y175">
            <v>0.25333333333333335</v>
          </cell>
          <cell r="Z175">
            <v>0.19480519480519481</v>
          </cell>
          <cell r="AA175">
            <v>0.14555256064690028</v>
          </cell>
          <cell r="AB175">
            <v>0.1830238726790451</v>
          </cell>
          <cell r="AC175">
            <v>0.23387096774193547</v>
          </cell>
          <cell r="AD175">
            <v>0.20099255583126552</v>
          </cell>
          <cell r="AE175">
            <v>0.14175257731958762</v>
          </cell>
          <cell r="AF175">
            <v>0.20099255583126552</v>
          </cell>
          <cell r="AG175">
            <v>0.25454545454545452</v>
          </cell>
          <cell r="AH175">
            <v>3.5971223021582732E-2</v>
          </cell>
          <cell r="AI175">
            <v>0.1095890410958904</v>
          </cell>
          <cell r="AJ175">
            <v>0.13981042654028436</v>
          </cell>
          <cell r="AK175">
            <v>0.16475095785440613</v>
          </cell>
          <cell r="AL175">
            <v>0.14728682170542637</v>
          </cell>
          <cell r="AM175">
            <v>0.11832946635730858</v>
          </cell>
          <cell r="AN175">
            <v>0.14253226297755925</v>
          </cell>
          <cell r="AO175">
            <v>0.17069091669279818</v>
          </cell>
          <cell r="AP175">
            <v>0.1360630149817138</v>
          </cell>
          <cell r="AQ175">
            <v>8.7962962962962965E-2</v>
          </cell>
          <cell r="AR175">
            <v>0.13774104683195593</v>
          </cell>
          <cell r="AS175">
            <v>0.10320284697508897</v>
          </cell>
          <cell r="AT175">
            <v>9.5959595959595953E-2</v>
          </cell>
          <cell r="AU175">
            <v>9.2050209205020925E-2</v>
          </cell>
          <cell r="AV175">
            <v>0.18925831202046037</v>
          </cell>
          <cell r="AW175">
            <v>0.12171052631578948</v>
          </cell>
          <cell r="AX175">
            <v>1.8404907975460124E-2</v>
          </cell>
          <cell r="AY175">
            <v>0.11486486486486487</v>
          </cell>
          <cell r="AZ175">
            <v>0.19220055710306408</v>
          </cell>
          <cell r="BA175">
            <v>0.13355048859934854</v>
          </cell>
          <cell r="BB175">
            <v>0.10344827586206896</v>
          </cell>
          <cell r="BC175">
            <v>6.3291139240506333E-2</v>
          </cell>
          <cell r="BD175">
            <v>0.11437908496732026</v>
          </cell>
          <cell r="BE175">
            <v>0.109375</v>
          </cell>
          <cell r="BF175">
            <v>8.6538461538461536E-2</v>
          </cell>
          <cell r="BG175">
            <v>7.8384798099762468E-2</v>
          </cell>
          <cell r="BH175">
            <v>0.10153846153846154</v>
          </cell>
          <cell r="BI175">
            <v>0.10071942446043165</v>
          </cell>
          <cell r="BJ175">
            <v>6.7307692307692304E-2</v>
          </cell>
          <cell r="BK175">
            <v>5.9347181008902079E-2</v>
          </cell>
          <cell r="BL175">
            <v>8.619653016585814E-2</v>
          </cell>
          <cell r="BM175">
            <v>9.1118710369064729E-2</v>
          </cell>
          <cell r="BN175">
            <v>8.2988546750512857E-2</v>
          </cell>
          <cell r="BO175">
            <v>5.6138612658882509E-2</v>
          </cell>
          <cell r="BP175">
            <v>0.10383363836624548</v>
          </cell>
          <cell r="BQ175">
            <v>8.5485501573252812E-2</v>
          </cell>
          <cell r="BR175">
            <v>8.5738903189407467E-2</v>
          </cell>
        </row>
        <row r="176">
          <cell r="A176" t="str">
            <v>North America Foodservice</v>
          </cell>
          <cell r="B176">
            <v>0.2440436796823296</v>
          </cell>
          <cell r="C176">
            <v>0.23505976095617531</v>
          </cell>
          <cell r="D176">
            <v>9.0497737556561084E-2</v>
          </cell>
          <cell r="E176">
            <v>9.0017825311942953E-2</v>
          </cell>
          <cell r="F176">
            <v>8.9974293059125965E-2</v>
          </cell>
          <cell r="G176">
            <v>9.1286307053941904E-2</v>
          </cell>
          <cell r="H176">
            <v>9.9199999999999997E-2</v>
          </cell>
          <cell r="I176">
            <v>5.3906250000000003E-2</v>
          </cell>
          <cell r="J176">
            <v>4.0816326530612242E-2</v>
          </cell>
          <cell r="K176">
            <v>3.1617647058823528E-2</v>
          </cell>
          <cell r="L176">
            <v>6.1102831594634872E-2</v>
          </cell>
          <cell r="M176">
            <v>7.2961373390557943E-2</v>
          </cell>
          <cell r="N176">
            <v>9.4155844155844159E-2</v>
          </cell>
          <cell r="O176">
            <v>9.5445453700431462E-2</v>
          </cell>
          <cell r="P176">
            <v>9.3496956041856427E-2</v>
          </cell>
          <cell r="Q176">
            <v>9.5896954191341158E-2</v>
          </cell>
          <cell r="R176">
            <v>9.8540022552848036E-2</v>
          </cell>
          <cell r="S176">
            <v>0.10077855399941171</v>
          </cell>
          <cell r="T176">
            <v>0.10260592202825321</v>
          </cell>
          <cell r="U176">
            <v>0.10401884956973867</v>
          </cell>
          <cell r="W176">
            <v>6.2146892655367235E-2</v>
          </cell>
          <cell r="X176">
            <v>0.16195372750642673</v>
          </cell>
          <cell r="Y176">
            <v>0.10666666666666667</v>
          </cell>
          <cell r="Z176">
            <v>-5.1948051948051951E-2</v>
          </cell>
          <cell r="AA176">
            <v>5.6603773584905662E-2</v>
          </cell>
          <cell r="AB176">
            <v>0.1856763925729443</v>
          </cell>
          <cell r="AC176">
            <v>0.10483870967741936</v>
          </cell>
          <cell r="AD176">
            <v>0.17121588089330025</v>
          </cell>
          <cell r="AE176">
            <v>6.7010309278350513E-2</v>
          </cell>
          <cell r="AF176">
            <v>0.17121588089330025</v>
          </cell>
          <cell r="AG176">
            <v>9.8181818181818176E-2</v>
          </cell>
          <cell r="AH176">
            <v>-8.6330935251798566E-2</v>
          </cell>
          <cell r="AI176">
            <v>5.9360730593607303E-2</v>
          </cell>
          <cell r="AJ176">
            <v>0.16587677725118483</v>
          </cell>
          <cell r="AK176">
            <v>8.8122605363984668E-2</v>
          </cell>
          <cell r="AL176">
            <v>3.875968992248062E-2</v>
          </cell>
          <cell r="AM176">
            <v>5.8004640371229696E-2</v>
          </cell>
          <cell r="AN176">
            <v>9.9021657487413609E-2</v>
          </cell>
          <cell r="AO176">
            <v>0.1242813839239051</v>
          </cell>
          <cell r="AP176">
            <v>0</v>
          </cell>
          <cell r="AQ176">
            <v>4.1666666666666664E-2</v>
          </cell>
          <cell r="AR176">
            <v>4.4077134986225897E-2</v>
          </cell>
          <cell r="AS176">
            <v>6.4056939501779361E-2</v>
          </cell>
          <cell r="AT176">
            <v>0</v>
          </cell>
          <cell r="AU176">
            <v>5.4393305439330547E-2</v>
          </cell>
          <cell r="AV176">
            <v>4.3478260869565216E-2</v>
          </cell>
          <cell r="AW176">
            <v>-9.8684210526315784E-3</v>
          </cell>
          <cell r="AX176">
            <v>9.202453987730062E-3</v>
          </cell>
          <cell r="AY176">
            <v>5.18018018018018E-2</v>
          </cell>
          <cell r="AZ176">
            <v>5.8495821727019497E-2</v>
          </cell>
          <cell r="BA176">
            <v>7.1661237785016291E-2</v>
          </cell>
          <cell r="BB176">
            <v>6.8965517241379309E-2</v>
          </cell>
          <cell r="BC176">
            <v>6.8354430379746839E-2</v>
          </cell>
          <cell r="BD176">
            <v>9.1503267973856203E-2</v>
          </cell>
          <cell r="BE176">
            <v>7.8125E-2</v>
          </cell>
          <cell r="BF176">
            <v>4.807692307692308E-2</v>
          </cell>
          <cell r="BG176">
            <v>8.076009501187649E-2</v>
          </cell>
          <cell r="BH176">
            <v>9.2307692307692313E-2</v>
          </cell>
          <cell r="BI176">
            <v>9.7122302158273388E-2</v>
          </cell>
          <cell r="BJ176">
            <v>0.1201923076923077</v>
          </cell>
          <cell r="BK176">
            <v>8.6053412462908013E-2</v>
          </cell>
          <cell r="BL176">
            <v>8.1622380065776073E-2</v>
          </cell>
          <cell r="BM176">
            <v>9.3295320566208872E-2</v>
          </cell>
          <cell r="BN176">
            <v>0.12951193371258565</v>
          </cell>
          <cell r="BO176">
            <v>8.487658238183643E-2</v>
          </cell>
          <cell r="BP176">
            <v>0.10124774515560779</v>
          </cell>
          <cell r="BQ176">
            <v>7.8369667934374665E-2</v>
          </cell>
          <cell r="BR176">
            <v>0.11729241256655637</v>
          </cell>
        </row>
        <row r="177">
          <cell r="A177" t="str">
            <v>Unallocated Corporate Expense</v>
          </cell>
          <cell r="B177">
            <v>-0.10191925876902715</v>
          </cell>
          <cell r="C177">
            <v>-0.14243027888446216</v>
          </cell>
          <cell r="D177">
            <v>-0.1167420814479638</v>
          </cell>
          <cell r="E177">
            <v>-7.130124777183601E-2</v>
          </cell>
          <cell r="F177">
            <v>-7.4550128534704371E-2</v>
          </cell>
          <cell r="G177">
            <v>-8.7136929460580909E-2</v>
          </cell>
          <cell r="H177">
            <v>-9.7600000000000006E-2</v>
          </cell>
          <cell r="I177">
            <v>-0.10312499999999999</v>
          </cell>
          <cell r="J177">
            <v>-8.3202511773940349E-2</v>
          </cell>
          <cell r="K177">
            <v>-8.0147058823529418E-2</v>
          </cell>
          <cell r="L177">
            <v>-8.867362146050671E-2</v>
          </cell>
          <cell r="M177">
            <v>-0.11416309012875536</v>
          </cell>
          <cell r="N177">
            <v>-0.12905844155844157</v>
          </cell>
          <cell r="O177">
            <v>-9.8652969930279694E-2</v>
          </cell>
          <cell r="P177">
            <v>-9.6259831150167216E-2</v>
          </cell>
          <cell r="Q177">
            <v>-9.4464015217252076E-2</v>
          </cell>
          <cell r="R177">
            <v>-9.3328506851473092E-2</v>
          </cell>
          <cell r="S177">
            <v>-9.2199877671772151E-2</v>
          </cell>
          <cell r="T177">
            <v>-9.1080812500079544E-2</v>
          </cell>
          <cell r="U177">
            <v>-8.9973708423423712E-2</v>
          </cell>
          <cell r="W177">
            <v>-7.909604519774012E-2</v>
          </cell>
          <cell r="X177">
            <v>-6.9408740359897178E-2</v>
          </cell>
          <cell r="Y177">
            <v>-0.10666666666666667</v>
          </cell>
          <cell r="Z177">
            <v>-6.4935064935064939E-3</v>
          </cell>
          <cell r="AA177">
            <v>-5.9299191374663072E-2</v>
          </cell>
          <cell r="AB177">
            <v>-5.8355437665782495E-2</v>
          </cell>
          <cell r="AC177">
            <v>-8.0645161290322578E-2</v>
          </cell>
          <cell r="AD177">
            <v>-7.1960297766749379E-2</v>
          </cell>
          <cell r="AE177">
            <v>-4.6391752577319589E-2</v>
          </cell>
          <cell r="AF177">
            <v>-7.1960297766749379E-2</v>
          </cell>
          <cell r="AG177">
            <v>-0.10181818181818182</v>
          </cell>
          <cell r="AH177">
            <v>-0.21582733812949639</v>
          </cell>
          <cell r="AI177">
            <v>-5.9360730593607303E-2</v>
          </cell>
          <cell r="AJ177">
            <v>-8.2938388625592413E-2</v>
          </cell>
          <cell r="AK177">
            <v>-0.12643678160919541</v>
          </cell>
          <cell r="AL177">
            <v>-0.21705426356589147</v>
          </cell>
          <cell r="AM177">
            <v>-6.4965197215777259E-2</v>
          </cell>
          <cell r="AN177">
            <v>-6.8708364629824784E-2</v>
          </cell>
          <cell r="AO177">
            <v>-0.12616285146858996</v>
          </cell>
          <cell r="AP177">
            <v>-0.12377971633045104</v>
          </cell>
          <cell r="AQ177">
            <v>-4.8611111111111112E-2</v>
          </cell>
          <cell r="AR177">
            <v>-7.7134986225895319E-2</v>
          </cell>
          <cell r="AS177">
            <v>-6.7615658362989328E-2</v>
          </cell>
          <cell r="AT177">
            <v>-0.19191919191919191</v>
          </cell>
          <cell r="AU177">
            <v>-4.8117154811715482E-2</v>
          </cell>
          <cell r="AV177">
            <v>-8.1841432225063945E-2</v>
          </cell>
          <cell r="AW177">
            <v>-6.5789473684210523E-2</v>
          </cell>
          <cell r="AX177">
            <v>-0.10429447852760736</v>
          </cell>
          <cell r="AY177">
            <v>-5.6306306306306307E-2</v>
          </cell>
          <cell r="AZ177">
            <v>-8.9136490250696379E-2</v>
          </cell>
          <cell r="BA177">
            <v>-0.10097719869706841</v>
          </cell>
          <cell r="BB177">
            <v>-0.1336206896551724</v>
          </cell>
          <cell r="BC177">
            <v>-8.8607594936708861E-2</v>
          </cell>
          <cell r="BD177">
            <v>-0.11764705882352941</v>
          </cell>
          <cell r="BE177">
            <v>-0.1171875</v>
          </cell>
          <cell r="BF177">
            <v>-0.15384615384615385</v>
          </cell>
          <cell r="BG177">
            <v>-8.3135391923990498E-2</v>
          </cell>
          <cell r="BH177">
            <v>-0.12307692307692308</v>
          </cell>
          <cell r="BI177">
            <v>-0.14028776978417265</v>
          </cell>
          <cell r="BJ177">
            <v>-0.21634615384615385</v>
          </cell>
          <cell r="BK177">
            <v>-7.418397626112759E-2</v>
          </cell>
          <cell r="BL177">
            <v>-9.0168083198551865E-2</v>
          </cell>
          <cell r="BM177">
            <v>-0.10018972873646485</v>
          </cell>
          <cell r="BN177">
            <v>-0.14034561505932164</v>
          </cell>
          <cell r="BO177">
            <v>-0.10188217852635195</v>
          </cell>
          <cell r="BP177">
            <v>-0.12575006226237101</v>
          </cell>
          <cell r="BQ177">
            <v>-9.7648345040118364E-2</v>
          </cell>
          <cell r="BR177">
            <v>-0.20519894296769692</v>
          </cell>
        </row>
        <row r="178">
          <cell r="A178" t="str">
            <v>Total</v>
          </cell>
          <cell r="B178">
            <v>1</v>
          </cell>
          <cell r="C178">
            <v>1</v>
          </cell>
          <cell r="D178">
            <v>0.99999999999999978</v>
          </cell>
          <cell r="E178">
            <v>1</v>
          </cell>
          <cell r="F178">
            <v>1</v>
          </cell>
          <cell r="G178">
            <v>0.99999999999999989</v>
          </cell>
          <cell r="H178">
            <v>0.99999999999999989</v>
          </cell>
          <cell r="I178">
            <v>1.0000000000000002</v>
          </cell>
          <cell r="J178">
            <v>1</v>
          </cell>
          <cell r="K178">
            <v>0.99999999999999989</v>
          </cell>
          <cell r="L178">
            <v>1.6251862891207154</v>
          </cell>
          <cell r="M178">
            <v>0.99999999999999978</v>
          </cell>
          <cell r="N178">
            <v>0.99999999999999989</v>
          </cell>
          <cell r="O178">
            <v>1.0000000000000002</v>
          </cell>
          <cell r="P178">
            <v>1</v>
          </cell>
          <cell r="Q178">
            <v>0.99999999999999989</v>
          </cell>
          <cell r="R178">
            <v>1</v>
          </cell>
          <cell r="S178">
            <v>0.99999999999999989</v>
          </cell>
          <cell r="T178">
            <v>1</v>
          </cell>
          <cell r="U178">
            <v>1</v>
          </cell>
          <cell r="W178">
            <v>0.99999999999999989</v>
          </cell>
          <cell r="X178">
            <v>0.99999999999999989</v>
          </cell>
          <cell r="Y178">
            <v>1</v>
          </cell>
          <cell r="Z178">
            <v>0.99999999999999989</v>
          </cell>
          <cell r="AA178">
            <v>0.99999999999999989</v>
          </cell>
          <cell r="AB178">
            <v>1</v>
          </cell>
          <cell r="AC178">
            <v>0.99999999999999989</v>
          </cell>
          <cell r="AD178">
            <v>1.0000000000000002</v>
          </cell>
          <cell r="AE178">
            <v>1</v>
          </cell>
          <cell r="AF178">
            <v>1.0000000000000002</v>
          </cell>
          <cell r="AG178">
            <v>0.99999999999999978</v>
          </cell>
          <cell r="AH178">
            <v>1.0000000000000002</v>
          </cell>
          <cell r="AI178">
            <v>1</v>
          </cell>
          <cell r="AJ178">
            <v>1.0000000000000002</v>
          </cell>
          <cell r="AK178">
            <v>1.0000000000000002</v>
          </cell>
          <cell r="AL178">
            <v>1.0000000000000002</v>
          </cell>
          <cell r="AM178">
            <v>1.0000000000000002</v>
          </cell>
          <cell r="AN178">
            <v>1</v>
          </cell>
          <cell r="AO178">
            <v>1.0000000000000002</v>
          </cell>
          <cell r="AP178">
            <v>0.99999999999999978</v>
          </cell>
          <cell r="AQ178">
            <v>1</v>
          </cell>
          <cell r="AR178">
            <v>0.99999999999999989</v>
          </cell>
          <cell r="AS178">
            <v>1</v>
          </cell>
          <cell r="AT178">
            <v>1.0000000000000002</v>
          </cell>
          <cell r="AU178">
            <v>0.99999999999999989</v>
          </cell>
          <cell r="AV178">
            <v>0.99999999999999989</v>
          </cell>
          <cell r="AW178">
            <v>0.99999999999999989</v>
          </cell>
          <cell r="AX178">
            <v>0.57361963190184051</v>
          </cell>
          <cell r="AY178">
            <v>1</v>
          </cell>
          <cell r="AZ178">
            <v>1</v>
          </cell>
          <cell r="BA178">
            <v>1</v>
          </cell>
          <cell r="BB178">
            <v>1</v>
          </cell>
          <cell r="BC178">
            <v>0.99999999999999978</v>
          </cell>
          <cell r="BD178">
            <v>1</v>
          </cell>
          <cell r="BE178">
            <v>1</v>
          </cell>
          <cell r="BF178">
            <v>0.99999999999999989</v>
          </cell>
          <cell r="BG178">
            <v>1</v>
          </cell>
          <cell r="BH178">
            <v>1</v>
          </cell>
          <cell r="BI178">
            <v>1</v>
          </cell>
          <cell r="BJ178">
            <v>0.99999999999999989</v>
          </cell>
          <cell r="BK178">
            <v>1</v>
          </cell>
          <cell r="BL178">
            <v>1</v>
          </cell>
          <cell r="BM178">
            <v>1.0000000000000002</v>
          </cell>
          <cell r="BN178">
            <v>1</v>
          </cell>
          <cell r="BO178">
            <v>1.0000000000000002</v>
          </cell>
          <cell r="BP178">
            <v>0.99999999999999978</v>
          </cell>
          <cell r="BQ178">
            <v>0.99999999999999989</v>
          </cell>
          <cell r="BR178">
            <v>1</v>
          </cell>
        </row>
        <row r="180">
          <cell r="A180" t="str">
            <v>Share Repurchases</v>
          </cell>
        </row>
        <row r="181">
          <cell r="AP181">
            <v>26</v>
          </cell>
        </row>
        <row r="182">
          <cell r="A182" t="str">
            <v>Value of shares repurchased</v>
          </cell>
          <cell r="C182">
            <v>5</v>
          </cell>
          <cell r="D182">
            <v>24</v>
          </cell>
          <cell r="E182">
            <v>56</v>
          </cell>
          <cell r="F182">
            <v>110</v>
          </cell>
          <cell r="G182">
            <v>506</v>
          </cell>
          <cell r="H182">
            <v>1140</v>
          </cell>
          <cell r="I182">
            <v>903</v>
          </cell>
          <cell r="J182">
            <v>527</v>
          </cell>
          <cell r="K182">
            <v>472</v>
          </cell>
          <cell r="L182">
            <v>728</v>
          </cell>
          <cell r="M182">
            <v>412</v>
          </cell>
          <cell r="N182">
            <v>153.47994353000001</v>
          </cell>
          <cell r="O182">
            <v>0</v>
          </cell>
          <cell r="P182">
            <v>350</v>
          </cell>
          <cell r="Q182">
            <v>350</v>
          </cell>
          <cell r="R182">
            <v>350</v>
          </cell>
          <cell r="S182">
            <v>350</v>
          </cell>
          <cell r="T182">
            <v>350</v>
          </cell>
          <cell r="U182">
            <v>350</v>
          </cell>
          <cell r="W182">
            <v>4</v>
          </cell>
          <cell r="X182">
            <v>15</v>
          </cell>
          <cell r="Y182">
            <v>19</v>
          </cell>
          <cell r="Z182">
            <v>18</v>
          </cell>
          <cell r="AA182">
            <v>4</v>
          </cell>
          <cell r="AB182">
            <v>0</v>
          </cell>
          <cell r="AC182">
            <v>62</v>
          </cell>
          <cell r="AD182">
            <v>44</v>
          </cell>
          <cell r="AE182">
            <v>0</v>
          </cell>
          <cell r="AF182">
            <v>127</v>
          </cell>
          <cell r="AG182">
            <v>56</v>
          </cell>
          <cell r="AH182">
            <v>323</v>
          </cell>
          <cell r="AI182">
            <v>751</v>
          </cell>
          <cell r="AJ182">
            <v>91</v>
          </cell>
          <cell r="AK182">
            <v>132</v>
          </cell>
          <cell r="AL182">
            <v>166</v>
          </cell>
          <cell r="AM182">
            <v>78</v>
          </cell>
          <cell r="AN182">
            <v>125</v>
          </cell>
          <cell r="AO182">
            <v>232</v>
          </cell>
          <cell r="AP182">
            <v>468</v>
          </cell>
          <cell r="AQ182">
            <v>114</v>
          </cell>
          <cell r="AR182">
            <v>181</v>
          </cell>
          <cell r="AS182">
            <v>114</v>
          </cell>
          <cell r="AT182">
            <v>118</v>
          </cell>
          <cell r="AU182">
            <v>94</v>
          </cell>
          <cell r="AV182">
            <v>119</v>
          </cell>
          <cell r="AW182">
            <v>102</v>
          </cell>
          <cell r="AX182">
            <v>157</v>
          </cell>
          <cell r="AY182">
            <v>156</v>
          </cell>
          <cell r="AZ182">
            <v>417</v>
          </cell>
          <cell r="BA182">
            <v>123</v>
          </cell>
          <cell r="BB182">
            <v>32</v>
          </cell>
          <cell r="BC182">
            <v>85</v>
          </cell>
          <cell r="BD182">
            <v>88</v>
          </cell>
          <cell r="BE182">
            <v>99</v>
          </cell>
          <cell r="BF182">
            <v>140</v>
          </cell>
          <cell r="BG182">
            <v>17</v>
          </cell>
          <cell r="BH182">
            <v>46</v>
          </cell>
          <cell r="BI182">
            <v>76</v>
          </cell>
          <cell r="BJ182">
            <v>14.47994353</v>
          </cell>
          <cell r="BK182">
            <v>0</v>
          </cell>
          <cell r="BL182">
            <v>0</v>
          </cell>
          <cell r="BM182">
            <v>0</v>
          </cell>
          <cell r="BN182">
            <v>0</v>
          </cell>
          <cell r="BO182">
            <v>42.5</v>
          </cell>
          <cell r="BP182">
            <v>42.5</v>
          </cell>
          <cell r="BQ182">
            <v>42.5</v>
          </cell>
          <cell r="BR182">
            <v>42.5</v>
          </cell>
        </row>
        <row r="183">
          <cell r="A183" t="str">
            <v>Average Price</v>
          </cell>
          <cell r="C183">
            <v>25</v>
          </cell>
          <cell r="D183">
            <v>24</v>
          </cell>
          <cell r="E183">
            <v>28</v>
          </cell>
          <cell r="F183">
            <v>27.5</v>
          </cell>
          <cell r="G183">
            <v>33.733333333333334</v>
          </cell>
          <cell r="H183">
            <v>38</v>
          </cell>
          <cell r="I183">
            <v>34.730769230769234</v>
          </cell>
          <cell r="J183">
            <v>31</v>
          </cell>
          <cell r="K183">
            <v>33.714285714285715</v>
          </cell>
          <cell r="L183">
            <v>34.666666666666664</v>
          </cell>
          <cell r="M183">
            <v>32.698412698412696</v>
          </cell>
          <cell r="N183">
            <v>35.548558967247743</v>
          </cell>
          <cell r="O183">
            <v>45.61</v>
          </cell>
          <cell r="P183">
            <v>47.890500000000003</v>
          </cell>
          <cell r="Q183">
            <v>50.285025000000005</v>
          </cell>
          <cell r="R183">
            <v>52.799276250000005</v>
          </cell>
          <cell r="S183">
            <v>55.439240062500005</v>
          </cell>
          <cell r="T183">
            <v>58.21120206562501</v>
          </cell>
          <cell r="U183">
            <v>61.121762168906265</v>
          </cell>
          <cell r="W183">
            <v>22.471910112359552</v>
          </cell>
          <cell r="X183">
            <v>28.195488721804509</v>
          </cell>
          <cell r="Y183">
            <v>27.536231884057973</v>
          </cell>
          <cell r="Z183">
            <v>29.999999999999996</v>
          </cell>
          <cell r="AA183">
            <v>24.242424242424242</v>
          </cell>
          <cell r="AB183">
            <v>24.242424242424242</v>
          </cell>
          <cell r="AC183">
            <v>27.740492170022375</v>
          </cell>
          <cell r="AD183">
            <v>27.5</v>
          </cell>
          <cell r="AE183">
            <v>0</v>
          </cell>
          <cell r="AF183">
            <v>30.238095238095237</v>
          </cell>
          <cell r="AG183">
            <v>31.111111111111114</v>
          </cell>
          <cell r="AH183">
            <v>35.888888888888886</v>
          </cell>
          <cell r="AI183">
            <v>37.549999999999997</v>
          </cell>
          <cell r="AJ183">
            <v>45.5</v>
          </cell>
          <cell r="AK183">
            <v>33</v>
          </cell>
          <cell r="AL183">
            <v>41.5</v>
          </cell>
          <cell r="AM183">
            <v>39</v>
          </cell>
          <cell r="AN183">
            <v>31.25</v>
          </cell>
          <cell r="AO183">
            <v>33.142857142857146</v>
          </cell>
          <cell r="AP183">
            <v>36</v>
          </cell>
          <cell r="AQ183">
            <v>38</v>
          </cell>
          <cell r="AR183">
            <v>30.166666666666668</v>
          </cell>
          <cell r="AS183">
            <v>28.5</v>
          </cell>
          <cell r="AT183">
            <v>29.5</v>
          </cell>
          <cell r="AU183">
            <v>31.333333333333332</v>
          </cell>
          <cell r="AV183">
            <v>29.75</v>
          </cell>
          <cell r="AW183">
            <v>51</v>
          </cell>
          <cell r="AX183">
            <v>31.4</v>
          </cell>
          <cell r="AY183">
            <v>39</v>
          </cell>
          <cell r="AZ183">
            <v>34.75</v>
          </cell>
          <cell r="BA183">
            <v>30.75</v>
          </cell>
          <cell r="BB183">
            <v>32</v>
          </cell>
          <cell r="BC183">
            <v>28.333333333333332</v>
          </cell>
          <cell r="BD183">
            <v>44</v>
          </cell>
          <cell r="BE183">
            <v>33</v>
          </cell>
          <cell r="BF183">
            <v>30.434782608695656</v>
          </cell>
          <cell r="BG183">
            <v>35.416666666666671</v>
          </cell>
          <cell r="BH183">
            <v>30.263157894736842</v>
          </cell>
          <cell r="BI183">
            <v>38</v>
          </cell>
          <cell r="BJ183">
            <v>45.61</v>
          </cell>
          <cell r="BK183">
            <v>45.61</v>
          </cell>
          <cell r="BL183">
            <v>45.61</v>
          </cell>
          <cell r="BM183">
            <v>45.61</v>
          </cell>
          <cell r="BN183">
            <v>45.61</v>
          </cell>
          <cell r="BO183">
            <v>42.187700000000007</v>
          </cell>
          <cell r="BP183">
            <v>42.609577000000009</v>
          </cell>
          <cell r="BQ183">
            <v>43.035672770000012</v>
          </cell>
          <cell r="BR183">
            <v>43.466029497700013</v>
          </cell>
        </row>
        <row r="184">
          <cell r="A184" t="str">
            <v>Shares Purchased</v>
          </cell>
          <cell r="C184">
            <v>0.2</v>
          </cell>
          <cell r="D184">
            <v>1</v>
          </cell>
          <cell r="E184">
            <v>2</v>
          </cell>
          <cell r="F184">
            <v>4</v>
          </cell>
          <cell r="G184">
            <v>15</v>
          </cell>
          <cell r="H184">
            <v>30</v>
          </cell>
          <cell r="I184">
            <v>26</v>
          </cell>
          <cell r="J184">
            <v>17</v>
          </cell>
          <cell r="K184">
            <v>14</v>
          </cell>
          <cell r="L184">
            <v>21</v>
          </cell>
          <cell r="M184">
            <v>12.6</v>
          </cell>
          <cell r="N184">
            <v>4.3174729999999997</v>
          </cell>
          <cell r="O184">
            <v>0</v>
          </cell>
          <cell r="P184">
            <v>7.3083388145874437</v>
          </cell>
          <cell r="Q184">
            <v>6.9603226805594698</v>
          </cell>
          <cell r="R184">
            <v>6.6288787433899712</v>
          </cell>
          <cell r="S184">
            <v>6.3132178508475922</v>
          </cell>
          <cell r="T184">
            <v>6.0125884293786589</v>
          </cell>
          <cell r="U184">
            <v>5.7262746946463405</v>
          </cell>
          <cell r="W184">
            <v>0.17799999999999999</v>
          </cell>
          <cell r="X184">
            <v>0.53200000000000003</v>
          </cell>
          <cell r="Y184">
            <v>0.69</v>
          </cell>
          <cell r="Z184">
            <v>0.60000000000000009</v>
          </cell>
          <cell r="AA184">
            <v>0.16500000000000001</v>
          </cell>
          <cell r="AB184">
            <v>0</v>
          </cell>
          <cell r="AC184">
            <v>2.2349999999999999</v>
          </cell>
          <cell r="AD184">
            <v>1.6</v>
          </cell>
          <cell r="AE184">
            <v>0</v>
          </cell>
          <cell r="AF184">
            <v>4.2</v>
          </cell>
          <cell r="AG184">
            <v>1.7999999999999998</v>
          </cell>
          <cell r="AH184">
            <v>9</v>
          </cell>
          <cell r="AI184">
            <v>20</v>
          </cell>
          <cell r="AJ184">
            <v>2</v>
          </cell>
          <cell r="AK184">
            <v>4</v>
          </cell>
          <cell r="AL184">
            <v>4</v>
          </cell>
          <cell r="AM184">
            <v>2</v>
          </cell>
          <cell r="AN184">
            <v>4</v>
          </cell>
          <cell r="AO184">
            <v>7</v>
          </cell>
          <cell r="AP184">
            <v>13</v>
          </cell>
          <cell r="AQ184">
            <v>3</v>
          </cell>
          <cell r="AR184">
            <v>6</v>
          </cell>
          <cell r="AS184">
            <v>4</v>
          </cell>
          <cell r="AT184">
            <v>4</v>
          </cell>
          <cell r="AU184">
            <v>3</v>
          </cell>
          <cell r="AV184">
            <v>4</v>
          </cell>
          <cell r="AW184">
            <v>2</v>
          </cell>
          <cell r="AX184">
            <v>5</v>
          </cell>
          <cell r="AY184">
            <v>4</v>
          </cell>
          <cell r="AZ184">
            <v>12</v>
          </cell>
          <cell r="BA184">
            <v>4</v>
          </cell>
          <cell r="BB184">
            <v>1</v>
          </cell>
          <cell r="BC184">
            <v>3</v>
          </cell>
          <cell r="BD184">
            <v>2</v>
          </cell>
          <cell r="BE184">
            <v>3</v>
          </cell>
          <cell r="BF184">
            <v>4.5999999999999996</v>
          </cell>
          <cell r="BG184">
            <v>0.48</v>
          </cell>
          <cell r="BH184">
            <v>1.52</v>
          </cell>
          <cell r="BI184">
            <v>2</v>
          </cell>
          <cell r="BJ184">
            <v>0.31747300000000001</v>
          </cell>
          <cell r="BK184">
            <v>0</v>
          </cell>
          <cell r="BL184">
            <v>0</v>
          </cell>
          <cell r="BM184">
            <v>0</v>
          </cell>
          <cell r="BN184">
            <v>0</v>
          </cell>
          <cell r="BO184">
            <v>1.0074026315727094</v>
          </cell>
          <cell r="BP184">
            <v>0.99742834809179148</v>
          </cell>
          <cell r="BQ184">
            <v>0.98755281989286281</v>
          </cell>
          <cell r="BR184">
            <v>0.97777506920085422</v>
          </cell>
        </row>
        <row r="185">
          <cell r="A185" t="str">
            <v>Shares Issued/ Other</v>
          </cell>
          <cell r="C185">
            <v>0.49627791563275431</v>
          </cell>
          <cell r="D185">
            <v>0.60091905266878753</v>
          </cell>
          <cell r="E185">
            <v>0.88715400993612492</v>
          </cell>
          <cell r="F185">
            <v>2.5493716337522438</v>
          </cell>
          <cell r="G185">
            <v>8.3687943262411348</v>
          </cell>
          <cell r="H185">
            <v>5.9459459459459456</v>
          </cell>
          <cell r="I185">
            <v>1.7140773158278628</v>
          </cell>
          <cell r="J185">
            <v>2.6587887740029545</v>
          </cell>
          <cell r="K185">
            <v>5.2512278050623351</v>
          </cell>
          <cell r="L185">
            <v>3.6599313762866945</v>
          </cell>
          <cell r="M185">
            <v>3.6</v>
          </cell>
          <cell r="N185">
            <v>4.3174729999999997</v>
          </cell>
          <cell r="O185">
            <v>0</v>
          </cell>
          <cell r="P185">
            <v>3</v>
          </cell>
          <cell r="Q185">
            <v>3</v>
          </cell>
          <cell r="R185">
            <v>3</v>
          </cell>
          <cell r="S185">
            <v>3</v>
          </cell>
          <cell r="T185">
            <v>3</v>
          </cell>
          <cell r="U185">
            <v>3</v>
          </cell>
          <cell r="W185">
            <v>0.17799999999999999</v>
          </cell>
          <cell r="X185">
            <v>0.14186666666666667</v>
          </cell>
          <cell r="Y185">
            <v>0.4357894736842105</v>
          </cell>
          <cell r="Z185">
            <v>0.13149786958524778</v>
          </cell>
          <cell r="AA185">
            <v>0.12375</v>
          </cell>
          <cell r="AB185">
            <v>0.94874999999999998</v>
          </cell>
          <cell r="AC185">
            <v>0.54072580645161283</v>
          </cell>
          <cell r="AD185">
            <v>0.93614582730063089</v>
          </cell>
          <cell r="AE185">
            <v>0.63380281690140849</v>
          </cell>
          <cell r="AF185">
            <v>0.70348223707351387</v>
          </cell>
          <cell r="AG185">
            <v>2.1769662921348316</v>
          </cell>
          <cell r="AH185">
            <v>4.8545429801313809</v>
          </cell>
          <cell r="AI185">
            <v>1.3242662848962061</v>
          </cell>
          <cell r="AJ185">
            <v>1.5708675473045339</v>
          </cell>
          <cell r="AK185">
            <v>2.4190679473496979</v>
          </cell>
          <cell r="AL185">
            <v>0.63174416639550834</v>
          </cell>
          <cell r="AM185">
            <v>0.28985507246376813</v>
          </cell>
          <cell r="AN185">
            <v>0.39869517941283072</v>
          </cell>
          <cell r="AO185">
            <v>0.39898440333696045</v>
          </cell>
          <cell r="AP185">
            <v>0.62654266061430341</v>
          </cell>
          <cell r="AQ185">
            <v>2.3079999999999998</v>
          </cell>
          <cell r="AR185">
            <v>0.2553812477198103</v>
          </cell>
          <cell r="AS185">
            <v>0</v>
          </cell>
          <cell r="AT185">
            <v>9.5407526283144417E-2</v>
          </cell>
          <cell r="AU185">
            <v>0.48005908419497789</v>
          </cell>
          <cell r="AV185">
            <v>0.85185185185185186</v>
          </cell>
          <cell r="AW185">
            <v>1.4530551415797317</v>
          </cell>
          <cell r="AX185">
            <v>2.4662617274357737</v>
          </cell>
          <cell r="AY185">
            <v>0.83144368858654571</v>
          </cell>
          <cell r="AZ185">
            <v>0.60629026146267528</v>
          </cell>
          <cell r="BA185">
            <v>0.60583112457402499</v>
          </cell>
          <cell r="BB185">
            <v>1.6163663016634486</v>
          </cell>
          <cell r="BC185">
            <v>0.61232300038270193</v>
          </cell>
          <cell r="BD185">
            <v>0.26809651474530832</v>
          </cell>
          <cell r="BE185">
            <v>2.6975683890577509</v>
          </cell>
          <cell r="BF185">
            <v>2.2012095814238908E-2</v>
          </cell>
          <cell r="BG185">
            <v>1.48</v>
          </cell>
          <cell r="BH185">
            <v>1.52</v>
          </cell>
          <cell r="BI185">
            <v>1</v>
          </cell>
          <cell r="BJ185">
            <v>0.31747300000000001</v>
          </cell>
          <cell r="BK185">
            <v>0</v>
          </cell>
          <cell r="BL185">
            <v>0</v>
          </cell>
          <cell r="BM185">
            <v>0</v>
          </cell>
          <cell r="BN185">
            <v>0</v>
          </cell>
          <cell r="BO185">
            <v>0.5</v>
          </cell>
          <cell r="BP185">
            <v>0.5</v>
          </cell>
          <cell r="BQ185">
            <v>0.5</v>
          </cell>
          <cell r="BR185">
            <v>0.5</v>
          </cell>
        </row>
        <row r="186">
          <cell r="A186" t="str">
            <v>Net Shares Purchased</v>
          </cell>
          <cell r="C186">
            <v>-0.2962779156327543</v>
          </cell>
          <cell r="D186">
            <v>0.39908094733121247</v>
          </cell>
          <cell r="E186">
            <v>1.112845990063875</v>
          </cell>
          <cell r="F186">
            <v>1.4506283662477562</v>
          </cell>
          <cell r="G186">
            <v>6.6312056737588652</v>
          </cell>
          <cell r="H186">
            <v>24.054054054054056</v>
          </cell>
          <cell r="I186">
            <v>24.285922684172139</v>
          </cell>
          <cell r="J186">
            <v>14.341211225997046</v>
          </cell>
          <cell r="K186">
            <v>8.7487721949376649</v>
          </cell>
          <cell r="L186">
            <v>17.340068623713307</v>
          </cell>
          <cell r="M186">
            <v>9</v>
          </cell>
          <cell r="N186">
            <v>0</v>
          </cell>
          <cell r="O186">
            <v>0</v>
          </cell>
          <cell r="P186">
            <v>4.3083388145874437</v>
          </cell>
          <cell r="Q186">
            <v>3.9603226805594698</v>
          </cell>
          <cell r="R186">
            <v>3.6288787433899712</v>
          </cell>
          <cell r="S186">
            <v>3.3132178508475922</v>
          </cell>
          <cell r="T186">
            <v>3.0125884293786589</v>
          </cell>
          <cell r="U186">
            <v>2.7262746946463405</v>
          </cell>
          <cell r="W186">
            <v>0</v>
          </cell>
          <cell r="X186">
            <v>0.39013333333333333</v>
          </cell>
          <cell r="Y186">
            <v>0.25421052631578944</v>
          </cell>
          <cell r="Z186">
            <v>0.4685021304147523</v>
          </cell>
          <cell r="AA186">
            <v>4.1250000000000009E-2</v>
          </cell>
          <cell r="AB186">
            <v>-0.94874999999999998</v>
          </cell>
          <cell r="AC186">
            <v>1.6942741935483872</v>
          </cell>
          <cell r="AD186">
            <v>0.66385417269936919</v>
          </cell>
          <cell r="AE186">
            <v>-0.63380281690140849</v>
          </cell>
          <cell r="AF186">
            <v>3.4965177629264863</v>
          </cell>
          <cell r="AG186">
            <v>-0.37696629213483179</v>
          </cell>
          <cell r="AH186">
            <v>4.1454570198686191</v>
          </cell>
          <cell r="AI186">
            <v>18.675733715103792</v>
          </cell>
          <cell r="AJ186">
            <v>0.42913245269546607</v>
          </cell>
          <cell r="AK186">
            <v>1.5809320526503021</v>
          </cell>
          <cell r="AL186">
            <v>3.3682558336044917</v>
          </cell>
          <cell r="AM186">
            <v>1.7101449275362319</v>
          </cell>
          <cell r="AN186">
            <v>3.6013048205871692</v>
          </cell>
          <cell r="AO186">
            <v>6.6010155966630393</v>
          </cell>
          <cell r="AP186">
            <v>12.373457339385697</v>
          </cell>
          <cell r="AQ186">
            <v>0.69200000000000017</v>
          </cell>
          <cell r="AR186">
            <v>5.7446187522801893</v>
          </cell>
          <cell r="AS186">
            <v>4</v>
          </cell>
          <cell r="AT186">
            <v>3.9045924737168556</v>
          </cell>
          <cell r="AU186">
            <v>2.5199409158050221</v>
          </cell>
          <cell r="AV186">
            <v>3.1481481481481479</v>
          </cell>
          <cell r="AW186">
            <v>0.5469448584202683</v>
          </cell>
          <cell r="AX186">
            <v>2.5337382725642263</v>
          </cell>
          <cell r="AY186">
            <v>3.1685563114134543</v>
          </cell>
          <cell r="AZ186">
            <v>11.393709738537325</v>
          </cell>
          <cell r="BA186">
            <v>3.3941688754259749</v>
          </cell>
          <cell r="BB186">
            <v>-0.61636630166344863</v>
          </cell>
          <cell r="BC186">
            <v>2.3876769996172982</v>
          </cell>
          <cell r="BD186">
            <v>1.7319034852546917</v>
          </cell>
          <cell r="BE186">
            <v>0.30243161094224913</v>
          </cell>
          <cell r="BF186">
            <v>4.5779879041857612</v>
          </cell>
          <cell r="BG186">
            <v>-1</v>
          </cell>
          <cell r="BH186">
            <v>0</v>
          </cell>
          <cell r="BI186">
            <v>1</v>
          </cell>
          <cell r="BJ186">
            <v>0</v>
          </cell>
          <cell r="BK186">
            <v>0</v>
          </cell>
          <cell r="BL186">
            <v>0</v>
          </cell>
          <cell r="BM186">
            <v>0</v>
          </cell>
          <cell r="BN186">
            <v>0</v>
          </cell>
          <cell r="BO186">
            <v>0.50740263157270937</v>
          </cell>
          <cell r="BP186">
            <v>0.49742834809179148</v>
          </cell>
          <cell r="BQ186">
            <v>0.48755281989286281</v>
          </cell>
          <cell r="BR186">
            <v>0.47777506920085422</v>
          </cell>
        </row>
        <row r="188">
          <cell r="A188" t="str">
            <v>% Debt Financed</v>
          </cell>
          <cell r="C188">
            <v>1</v>
          </cell>
          <cell r="D188">
            <v>1</v>
          </cell>
          <cell r="E188">
            <v>1</v>
          </cell>
          <cell r="F188">
            <v>1</v>
          </cell>
          <cell r="G188">
            <v>1</v>
          </cell>
          <cell r="H188">
            <v>1</v>
          </cell>
          <cell r="I188">
            <v>1</v>
          </cell>
          <cell r="L188">
            <v>320</v>
          </cell>
          <cell r="M188">
            <v>1</v>
          </cell>
          <cell r="N188">
            <v>1</v>
          </cell>
          <cell r="O188">
            <v>1</v>
          </cell>
          <cell r="P188">
            <v>1</v>
          </cell>
          <cell r="Q188">
            <v>1</v>
          </cell>
          <cell r="R188">
            <v>1</v>
          </cell>
          <cell r="S188">
            <v>1</v>
          </cell>
          <cell r="T188">
            <v>1</v>
          </cell>
          <cell r="U188">
            <v>1</v>
          </cell>
          <cell r="W188">
            <v>1</v>
          </cell>
          <cell r="X188">
            <v>1</v>
          </cell>
          <cell r="Y188">
            <v>1</v>
          </cell>
          <cell r="Z188">
            <v>1</v>
          </cell>
          <cell r="AA188">
            <v>1</v>
          </cell>
          <cell r="AB188">
            <v>1</v>
          </cell>
          <cell r="AC188">
            <v>1</v>
          </cell>
          <cell r="AD188">
            <v>1</v>
          </cell>
          <cell r="AE188">
            <v>1</v>
          </cell>
          <cell r="AF188">
            <v>1</v>
          </cell>
          <cell r="AG188">
            <v>1</v>
          </cell>
          <cell r="AH188">
            <v>1</v>
          </cell>
          <cell r="AI188">
            <v>1</v>
          </cell>
          <cell r="AJ188">
            <v>1</v>
          </cell>
          <cell r="AK188">
            <v>1</v>
          </cell>
          <cell r="AL188">
            <v>1</v>
          </cell>
          <cell r="AM188">
            <v>1</v>
          </cell>
          <cell r="AN188">
            <v>1</v>
          </cell>
          <cell r="AO188">
            <v>1</v>
          </cell>
          <cell r="AP188">
            <v>1</v>
          </cell>
          <cell r="AQ188">
            <v>1</v>
          </cell>
          <cell r="AR188">
            <v>1</v>
          </cell>
          <cell r="AS188">
            <v>1</v>
          </cell>
          <cell r="AT188">
            <v>1</v>
          </cell>
          <cell r="AU188">
            <v>1</v>
          </cell>
          <cell r="AV188">
            <v>1</v>
          </cell>
          <cell r="AW188">
            <v>1</v>
          </cell>
          <cell r="AX188">
            <v>1</v>
          </cell>
          <cell r="AY188">
            <v>1</v>
          </cell>
          <cell r="AZ188">
            <v>1</v>
          </cell>
          <cell r="BA188">
            <v>1</v>
          </cell>
          <cell r="BB188">
            <v>1</v>
          </cell>
          <cell r="BC188">
            <v>1</v>
          </cell>
          <cell r="BD188">
            <v>1</v>
          </cell>
          <cell r="BE188">
            <v>1</v>
          </cell>
          <cell r="BF188">
            <v>1</v>
          </cell>
          <cell r="BG188">
            <v>1</v>
          </cell>
          <cell r="BH188">
            <v>1</v>
          </cell>
          <cell r="BI188">
            <v>1</v>
          </cell>
          <cell r="BJ188">
            <v>1</v>
          </cell>
          <cell r="BK188">
            <v>1</v>
          </cell>
          <cell r="BL188">
            <v>1</v>
          </cell>
          <cell r="BM188">
            <v>1</v>
          </cell>
          <cell r="BN188">
            <v>1</v>
          </cell>
          <cell r="BO188">
            <v>1</v>
          </cell>
          <cell r="BP188">
            <v>1</v>
          </cell>
          <cell r="BQ188">
            <v>1</v>
          </cell>
          <cell r="BR188">
            <v>1</v>
          </cell>
        </row>
        <row r="189">
          <cell r="A189" t="str">
            <v>Debt Borrowed</v>
          </cell>
          <cell r="C189">
            <v>5</v>
          </cell>
          <cell r="D189">
            <v>24</v>
          </cell>
          <cell r="E189">
            <v>56</v>
          </cell>
          <cell r="F189">
            <v>110</v>
          </cell>
          <cell r="G189">
            <v>506</v>
          </cell>
          <cell r="H189">
            <v>1140</v>
          </cell>
          <cell r="I189">
            <v>903</v>
          </cell>
          <cell r="L189">
            <v>728</v>
          </cell>
          <cell r="M189">
            <v>412</v>
          </cell>
          <cell r="N189">
            <v>153.47994353000001</v>
          </cell>
          <cell r="O189">
            <v>0</v>
          </cell>
          <cell r="P189">
            <v>350</v>
          </cell>
          <cell r="Q189">
            <v>350</v>
          </cell>
          <cell r="R189">
            <v>350</v>
          </cell>
          <cell r="S189">
            <v>350</v>
          </cell>
          <cell r="T189">
            <v>350</v>
          </cell>
          <cell r="U189">
            <v>350</v>
          </cell>
          <cell r="W189">
            <v>4</v>
          </cell>
          <cell r="X189">
            <v>15</v>
          </cell>
          <cell r="Y189">
            <v>19</v>
          </cell>
          <cell r="Z189">
            <v>18</v>
          </cell>
          <cell r="AA189">
            <v>4</v>
          </cell>
          <cell r="AB189">
            <v>0</v>
          </cell>
          <cell r="AC189">
            <v>62</v>
          </cell>
          <cell r="AD189">
            <v>44</v>
          </cell>
          <cell r="AE189">
            <v>0</v>
          </cell>
          <cell r="AF189">
            <v>127</v>
          </cell>
          <cell r="AG189">
            <v>56</v>
          </cell>
          <cell r="AH189">
            <v>323</v>
          </cell>
          <cell r="AI189">
            <v>751</v>
          </cell>
          <cell r="AJ189">
            <v>91</v>
          </cell>
          <cell r="AK189">
            <v>132</v>
          </cell>
          <cell r="AL189">
            <v>166</v>
          </cell>
          <cell r="AM189">
            <v>78</v>
          </cell>
          <cell r="AN189">
            <v>125</v>
          </cell>
          <cell r="AO189">
            <v>232</v>
          </cell>
          <cell r="AP189">
            <v>468</v>
          </cell>
          <cell r="AQ189">
            <v>114</v>
          </cell>
          <cell r="AR189">
            <v>181</v>
          </cell>
          <cell r="AS189">
            <v>114</v>
          </cell>
          <cell r="AT189">
            <v>118</v>
          </cell>
          <cell r="AU189">
            <v>94</v>
          </cell>
          <cell r="AV189">
            <v>119</v>
          </cell>
          <cell r="AW189">
            <v>102</v>
          </cell>
          <cell r="AX189">
            <v>157</v>
          </cell>
          <cell r="AY189">
            <v>156</v>
          </cell>
          <cell r="AZ189">
            <v>417</v>
          </cell>
          <cell r="BA189">
            <v>123</v>
          </cell>
          <cell r="BB189">
            <v>32</v>
          </cell>
          <cell r="BC189">
            <v>85</v>
          </cell>
          <cell r="BD189">
            <v>88</v>
          </cell>
          <cell r="BE189">
            <v>99</v>
          </cell>
          <cell r="BF189">
            <v>140</v>
          </cell>
          <cell r="BG189">
            <v>17</v>
          </cell>
          <cell r="BH189">
            <v>46</v>
          </cell>
          <cell r="BI189">
            <v>76</v>
          </cell>
          <cell r="BJ189">
            <v>14.47994353</v>
          </cell>
          <cell r="BK189">
            <v>0</v>
          </cell>
          <cell r="BL189">
            <v>0</v>
          </cell>
          <cell r="BM189">
            <v>0</v>
          </cell>
          <cell r="BN189">
            <v>0</v>
          </cell>
          <cell r="BO189">
            <v>42.5</v>
          </cell>
          <cell r="BP189">
            <v>42.5</v>
          </cell>
          <cell r="BQ189">
            <v>42.5</v>
          </cell>
          <cell r="BR189">
            <v>42.5</v>
          </cell>
        </row>
        <row r="191">
          <cell r="A191" t="str">
            <v>Beginning Basic Shares</v>
          </cell>
          <cell r="C191">
            <v>409.52060399999999</v>
          </cell>
          <cell r="D191">
            <v>409.81688191563273</v>
          </cell>
          <cell r="E191">
            <v>409.41780096830155</v>
          </cell>
          <cell r="F191">
            <v>408.30495497823767</v>
          </cell>
          <cell r="G191">
            <v>406.8543266119899</v>
          </cell>
          <cell r="H191">
            <v>402</v>
          </cell>
          <cell r="I191">
            <v>379</v>
          </cell>
          <cell r="J191">
            <v>356</v>
          </cell>
          <cell r="K191">
            <v>343</v>
          </cell>
          <cell r="L191">
            <v>336</v>
          </cell>
          <cell r="M191">
            <v>320</v>
          </cell>
          <cell r="N191">
            <v>312</v>
          </cell>
          <cell r="O191">
            <v>312</v>
          </cell>
          <cell r="P191">
            <v>312</v>
          </cell>
          <cell r="Q191">
            <v>307.69166118541256</v>
          </cell>
          <cell r="R191">
            <v>303.73133850485311</v>
          </cell>
          <cell r="S191">
            <v>300.10245976146314</v>
          </cell>
          <cell r="T191">
            <v>296.78924191061554</v>
          </cell>
          <cell r="U191">
            <v>293.77665348123691</v>
          </cell>
          <cell r="W191">
            <v>410.34733699999998</v>
          </cell>
          <cell r="X191">
            <v>411.65266300000002</v>
          </cell>
          <cell r="Y191">
            <v>410.34733699999998</v>
          </cell>
          <cell r="Z191">
            <v>411.65266300000002</v>
          </cell>
          <cell r="AA191">
            <v>406.34733699999998</v>
          </cell>
          <cell r="AB191">
            <v>411.65266300000002</v>
          </cell>
          <cell r="AC191">
            <v>406.34733699999998</v>
          </cell>
          <cell r="AD191">
            <v>411.65266300000002</v>
          </cell>
          <cell r="AE191">
            <v>404.34733699999998</v>
          </cell>
          <cell r="AF191">
            <v>413.65266300000002</v>
          </cell>
          <cell r="AG191">
            <v>402.34733699999998</v>
          </cell>
          <cell r="AH191">
            <v>409.65266300000002</v>
          </cell>
          <cell r="AI191">
            <v>402.34733699999998</v>
          </cell>
          <cell r="AJ191">
            <v>387.65266300000002</v>
          </cell>
          <cell r="AK191">
            <v>380.34733699999998</v>
          </cell>
          <cell r="AL191">
            <v>387.65266300000002</v>
          </cell>
          <cell r="AM191">
            <v>374.34733699999998</v>
          </cell>
          <cell r="AN191">
            <v>383.65266300000002</v>
          </cell>
          <cell r="AO191">
            <v>370.34733699999998</v>
          </cell>
          <cell r="AP191">
            <v>375.65266300000002</v>
          </cell>
          <cell r="AQ191">
            <v>350.34733699999998</v>
          </cell>
          <cell r="AR191">
            <v>363.65266300000002</v>
          </cell>
          <cell r="AS191">
            <v>346.34733699999998</v>
          </cell>
          <cell r="AT191">
            <v>353.65266300000002</v>
          </cell>
          <cell r="AU191">
            <v>338.34733699999998</v>
          </cell>
          <cell r="AV191">
            <v>347.65266300000002</v>
          </cell>
          <cell r="AW191">
            <v>334.34733699999998</v>
          </cell>
          <cell r="AX191">
            <v>343.65266300000002</v>
          </cell>
          <cell r="AY191">
            <v>332.34733699999998</v>
          </cell>
          <cell r="AZ191">
            <v>337.65266300000002</v>
          </cell>
          <cell r="BA191">
            <v>322.34733699999998</v>
          </cell>
          <cell r="BB191">
            <v>319.65266300000002</v>
          </cell>
          <cell r="BC191">
            <v>322.34733699999998</v>
          </cell>
          <cell r="BD191">
            <v>319.95966000038266</v>
          </cell>
          <cell r="BE191">
            <v>318.22775651512796</v>
          </cell>
          <cell r="BF191">
            <v>316</v>
          </cell>
          <cell r="BG191">
            <v>312</v>
          </cell>
          <cell r="BH191">
            <v>313</v>
          </cell>
          <cell r="BI191">
            <v>313</v>
          </cell>
          <cell r="BJ191">
            <v>312</v>
          </cell>
          <cell r="BK191">
            <v>312</v>
          </cell>
          <cell r="BL191">
            <v>314</v>
          </cell>
          <cell r="BM191">
            <v>314</v>
          </cell>
          <cell r="BN191">
            <v>314</v>
          </cell>
          <cell r="BO191">
            <v>313</v>
          </cell>
          <cell r="BP191">
            <v>312.49259736842731</v>
          </cell>
          <cell r="BQ191">
            <v>311.99516902033554</v>
          </cell>
          <cell r="BR191">
            <v>311.50761620044267</v>
          </cell>
        </row>
        <row r="192">
          <cell r="A192" t="str">
            <v>Ending Basic Shares</v>
          </cell>
          <cell r="B192">
            <v>409.52060399999999</v>
          </cell>
          <cell r="C192">
            <v>409.81688191563273</v>
          </cell>
          <cell r="D192">
            <v>409.41780096830155</v>
          </cell>
          <cell r="E192">
            <v>408.30495497823767</v>
          </cell>
          <cell r="F192">
            <v>406.8543266119899</v>
          </cell>
          <cell r="G192">
            <v>402</v>
          </cell>
          <cell r="H192">
            <v>379</v>
          </cell>
          <cell r="I192">
            <v>356</v>
          </cell>
          <cell r="J192">
            <v>343</v>
          </cell>
          <cell r="K192">
            <v>336</v>
          </cell>
          <cell r="L192">
            <v>320</v>
          </cell>
          <cell r="M192">
            <v>312</v>
          </cell>
          <cell r="N192">
            <v>312</v>
          </cell>
          <cell r="O192">
            <v>312</v>
          </cell>
          <cell r="P192">
            <v>307.69166118541256</v>
          </cell>
          <cell r="Q192">
            <v>303.73133850485311</v>
          </cell>
          <cell r="R192">
            <v>300.10245976146314</v>
          </cell>
          <cell r="S192">
            <v>296.78924191061554</v>
          </cell>
          <cell r="T192">
            <v>293.77665348123691</v>
          </cell>
          <cell r="U192">
            <v>291.05037878659056</v>
          </cell>
          <cell r="W192">
            <v>411.65266300000002</v>
          </cell>
          <cell r="X192">
            <v>410.34733699999998</v>
          </cell>
          <cell r="Y192">
            <v>411.65266300000002</v>
          </cell>
          <cell r="Z192">
            <v>406.34733699999998</v>
          </cell>
          <cell r="AA192">
            <v>411.65266300000002</v>
          </cell>
          <cell r="AB192">
            <v>406.34733699999998</v>
          </cell>
          <cell r="AC192">
            <v>411.65266300000002</v>
          </cell>
          <cell r="AD192">
            <v>404.34733699999998</v>
          </cell>
          <cell r="AE192">
            <v>413.65266300000002</v>
          </cell>
          <cell r="AF192">
            <v>402.34733699999998</v>
          </cell>
          <cell r="AG192">
            <v>409.65266300000002</v>
          </cell>
          <cell r="AH192">
            <v>402.34733699999998</v>
          </cell>
          <cell r="AI192">
            <v>387.65266300000002</v>
          </cell>
          <cell r="AJ192">
            <v>380.34733699999998</v>
          </cell>
          <cell r="AK192">
            <v>387.65266300000002</v>
          </cell>
          <cell r="AL192">
            <v>374.34733699999998</v>
          </cell>
          <cell r="AM192">
            <v>383.65266300000002</v>
          </cell>
          <cell r="AN192">
            <v>370.34733699999998</v>
          </cell>
          <cell r="AO192">
            <v>375.65266300000002</v>
          </cell>
          <cell r="AP192">
            <v>350.34733699999998</v>
          </cell>
          <cell r="AQ192">
            <v>363.65266300000002</v>
          </cell>
          <cell r="AR192">
            <v>346.34733699999998</v>
          </cell>
          <cell r="AS192">
            <v>353.65266300000002</v>
          </cell>
          <cell r="AT192">
            <v>338.34733699999998</v>
          </cell>
          <cell r="AU192">
            <v>347.65266300000002</v>
          </cell>
          <cell r="AV192">
            <v>334.34733699999998</v>
          </cell>
          <cell r="AW192">
            <v>343.65266300000002</v>
          </cell>
          <cell r="AX192">
            <v>332.34733699999998</v>
          </cell>
          <cell r="AY192">
            <v>337.65266300000002</v>
          </cell>
          <cell r="AZ192">
            <v>322.34733699999998</v>
          </cell>
          <cell r="BA192">
            <v>319.65266300000002</v>
          </cell>
          <cell r="BB192">
            <v>322.34733699999998</v>
          </cell>
          <cell r="BC192">
            <v>319.95966000038266</v>
          </cell>
          <cell r="BD192">
            <v>318.22775651512796</v>
          </cell>
          <cell r="BE192">
            <v>316</v>
          </cell>
          <cell r="BF192">
            <v>312</v>
          </cell>
          <cell r="BG192">
            <v>313</v>
          </cell>
          <cell r="BH192">
            <v>313</v>
          </cell>
          <cell r="BI192">
            <v>312</v>
          </cell>
          <cell r="BJ192">
            <v>312</v>
          </cell>
          <cell r="BK192">
            <v>314</v>
          </cell>
          <cell r="BL192">
            <v>314</v>
          </cell>
          <cell r="BM192">
            <v>314</v>
          </cell>
          <cell r="BN192">
            <v>314</v>
          </cell>
          <cell r="BO192">
            <v>312.49259736842731</v>
          </cell>
          <cell r="BP192">
            <v>311.99516902033554</v>
          </cell>
          <cell r="BQ192">
            <v>311.50761620044267</v>
          </cell>
          <cell r="BR192">
            <v>311.02984113124182</v>
          </cell>
        </row>
        <row r="194">
          <cell r="A194" t="str">
            <v>Avg Basic Shares</v>
          </cell>
          <cell r="B194">
            <v>414</v>
          </cell>
          <cell r="C194">
            <v>410</v>
          </cell>
          <cell r="D194">
            <v>411</v>
          </cell>
          <cell r="E194">
            <v>409</v>
          </cell>
          <cell r="F194">
            <v>409</v>
          </cell>
          <cell r="G194">
            <v>405.92106919451436</v>
          </cell>
          <cell r="H194">
            <v>386</v>
          </cell>
          <cell r="I194">
            <v>373</v>
          </cell>
          <cell r="J194">
            <v>352</v>
          </cell>
          <cell r="K194">
            <v>340</v>
          </cell>
          <cell r="L194">
            <v>326</v>
          </cell>
          <cell r="M194">
            <v>317</v>
          </cell>
          <cell r="N194">
            <v>314</v>
          </cell>
          <cell r="O194">
            <v>312</v>
          </cell>
          <cell r="P194">
            <v>309.84583059270631</v>
          </cell>
          <cell r="Q194">
            <v>305.71149984513283</v>
          </cell>
          <cell r="R194">
            <v>301.91689913315815</v>
          </cell>
          <cell r="S194">
            <v>298.44585083603931</v>
          </cell>
          <cell r="T194">
            <v>295.28294769592623</v>
          </cell>
          <cell r="U194">
            <v>292.41351613391373</v>
          </cell>
          <cell r="W194">
            <v>411</v>
          </cell>
          <cell r="X194">
            <v>411</v>
          </cell>
          <cell r="Y194">
            <v>411</v>
          </cell>
          <cell r="Z194">
            <v>409</v>
          </cell>
          <cell r="AA194">
            <v>409</v>
          </cell>
          <cell r="AB194">
            <v>409</v>
          </cell>
          <cell r="AC194">
            <v>409</v>
          </cell>
          <cell r="AD194">
            <v>408</v>
          </cell>
          <cell r="AE194">
            <v>409</v>
          </cell>
          <cell r="AF194">
            <v>408</v>
          </cell>
          <cell r="AG194">
            <v>406</v>
          </cell>
          <cell r="AH194">
            <v>406</v>
          </cell>
          <cell r="AI194">
            <v>395</v>
          </cell>
          <cell r="AJ194">
            <v>384</v>
          </cell>
          <cell r="AK194">
            <v>384</v>
          </cell>
          <cell r="AL194">
            <v>381</v>
          </cell>
          <cell r="AM194">
            <v>379</v>
          </cell>
          <cell r="AN194">
            <v>377</v>
          </cell>
          <cell r="AO194">
            <v>373</v>
          </cell>
          <cell r="AP194">
            <v>363</v>
          </cell>
          <cell r="AQ194">
            <v>357</v>
          </cell>
          <cell r="AR194">
            <v>355</v>
          </cell>
          <cell r="AS194">
            <v>350</v>
          </cell>
          <cell r="AT194">
            <v>346</v>
          </cell>
          <cell r="AU194">
            <v>343</v>
          </cell>
          <cell r="AV194">
            <v>341</v>
          </cell>
          <cell r="AW194">
            <v>339</v>
          </cell>
          <cell r="AX194">
            <v>338</v>
          </cell>
          <cell r="AY194">
            <v>335</v>
          </cell>
          <cell r="AZ194">
            <v>330</v>
          </cell>
          <cell r="BA194">
            <v>321</v>
          </cell>
          <cell r="BB194">
            <v>321</v>
          </cell>
          <cell r="BC194">
            <v>320</v>
          </cell>
          <cell r="BD194">
            <v>318</v>
          </cell>
          <cell r="BE194">
            <v>316</v>
          </cell>
          <cell r="BF194">
            <v>315</v>
          </cell>
          <cell r="BG194">
            <v>313.72233699999998</v>
          </cell>
          <cell r="BH194">
            <v>314</v>
          </cell>
          <cell r="BI194">
            <v>314</v>
          </cell>
          <cell r="BJ194">
            <v>314</v>
          </cell>
          <cell r="BK194">
            <v>314</v>
          </cell>
          <cell r="BL194">
            <v>314</v>
          </cell>
          <cell r="BM194">
            <v>314</v>
          </cell>
          <cell r="BN194">
            <v>314</v>
          </cell>
          <cell r="BO194">
            <v>312.74629868421368</v>
          </cell>
          <cell r="BP194">
            <v>312.2438831943814</v>
          </cell>
          <cell r="BQ194">
            <v>311.75139261038908</v>
          </cell>
          <cell r="BR194">
            <v>311.26872866584222</v>
          </cell>
        </row>
        <row r="195">
          <cell r="A195" t="str">
            <v xml:space="preserve">   + Impact of Dilution</v>
          </cell>
          <cell r="B195">
            <v>4</v>
          </cell>
          <cell r="C195">
            <v>1</v>
          </cell>
          <cell r="D195">
            <v>0</v>
          </cell>
          <cell r="E195">
            <v>3</v>
          </cell>
          <cell r="F195">
            <v>4</v>
          </cell>
          <cell r="G195">
            <v>8.0789308054856406</v>
          </cell>
          <cell r="H195">
            <v>10</v>
          </cell>
          <cell r="I195">
            <v>8</v>
          </cell>
          <cell r="J195">
            <v>6</v>
          </cell>
          <cell r="K195">
            <v>3</v>
          </cell>
          <cell r="L195">
            <v>3</v>
          </cell>
          <cell r="M195">
            <v>2.8999999999999773</v>
          </cell>
          <cell r="N195">
            <v>3</v>
          </cell>
          <cell r="O195">
            <v>5</v>
          </cell>
          <cell r="P195">
            <v>4.9654780543702941</v>
          </cell>
          <cell r="Q195">
            <v>4.8992227539283704</v>
          </cell>
          <cell r="R195">
            <v>4.8384118450826463</v>
          </cell>
          <cell r="S195">
            <v>4.7827860710903565</v>
          </cell>
          <cell r="T195">
            <v>4.7320985207680337</v>
          </cell>
          <cell r="U195">
            <v>4.6861140406075492</v>
          </cell>
          <cell r="W195">
            <v>1</v>
          </cell>
          <cell r="X195">
            <v>1</v>
          </cell>
          <cell r="Y195">
            <v>2</v>
          </cell>
          <cell r="Z195">
            <v>3</v>
          </cell>
          <cell r="AA195">
            <v>3.3000000000000114</v>
          </cell>
          <cell r="AB195">
            <v>5</v>
          </cell>
          <cell r="AC195">
            <v>5</v>
          </cell>
          <cell r="AD195">
            <v>6</v>
          </cell>
          <cell r="AE195">
            <v>5</v>
          </cell>
          <cell r="AF195">
            <v>6</v>
          </cell>
          <cell r="AG195">
            <v>7</v>
          </cell>
          <cell r="AH195">
            <v>10</v>
          </cell>
          <cell r="AI195">
            <v>10</v>
          </cell>
          <cell r="AJ195">
            <v>11</v>
          </cell>
          <cell r="AK195">
            <v>11</v>
          </cell>
          <cell r="AL195">
            <v>11</v>
          </cell>
          <cell r="AM195">
            <v>9</v>
          </cell>
          <cell r="AN195">
            <v>9</v>
          </cell>
          <cell r="AO195">
            <v>8</v>
          </cell>
          <cell r="AP195">
            <v>8</v>
          </cell>
          <cell r="AQ195">
            <v>8</v>
          </cell>
          <cell r="AR195">
            <v>7</v>
          </cell>
          <cell r="AS195">
            <v>5</v>
          </cell>
          <cell r="AT195">
            <v>6</v>
          </cell>
          <cell r="AU195">
            <v>3</v>
          </cell>
          <cell r="AV195">
            <v>3</v>
          </cell>
          <cell r="AW195">
            <v>3</v>
          </cell>
          <cell r="AX195">
            <v>3</v>
          </cell>
          <cell r="AY195">
            <v>3</v>
          </cell>
          <cell r="AZ195">
            <v>2</v>
          </cell>
          <cell r="BA195">
            <v>2</v>
          </cell>
          <cell r="BB195">
            <v>2</v>
          </cell>
          <cell r="BC195">
            <v>2</v>
          </cell>
          <cell r="BD195">
            <v>3</v>
          </cell>
          <cell r="BE195">
            <v>2.6000000000000227</v>
          </cell>
          <cell r="BF195">
            <v>2</v>
          </cell>
          <cell r="BG195">
            <v>2.2776630000000182</v>
          </cell>
          <cell r="BH195">
            <v>2</v>
          </cell>
          <cell r="BI195">
            <v>3</v>
          </cell>
          <cell r="BJ195">
            <v>3</v>
          </cell>
          <cell r="BK195">
            <v>3</v>
          </cell>
          <cell r="BL195">
            <v>3</v>
          </cell>
          <cell r="BM195">
            <v>3</v>
          </cell>
          <cell r="BN195">
            <v>3</v>
          </cell>
          <cell r="BO195">
            <v>2</v>
          </cell>
          <cell r="BP195">
            <v>2</v>
          </cell>
          <cell r="BQ195">
            <v>2</v>
          </cell>
          <cell r="BR195">
            <v>2.5</v>
          </cell>
        </row>
        <row r="196">
          <cell r="A196" t="str">
            <v>Avg Diluted Shares</v>
          </cell>
          <cell r="B196">
            <v>418</v>
          </cell>
          <cell r="C196">
            <v>411</v>
          </cell>
          <cell r="D196">
            <v>411</v>
          </cell>
          <cell r="E196">
            <v>412</v>
          </cell>
          <cell r="F196">
            <v>413</v>
          </cell>
          <cell r="G196">
            <v>414</v>
          </cell>
          <cell r="H196">
            <v>396</v>
          </cell>
          <cell r="I196">
            <v>381</v>
          </cell>
          <cell r="J196">
            <v>358</v>
          </cell>
          <cell r="K196">
            <v>343</v>
          </cell>
          <cell r="L196">
            <v>329</v>
          </cell>
          <cell r="M196">
            <v>319.89999999999998</v>
          </cell>
          <cell r="N196">
            <v>317</v>
          </cell>
          <cell r="O196">
            <v>317</v>
          </cell>
          <cell r="P196">
            <v>314.8113086470766</v>
          </cell>
          <cell r="Q196">
            <v>310.61072259906121</v>
          </cell>
          <cell r="R196">
            <v>306.7553109782408</v>
          </cell>
          <cell r="S196">
            <v>303.22863690712967</v>
          </cell>
          <cell r="T196">
            <v>300.01504621669426</v>
          </cell>
          <cell r="U196">
            <v>297.09963017452128</v>
          </cell>
          <cell r="W196">
            <v>412</v>
          </cell>
          <cell r="X196">
            <v>412</v>
          </cell>
          <cell r="Y196">
            <v>413</v>
          </cell>
          <cell r="Z196">
            <v>412</v>
          </cell>
          <cell r="AA196">
            <v>412.3</v>
          </cell>
          <cell r="AB196">
            <v>414</v>
          </cell>
          <cell r="AC196">
            <v>414</v>
          </cell>
          <cell r="AD196">
            <v>414</v>
          </cell>
          <cell r="AE196">
            <v>414</v>
          </cell>
          <cell r="AF196">
            <v>414</v>
          </cell>
          <cell r="AG196">
            <v>413</v>
          </cell>
          <cell r="AH196">
            <v>416</v>
          </cell>
          <cell r="AI196">
            <v>405</v>
          </cell>
          <cell r="AJ196">
            <v>395</v>
          </cell>
          <cell r="AK196">
            <v>395</v>
          </cell>
          <cell r="AL196">
            <v>392</v>
          </cell>
          <cell r="AM196">
            <v>388</v>
          </cell>
          <cell r="AN196">
            <v>386</v>
          </cell>
          <cell r="AO196">
            <v>381</v>
          </cell>
          <cell r="AP196">
            <v>371</v>
          </cell>
          <cell r="AQ196">
            <v>365</v>
          </cell>
          <cell r="AR196">
            <v>362</v>
          </cell>
          <cell r="AS196">
            <v>355</v>
          </cell>
          <cell r="AT196">
            <v>352</v>
          </cell>
          <cell r="AU196">
            <v>346</v>
          </cell>
          <cell r="AV196">
            <v>344</v>
          </cell>
          <cell r="AW196">
            <v>342</v>
          </cell>
          <cell r="AX196">
            <v>341</v>
          </cell>
          <cell r="AY196">
            <v>338</v>
          </cell>
          <cell r="AZ196">
            <v>332</v>
          </cell>
          <cell r="BA196">
            <v>323</v>
          </cell>
          <cell r="BB196">
            <v>323</v>
          </cell>
          <cell r="BC196">
            <v>322</v>
          </cell>
          <cell r="BD196">
            <v>321</v>
          </cell>
          <cell r="BE196">
            <v>318.60000000000002</v>
          </cell>
          <cell r="BF196">
            <v>317</v>
          </cell>
          <cell r="BG196">
            <v>316</v>
          </cell>
          <cell r="BH196">
            <v>316</v>
          </cell>
          <cell r="BI196">
            <v>317</v>
          </cell>
          <cell r="BJ196">
            <v>317</v>
          </cell>
          <cell r="BK196">
            <v>317.00000000000006</v>
          </cell>
          <cell r="BL196">
            <v>317.00000000000006</v>
          </cell>
          <cell r="BM196">
            <v>317.00000000000006</v>
          </cell>
          <cell r="BN196">
            <v>317.00000000000006</v>
          </cell>
          <cell r="BO196">
            <v>314.74629868421368</v>
          </cell>
          <cell r="BP196">
            <v>314.2438831943814</v>
          </cell>
          <cell r="BQ196">
            <v>313.75139261038908</v>
          </cell>
          <cell r="BR196">
            <v>313.76872866584222</v>
          </cell>
        </row>
        <row r="200">
          <cell r="A200" t="str">
            <v>Other</v>
          </cell>
        </row>
        <row r="202">
          <cell r="A202" t="str">
            <v>Productivity (as % of COGS)</v>
          </cell>
          <cell r="G202">
            <v>0.03</v>
          </cell>
          <cell r="H202">
            <v>0.03</v>
          </cell>
          <cell r="I202">
            <v>2.5999999999999999E-2</v>
          </cell>
          <cell r="J202">
            <v>0.03</v>
          </cell>
          <cell r="K202">
            <v>3.4000000000000002E-2</v>
          </cell>
          <cell r="L202">
            <v>3.1E-2</v>
          </cell>
          <cell r="M202">
            <v>2.9000000000000001E-2</v>
          </cell>
          <cell r="N202">
            <v>3.5000000000000003E-2</v>
          </cell>
          <cell r="O202">
            <v>3.5000000000000003E-2</v>
          </cell>
          <cell r="P202">
            <v>3.5000000000000003E-2</v>
          </cell>
          <cell r="Q202">
            <v>3.5000000000000003E-2</v>
          </cell>
          <cell r="R202">
            <v>3.5000000000000003E-2</v>
          </cell>
          <cell r="S202">
            <v>3.5000000000000003E-2</v>
          </cell>
          <cell r="T202">
            <v>3.5000000000000003E-2</v>
          </cell>
          <cell r="U202">
            <v>3.5000000000000003E-2</v>
          </cell>
          <cell r="AY202">
            <v>3.1E-2</v>
          </cell>
          <cell r="AZ202">
            <v>3.1E-2</v>
          </cell>
          <cell r="BA202">
            <v>3.1E-2</v>
          </cell>
          <cell r="BB202">
            <v>3.1E-2</v>
          </cell>
          <cell r="BC202">
            <v>2.9000000000000001E-2</v>
          </cell>
          <cell r="BD202">
            <v>2.9000000000000001E-2</v>
          </cell>
          <cell r="BE202">
            <v>2.9000000000000001E-2</v>
          </cell>
          <cell r="BF202">
            <v>2.9000000000000001E-2</v>
          </cell>
          <cell r="BG202">
            <v>3.5000000000000003E-2</v>
          </cell>
          <cell r="BH202">
            <v>3.5000000000000003E-2</v>
          </cell>
          <cell r="BI202">
            <v>3.5000000000000003E-2</v>
          </cell>
          <cell r="BJ202">
            <v>3.5000000000000003E-2</v>
          </cell>
          <cell r="BK202">
            <v>3.5000000000000003E-2</v>
          </cell>
          <cell r="BL202">
            <v>3.5000000000000003E-2</v>
          </cell>
          <cell r="BM202">
            <v>3.5000000000000003E-2</v>
          </cell>
          <cell r="BN202">
            <v>3.5000000000000003E-2</v>
          </cell>
          <cell r="BO202">
            <v>2.343073593073593E-2</v>
          </cell>
          <cell r="BP202">
            <v>2.3323108384458075E-2</v>
          </cell>
          <cell r="BQ202">
            <v>2.3158307210031346E-2</v>
          </cell>
          <cell r="BR202">
            <v>2.2845394736842103E-2</v>
          </cell>
        </row>
        <row r="203">
          <cell r="A203" t="str">
            <v xml:space="preserve">   Implied Productivity</v>
          </cell>
          <cell r="G203">
            <v>136.86624265139793</v>
          </cell>
          <cell r="H203">
            <v>137.13</v>
          </cell>
          <cell r="I203">
            <v>125.32</v>
          </cell>
          <cell r="J203">
            <v>136.07999999999998</v>
          </cell>
          <cell r="K203">
            <v>153.88400000000001</v>
          </cell>
          <cell r="L203">
            <v>143.096</v>
          </cell>
          <cell r="M203">
            <v>133.864</v>
          </cell>
          <cell r="N203">
            <v>176.715</v>
          </cell>
          <cell r="O203">
            <v>183.9882412715346</v>
          </cell>
          <cell r="P203">
            <v>186.33016190940754</v>
          </cell>
          <cell r="Q203">
            <v>189.72395445261736</v>
          </cell>
          <cell r="R203">
            <v>193.12075970736609</v>
          </cell>
          <cell r="S203">
            <v>196.52114240152588</v>
          </cell>
          <cell r="T203">
            <v>199.92628042451145</v>
          </cell>
          <cell r="U203">
            <v>203.33798225731442</v>
          </cell>
          <cell r="AY203">
            <v>39.68</v>
          </cell>
          <cell r="AZ203">
            <v>39.741999999999997</v>
          </cell>
          <cell r="BA203">
            <v>32.829000000000001</v>
          </cell>
          <cell r="BB203">
            <v>28.055</v>
          </cell>
          <cell r="BC203">
            <v>37.062000000000005</v>
          </cell>
          <cell r="BD203">
            <v>37.381</v>
          </cell>
          <cell r="BE203">
            <v>31.349</v>
          </cell>
          <cell r="BF203">
            <v>28.072000000000003</v>
          </cell>
          <cell r="BG203">
            <v>42.455000000000005</v>
          </cell>
          <cell r="BH203">
            <v>41.755000000000003</v>
          </cell>
          <cell r="BI203">
            <v>36.155000000000001</v>
          </cell>
          <cell r="BJ203">
            <v>32.410000000000004</v>
          </cell>
          <cell r="BK203">
            <v>47.705000000000005</v>
          </cell>
          <cell r="BL203">
            <v>47.6</v>
          </cell>
          <cell r="BM203">
            <v>43.260000000000005</v>
          </cell>
          <cell r="BN203">
            <v>38.150000000000006</v>
          </cell>
          <cell r="BO203">
            <v>32.475000000000001</v>
          </cell>
          <cell r="BP203">
            <v>34.214999999999996</v>
          </cell>
          <cell r="BQ203">
            <v>29.549999999999997</v>
          </cell>
          <cell r="BR203">
            <v>27.779999999999998</v>
          </cell>
        </row>
        <row r="205">
          <cell r="A205" t="str">
            <v>Input Cost Inflation</v>
          </cell>
          <cell r="I205">
            <v>7.4999999999999997E-2</v>
          </cell>
          <cell r="J205">
            <v>9.5000000000000001E-2</v>
          </cell>
          <cell r="K205">
            <v>0</v>
          </cell>
          <cell r="L205">
            <v>0.02</v>
          </cell>
          <cell r="M205">
            <v>6.5000000000000002E-2</v>
          </cell>
          <cell r="N205">
            <v>3.2778923253150051E-2</v>
          </cell>
          <cell r="O205">
            <v>4.2030104971281443E-2</v>
          </cell>
          <cell r="P205">
            <v>4.4999999999999998E-2</v>
          </cell>
          <cell r="Q205">
            <v>4.4999999999999998E-2</v>
          </cell>
          <cell r="R205">
            <v>4.4999999999999998E-2</v>
          </cell>
          <cell r="S205">
            <v>4.4999999999999998E-2</v>
          </cell>
          <cell r="T205">
            <v>4.4999999999999998E-2</v>
          </cell>
          <cell r="U205">
            <v>4.4999999999999998E-2</v>
          </cell>
          <cell r="AY205">
            <v>0.01</v>
          </cell>
          <cell r="AZ205">
            <v>0.01</v>
          </cell>
          <cell r="BA205">
            <v>0.03</v>
          </cell>
          <cell r="BB205">
            <v>0.03</v>
          </cell>
          <cell r="BC205">
            <v>0.08</v>
          </cell>
          <cell r="BD205">
            <v>7.0000000000000007E-2</v>
          </cell>
          <cell r="BE205">
            <v>0.06</v>
          </cell>
          <cell r="BF205">
            <v>0.05</v>
          </cell>
          <cell r="BG205">
            <v>0.04</v>
          </cell>
          <cell r="BH205">
            <v>0.03</v>
          </cell>
          <cell r="BI205">
            <v>0.03</v>
          </cell>
          <cell r="BJ205">
            <v>0.03</v>
          </cell>
          <cell r="BK205">
            <v>0.03</v>
          </cell>
          <cell r="BL205">
            <v>4.4999999999999998E-2</v>
          </cell>
          <cell r="BM205">
            <v>4.4999999999999998E-2</v>
          </cell>
          <cell r="BN205">
            <v>0.05</v>
          </cell>
          <cell r="BO205">
            <v>3.9051226551226552E-2</v>
          </cell>
          <cell r="BP205">
            <v>3.8871847307430131E-2</v>
          </cell>
          <cell r="BQ205">
            <v>3.859717868338558E-2</v>
          </cell>
          <cell r="BR205">
            <v>3.8075657894736846E-2</v>
          </cell>
        </row>
        <row r="206">
          <cell r="A206" t="str">
            <v xml:space="preserve">   Implied Inflation $</v>
          </cell>
          <cell r="I206">
            <v>342.82499999999999</v>
          </cell>
          <cell r="J206">
            <v>457.9</v>
          </cell>
          <cell r="K206">
            <v>0</v>
          </cell>
          <cell r="L206">
            <v>90.52</v>
          </cell>
          <cell r="M206">
            <v>300.04000000000002</v>
          </cell>
          <cell r="N206">
            <v>143.07999999999998</v>
          </cell>
          <cell r="O206">
            <v>212.21</v>
          </cell>
          <cell r="P206">
            <v>236.55631020625876</v>
          </cell>
          <cell r="Q206">
            <v>239.56735102638109</v>
          </cell>
          <cell r="R206">
            <v>243.93079858193659</v>
          </cell>
          <cell r="S206">
            <v>248.29811962375638</v>
          </cell>
          <cell r="T206">
            <v>252.67004023053326</v>
          </cell>
          <cell r="U206">
            <v>257.04807483151467</v>
          </cell>
          <cell r="AY206">
            <v>12.8</v>
          </cell>
          <cell r="AZ206">
            <v>12.82</v>
          </cell>
          <cell r="BA206">
            <v>31.77</v>
          </cell>
          <cell r="BB206">
            <v>27.15</v>
          </cell>
          <cell r="BC206">
            <v>102.24000000000001</v>
          </cell>
          <cell r="BD206">
            <v>90.23</v>
          </cell>
          <cell r="BE206">
            <v>64.86</v>
          </cell>
          <cell r="BF206">
            <v>48.400000000000006</v>
          </cell>
          <cell r="BG206">
            <v>48.52</v>
          </cell>
          <cell r="BH206">
            <v>35.79</v>
          </cell>
          <cell r="BI206">
            <v>30.99</v>
          </cell>
          <cell r="BJ206">
            <v>27.779999999999998</v>
          </cell>
          <cell r="BK206">
            <v>40.89</v>
          </cell>
          <cell r="BL206">
            <v>61.199999999999996</v>
          </cell>
          <cell r="BM206">
            <v>55.62</v>
          </cell>
          <cell r="BN206">
            <v>54.5</v>
          </cell>
          <cell r="BO206">
            <v>54.125</v>
          </cell>
          <cell r="BP206">
            <v>57.025000000000006</v>
          </cell>
          <cell r="BQ206">
            <v>49.25</v>
          </cell>
          <cell r="BR206">
            <v>46.300000000000004</v>
          </cell>
        </row>
        <row r="207">
          <cell r="O207">
            <v>2.7143114195583636E-2</v>
          </cell>
          <cell r="P207">
            <v>1.0947032061068718E-2</v>
          </cell>
        </row>
        <row r="208">
          <cell r="A208" t="str">
            <v>Advertising and consumer promotion expense</v>
          </cell>
          <cell r="K208">
            <v>515</v>
          </cell>
          <cell r="L208">
            <v>492</v>
          </cell>
          <cell r="M208">
            <v>506</v>
          </cell>
          <cell r="N208">
            <v>418.70400000000001</v>
          </cell>
          <cell r="O208">
            <v>431.26512000000002</v>
          </cell>
        </row>
        <row r="209">
          <cell r="A209" t="str">
            <v xml:space="preserve">   % of sales</v>
          </cell>
          <cell r="K209">
            <v>6.7092235539343403E-2</v>
          </cell>
          <cell r="L209">
            <v>6.3738826272833268E-2</v>
          </cell>
          <cell r="M209">
            <v>7.0522648083623699E-2</v>
          </cell>
          <cell r="N209">
            <v>5.1999999999999998E-2</v>
          </cell>
          <cell r="O209">
            <v>524.67007999999998</v>
          </cell>
        </row>
        <row r="210">
          <cell r="A210" t="str">
            <v xml:space="preserve">   % YoY Increase</v>
          </cell>
          <cell r="L210">
            <v>-0.12815533980582527</v>
          </cell>
          <cell r="M210">
            <v>6.0133630289532336E-2</v>
          </cell>
          <cell r="N210">
            <v>-0.12036974789915966</v>
          </cell>
          <cell r="O210">
            <v>-0.02</v>
          </cell>
          <cell r="BK210">
            <v>0.14000000000000001</v>
          </cell>
          <cell r="BL210">
            <v>0.03</v>
          </cell>
          <cell r="BM210">
            <v>-0.19</v>
          </cell>
          <cell r="BN210">
            <v>-0.02</v>
          </cell>
        </row>
        <row r="211">
          <cell r="A211" t="str">
            <v>Selling expense</v>
          </cell>
          <cell r="K211">
            <v>543</v>
          </cell>
          <cell r="L211">
            <v>515</v>
          </cell>
          <cell r="M211">
            <v>435</v>
          </cell>
        </row>
        <row r="212">
          <cell r="A212" t="str">
            <v xml:space="preserve">   % of sales</v>
          </cell>
          <cell r="K212">
            <v>7.0739968733715478E-2</v>
          </cell>
          <cell r="L212">
            <v>6.6718486850628325E-2</v>
          </cell>
          <cell r="M212">
            <v>6.0627177700348429E-2</v>
          </cell>
          <cell r="N212">
            <v>528.29600000000005</v>
          </cell>
          <cell r="O212">
            <v>524.67007999999998</v>
          </cell>
        </row>
        <row r="213">
          <cell r="A213" t="str">
            <v xml:space="preserve">   % of sales</v>
          </cell>
          <cell r="K213">
            <v>7.0739968733715478E-2</v>
          </cell>
          <cell r="L213">
            <v>7.2289156626506021E-2</v>
          </cell>
          <cell r="M213">
            <v>6.4808362369337985E-2</v>
          </cell>
          <cell r="N213">
            <v>6.5610531544957787E-2</v>
          </cell>
          <cell r="O213">
            <v>6.3457919690372525E-2</v>
          </cell>
        </row>
        <row r="214">
          <cell r="A214" t="str">
            <v>Incentive compensation tailwind (headwind)</v>
          </cell>
          <cell r="M214">
            <v>-20</v>
          </cell>
        </row>
        <row r="215">
          <cell r="A215" t="str">
            <v>Incentive compensation tailwind (headwind)</v>
          </cell>
          <cell r="M215">
            <v>-20</v>
          </cell>
          <cell r="P215">
            <v>-45</v>
          </cell>
        </row>
        <row r="216">
          <cell r="A216" t="str">
            <v>GM Progression</v>
          </cell>
        </row>
        <row r="217">
          <cell r="A217" t="str">
            <v>GM Progression</v>
          </cell>
        </row>
        <row r="218">
          <cell r="A218" t="str">
            <v>Prior Year GM</v>
          </cell>
          <cell r="J218">
            <v>0.39734933733433359</v>
          </cell>
          <cell r="K218">
            <v>0.40205641972053785</v>
          </cell>
          <cell r="L218">
            <v>0.41036998436685773</v>
          </cell>
          <cell r="M218">
            <v>0.40199507708252363</v>
          </cell>
          <cell r="N218">
            <v>0.3916376306620209</v>
          </cell>
          <cell r="O218">
            <v>0.37295081967213117</v>
          </cell>
          <cell r="P218">
            <v>0.37</v>
          </cell>
          <cell r="Q218">
            <v>0.372</v>
          </cell>
          <cell r="R218">
            <v>0.374</v>
          </cell>
          <cell r="S218">
            <v>0.376</v>
          </cell>
          <cell r="T218">
            <v>0.378</v>
          </cell>
          <cell r="U218">
            <v>0.38</v>
          </cell>
        </row>
        <row r="219">
          <cell r="A219" t="str">
            <v>Pricing Less Promotional Spending</v>
          </cell>
          <cell r="J219">
            <v>3.3275022300518597E-2</v>
          </cell>
          <cell r="K219">
            <v>-5.7701420028135053E-3</v>
          </cell>
          <cell r="L219">
            <v>0</v>
          </cell>
          <cell r="M219">
            <v>1.19823803283991E-2</v>
          </cell>
          <cell r="N219">
            <v>9.7591137044916731E-4</v>
          </cell>
          <cell r="O219">
            <v>3.1310788724867589E-3</v>
          </cell>
          <cell r="P219">
            <v>8.0545747980426685E-3</v>
          </cell>
          <cell r="Q219">
            <v>6.8902888694648556E-3</v>
          </cell>
          <cell r="R219">
            <v>6.8885959815051523E-3</v>
          </cell>
          <cell r="S219">
            <v>6.8882688291690419E-3</v>
          </cell>
          <cell r="T219">
            <v>6.8892502580370496E-3</v>
          </cell>
          <cell r="U219">
            <v>6.8914757764177992E-3</v>
          </cell>
        </row>
        <row r="220">
          <cell r="A220" t="str">
            <v>Volume leverage / (deleverage)</v>
          </cell>
          <cell r="J220">
            <v>3.3275022300518597E-2</v>
          </cell>
          <cell r="K220">
            <v>-2.0928025309781551E-3</v>
          </cell>
          <cell r="L220">
            <v>-2.0637050547159808E-3</v>
          </cell>
          <cell r="M220">
            <v>-4.1860344604223165E-3</v>
          </cell>
          <cell r="N220">
            <v>3.6288755978584053E-3</v>
          </cell>
          <cell r="O220">
            <v>-2.2113529476435745E-3</v>
          </cell>
          <cell r="P220">
            <v>4.1834463211081196E-3</v>
          </cell>
          <cell r="Q220">
            <v>1.9182616640785466E-3</v>
          </cell>
          <cell r="R220">
            <v>1.8321234241102102E-3</v>
          </cell>
          <cell r="S220">
            <v>1.748645801093518E-3</v>
          </cell>
          <cell r="T220">
            <v>1.6683320721064265E-3</v>
          </cell>
          <cell r="U220">
            <v>1.5916552517399873E-3</v>
          </cell>
        </row>
        <row r="221">
          <cell r="A221" t="str">
            <v>Cost Savings</v>
          </cell>
          <cell r="J221">
            <v>1.7938307408383869E-2</v>
          </cell>
          <cell r="K221">
            <v>2.0285262325336173E-2</v>
          </cell>
          <cell r="L221">
            <v>1.8642001042209477E-2</v>
          </cell>
          <cell r="M221">
            <v>1.7342142764606827E-2</v>
          </cell>
          <cell r="N221">
            <v>2.4629268292682915E-2</v>
          </cell>
          <cell r="O221">
            <v>2.2850005125625295E-2</v>
          </cell>
          <cell r="P221">
            <v>2.2330666577973779E-2</v>
          </cell>
          <cell r="Q221">
            <v>2.2380340767889306E-2</v>
          </cell>
          <cell r="R221">
            <v>2.2302275205027589E-2</v>
          </cell>
          <cell r="S221">
            <v>2.2224548808491562E-2</v>
          </cell>
          <cell r="T221">
            <v>2.214721058332203E-2</v>
          </cell>
          <cell r="U221">
            <v>2.2070306142917384E-2</v>
          </cell>
        </row>
        <row r="222">
          <cell r="A222" t="str">
            <v>Input cost inflation</v>
          </cell>
          <cell r="J222">
            <v>-6.0361191668863667E-2</v>
          </cell>
          <cell r="K222">
            <v>0</v>
          </cell>
          <cell r="L222">
            <v>-1.1792600312662826E-2</v>
          </cell>
          <cell r="M222">
            <v>-3.8870319989635971E-2</v>
          </cell>
          <cell r="N222">
            <v>-1.9941463414634153E-2</v>
          </cell>
          <cell r="O222">
            <v>-2.6354942871336273E-2</v>
          </cell>
          <cell r="P222">
            <v>-2.8349999999999986E-2</v>
          </cell>
          <cell r="Q222">
            <v>-2.8260000000000007E-2</v>
          </cell>
          <cell r="R222">
            <v>-2.8169999999999973E-2</v>
          </cell>
          <cell r="S222">
            <v>-2.8080000000000049E-2</v>
          </cell>
          <cell r="T222">
            <v>-2.7990000000000015E-2</v>
          </cell>
          <cell r="U222">
            <v>-2.789999999999998E-2</v>
          </cell>
        </row>
        <row r="223">
          <cell r="A223" t="str">
            <v>Other</v>
          </cell>
          <cell r="J223">
            <v>1.3854944346165465E-2</v>
          </cell>
          <cell r="K223">
            <v>-4.1087531452246306E-3</v>
          </cell>
          <cell r="L223">
            <v>-1.3160602959164769E-2</v>
          </cell>
          <cell r="M223">
            <v>3.3743849365496237E-3</v>
          </cell>
          <cell r="N223">
            <v>-2.7979402836246059E-2</v>
          </cell>
          <cell r="O223">
            <v>-3.6560785126338313E-4</v>
          </cell>
          <cell r="P223">
            <v>-4.218687697124579E-3</v>
          </cell>
          <cell r="Q223">
            <v>-9.2889130143269938E-4</v>
          </cell>
          <cell r="R223">
            <v>-8.5299461064297644E-4</v>
          </cell>
          <cell r="S223">
            <v>-7.8146343875407087E-4</v>
          </cell>
          <cell r="T223">
            <v>-7.1479291346548957E-4</v>
          </cell>
          <cell r="U223">
            <v>-6.5343717107518851E-4</v>
          </cell>
        </row>
        <row r="224">
          <cell r="A224" t="str">
            <v>Bps Increase</v>
          </cell>
          <cell r="J224">
            <v>1.3854944346165465E-2</v>
          </cell>
          <cell r="K224">
            <v>-4.1087531452246306E-3</v>
          </cell>
          <cell r="L224">
            <v>-1.3160602959164769E-2</v>
          </cell>
          <cell r="M224">
            <v>3.3743849365496237E-3</v>
          </cell>
          <cell r="N224">
            <v>-2.7979402836246059E-2</v>
          </cell>
          <cell r="O224">
            <v>-9.9189767572905874E-3</v>
          </cell>
          <cell r="P224">
            <v>5.0464786702829612E-3</v>
          </cell>
          <cell r="Q224">
            <v>5.7583594825831308E-3</v>
          </cell>
          <cell r="R224">
            <v>2.8047102834228288E-3</v>
          </cell>
          <cell r="S224">
            <v>2.7761051461919761E-3</v>
          </cell>
          <cell r="T224">
            <v>2.7476635876545474E-3</v>
          </cell>
          <cell r="U224">
            <v>2.7193874825210407E-3</v>
          </cell>
        </row>
        <row r="225">
          <cell r="A225" t="str">
            <v>Current Year GM</v>
          </cell>
          <cell r="J225">
            <v>0.40205641972053785</v>
          </cell>
          <cell r="K225">
            <v>0.41036998436685773</v>
          </cell>
          <cell r="L225">
            <v>0.40199507708252363</v>
          </cell>
          <cell r="M225">
            <v>0.3916376306620209</v>
          </cell>
          <cell r="N225">
            <v>0.37295081967213117</v>
          </cell>
          <cell r="O225">
            <v>0.37</v>
          </cell>
          <cell r="P225">
            <v>0.372</v>
          </cell>
          <cell r="Q225">
            <v>0.374</v>
          </cell>
          <cell r="R225">
            <v>0.376</v>
          </cell>
          <cell r="S225">
            <v>0.378</v>
          </cell>
          <cell r="T225">
            <v>0.38</v>
          </cell>
          <cell r="U225">
            <v>0.38200000000000001</v>
          </cell>
        </row>
        <row r="226">
          <cell r="A226" t="str">
            <v>Current Year GM</v>
          </cell>
          <cell r="J226">
            <v>0.40205641972053785</v>
          </cell>
          <cell r="K226">
            <v>0.41036998436685773</v>
          </cell>
          <cell r="L226">
            <v>0.40199507708252363</v>
          </cell>
          <cell r="M226">
            <v>0.3916376306620209</v>
          </cell>
          <cell r="N226">
            <v>0.37295081967213117</v>
          </cell>
          <cell r="O226">
            <v>0.35353168843734883</v>
          </cell>
          <cell r="P226">
            <v>0.35353168843734883</v>
          </cell>
          <cell r="Q226">
            <v>0.35553168843734895</v>
          </cell>
          <cell r="R226">
            <v>0.35753168843734884</v>
          </cell>
          <cell r="S226">
            <v>0.3595316884373489</v>
          </cell>
          <cell r="T226">
            <v>0.36153168843734884</v>
          </cell>
          <cell r="U226">
            <v>0.36353168843734895</v>
          </cell>
        </row>
        <row r="227">
          <cell r="A227" t="str">
            <v>Net Sales</v>
          </cell>
          <cell r="B227">
            <v>5771</v>
          </cell>
          <cell r="C227">
            <v>6133</v>
          </cell>
          <cell r="D227">
            <v>6678</v>
          </cell>
          <cell r="E227">
            <v>7109</v>
          </cell>
          <cell r="F227">
            <v>7548</v>
          </cell>
          <cell r="G227">
            <v>7681</v>
          </cell>
          <cell r="H227">
            <v>7871</v>
          </cell>
          <cell r="I227">
            <v>7998</v>
          </cell>
          <cell r="J227">
            <v>7586</v>
          </cell>
          <cell r="K227">
            <v>7676</v>
          </cell>
          <cell r="L227">
            <v>7719</v>
          </cell>
          <cell r="M227">
            <v>7175</v>
          </cell>
          <cell r="N227">
            <v>8052</v>
          </cell>
          <cell r="O227">
            <v>8344.1379261466936</v>
          </cell>
          <cell r="P227">
            <v>8477.2594135308245</v>
          </cell>
          <cell r="Q227">
            <v>8659.2402762490801</v>
          </cell>
          <cell r="R227">
            <v>8842.5256276266518</v>
          </cell>
          <cell r="S227">
            <v>9027.1539918018316</v>
          </cell>
          <cell r="T227">
            <v>9213.1926462908486</v>
          </cell>
          <cell r="U227">
            <v>9400.7388930797224</v>
          </cell>
        </row>
        <row r="228">
          <cell r="A228" t="str">
            <v>COGS</v>
          </cell>
          <cell r="B228">
            <v>3132</v>
          </cell>
          <cell r="C228">
            <v>3443</v>
          </cell>
          <cell r="D228">
            <v>3805</v>
          </cell>
          <cell r="E228">
            <v>4187</v>
          </cell>
          <cell r="F228">
            <v>4491</v>
          </cell>
          <cell r="G228">
            <v>4562.2080883799308</v>
          </cell>
          <cell r="H228">
            <v>4571</v>
          </cell>
          <cell r="I228">
            <v>4820</v>
          </cell>
          <cell r="J228">
            <v>4536</v>
          </cell>
          <cell r="K228">
            <v>4526</v>
          </cell>
          <cell r="L228">
            <v>4616</v>
          </cell>
          <cell r="M228">
            <v>4365</v>
          </cell>
          <cell r="N228">
            <v>5049</v>
          </cell>
          <cell r="O228">
            <v>5256.806893472417</v>
          </cell>
          <cell r="P228">
            <v>5323.7189116973577</v>
          </cell>
          <cell r="Q228">
            <v>5420.6844129319243</v>
          </cell>
          <cell r="R228">
            <v>5517.7359916390305</v>
          </cell>
          <cell r="S228">
            <v>5614.8897829007392</v>
          </cell>
          <cell r="T228">
            <v>5712.1794407003263</v>
          </cell>
          <cell r="U228">
            <v>5809.6566359232684</v>
          </cell>
        </row>
        <row r="229">
          <cell r="A229" t="str">
            <v>Gross Profit</v>
          </cell>
          <cell r="B229">
            <v>2639</v>
          </cell>
          <cell r="C229">
            <v>2690</v>
          </cell>
          <cell r="D229">
            <v>2873</v>
          </cell>
          <cell r="E229">
            <v>2922</v>
          </cell>
          <cell r="F229">
            <v>3057</v>
          </cell>
          <cell r="G229">
            <v>3118.7919116200692</v>
          </cell>
          <cell r="H229">
            <v>3300</v>
          </cell>
          <cell r="I229">
            <v>3178</v>
          </cell>
          <cell r="J229">
            <v>3050</v>
          </cell>
          <cell r="K229">
            <v>3150</v>
          </cell>
          <cell r="L229">
            <v>3103</v>
          </cell>
          <cell r="M229">
            <v>2810</v>
          </cell>
          <cell r="N229">
            <v>3003</v>
          </cell>
          <cell r="O229">
            <v>3087.3310326742767</v>
          </cell>
          <cell r="P229">
            <v>3153.5405018334668</v>
          </cell>
          <cell r="Q229">
            <v>3238.5558633171559</v>
          </cell>
          <cell r="R229">
            <v>3324.7896359876213</v>
          </cell>
          <cell r="S229">
            <v>3412.2642089010924</v>
          </cell>
          <cell r="T229">
            <v>3501.0132055905224</v>
          </cell>
          <cell r="U229">
            <v>3591.082257156454</v>
          </cell>
        </row>
        <row r="230">
          <cell r="A230" t="str">
            <v>Pricing Less Promotional Spending</v>
          </cell>
          <cell r="B230">
            <v>2639</v>
          </cell>
          <cell r="C230">
            <v>2690</v>
          </cell>
          <cell r="D230">
            <v>2873</v>
          </cell>
          <cell r="E230">
            <v>2922</v>
          </cell>
          <cell r="F230">
            <v>3057</v>
          </cell>
          <cell r="G230">
            <v>3118.7919116200692</v>
          </cell>
          <cell r="H230">
            <v>3300</v>
          </cell>
          <cell r="I230">
            <v>3178</v>
          </cell>
          <cell r="J230">
            <v>399.9</v>
          </cell>
          <cell r="K230">
            <v>-75.86</v>
          </cell>
          <cell r="L230">
            <v>0</v>
          </cell>
          <cell r="M230">
            <v>138.59000000000003</v>
          </cell>
          <cell r="N230">
            <v>12.512299999999996</v>
          </cell>
          <cell r="O230">
            <v>41.265000000000008</v>
          </cell>
          <cell r="P230">
            <v>107.35041100895342</v>
          </cell>
          <cell r="Q230">
            <v>94.273317102147658</v>
          </cell>
          <cell r="R230">
            <v>96.550463731335185</v>
          </cell>
          <cell r="S230">
            <v>98.875216059608604</v>
          </cell>
          <cell r="T230">
            <v>101.2491277999718</v>
          </cell>
          <cell r="U230">
            <v>103.6739447943233</v>
          </cell>
        </row>
        <row r="231">
          <cell r="A231" t="str">
            <v>Volume leverage / (deleverage)</v>
          </cell>
          <cell r="J231">
            <v>-33.74</v>
          </cell>
          <cell r="K231">
            <v>-15.875999999999999</v>
          </cell>
          <cell r="L231">
            <v>-15.840999999999998</v>
          </cell>
          <cell r="M231">
            <v>-32.311999999999998</v>
          </cell>
          <cell r="N231">
            <v>26.037182414634149</v>
          </cell>
          <cell r="O231">
            <v>-17.805813934426233</v>
          </cell>
          <cell r="P231">
            <v>34.907253109957423</v>
          </cell>
          <cell r="Q231">
            <v>16.26160174942499</v>
          </cell>
          <cell r="R231">
            <v>15.86479694511466</v>
          </cell>
          <cell r="S231">
            <v>15.462445309811404</v>
          </cell>
          <cell r="T231">
            <v>15.060290524366344</v>
          </cell>
          <cell r="U231">
            <v>14.664226460760966</v>
          </cell>
        </row>
        <row r="232">
          <cell r="A232" t="str">
            <v>Cost Savings</v>
          </cell>
          <cell r="J232">
            <v>136.07999999999998</v>
          </cell>
          <cell r="K232">
            <v>153.88400000000001</v>
          </cell>
          <cell r="L232">
            <v>143.096</v>
          </cell>
          <cell r="M232">
            <v>133.864</v>
          </cell>
          <cell r="N232">
            <v>176.715</v>
          </cell>
          <cell r="O232">
            <v>183.9882412715346</v>
          </cell>
          <cell r="P232">
            <v>186.33016190940754</v>
          </cell>
          <cell r="Q232">
            <v>189.72395445261736</v>
          </cell>
          <cell r="R232">
            <v>193.12075970736609</v>
          </cell>
          <cell r="S232">
            <v>196.52114240152588</v>
          </cell>
          <cell r="T232">
            <v>199.92628042451145</v>
          </cell>
          <cell r="U232">
            <v>203.33798225731442</v>
          </cell>
        </row>
        <row r="233">
          <cell r="A233" t="str">
            <v>Input cost inflation</v>
          </cell>
          <cell r="J233">
            <v>-457.9</v>
          </cell>
          <cell r="K233">
            <v>0</v>
          </cell>
          <cell r="L233">
            <v>-90.52</v>
          </cell>
          <cell r="M233">
            <v>-300.04000000000002</v>
          </cell>
          <cell r="N233">
            <v>-143.07999999999998</v>
          </cell>
          <cell r="O233">
            <v>-212.21</v>
          </cell>
          <cell r="P233">
            <v>-236.55631020625876</v>
          </cell>
          <cell r="Q233">
            <v>-239.56735102638109</v>
          </cell>
          <cell r="R233">
            <v>-243.93079858193659</v>
          </cell>
          <cell r="S233">
            <v>-248.29811962375638</v>
          </cell>
          <cell r="T233">
            <v>-252.67004023053326</v>
          </cell>
          <cell r="U233">
            <v>-257.04807483151467</v>
          </cell>
        </row>
        <row r="234">
          <cell r="A234" t="str">
            <v>Other</v>
          </cell>
          <cell r="J234">
            <v>-457.9</v>
          </cell>
          <cell r="K234">
            <v>0</v>
          </cell>
          <cell r="L234">
            <v>-90.52</v>
          </cell>
          <cell r="M234">
            <v>-233.10200000000003</v>
          </cell>
          <cell r="N234">
            <v>-143.07999999999998</v>
          </cell>
          <cell r="O234">
            <v>-201.96</v>
          </cell>
          <cell r="P234">
            <v>-206.70000000000002</v>
          </cell>
          <cell r="Q234">
            <v>-238.36367865566035</v>
          </cell>
          <cell r="R234">
            <v>-240.81777570020026</v>
          </cell>
          <cell r="S234">
            <v>-244.87110357380314</v>
          </cell>
          <cell r="T234">
            <v>-249.00400538070693</v>
          </cell>
          <cell r="U234">
            <v>-253.2181947761631</v>
          </cell>
        </row>
        <row r="235">
          <cell r="A235" t="str">
            <v>Other</v>
          </cell>
          <cell r="M235">
            <v>-233.10200000000003</v>
          </cell>
        </row>
        <row r="236">
          <cell r="A236" t="str">
            <v>% Volume</v>
          </cell>
          <cell r="J236">
            <v>-0.02</v>
          </cell>
          <cell r="K236">
            <v>-0.01</v>
          </cell>
          <cell r="L236">
            <v>-0.01</v>
          </cell>
          <cell r="M236">
            <v>-0.02</v>
          </cell>
          <cell r="N236">
            <v>1.7042829268292686E-2</v>
          </cell>
          <cell r="O236">
            <v>-1.0076005961251865E-2</v>
          </cell>
          <cell r="P236">
            <v>1.8972545673959892E-2</v>
          </cell>
          <cell r="Q236">
            <v>8.7273051140970264E-3</v>
          </cell>
          <cell r="R236">
            <v>8.3620421000010405E-3</v>
          </cell>
          <cell r="S236">
            <v>8.0066199683770361E-3</v>
          </cell>
          <cell r="T236">
            <v>7.6634454391658431E-3</v>
          </cell>
          <cell r="U236">
            <v>7.3348168282948252E-3</v>
          </cell>
        </row>
        <row r="237">
          <cell r="A237" t="str">
            <v>% Volume</v>
          </cell>
          <cell r="J237">
            <v>-0.02</v>
          </cell>
          <cell r="K237">
            <v>-0.01</v>
          </cell>
          <cell r="L237">
            <v>-0.01</v>
          </cell>
          <cell r="M237">
            <v>-0.02</v>
          </cell>
          <cell r="N237">
            <v>1.7042829268292686E-2</v>
          </cell>
          <cell r="O237">
            <v>-5.2533532041728725E-4</v>
          </cell>
          <cell r="P237">
            <v>7.1794871794871795E-3</v>
          </cell>
          <cell r="Q237">
            <v>6.9055848361638597E-3</v>
          </cell>
          <cell r="R237">
            <v>1.018681478955716E-2</v>
          </cell>
          <cell r="S237">
            <v>1.0212028106300107E-2</v>
          </cell>
          <cell r="T237">
            <v>1.0237279689398207E-2</v>
          </cell>
          <cell r="U237">
            <v>1.0262567597529337E-2</v>
          </cell>
        </row>
        <row r="238">
          <cell r="A238" t="str">
            <v>Prior Year GM</v>
          </cell>
          <cell r="C238">
            <v>0.457286432160804</v>
          </cell>
          <cell r="D238">
            <v>0.43861079406489484</v>
          </cell>
          <cell r="E238">
            <v>0.43021862833183588</v>
          </cell>
          <cell r="F238">
            <v>0.41102827401884934</v>
          </cell>
          <cell r="G238">
            <v>0.40500794912559618</v>
          </cell>
          <cell r="H238">
            <v>0.40603982705638186</v>
          </cell>
          <cell r="I238">
            <v>0.41926057680091477</v>
          </cell>
          <cell r="J238">
            <v>0.39734933733433359</v>
          </cell>
          <cell r="K238">
            <v>0.40205641972053785</v>
          </cell>
          <cell r="L238">
            <v>0.41036998436685773</v>
          </cell>
          <cell r="M238">
            <v>0.40199507708252363</v>
          </cell>
          <cell r="N238">
            <v>0.3916376306620209</v>
          </cell>
          <cell r="O238">
            <v>0.37295081967213117</v>
          </cell>
          <cell r="P238">
            <v>0.37</v>
          </cell>
          <cell r="Q238">
            <v>0.372</v>
          </cell>
          <cell r="R238">
            <v>0.374</v>
          </cell>
          <cell r="S238">
            <v>0.376</v>
          </cell>
          <cell r="T238">
            <v>0.378</v>
          </cell>
          <cell r="U238">
            <v>0.38</v>
          </cell>
          <cell r="AY238">
            <v>0.41897412619155699</v>
          </cell>
          <cell r="AZ238">
            <v>0.40455178820250814</v>
          </cell>
          <cell r="BA238">
            <v>0.41231964483906769</v>
          </cell>
          <cell r="BB238">
            <v>0.40382081686429511</v>
          </cell>
          <cell r="BC238">
            <v>0.41160220994475138</v>
          </cell>
          <cell r="BD238">
            <v>0.39398213446168312</v>
          </cell>
          <cell r="BE238">
            <v>0.40375068946497517</v>
          </cell>
          <cell r="BF238">
            <v>0.39763534536403233</v>
          </cell>
          <cell r="BG238">
            <v>0.39801488833746901</v>
          </cell>
          <cell r="BH238">
            <v>0.38600102933607822</v>
          </cell>
          <cell r="BI238">
            <v>0.39163722025912839</v>
          </cell>
          <cell r="BJ238">
            <v>0.39038841342988806</v>
          </cell>
          <cell r="BK238">
            <v>0.38185941043083899</v>
          </cell>
          <cell r="BL238">
            <v>0.37095282146160963</v>
          </cell>
          <cell r="BM238">
            <v>0.37003058103975534</v>
          </cell>
          <cell r="BN238">
            <v>0.367382472431805</v>
          </cell>
        </row>
        <row r="239">
          <cell r="A239" t="str">
            <v>Pricing Less Promotional Spending</v>
          </cell>
          <cell r="C239">
            <v>0.457286432160804</v>
          </cell>
          <cell r="D239">
            <v>0.43861079406489484</v>
          </cell>
          <cell r="E239">
            <v>0.43021862833183588</v>
          </cell>
          <cell r="F239">
            <v>0.41102827401884934</v>
          </cell>
          <cell r="G239">
            <v>0.40500794912559618</v>
          </cell>
          <cell r="H239">
            <v>0.40603982705638186</v>
          </cell>
          <cell r="I239">
            <v>0.41926057680091477</v>
          </cell>
          <cell r="J239">
            <v>0.39734933733433359</v>
          </cell>
          <cell r="K239">
            <v>0.40205641972053785</v>
          </cell>
          <cell r="L239">
            <v>-92.7566786654873</v>
          </cell>
          <cell r="M239">
            <v>207.46011043796719</v>
          </cell>
          <cell r="N239">
            <v>16.331692917370514</v>
          </cell>
          <cell r="O239">
            <v>47.789383694248237</v>
          </cell>
          <cell r="P239">
            <v>0.35353168843734883</v>
          </cell>
          <cell r="Q239">
            <v>0.35353168843734883</v>
          </cell>
          <cell r="R239">
            <v>0.35553168843734895</v>
          </cell>
          <cell r="S239">
            <v>0.35753168843734884</v>
          </cell>
          <cell r="T239">
            <v>0.3595316884373489</v>
          </cell>
          <cell r="U239">
            <v>0.36153168843734884</v>
          </cell>
          <cell r="AA239">
            <v>0.41959140911471976</v>
          </cell>
          <cell r="AB239">
            <v>0.42285714285714288</v>
          </cell>
          <cell r="AC239">
            <v>0.40311937612477505</v>
          </cell>
          <cell r="AD239">
            <v>0.39148639218422887</v>
          </cell>
          <cell r="AE239">
            <v>0.40459110473457677</v>
          </cell>
          <cell r="AF239">
            <v>0.40530814215024741</v>
          </cell>
          <cell r="AG239">
            <v>0.40380184331797236</v>
          </cell>
          <cell r="AH239">
            <v>0.41516878562034193</v>
          </cell>
          <cell r="AI239">
            <v>0.41800947867298577</v>
          </cell>
          <cell r="AJ239">
            <v>0.41516878562034193</v>
          </cell>
          <cell r="AK239">
            <v>0.40686274509803921</v>
          </cell>
          <cell r="AL239">
            <v>0.37345254470426409</v>
          </cell>
          <cell r="AM239">
            <v>0.42591732466326054</v>
          </cell>
          <cell r="AN239">
            <v>0.4289520426287744</v>
          </cell>
          <cell r="AO239">
            <v>0.41559829059829062</v>
          </cell>
          <cell r="AP239">
            <v>0.40087829360100374</v>
          </cell>
          <cell r="AQ239">
            <v>0.41514360313315929</v>
          </cell>
          <cell r="AR239">
            <v>0.40081154192966639</v>
          </cell>
          <cell r="AS239">
            <v>0.38617021276595748</v>
          </cell>
          <cell r="AT239">
            <v>0.39125364431486881</v>
          </cell>
          <cell r="AU239">
            <v>0.40177777777777779</v>
          </cell>
          <cell r="AV239">
            <v>0.39820923656927426</v>
          </cell>
          <cell r="AW239">
            <v>0.40332147093712928</v>
          </cell>
          <cell r="AX239">
            <v>0.406413612565445</v>
          </cell>
          <cell r="AY239">
            <v>-304.28176795580112</v>
          </cell>
          <cell r="AZ239">
            <v>-202.44475787494125</v>
          </cell>
          <cell r="BA239">
            <v>99.393270821842236</v>
          </cell>
          <cell r="BB239">
            <v>141.6925948973242</v>
          </cell>
          <cell r="BC239">
            <v>323.3746898263027</v>
          </cell>
          <cell r="BD239">
            <v>249.1507977354606</v>
          </cell>
          <cell r="BE239">
            <v>201.06007067137804</v>
          </cell>
          <cell r="BF239">
            <v>2.8308097432520913</v>
          </cell>
          <cell r="BG239">
            <v>51.473922902494316</v>
          </cell>
          <cell r="BH239">
            <v>44.218316373728044</v>
          </cell>
          <cell r="BI239">
            <v>-49.77573904179409</v>
          </cell>
          <cell r="BJ239">
            <v>7.9413813116656664</v>
          </cell>
          <cell r="BK239">
            <v>-32.47113163972287</v>
          </cell>
          <cell r="BL239">
            <v>59.268582358567727</v>
          </cell>
          <cell r="BM239">
            <v>93.385117455392091</v>
          </cell>
          <cell r="BN239">
            <v>84.177996091104475</v>
          </cell>
          <cell r="BO239">
            <v>0.35981524249422631</v>
          </cell>
          <cell r="BP239">
            <v>0.35686102586584834</v>
          </cell>
          <cell r="BQ239">
            <v>0.35228426395939089</v>
          </cell>
          <cell r="BR239">
            <v>0.3434125269978402</v>
          </cell>
        </row>
        <row r="240">
          <cell r="A240" t="str">
            <v>Mix</v>
          </cell>
          <cell r="K240">
            <v>-154.76190476190476</v>
          </cell>
          <cell r="L240">
            <v>-43.251693590411669</v>
          </cell>
          <cell r="M240">
            <v>-53.659800492291751</v>
          </cell>
          <cell r="N240">
            <v>0</v>
          </cell>
          <cell r="O240">
            <v>0</v>
          </cell>
          <cell r="P240">
            <v>-250</v>
          </cell>
          <cell r="AA240">
            <v>-230</v>
          </cell>
          <cell r="AB240">
            <v>-290</v>
          </cell>
          <cell r="AC240">
            <v>-320</v>
          </cell>
          <cell r="AD240">
            <v>-360</v>
          </cell>
          <cell r="AE240">
            <v>-280</v>
          </cell>
          <cell r="AF240">
            <v>-290</v>
          </cell>
          <cell r="AG240">
            <v>-350</v>
          </cell>
          <cell r="AH240">
            <v>-300</v>
          </cell>
          <cell r="AI240">
            <v>-230</v>
          </cell>
          <cell r="AJ240">
            <v>-200</v>
          </cell>
          <cell r="AK240">
            <v>-230</v>
          </cell>
          <cell r="AL240">
            <v>-380</v>
          </cell>
          <cell r="AM240">
            <v>-230</v>
          </cell>
          <cell r="AN240">
            <v>-300</v>
          </cell>
          <cell r="AO240">
            <v>-410</v>
          </cell>
          <cell r="AP240">
            <v>-580</v>
          </cell>
          <cell r="AQ240">
            <v>-680</v>
          </cell>
          <cell r="AR240">
            <v>-610</v>
          </cell>
          <cell r="AS240">
            <v>-350</v>
          </cell>
          <cell r="AT240">
            <v>-440</v>
          </cell>
          <cell r="AU240">
            <v>-70</v>
          </cell>
          <cell r="AV240">
            <v>-110</v>
          </cell>
          <cell r="AW240">
            <v>-70</v>
          </cell>
          <cell r="AX240">
            <v>-150</v>
          </cell>
          <cell r="AY240">
            <v>0</v>
          </cell>
          <cell r="AZ240">
            <v>0</v>
          </cell>
          <cell r="BA240">
            <v>-100</v>
          </cell>
          <cell r="BB240">
            <v>-100</v>
          </cell>
          <cell r="BC240">
            <v>-100</v>
          </cell>
          <cell r="BD240">
            <v>-50</v>
          </cell>
          <cell r="BE240">
            <v>-50</v>
          </cell>
          <cell r="BF240">
            <v>0</v>
          </cell>
          <cell r="BG240">
            <v>0</v>
          </cell>
          <cell r="BH240">
            <v>0</v>
          </cell>
          <cell r="BI240">
            <v>0</v>
          </cell>
          <cell r="BJ240">
            <v>0</v>
          </cell>
          <cell r="BK240">
            <v>0</v>
          </cell>
          <cell r="BL240">
            <v>0</v>
          </cell>
          <cell r="BM240">
            <v>0</v>
          </cell>
          <cell r="BN240">
            <v>0</v>
          </cell>
          <cell r="BO240">
            <v>-250</v>
          </cell>
          <cell r="BP240">
            <v>-250</v>
          </cell>
          <cell r="BQ240">
            <v>-250</v>
          </cell>
          <cell r="BR240">
            <v>-250</v>
          </cell>
        </row>
        <row r="241">
          <cell r="A241" t="str">
            <v>Volume Deleverage</v>
          </cell>
          <cell r="K241">
            <v>248.77179287015352</v>
          </cell>
          <cell r="L241">
            <v>0</v>
          </cell>
          <cell r="M241">
            <v>0</v>
          </cell>
          <cell r="N241">
            <v>0</v>
          </cell>
          <cell r="O241">
            <v>0</v>
          </cell>
          <cell r="P241">
            <v>150</v>
          </cell>
          <cell r="AA241">
            <v>140</v>
          </cell>
          <cell r="AB241">
            <v>150</v>
          </cell>
          <cell r="AC241">
            <v>210</v>
          </cell>
          <cell r="AD241">
            <v>300</v>
          </cell>
          <cell r="AE241">
            <v>180</v>
          </cell>
          <cell r="AF241">
            <v>170</v>
          </cell>
          <cell r="AG241">
            <v>200</v>
          </cell>
          <cell r="AH241">
            <v>170</v>
          </cell>
          <cell r="AI241">
            <v>160</v>
          </cell>
          <cell r="AJ241">
            <v>160</v>
          </cell>
          <cell r="AK241">
            <v>160</v>
          </cell>
          <cell r="AL241">
            <v>280</v>
          </cell>
          <cell r="AM241">
            <v>150</v>
          </cell>
          <cell r="AN241">
            <v>160</v>
          </cell>
          <cell r="AO241">
            <v>160</v>
          </cell>
          <cell r="AP241">
            <v>210</v>
          </cell>
          <cell r="AQ241">
            <v>100</v>
          </cell>
          <cell r="AR241">
            <v>130</v>
          </cell>
          <cell r="AS241">
            <v>160</v>
          </cell>
          <cell r="AT241">
            <v>330</v>
          </cell>
          <cell r="AU241">
            <v>200</v>
          </cell>
          <cell r="AV241">
            <v>240</v>
          </cell>
          <cell r="AW241">
            <v>250</v>
          </cell>
          <cell r="AX241">
            <v>270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cell r="BM241">
            <v>0</v>
          </cell>
          <cell r="BN241">
            <v>0</v>
          </cell>
          <cell r="BO241">
            <v>150</v>
          </cell>
          <cell r="BP241">
            <v>150</v>
          </cell>
          <cell r="BQ241">
            <v>150</v>
          </cell>
          <cell r="BR241">
            <v>150</v>
          </cell>
        </row>
        <row r="242">
          <cell r="A242" t="str">
            <v>Cost Savings</v>
          </cell>
          <cell r="K242">
            <v>141.79287015352588</v>
          </cell>
          <cell r="L242">
            <v>181.87231399515676</v>
          </cell>
          <cell r="M242">
            <v>185.56416326203501</v>
          </cell>
          <cell r="N242">
            <v>168.37882947866004</v>
          </cell>
          <cell r="O242">
            <v>212.27439233868358</v>
          </cell>
          <cell r="P242">
            <v>51.319552381112715</v>
          </cell>
          <cell r="AA242">
            <v>0</v>
          </cell>
          <cell r="AB242">
            <v>60</v>
          </cell>
          <cell r="AC242">
            <v>110</v>
          </cell>
          <cell r="AD242">
            <v>150</v>
          </cell>
          <cell r="AE242">
            <v>210</v>
          </cell>
          <cell r="AF242">
            <v>210</v>
          </cell>
          <cell r="AG242">
            <v>180</v>
          </cell>
          <cell r="AH242">
            <v>200</v>
          </cell>
          <cell r="AI242">
            <v>130</v>
          </cell>
          <cell r="AJ242">
            <v>140</v>
          </cell>
          <cell r="AK242">
            <v>130</v>
          </cell>
          <cell r="AL242">
            <v>80</v>
          </cell>
          <cell r="AM242">
            <v>70</v>
          </cell>
          <cell r="AN242">
            <v>80</v>
          </cell>
          <cell r="AO242">
            <v>170</v>
          </cell>
          <cell r="AP242">
            <v>280</v>
          </cell>
          <cell r="AQ242">
            <v>440</v>
          </cell>
          <cell r="AR242">
            <v>560</v>
          </cell>
          <cell r="AS242">
            <v>380</v>
          </cell>
          <cell r="AT242">
            <v>380</v>
          </cell>
          <cell r="AU242">
            <v>130</v>
          </cell>
          <cell r="AV242">
            <v>70</v>
          </cell>
          <cell r="AW242">
            <v>40</v>
          </cell>
          <cell r="AX242">
            <v>80</v>
          </cell>
          <cell r="AY242">
            <v>182.68876611418048</v>
          </cell>
          <cell r="AZ242">
            <v>186.84532204983543</v>
          </cell>
          <cell r="BA242">
            <v>181.07556536127964</v>
          </cell>
          <cell r="BB242">
            <v>174.57996266334783</v>
          </cell>
          <cell r="BC242">
            <v>190.27295285359801</v>
          </cell>
          <cell r="BD242">
            <v>199.02213072568193</v>
          </cell>
          <cell r="BE242">
            <v>159.15783274440517</v>
          </cell>
          <cell r="BF242">
            <v>191.17840684660959</v>
          </cell>
          <cell r="BG242">
            <v>165.03401360544217</v>
          </cell>
          <cell r="BH242">
            <v>165.54116558741904</v>
          </cell>
          <cell r="BI242">
            <v>157.95107033639144</v>
          </cell>
          <cell r="BJ242">
            <v>188.10214741729544</v>
          </cell>
          <cell r="BK242">
            <v>220.34642032332567</v>
          </cell>
          <cell r="BL242">
            <v>213.4431261787648</v>
          </cell>
          <cell r="BM242">
            <v>217.02069197530281</v>
          </cell>
          <cell r="BN242">
            <v>195.07307826123824</v>
          </cell>
          <cell r="BO242">
            <v>35.612197629619587</v>
          </cell>
          <cell r="BP242">
            <v>37.13049189608769</v>
          </cell>
          <cell r="BQ242">
            <v>49.9144396431346</v>
          </cell>
          <cell r="BR242">
            <v>88.652026515638369</v>
          </cell>
        </row>
        <row r="243">
          <cell r="A243" t="str">
            <v>Input cost inflation</v>
          </cell>
          <cell r="K243">
            <v>-114.03721051262035</v>
          </cell>
          <cell r="L243">
            <v>-108.36763882544669</v>
          </cell>
          <cell r="M243">
            <v>-426.78777551857638</v>
          </cell>
          <cell r="N243">
            <v>-178.13906359927819</v>
          </cell>
          <cell r="O243">
            <v>-253.02710963389814</v>
          </cell>
          <cell r="P243">
            <v>-64.104120480543145</v>
          </cell>
          <cell r="AA243">
            <v>-80</v>
          </cell>
          <cell r="AB243">
            <v>-70</v>
          </cell>
          <cell r="AC243">
            <v>20</v>
          </cell>
          <cell r="AD243">
            <v>10</v>
          </cell>
          <cell r="AE243">
            <v>-30</v>
          </cell>
          <cell r="AF243">
            <v>0</v>
          </cell>
          <cell r="AG243">
            <v>20</v>
          </cell>
          <cell r="AH243">
            <v>-30</v>
          </cell>
          <cell r="AI243">
            <v>-50</v>
          </cell>
          <cell r="AJ243">
            <v>-20</v>
          </cell>
          <cell r="AK243">
            <v>-50</v>
          </cell>
          <cell r="AL243">
            <v>80</v>
          </cell>
          <cell r="AM243">
            <v>-60</v>
          </cell>
          <cell r="AN243">
            <v>-30</v>
          </cell>
          <cell r="AO243">
            <v>-20</v>
          </cell>
          <cell r="AP243">
            <v>-90</v>
          </cell>
          <cell r="AQ243">
            <v>-120</v>
          </cell>
          <cell r="AR243">
            <v>-150</v>
          </cell>
          <cell r="AS243">
            <v>-60</v>
          </cell>
          <cell r="AT243">
            <v>-110</v>
          </cell>
          <cell r="AU243">
            <v>-80</v>
          </cell>
          <cell r="AV243">
            <v>-130</v>
          </cell>
          <cell r="AW243">
            <v>-140</v>
          </cell>
          <cell r="AX243">
            <v>-130</v>
          </cell>
          <cell r="AY243">
            <v>-58.931860036832418</v>
          </cell>
          <cell r="AZ243">
            <v>-60.272684532204984</v>
          </cell>
          <cell r="BA243">
            <v>-175.23441809156094</v>
          </cell>
          <cell r="BB243">
            <v>-168.94835096453016</v>
          </cell>
          <cell r="BC243">
            <v>-507.39454094292807</v>
          </cell>
          <cell r="BD243">
            <v>-464.38497169325785</v>
          </cell>
          <cell r="BE243">
            <v>-381.97879858657245</v>
          </cell>
          <cell r="BF243">
            <v>-318.63067807768272</v>
          </cell>
          <cell r="BG243">
            <v>-220.04535147392292</v>
          </cell>
          <cell r="BH243">
            <v>-165.54116558741904</v>
          </cell>
          <cell r="BI243">
            <v>-157.95107033639144</v>
          </cell>
          <cell r="BJ243">
            <v>-161.23041207196746</v>
          </cell>
          <cell r="BK243">
            <v>-188.86836027713628</v>
          </cell>
          <cell r="BL243">
            <v>-274.42687651555468</v>
          </cell>
          <cell r="BM243">
            <v>-279.02660396824643</v>
          </cell>
          <cell r="BN243">
            <v>-278.67582608748319</v>
          </cell>
          <cell r="BO243">
            <v>-89.392039227649178</v>
          </cell>
          <cell r="BP243">
            <v>-92.173847661044377</v>
          </cell>
          <cell r="BQ243">
            <v>-35.239695943372752</v>
          </cell>
          <cell r="BR243">
            <v>-30.674058143619732</v>
          </cell>
        </row>
        <row r="244">
          <cell r="A244" t="str">
            <v>Acquisition/ Disposal</v>
          </cell>
          <cell r="K244">
            <v>22.544886807181889</v>
          </cell>
          <cell r="L244">
            <v>0</v>
          </cell>
          <cell r="M244">
            <v>0</v>
          </cell>
          <cell r="N244">
            <v>-150</v>
          </cell>
          <cell r="O244">
            <v>0</v>
          </cell>
          <cell r="P244">
            <v>0</v>
          </cell>
          <cell r="AA244">
            <v>20</v>
          </cell>
          <cell r="AB244">
            <v>-20</v>
          </cell>
          <cell r="AC244">
            <v>-10</v>
          </cell>
          <cell r="AD244">
            <v>-30</v>
          </cell>
          <cell r="AE244">
            <v>0</v>
          </cell>
          <cell r="AF244">
            <v>0</v>
          </cell>
          <cell r="AG244">
            <v>-20</v>
          </cell>
          <cell r="AH244">
            <v>-60</v>
          </cell>
          <cell r="AI244">
            <v>40</v>
          </cell>
          <cell r="AJ244">
            <v>0</v>
          </cell>
          <cell r="AK244">
            <v>40</v>
          </cell>
          <cell r="AL244">
            <v>40</v>
          </cell>
          <cell r="AM244">
            <v>-40</v>
          </cell>
          <cell r="AN244">
            <v>-20</v>
          </cell>
          <cell r="AO244">
            <v>-30</v>
          </cell>
          <cell r="AP244">
            <v>130</v>
          </cell>
          <cell r="AQ244">
            <v>50</v>
          </cell>
          <cell r="AR244">
            <v>0</v>
          </cell>
          <cell r="AS244">
            <v>70</v>
          </cell>
          <cell r="AT244">
            <v>40</v>
          </cell>
          <cell r="AU244">
            <v>20</v>
          </cell>
          <cell r="AV244">
            <v>40</v>
          </cell>
          <cell r="AW244">
            <v>-10</v>
          </cell>
          <cell r="AX244">
            <v>-10</v>
          </cell>
          <cell r="AY244">
            <v>0</v>
          </cell>
          <cell r="AZ244">
            <v>0</v>
          </cell>
          <cell r="BA244">
            <v>0</v>
          </cell>
          <cell r="BB244">
            <v>0</v>
          </cell>
          <cell r="BC244">
            <v>0</v>
          </cell>
          <cell r="BD244">
            <v>0</v>
          </cell>
          <cell r="BE244">
            <v>0</v>
          </cell>
          <cell r="BF244">
            <v>0</v>
          </cell>
          <cell r="BG244">
            <v>-150</v>
          </cell>
          <cell r="BH244">
            <v>-150</v>
          </cell>
          <cell r="BI244">
            <v>-150</v>
          </cell>
          <cell r="BJ244">
            <v>-150</v>
          </cell>
          <cell r="BK244">
            <v>0</v>
          </cell>
          <cell r="BL244">
            <v>0</v>
          </cell>
          <cell r="BM244">
            <v>0</v>
          </cell>
          <cell r="BN244">
            <v>0</v>
          </cell>
          <cell r="BO244">
            <v>0</v>
          </cell>
          <cell r="BP244">
            <v>0</v>
          </cell>
          <cell r="BQ244">
            <v>0</v>
          </cell>
          <cell r="BR244">
            <v>0</v>
          </cell>
        </row>
        <row r="245">
          <cell r="A245" t="str">
            <v>Other</v>
          </cell>
          <cell r="K245">
            <v>0</v>
          </cell>
          <cell r="L245">
            <v>-20.648464608994331</v>
          </cell>
          <cell r="M245">
            <v>-16.340154641523004</v>
          </cell>
          <cell r="N245">
            <v>-42.531115455338515</v>
          </cell>
          <cell r="O245">
            <v>-20</v>
          </cell>
          <cell r="P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106.80569941039697</v>
          </cell>
          <cell r="AZ245">
            <v>-29.824417050939459</v>
          </cell>
          <cell r="BA245">
            <v>-90.923971832486174</v>
          </cell>
          <cell r="BB245">
            <v>-109.17892159876959</v>
          </cell>
          <cell r="BC245">
            <v>-42.126317809796433</v>
          </cell>
          <cell r="BD245">
            <v>-13.59900802393372</v>
          </cell>
          <cell r="BE245">
            <v>-49.373796887678481</v>
          </cell>
          <cell r="BF245">
            <v>52.152142146378281</v>
          </cell>
          <cell r="BG245">
            <v>-8.0173641003137845</v>
          </cell>
          <cell r="BH245">
            <v>-44.700395118413923</v>
          </cell>
          <cell r="BI245">
            <v>-16.29065315193651</v>
          </cell>
          <cell r="BJ245">
            <v>-114.87252663782428</v>
          </cell>
          <cell r="BK245">
            <v>-20</v>
          </cell>
          <cell r="BL245">
            <v>-20</v>
          </cell>
          <cell r="BM245">
            <v>-20</v>
          </cell>
          <cell r="BN245">
            <v>-20</v>
          </cell>
          <cell r="BO245">
            <v>0</v>
          </cell>
          <cell r="BP245">
            <v>0</v>
          </cell>
          <cell r="BQ245">
            <v>0</v>
          </cell>
          <cell r="BR245">
            <v>0</v>
          </cell>
        </row>
        <row r="246">
          <cell r="A246" t="str">
            <v>Bps Increase</v>
          </cell>
          <cell r="C246">
            <v>-186.75638095909164</v>
          </cell>
          <cell r="D246">
            <v>-83.921657330589539</v>
          </cell>
          <cell r="E246">
            <v>-191.90354312986545</v>
          </cell>
          <cell r="F246">
            <v>-60.203248932531594</v>
          </cell>
          <cell r="G246">
            <v>10.31877930785685</v>
          </cell>
          <cell r="H246">
            <v>132.20749744532912</v>
          </cell>
          <cell r="I246">
            <v>-219.11239466581191</v>
          </cell>
          <cell r="J246">
            <v>47.070823862042644</v>
          </cell>
          <cell r="K246">
            <v>83.135646463198825</v>
          </cell>
          <cell r="L246">
            <v>-83.749072843340983</v>
          </cell>
          <cell r="M246">
            <v>-103.57446420502737</v>
          </cell>
          <cell r="N246">
            <v>-186.86810989889725</v>
          </cell>
          <cell r="O246">
            <v>-29.508196721311776</v>
          </cell>
          <cell r="P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-73.719162468056098</v>
          </cell>
          <cell r="AZ246">
            <v>-105.69653740825025</v>
          </cell>
          <cell r="BA246">
            <v>-85.689553740925234</v>
          </cell>
          <cell r="BB246">
            <v>-61.854715002627735</v>
          </cell>
          <cell r="BC246">
            <v>-135.87321607282377</v>
          </cell>
          <cell r="BD246">
            <v>-79.811051256049041</v>
          </cell>
          <cell r="BE246">
            <v>-121.13469205846772</v>
          </cell>
          <cell r="BF246">
            <v>-72.469319341442741</v>
          </cell>
          <cell r="BG246">
            <v>-161.55477906630023</v>
          </cell>
          <cell r="BH246">
            <v>-150.48207874468588</v>
          </cell>
          <cell r="BI246">
            <v>-216.06639219373059</v>
          </cell>
          <cell r="BJ246">
            <v>-230.05940998083062</v>
          </cell>
          <cell r="BK246">
            <v>-20.993071593533472</v>
          </cell>
          <cell r="BL246">
            <v>-21.715167978222155</v>
          </cell>
          <cell r="BM246">
            <v>11.379205462448454</v>
          </cell>
          <cell r="BN246">
            <v>-19.424751735140489</v>
          </cell>
          <cell r="BO246">
            <v>0</v>
          </cell>
          <cell r="BP246">
            <v>0</v>
          </cell>
          <cell r="BQ246">
            <v>0</v>
          </cell>
          <cell r="BR246">
            <v>0</v>
          </cell>
        </row>
        <row r="247">
          <cell r="A247" t="str">
            <v>Current Year GM</v>
          </cell>
          <cell r="B247">
            <v>0.457286432160804</v>
          </cell>
          <cell r="C247">
            <v>0.43861079406489484</v>
          </cell>
          <cell r="D247">
            <v>0.43021862833183588</v>
          </cell>
          <cell r="E247">
            <v>0.41102827401884934</v>
          </cell>
          <cell r="F247">
            <v>0.40500794912559618</v>
          </cell>
          <cell r="G247">
            <v>0.40603982705638186</v>
          </cell>
          <cell r="H247">
            <v>0.41926057680091477</v>
          </cell>
          <cell r="I247">
            <v>0.39734933733433359</v>
          </cell>
          <cell r="J247">
            <v>0.40205641972053785</v>
          </cell>
          <cell r="K247">
            <v>0.41036998436685773</v>
          </cell>
          <cell r="L247">
            <v>0.40199507708252363</v>
          </cell>
          <cell r="M247">
            <v>0.3916376306620209</v>
          </cell>
          <cell r="N247">
            <v>0.37295081967213117</v>
          </cell>
          <cell r="O247">
            <v>0.37</v>
          </cell>
          <cell r="P247">
            <v>0.372</v>
          </cell>
          <cell r="Q247">
            <v>0.374</v>
          </cell>
          <cell r="R247">
            <v>0.376</v>
          </cell>
          <cell r="S247">
            <v>0.378</v>
          </cell>
          <cell r="T247">
            <v>0.38</v>
          </cell>
          <cell r="U247">
            <v>0.38200000000000001</v>
          </cell>
          <cell r="AA247">
            <v>-3.0438014299249971E-3</v>
          </cell>
          <cell r="AB247">
            <v>-5.4900070689546681</v>
          </cell>
          <cell r="AC247">
            <v>-3.1753280680268858</v>
          </cell>
          <cell r="AD247">
            <v>166.8239343611306</v>
          </cell>
          <cell r="AE247">
            <v>54.183739384090018</v>
          </cell>
          <cell r="AF247">
            <v>8.6064347009452149</v>
          </cell>
          <cell r="AG247">
            <v>0.60901780066849298</v>
          </cell>
          <cell r="AH247">
            <v>-397.1624091607784</v>
          </cell>
          <cell r="AI247">
            <v>29.078459902747753</v>
          </cell>
          <cell r="AJ247">
            <v>57.832570084324715</v>
          </cell>
          <cell r="AK247">
            <v>37.355455002514077</v>
          </cell>
          <cell r="AL247">
            <v>174.25748896739657</v>
          </cell>
          <cell r="AM247">
            <v>2.2627846989874598</v>
          </cell>
          <cell r="AN247">
            <v>-171.40500699108009</v>
          </cell>
          <cell r="AO247">
            <v>-164.28077832333145</v>
          </cell>
          <cell r="AP247">
            <v>-46.246492861349338</v>
          </cell>
          <cell r="AQ247">
            <v>76.341746446184999</v>
          </cell>
          <cell r="AR247">
            <v>43.976946396078681</v>
          </cell>
          <cell r="AS247">
            <v>-28.487418288281987</v>
          </cell>
          <cell r="AT247">
            <v>-48.400317494238067</v>
          </cell>
          <cell r="AU247">
            <v>-28.036515862207949</v>
          </cell>
          <cell r="AV247">
            <v>-46.574483667661163</v>
          </cell>
          <cell r="AW247">
            <v>19.981739019384108</v>
          </cell>
          <cell r="AX247">
            <v>-85.927957011498961</v>
          </cell>
          <cell r="AY247">
            <v>0.41160220994475138</v>
          </cell>
          <cell r="AZ247">
            <v>0.39398213446168312</v>
          </cell>
          <cell r="BA247">
            <v>0.40375068946497517</v>
          </cell>
          <cell r="BB247">
            <v>0.39763534536403233</v>
          </cell>
          <cell r="BC247">
            <v>0.39801488833746901</v>
          </cell>
          <cell r="BD247">
            <v>0.38600102933607822</v>
          </cell>
          <cell r="BE247">
            <v>0.39163722025912839</v>
          </cell>
          <cell r="BF247">
            <v>0.39038841342988806</v>
          </cell>
          <cell r="BG247">
            <v>0.38185941043083899</v>
          </cell>
          <cell r="BH247">
            <v>0.37095282146160963</v>
          </cell>
          <cell r="BI247">
            <v>0.37003058103975534</v>
          </cell>
          <cell r="BJ247">
            <v>0.367382472431805</v>
          </cell>
          <cell r="BK247">
            <v>0.37976010327148563</v>
          </cell>
          <cell r="BL247">
            <v>0.36878130466378739</v>
          </cell>
          <cell r="BM247">
            <v>0.37116850158600018</v>
          </cell>
          <cell r="BN247">
            <v>0.36543999725829096</v>
          </cell>
          <cell r="BO247">
            <v>138.77984159802958</v>
          </cell>
          <cell r="BP247">
            <v>145.04335576495669</v>
          </cell>
          <cell r="BQ247">
            <v>75.325256300238692</v>
          </cell>
          <cell r="BR247">
            <v>77.951684890427828</v>
          </cell>
        </row>
        <row r="248">
          <cell r="A248" t="str">
            <v>Bps Increase</v>
          </cell>
          <cell r="C248">
            <v>-186.75638095909164</v>
          </cell>
          <cell r="D248">
            <v>-83.921657330589539</v>
          </cell>
          <cell r="E248">
            <v>-191.90354312986545</v>
          </cell>
          <cell r="F248">
            <v>-60.203248932531594</v>
          </cell>
          <cell r="G248">
            <v>10.31877930785685</v>
          </cell>
          <cell r="H248">
            <v>132.20749744532912</v>
          </cell>
          <cell r="I248">
            <v>-219.11239466581191</v>
          </cell>
          <cell r="J248">
            <v>47.070823862042644</v>
          </cell>
          <cell r="K248">
            <v>83.135646463198825</v>
          </cell>
          <cell r="L248">
            <v>-83.749072843340983</v>
          </cell>
          <cell r="M248">
            <v>-103.57446420502737</v>
          </cell>
          <cell r="N248">
            <v>-186.86810989889725</v>
          </cell>
          <cell r="O248">
            <v>-194.19131234782338</v>
          </cell>
          <cell r="P248">
            <v>0</v>
          </cell>
          <cell r="AA248">
            <v>-150.00304380142992</v>
          </cell>
          <cell r="AB248">
            <v>-175.49000706895467</v>
          </cell>
          <cell r="AC248">
            <v>6.8246719319731142</v>
          </cell>
          <cell r="AD248">
            <v>236.8239343611306</v>
          </cell>
          <cell r="AE248">
            <v>134.18373938409002</v>
          </cell>
          <cell r="AF248">
            <v>98.606434700945215</v>
          </cell>
          <cell r="AG248">
            <v>30.609017800668493</v>
          </cell>
          <cell r="AH248">
            <v>-417.1624091607784</v>
          </cell>
          <cell r="AI248">
            <v>79.078459902747753</v>
          </cell>
          <cell r="AJ248">
            <v>137.83257008432471</v>
          </cell>
          <cell r="AK248">
            <v>87.355455002514077</v>
          </cell>
          <cell r="AL248">
            <v>274.25748896739657</v>
          </cell>
          <cell r="AM248">
            <v>-107.73721530101254</v>
          </cell>
          <cell r="AN248">
            <v>-281.40500699108009</v>
          </cell>
          <cell r="AO248">
            <v>-294.28077832333145</v>
          </cell>
          <cell r="AP248">
            <v>-96.246492861349338</v>
          </cell>
          <cell r="AQ248">
            <v>-133.658253553815</v>
          </cell>
          <cell r="AR248">
            <v>-26.023053603921319</v>
          </cell>
          <cell r="AS248">
            <v>171.51258171171801</v>
          </cell>
          <cell r="AT248">
            <v>151.59968250576193</v>
          </cell>
          <cell r="AU248">
            <v>171.96348413779205</v>
          </cell>
          <cell r="AV248">
            <v>63.425516332338837</v>
          </cell>
          <cell r="AW248">
            <v>89.981739019384108</v>
          </cell>
          <cell r="AX248">
            <v>-25.927957011498968</v>
          </cell>
          <cell r="AY248">
            <v>-73.719162468056098</v>
          </cell>
          <cell r="AZ248">
            <v>-105.69653740825025</v>
          </cell>
          <cell r="BA248">
            <v>-85.689553740925234</v>
          </cell>
          <cell r="BB248">
            <v>-61.854715002627735</v>
          </cell>
          <cell r="BC248">
            <v>-135.87321607282377</v>
          </cell>
          <cell r="BD248">
            <v>-79.811051256049041</v>
          </cell>
          <cell r="BE248">
            <v>-121.13469205846772</v>
          </cell>
          <cell r="BF248">
            <v>-72.469319341442741</v>
          </cell>
          <cell r="BG248">
            <v>-161.55477906630023</v>
          </cell>
          <cell r="BH248">
            <v>-150.48207874468588</v>
          </cell>
          <cell r="BI248">
            <v>-216.06639219373059</v>
          </cell>
          <cell r="BJ248">
            <v>-230.05940998083062</v>
          </cell>
          <cell r="BK248">
            <v>-220.44167936612681</v>
          </cell>
          <cell r="BL248">
            <v>-140.91795595761292</v>
          </cell>
          <cell r="BM248">
            <v>-177.46317080364449</v>
          </cell>
          <cell r="BN248">
            <v>-239.69945433964801</v>
          </cell>
          <cell r="BO248">
            <v>-15.000000000000014</v>
          </cell>
          <cell r="BP248">
            <v>-10.000000000000009</v>
          </cell>
          <cell r="BQ248">
            <v>-9.9999999999994529</v>
          </cell>
          <cell r="BR248">
            <v>35.929653262446458</v>
          </cell>
        </row>
        <row r="249">
          <cell r="A249" t="str">
            <v>Current Year GM</v>
          </cell>
          <cell r="B249">
            <v>0.457286432160804</v>
          </cell>
          <cell r="C249">
            <v>0.43861079406489484</v>
          </cell>
          <cell r="D249">
            <v>0.43021862833183588</v>
          </cell>
          <cell r="E249">
            <v>0.41102827401884934</v>
          </cell>
          <cell r="F249">
            <v>0.40500794912559618</v>
          </cell>
          <cell r="G249">
            <v>0.40603982705638186</v>
          </cell>
          <cell r="H249">
            <v>0.41926057680091477</v>
          </cell>
          <cell r="I249">
            <v>0.39734933733433359</v>
          </cell>
          <cell r="J249">
            <v>0.40205641972053785</v>
          </cell>
          <cell r="K249">
            <v>0.41036998436685773</v>
          </cell>
          <cell r="L249">
            <v>0.40199507708252363</v>
          </cell>
          <cell r="M249">
            <v>0.3916376306620209</v>
          </cell>
          <cell r="N249">
            <v>0.37295081967213117</v>
          </cell>
          <cell r="O249">
            <v>0.35353168843734883</v>
          </cell>
          <cell r="P249">
            <v>0.35353168843734883</v>
          </cell>
          <cell r="Q249">
            <v>0.35553168843734895</v>
          </cell>
          <cell r="R249">
            <v>0.35753168843734884</v>
          </cell>
          <cell r="S249">
            <v>0.3595316884373489</v>
          </cell>
          <cell r="T249">
            <v>0.36153168843734884</v>
          </cell>
          <cell r="U249">
            <v>0.36353168843734895</v>
          </cell>
          <cell r="AA249">
            <v>0.40459110473457677</v>
          </cell>
          <cell r="AB249">
            <v>0.40530814215024741</v>
          </cell>
          <cell r="AC249">
            <v>0.40380184331797236</v>
          </cell>
          <cell r="AD249">
            <v>0.41516878562034193</v>
          </cell>
          <cell r="AE249">
            <v>0.41800947867298577</v>
          </cell>
          <cell r="AF249">
            <v>0.41516878562034193</v>
          </cell>
          <cell r="AG249">
            <v>0.40686274509803921</v>
          </cell>
          <cell r="AH249">
            <v>0.37345254470426409</v>
          </cell>
          <cell r="AI249">
            <v>0.42591732466326054</v>
          </cell>
          <cell r="AJ249">
            <v>0.4289520426287744</v>
          </cell>
          <cell r="AK249">
            <v>0.41559829059829062</v>
          </cell>
          <cell r="AL249">
            <v>0.40087829360100374</v>
          </cell>
          <cell r="AM249">
            <v>0.41514360313315929</v>
          </cell>
          <cell r="AN249">
            <v>0.40081154192966639</v>
          </cell>
          <cell r="AO249">
            <v>0.38617021276595748</v>
          </cell>
          <cell r="AP249">
            <v>0.39125364431486881</v>
          </cell>
          <cell r="AQ249">
            <v>0.40177777777777779</v>
          </cell>
          <cell r="AR249">
            <v>0.39820923656927426</v>
          </cell>
          <cell r="AS249">
            <v>0.40332147093712928</v>
          </cell>
          <cell r="AT249">
            <v>0.406413612565445</v>
          </cell>
          <cell r="AU249">
            <v>0.41897412619155699</v>
          </cell>
          <cell r="AV249">
            <v>0.40455178820250814</v>
          </cell>
          <cell r="AW249">
            <v>0.41231964483906769</v>
          </cell>
          <cell r="AX249">
            <v>0.40382081686429511</v>
          </cell>
          <cell r="AY249">
            <v>0.41160220994475138</v>
          </cell>
          <cell r="AZ249">
            <v>0.39398213446168312</v>
          </cell>
          <cell r="BA249">
            <v>0.40375068946497517</v>
          </cell>
          <cell r="BB249">
            <v>0.39763534536403233</v>
          </cell>
          <cell r="BC249">
            <v>0.39801488833746901</v>
          </cell>
          <cell r="BD249">
            <v>0.38600102933607822</v>
          </cell>
          <cell r="BE249">
            <v>0.39163722025912839</v>
          </cell>
          <cell r="BF249">
            <v>0.39038841342988806</v>
          </cell>
          <cell r="BG249">
            <v>0.38185941043083899</v>
          </cell>
          <cell r="BH249" t="str">
            <v>Current GM Forecast</v>
          </cell>
          <cell r="BI249">
            <v>0.37003058103975534</v>
          </cell>
          <cell r="BJ249">
            <v>0.37191180925620876</v>
          </cell>
          <cell r="BK249">
            <v>0.38428082191780821</v>
          </cell>
          <cell r="BL249">
            <v>0.37319545649378483</v>
          </cell>
          <cell r="BM249">
            <v>0.36876217765042968</v>
          </cell>
          <cell r="BN249">
            <v>0.3468000509874275</v>
          </cell>
          <cell r="BO249">
            <v>0.3583152424942263</v>
          </cell>
          <cell r="BP249">
            <v>0.35586102586584833</v>
          </cell>
          <cell r="BQ249">
            <v>0.35128426395939094</v>
          </cell>
          <cell r="BR249">
            <v>0.34700549232408484</v>
          </cell>
        </row>
        <row r="250">
          <cell r="L250">
            <v>2011</v>
          </cell>
          <cell r="M250" t="str">
            <v>2012 (4Q11 Guidance)</v>
          </cell>
          <cell r="N250" t="str">
            <v>2012 (MSe, Current)</v>
          </cell>
        </row>
        <row r="251">
          <cell r="A251" t="str">
            <v>Sales</v>
          </cell>
          <cell r="K251">
            <v>83.135646463198825</v>
          </cell>
          <cell r="L251">
            <v>7719</v>
          </cell>
          <cell r="M251">
            <v>7796.1900000000005</v>
          </cell>
          <cell r="N251">
            <v>7719</v>
          </cell>
          <cell r="O251">
            <v>-127.71341865681494</v>
          </cell>
          <cell r="AA251">
            <v>-150.00304380142992</v>
          </cell>
          <cell r="AB251">
            <v>-175.49000706895467</v>
          </cell>
          <cell r="AC251">
            <v>6.8246719319731142</v>
          </cell>
          <cell r="AD251">
            <v>236.8239343611306</v>
          </cell>
          <cell r="AE251">
            <v>134.18373938409002</v>
          </cell>
          <cell r="AF251">
            <v>98.606434700945215</v>
          </cell>
          <cell r="AG251">
            <v>30.609017800668493</v>
          </cell>
          <cell r="AH251">
            <v>-417.1624091607784</v>
          </cell>
          <cell r="AI251">
            <v>79.078459902747753</v>
          </cell>
          <cell r="AJ251">
            <v>137.83257008432471</v>
          </cell>
          <cell r="AK251">
            <v>87.355455002514077</v>
          </cell>
          <cell r="AL251">
            <v>274.25748896739657</v>
          </cell>
          <cell r="AM251">
            <v>-107.73721530101254</v>
          </cell>
          <cell r="AN251">
            <v>-281.40500699108009</v>
          </cell>
          <cell r="AO251">
            <v>-294.28077832333145</v>
          </cell>
          <cell r="AP251">
            <v>-96.246492861349338</v>
          </cell>
          <cell r="AQ251">
            <v>-133.658253553815</v>
          </cell>
          <cell r="AR251">
            <v>-26.023053603921319</v>
          </cell>
          <cell r="AS251">
            <v>171.51258171171801</v>
          </cell>
          <cell r="AT251">
            <v>151.59968250576193</v>
          </cell>
          <cell r="AU251">
            <v>171.96348413779205</v>
          </cell>
          <cell r="AV251">
            <v>63.425516332338837</v>
          </cell>
          <cell r="AW251">
            <v>89.981739019384108</v>
          </cell>
          <cell r="AX251">
            <v>-25.927957011498968</v>
          </cell>
          <cell r="AY251">
            <v>-73.719162468056098</v>
          </cell>
          <cell r="AZ251">
            <v>-105.69653740825025</v>
          </cell>
          <cell r="BA251">
            <v>-85.689553740925234</v>
          </cell>
          <cell r="BB251">
            <v>-61.854715002627735</v>
          </cell>
          <cell r="BC251">
            <v>-135.87321607282377</v>
          </cell>
          <cell r="BD251">
            <v>-79.811051256049041</v>
          </cell>
          <cell r="BE251">
            <v>-121.13469205846772</v>
          </cell>
          <cell r="BF251">
            <v>-72.469319341442741</v>
          </cell>
          <cell r="BG251">
            <v>-31.554779066300227</v>
          </cell>
          <cell r="BH251">
            <v>-10.482078744685879</v>
          </cell>
          <cell r="BI251">
            <v>-46.066392193730593</v>
          </cell>
          <cell r="BJ251">
            <v>9.9405900191693775</v>
          </cell>
          <cell r="BK251">
            <v>-70.441679366126806</v>
          </cell>
          <cell r="BL251">
            <v>-60.917955957612918</v>
          </cell>
          <cell r="BM251">
            <v>-117.46317080364449</v>
          </cell>
          <cell r="BN251">
            <v>-289.69945433964801</v>
          </cell>
          <cell r="BO251">
            <v>-15.000000000000014</v>
          </cell>
          <cell r="BP251">
            <v>-10.000000000000009</v>
          </cell>
          <cell r="BQ251">
            <v>-9.9999999999994529</v>
          </cell>
          <cell r="BR251">
            <v>35.929653262446458</v>
          </cell>
        </row>
        <row r="252">
          <cell r="A252" t="str">
            <v xml:space="preserve">   % Growth</v>
          </cell>
          <cell r="K252">
            <v>-20.027322404371589</v>
          </cell>
          <cell r="L252">
            <v>-109.07634184471077</v>
          </cell>
          <cell r="M252">
            <v>1.0000000000000009E-2</v>
          </cell>
          <cell r="N252">
            <v>0</v>
          </cell>
          <cell r="O252">
            <v>-157.39567809239941</v>
          </cell>
        </row>
        <row r="254">
          <cell r="A254" t="str">
            <v>Pricing/Volume leverage</v>
          </cell>
          <cell r="M254">
            <v>225</v>
          </cell>
          <cell r="N254">
            <v>106.27800000000003</v>
          </cell>
          <cell r="BH254" t="str">
            <v>Current GM Forecast</v>
          </cell>
          <cell r="BJ254">
            <v>0.37191180925620876</v>
          </cell>
          <cell r="BK254">
            <v>0.38428082191780821</v>
          </cell>
          <cell r="BL254">
            <v>0.37319545649378483</v>
          </cell>
          <cell r="BM254">
            <v>0.36876217765042968</v>
          </cell>
          <cell r="BN254">
            <v>0.3468000509874275</v>
          </cell>
          <cell r="BO254">
            <v>0.36876217765042968</v>
          </cell>
          <cell r="BP254">
            <v>0.36876217765042968</v>
          </cell>
          <cell r="BQ254">
            <v>0.36876217765042968</v>
          </cell>
          <cell r="BR254">
            <v>0.3468000509874275</v>
          </cell>
        </row>
        <row r="255">
          <cell r="A255" t="str">
            <v>Inflation</v>
          </cell>
          <cell r="L255">
            <v>2011</v>
          </cell>
          <cell r="M255">
            <v>-325</v>
          </cell>
          <cell r="N255">
            <v>-325</v>
          </cell>
        </row>
        <row r="256">
          <cell r="A256" t="str">
            <v>Productivity</v>
          </cell>
          <cell r="L256">
            <v>7719</v>
          </cell>
          <cell r="M256">
            <v>133.864</v>
          </cell>
          <cell r="N256">
            <v>133.864</v>
          </cell>
        </row>
        <row r="257">
          <cell r="A257" t="str">
            <v>Other</v>
          </cell>
          <cell r="M257">
            <v>-2.8339999999998042</v>
          </cell>
          <cell r="N257">
            <v>-26.121128919861107</v>
          </cell>
        </row>
        <row r="259">
          <cell r="A259" t="str">
            <v>Gross Profit</v>
          </cell>
          <cell r="L259">
            <v>3103</v>
          </cell>
          <cell r="M259">
            <v>3134.03</v>
          </cell>
          <cell r="N259">
            <v>3023.0508710801391</v>
          </cell>
        </row>
        <row r="260">
          <cell r="A260" t="str">
            <v xml:space="preserve">   Gross Margin</v>
          </cell>
          <cell r="L260">
            <v>0.40199507708252363</v>
          </cell>
          <cell r="M260">
            <v>0.40199507708252363</v>
          </cell>
          <cell r="N260">
            <v>0.3916376306620209</v>
          </cell>
        </row>
        <row r="261">
          <cell r="A261" t="str">
            <v>Productivity</v>
          </cell>
          <cell r="M261">
            <v>133.864</v>
          </cell>
          <cell r="N261">
            <v>133.864</v>
          </cell>
        </row>
        <row r="262">
          <cell r="A262" t="str">
            <v>SG&amp;A</v>
          </cell>
          <cell r="L262">
            <v>1761</v>
          </cell>
          <cell r="M262">
            <v>1899.39</v>
          </cell>
          <cell r="N262">
            <v>1858.0508710801391</v>
          </cell>
        </row>
        <row r="263">
          <cell r="A263" t="str">
            <v xml:space="preserve">   Marketing/Innovation</v>
          </cell>
          <cell r="M263">
            <v>100</v>
          </cell>
          <cell r="N263">
            <v>97.050871080139132</v>
          </cell>
        </row>
        <row r="264">
          <cell r="A264" t="str">
            <v xml:space="preserve">   Incentive Comp</v>
          </cell>
          <cell r="L264">
            <v>3103</v>
          </cell>
          <cell r="M264">
            <v>20</v>
          </cell>
          <cell r="N264">
            <v>0</v>
          </cell>
        </row>
        <row r="265">
          <cell r="A265" t="str">
            <v xml:space="preserve">   SG&amp;A / Other</v>
          </cell>
          <cell r="L265">
            <v>0.40199507708252363</v>
          </cell>
          <cell r="M265">
            <v>18.3900000000001</v>
          </cell>
          <cell r="N265">
            <v>0</v>
          </cell>
        </row>
        <row r="266">
          <cell r="A266" t="str">
            <v xml:space="preserve">   YoY Chg</v>
          </cell>
          <cell r="M266">
            <v>138.3900000000001</v>
          </cell>
          <cell r="N266">
            <v>97.050871080139132</v>
          </cell>
        </row>
        <row r="267">
          <cell r="A267" t="str">
            <v>SG&amp;A</v>
          </cell>
          <cell r="L267">
            <v>1761</v>
          </cell>
          <cell r="M267">
            <v>1899.39</v>
          </cell>
          <cell r="N267">
            <v>1858.0508710801391</v>
          </cell>
        </row>
        <row r="268">
          <cell r="A268" t="str">
            <v>Current Year EBIT</v>
          </cell>
          <cell r="L268">
            <v>1342</v>
          </cell>
          <cell r="M268">
            <v>1234.6400000000001</v>
          </cell>
          <cell r="N268">
            <v>1165</v>
          </cell>
        </row>
        <row r="269">
          <cell r="A269" t="str">
            <v xml:space="preserve">   Incentive Comp</v>
          </cell>
          <cell r="M269">
            <v>-7.999999999999996E-2</v>
          </cell>
          <cell r="N269">
            <v>-0.13189269746646792</v>
          </cell>
        </row>
        <row r="270">
          <cell r="A270" t="str">
            <v xml:space="preserve">   SG&amp;A / Other</v>
          </cell>
          <cell r="M270">
            <v>18.3900000000001</v>
          </cell>
          <cell r="N270">
            <v>0</v>
          </cell>
        </row>
        <row r="271">
          <cell r="A271" t="str">
            <v xml:space="preserve">   YoY Chg</v>
          </cell>
          <cell r="M271">
            <v>138.3900000000001</v>
          </cell>
          <cell r="N271">
            <v>97.050871080139132</v>
          </cell>
          <cell r="O271">
            <v>3328</v>
          </cell>
        </row>
        <row r="273">
          <cell r="A273" t="str">
            <v>Current Year EBIT</v>
          </cell>
          <cell r="L273">
            <v>1342</v>
          </cell>
          <cell r="M273">
            <v>1234.6400000000001</v>
          </cell>
          <cell r="N273">
            <v>1165</v>
          </cell>
        </row>
        <row r="274">
          <cell r="M274">
            <v>-7.999999999999996E-2</v>
          </cell>
          <cell r="N274">
            <v>-0.13189269746646792</v>
          </cell>
        </row>
        <row r="275">
          <cell r="L275">
            <v>3134.03</v>
          </cell>
          <cell r="M275">
            <v>3134.03</v>
          </cell>
        </row>
        <row r="276">
          <cell r="L276">
            <v>-1.2E-2</v>
          </cell>
          <cell r="M276">
            <v>-1.2E-2</v>
          </cell>
          <cell r="O276">
            <v>3328</v>
          </cell>
        </row>
        <row r="277">
          <cell r="L277">
            <v>-37.608360000000005</v>
          </cell>
          <cell r="M277">
            <v>-37.608360000000005</v>
          </cell>
        </row>
        <row r="278">
          <cell r="L278">
            <v>38.010355077082529</v>
          </cell>
          <cell r="M278">
            <v>37.999997630662023</v>
          </cell>
        </row>
        <row r="280">
          <cell r="A280" t="str">
            <v>Estimated Operating Profit Reduction</v>
          </cell>
          <cell r="J280">
            <v>1342</v>
          </cell>
          <cell r="L280">
            <v>-13.42</v>
          </cell>
          <cell r="M280">
            <v>-13.42</v>
          </cell>
        </row>
        <row r="281">
          <cell r="L281">
            <v>24.590355077082528</v>
          </cell>
          <cell r="M281">
            <v>24.579997630662021</v>
          </cell>
        </row>
        <row r="282">
          <cell r="L282">
            <v>-37.608360000000005</v>
          </cell>
          <cell r="M282">
            <v>-37.608360000000005</v>
          </cell>
        </row>
        <row r="283">
          <cell r="L283">
            <v>38.010355077082529</v>
          </cell>
          <cell r="M283">
            <v>37.999997630662023</v>
          </cell>
        </row>
        <row r="285">
          <cell r="A285" t="str">
            <v>EPS Progression</v>
          </cell>
          <cell r="J285">
            <v>1342</v>
          </cell>
          <cell r="L285">
            <v>-13.42</v>
          </cell>
          <cell r="M285">
            <v>-13.42</v>
          </cell>
        </row>
        <row r="286">
          <cell r="L286">
            <v>24.590355077082528</v>
          </cell>
          <cell r="M286">
            <v>24.579997630662021</v>
          </cell>
        </row>
        <row r="287">
          <cell r="A287" t="str">
            <v>Prior Year EPS</v>
          </cell>
          <cell r="J287">
            <v>2.0918635170603674</v>
          </cell>
          <cell r="K287">
            <v>2.2185474860335197</v>
          </cell>
          <cell r="L287">
            <v>2.4740744815446396</v>
          </cell>
          <cell r="M287">
            <v>2.5446043318383742</v>
          </cell>
          <cell r="N287">
            <v>2.3132228821506722</v>
          </cell>
          <cell r="O287">
            <v>2.4794952681388014</v>
          </cell>
          <cell r="P287">
            <v>2.5191587914238927</v>
          </cell>
          <cell r="Q287">
            <v>2.6415061450098243</v>
          </cell>
          <cell r="R287">
            <v>2.7942274017246178</v>
          </cell>
          <cell r="S287">
            <v>2.943734931066921</v>
          </cell>
          <cell r="T287">
            <v>3.0978287726903968</v>
          </cell>
          <cell r="U287">
            <v>3.2564266108485054</v>
          </cell>
        </row>
        <row r="288">
          <cell r="A288" t="str">
            <v>Net Sales</v>
          </cell>
          <cell r="J288">
            <v>-0.78256983240223454</v>
          </cell>
          <cell r="K288">
            <v>0.18028531264451253</v>
          </cell>
          <cell r="L288">
            <v>8.9628659533770402E-2</v>
          </cell>
          <cell r="M288">
            <v>-1.1722265663166105</v>
          </cell>
          <cell r="N288">
            <v>1.9418412796115343</v>
          </cell>
          <cell r="O288">
            <v>0.63127596028544219</v>
          </cell>
          <cell r="P288">
            <v>0.28860276821098574</v>
          </cell>
          <cell r="Q288">
            <v>0.39986365495028414</v>
          </cell>
          <cell r="R288">
            <v>0.40779164317082001</v>
          </cell>
          <cell r="S288">
            <v>0.41555725024794776</v>
          </cell>
          <cell r="T288">
            <v>0.42321671292794266</v>
          </cell>
          <cell r="U288">
            <v>0.43083296117944281</v>
          </cell>
        </row>
        <row r="289">
          <cell r="A289" t="str">
            <v>Input Cost Inflation</v>
          </cell>
          <cell r="J289">
            <v>-0.869754189944134</v>
          </cell>
          <cell r="K289">
            <v>0</v>
          </cell>
          <cell r="L289">
            <v>-0.18867875025574177</v>
          </cell>
          <cell r="M289">
            <v>-0.64653466720153652</v>
          </cell>
          <cell r="N289">
            <v>-0.31680575859386345</v>
          </cell>
          <cell r="O289">
            <v>-0.45856104100946377</v>
          </cell>
          <cell r="P289">
            <v>-0.51284587713704688</v>
          </cell>
          <cell r="Q289">
            <v>-0.52639752970330733</v>
          </cell>
          <cell r="R289">
            <v>-0.5427217201268959</v>
          </cell>
          <cell r="S289">
            <v>-0.55886366265306131</v>
          </cell>
          <cell r="T289">
            <v>-0.57479551319830824</v>
          </cell>
          <cell r="U289">
            <v>-0.5904931990977409</v>
          </cell>
        </row>
        <row r="290">
          <cell r="A290" t="str">
            <v>Productivity</v>
          </cell>
          <cell r="J290">
            <v>0.25847597765363123</v>
          </cell>
          <cell r="K290">
            <v>0.30825583389986855</v>
          </cell>
          <cell r="L290">
            <v>0.29826750382893974</v>
          </cell>
          <cell r="M290">
            <v>0.28845392844376239</v>
          </cell>
          <cell r="N290">
            <v>0.39127991074863427</v>
          </cell>
          <cell r="O290">
            <v>0.39757711441956223</v>
          </cell>
          <cell r="P290">
            <v>0.40395732939103735</v>
          </cell>
          <cell r="Q290">
            <v>0.41687742725177479</v>
          </cell>
          <cell r="R290">
            <v>0.42967444664593507</v>
          </cell>
          <cell r="S290">
            <v>0.44232524031073067</v>
          </cell>
          <cell r="T290">
            <v>0.4548094774259237</v>
          </cell>
          <cell r="U290">
            <v>0.46710988098200085</v>
          </cell>
        </row>
        <row r="291">
          <cell r="A291" t="str">
            <v>Other GM</v>
          </cell>
          <cell r="J291">
            <v>1.1507195530726255</v>
          </cell>
          <cell r="K291">
            <v>-0.28822413249492274</v>
          </cell>
          <cell r="L291">
            <v>-0.2971836223648105</v>
          </cell>
          <cell r="M291">
            <v>0.89894262873106312</v>
          </cell>
          <cell r="N291">
            <v>-1.546380168968053</v>
          </cell>
          <cell r="O291">
            <v>-0.38806251514071555</v>
          </cell>
          <cell r="P291">
            <v>-3.6174387365124495E-2</v>
          </cell>
          <cell r="Q291">
            <v>-0.10354065101774156</v>
          </cell>
          <cell r="R291">
            <v>-0.10288281834489359</v>
          </cell>
          <cell r="S291">
            <v>-0.1021330831343247</v>
          </cell>
          <cell r="T291">
            <v>-0.10133683548207506</v>
          </cell>
          <cell r="U291">
            <v>-0.10054219030908777</v>
          </cell>
        </row>
        <row r="292">
          <cell r="A292" t="str">
            <v>Prior Year EPS</v>
          </cell>
          <cell r="J292">
            <v>2.0918635170603674</v>
          </cell>
          <cell r="K292">
            <v>2.2185474860335197</v>
          </cell>
          <cell r="L292">
            <v>2.4740744815446396</v>
          </cell>
          <cell r="M292">
            <v>2.5446043318383742</v>
          </cell>
          <cell r="N292">
            <v>2.3132228821506722</v>
          </cell>
          <cell r="O292">
            <v>2.4794952681388014</v>
          </cell>
          <cell r="P292">
            <v>2.528481012658228</v>
          </cell>
          <cell r="Q292">
            <v>2.4451263019418339</v>
          </cell>
          <cell r="R292">
            <v>2.5620337971674911</v>
          </cell>
          <cell r="S292">
            <v>2.6660589342880741</v>
          </cell>
          <cell r="T292">
            <v>2.8036763171730081</v>
          </cell>
          <cell r="U292">
            <v>2.9271612956710884</v>
          </cell>
        </row>
        <row r="293">
          <cell r="A293" t="str">
            <v>Marketing and Selling Expense</v>
          </cell>
          <cell r="J293">
            <v>0.16145251396648044</v>
          </cell>
          <cell r="K293">
            <v>3.8060232669397086E-2</v>
          </cell>
          <cell r="L293">
            <v>0.10630375898191373</v>
          </cell>
          <cell r="M293">
            <v>0.14221866429576524</v>
          </cell>
          <cell r="N293">
            <v>-1.3285117078300119E-2</v>
          </cell>
          <cell r="O293">
            <v>-0.12634386362449024</v>
          </cell>
          <cell r="P293">
            <v>-1.6689076135802897E-2</v>
          </cell>
          <cell r="Q293">
            <v>-3.7666281415898409E-2</v>
          </cell>
          <cell r="R293">
            <v>-4.926052308139562E-2</v>
          </cell>
          <cell r="S293">
            <v>-4.982613102213998E-2</v>
          </cell>
          <cell r="T293">
            <v>-5.0392285837740129E-2</v>
          </cell>
          <cell r="U293">
            <v>-5.0970473310228824E-2</v>
          </cell>
        </row>
        <row r="294">
          <cell r="A294" t="str">
            <v>Other SG&amp;A</v>
          </cell>
          <cell r="J294">
            <v>7.027932960893854E-2</v>
          </cell>
          <cell r="K294">
            <v>-6.6104614636321266E-2</v>
          </cell>
          <cell r="L294">
            <v>-4.5856523482394163E-2</v>
          </cell>
          <cell r="M294">
            <v>0.1012769276045601</v>
          </cell>
          <cell r="N294">
            <v>-0.28120164482401921</v>
          </cell>
          <cell r="O294">
            <v>4.5050504466448003E-2</v>
          </cell>
          <cell r="P294">
            <v>-1.3496942819957355E-2</v>
          </cell>
          <cell r="Q294">
            <v>-3.0461820796669797E-2</v>
          </cell>
          <cell r="R294">
            <v>-3.9838422324915558E-2</v>
          </cell>
          <cell r="S294">
            <v>-4.0295845969737412E-2</v>
          </cell>
          <cell r="T294">
            <v>-4.0753711888211253E-2</v>
          </cell>
          <cell r="U294">
            <v>-4.1221308967395891E-2</v>
          </cell>
        </row>
        <row r="295">
          <cell r="A295" t="str">
            <v>Administrative expenses</v>
          </cell>
          <cell r="J295">
            <v>3.2290502793296087E-2</v>
          </cell>
          <cell r="K295">
            <v>-2.8044381966924169E-2</v>
          </cell>
          <cell r="L295">
            <v>-1.4590712017125414E-2</v>
          </cell>
          <cell r="M295">
            <v>6.8954503900977085E-2</v>
          </cell>
          <cell r="N295">
            <v>-0.2147760594325186</v>
          </cell>
          <cell r="O295">
            <v>-2.4615440225126441E-2</v>
          </cell>
          <cell r="P295">
            <v>-1.1426130964346306E-2</v>
          </cell>
          <cell r="Q295">
            <v>-2.5788117981839189E-2</v>
          </cell>
          <cell r="R295">
            <v>-3.3726084267345365E-2</v>
          </cell>
          <cell r="S295">
            <v>-3.4113326218477784E-2</v>
          </cell>
          <cell r="T295">
            <v>-3.4500942586004849E-2</v>
          </cell>
          <cell r="U295">
            <v>-3.4896797079617244E-2</v>
          </cell>
        </row>
        <row r="296">
          <cell r="A296" t="str">
            <v>Research and development expenses</v>
          </cell>
          <cell r="J296">
            <v>1.8994413407821228E-3</v>
          </cell>
          <cell r="K296">
            <v>-1.8028531264451253E-2</v>
          </cell>
          <cell r="L296">
            <v>-1.2506324586107497E-2</v>
          </cell>
          <cell r="M296">
            <v>2.801276720977194E-2</v>
          </cell>
          <cell r="N296">
            <v>-2.6570234156600238E-2</v>
          </cell>
          <cell r="O296">
            <v>4.219385415666782E-2</v>
          </cell>
          <cell r="P296">
            <v>-1.8004812428667105E-3</v>
          </cell>
          <cell r="Q296">
            <v>-4.0635822274413154E-3</v>
          </cell>
          <cell r="R296">
            <v>-5.3144132784907604E-3</v>
          </cell>
          <cell r="S296">
            <v>-5.3754332223055782E-3</v>
          </cell>
          <cell r="T296">
            <v>-5.4365121650674407E-3</v>
          </cell>
          <cell r="U296">
            <v>-5.4988892367881792E-3</v>
          </cell>
        </row>
        <row r="297">
          <cell r="A297" t="str">
            <v>Other expenses / (income)</v>
          </cell>
          <cell r="J297">
            <v>3.6089385474860333E-2</v>
          </cell>
          <cell r="K297">
            <v>-2.0031701404945836E-2</v>
          </cell>
          <cell r="L297">
            <v>-1.8759486879161246E-2</v>
          </cell>
          <cell r="M297">
            <v>4.3096564938110678E-3</v>
          </cell>
          <cell r="N297">
            <v>-3.985535123490036E-2</v>
          </cell>
          <cell r="O297">
            <v>2.7472090534906624E-2</v>
          </cell>
          <cell r="P297">
            <v>-2.7033061274433937E-4</v>
          </cell>
          <cell r="Q297">
            <v>-6.1012058738929131E-4</v>
          </cell>
          <cell r="R297">
            <v>-7.9792477907943127E-4</v>
          </cell>
          <cell r="S297">
            <v>-8.0708652895405118E-4</v>
          </cell>
          <cell r="T297">
            <v>-8.1625713713895799E-4</v>
          </cell>
          <cell r="U297">
            <v>-8.2562265099046686E-4</v>
          </cell>
        </row>
        <row r="298">
          <cell r="A298" t="str">
            <v>Marketing and Selling Expense</v>
          </cell>
          <cell r="J298">
            <v>0.16145251396648044</v>
          </cell>
          <cell r="K298">
            <v>3.8060232669397086E-2</v>
          </cell>
          <cell r="L298">
            <v>0.10630375898191373</v>
          </cell>
          <cell r="M298">
            <v>0.14221866429576524</v>
          </cell>
          <cell r="N298">
            <v>-1.3285117078300119E-2</v>
          </cell>
          <cell r="O298">
            <v>2.5937919078925856E-2</v>
          </cell>
          <cell r="P298">
            <v>-3.3734062580764307E-2</v>
          </cell>
          <cell r="Q298">
            <v>-1.983368357347727E-2</v>
          </cell>
          <cell r="R298">
            <v>-4.598880185179198E-2</v>
          </cell>
          <cell r="S298">
            <v>-4.7881867588036427E-2</v>
          </cell>
          <cell r="T298">
            <v>-4.9763605810610678E-2</v>
          </cell>
          <cell r="U298">
            <v>-5.167289985241795E-2</v>
          </cell>
        </row>
        <row r="299">
          <cell r="A299" t="str">
            <v>Interest Expense</v>
          </cell>
          <cell r="J299">
            <v>0.10067039106145251</v>
          </cell>
          <cell r="K299">
            <v>0</v>
          </cell>
          <cell r="L299">
            <v>-1.0421937155089583E-2</v>
          </cell>
          <cell r="M299">
            <v>1.0774141234527669E-2</v>
          </cell>
          <cell r="N299">
            <v>-4.2069537414617046E-2</v>
          </cell>
          <cell r="O299">
            <v>1.9342505844144809E-2</v>
          </cell>
          <cell r="P299">
            <v>6.329549362320136E-4</v>
          </cell>
          <cell r="Q299">
            <v>-1.6763075812995061E-3</v>
          </cell>
          <cell r="R299">
            <v>1.1626063484094564E-2</v>
          </cell>
          <cell r="S299">
            <v>1.309322286749112E-2</v>
          </cell>
          <cell r="T299">
            <v>1.4667812749949874E-2</v>
          </cell>
          <cell r="U299">
            <v>1.6204235161532965E-2</v>
          </cell>
        </row>
        <row r="300">
          <cell r="A300" t="str">
            <v>Tax Rate</v>
          </cell>
          <cell r="J300">
            <v>-0.11022002501756711</v>
          </cell>
          <cell r="K300">
            <v>2.8101478536191049E-2</v>
          </cell>
          <cell r="L300">
            <v>-5.4001973323143382E-3</v>
          </cell>
          <cell r="M300">
            <v>1.2986859824684061E-2</v>
          </cell>
          <cell r="N300">
            <v>4.8842631391970315E-2</v>
          </cell>
          <cell r="O300">
            <v>-6.7625953039720077E-2</v>
          </cell>
          <cell r="P300">
            <v>-1.0490382428394174E-2</v>
          </cell>
          <cell r="Q300">
            <v>0</v>
          </cell>
          <cell r="R300">
            <v>0</v>
          </cell>
          <cell r="S300">
            <v>0</v>
          </cell>
          <cell r="T300">
            <v>0</v>
          </cell>
          <cell r="U300">
            <v>0</v>
          </cell>
        </row>
        <row r="301">
          <cell r="A301" t="str">
            <v>Shares Outstanding</v>
          </cell>
          <cell r="J301">
            <v>0.13392806346134112</v>
          </cell>
          <cell r="K301">
            <v>0.10366233861220575</v>
          </cell>
          <cell r="L301">
            <v>0.10386140129952537</v>
          </cell>
          <cell r="M301">
            <v>6.3982760570124864E-2</v>
          </cell>
          <cell r="N301">
            <v>2.2477450070654825E-2</v>
          </cell>
          <cell r="O301">
            <v>0</v>
          </cell>
          <cell r="P301">
            <v>1.8237986303712983E-2</v>
          </cell>
          <cell r="Q301">
            <v>3.7283897738963123E-2</v>
          </cell>
          <cell r="R301">
            <v>3.6538693084656071E-2</v>
          </cell>
          <cell r="S301">
            <v>3.5614810953229714E-2</v>
          </cell>
          <cell r="T301">
            <v>3.4511325669791759E-2</v>
          </cell>
          <cell r="U301">
            <v>3.3227289141689376E-2</v>
          </cell>
        </row>
        <row r="302">
          <cell r="A302" t="str">
            <v>Other</v>
          </cell>
          <cell r="J302">
            <v>1.3702187512618202E-2</v>
          </cell>
          <cell r="K302">
            <v>-4.8509453719811635E-2</v>
          </cell>
          <cell r="L302">
            <v>2.0009557239935472E-2</v>
          </cell>
          <cell r="M302">
            <v>6.8743873125957311E-2</v>
          </cell>
          <cell r="N302">
            <v>-3.8426658955811543E-2</v>
          </cell>
          <cell r="O302">
            <v>-1.2989188916116667E-2</v>
          </cell>
          <cell r="P302">
            <v>6.1298063028969452E-4</v>
          </cell>
          <cell r="Q302">
            <v>-1.5611327113123075E-3</v>
          </cell>
          <cell r="R302">
            <v>-1.4198331651020801E-3</v>
          </cell>
          <cell r="S302">
            <v>-1.3779599766601258E-3</v>
          </cell>
          <cell r="T302">
            <v>-1.3291442091647454E-3</v>
          </cell>
          <cell r="U302">
            <v>-1.2722228366599531E-3</v>
          </cell>
        </row>
        <row r="303">
          <cell r="M303">
            <v>0.14571349352076624</v>
          </cell>
        </row>
        <row r="304">
          <cell r="A304" t="str">
            <v>Current Year EPS</v>
          </cell>
          <cell r="J304">
            <v>2.2185474860335197</v>
          </cell>
          <cell r="K304">
            <v>2.4740744815446396</v>
          </cell>
          <cell r="L304">
            <v>2.5446043318383742</v>
          </cell>
          <cell r="M304">
            <v>2.3132228821506722</v>
          </cell>
          <cell r="N304">
            <v>2.4794952681388014</v>
          </cell>
          <cell r="O304">
            <v>2.5191587914238927</v>
          </cell>
          <cell r="P304">
            <v>2.6415061450098243</v>
          </cell>
          <cell r="Q304">
            <v>2.7942274017246178</v>
          </cell>
          <cell r="R304">
            <v>2.943734931066921</v>
          </cell>
          <cell r="S304">
            <v>3.0978287726903968</v>
          </cell>
          <cell r="T304">
            <v>3.2564266108485054</v>
          </cell>
          <cell r="U304">
            <v>3.4193015827920581</v>
          </cell>
        </row>
        <row r="305">
          <cell r="A305" t="str">
            <v>Tax Rate</v>
          </cell>
          <cell r="J305">
            <v>-0.11022002501756711</v>
          </cell>
          <cell r="K305">
            <v>2.8101478536191049E-2</v>
          </cell>
          <cell r="L305">
            <v>-5.4001973323143382E-3</v>
          </cell>
          <cell r="M305">
            <v>1.2986859824684061E-2</v>
          </cell>
          <cell r="N305">
            <v>4.8842631391970315E-2</v>
          </cell>
          <cell r="O305">
            <v>-7.6415797030112032E-2</v>
          </cell>
          <cell r="P305">
            <v>7.7371532277208388E-3</v>
          </cell>
          <cell r="Q305">
            <v>0</v>
          </cell>
          <cell r="R305">
            <v>0</v>
          </cell>
          <cell r="S305">
            <v>0</v>
          </cell>
          <cell r="T305">
            <v>0</v>
          </cell>
          <cell r="U305">
            <v>0</v>
          </cell>
        </row>
        <row r="306">
          <cell r="A306" t="str">
            <v>Prior Year EPS</v>
          </cell>
          <cell r="J306">
            <v>0.13392806346134112</v>
          </cell>
          <cell r="K306">
            <v>0.10366233861220575</v>
          </cell>
          <cell r="L306">
            <v>0.10386140129952537</v>
          </cell>
          <cell r="M306">
            <v>2.5446043318383742</v>
          </cell>
          <cell r="N306">
            <v>2.2477450070654825E-2</v>
          </cell>
          <cell r="O306">
            <v>2.5446043318383742</v>
          </cell>
          <cell r="P306">
            <v>1.4488334453880203E-2</v>
          </cell>
          <cell r="Q306">
            <v>1.3959863455762278E-2</v>
          </cell>
          <cell r="R306">
            <v>2.6986709891138272E-2</v>
          </cell>
          <cell r="S306">
            <v>3.9903165319765233E-2</v>
          </cell>
          <cell r="T306">
            <v>3.6393464184319324E-2</v>
          </cell>
          <cell r="U306">
            <v>3.5200509864438345E-2</v>
          </cell>
        </row>
        <row r="307">
          <cell r="A307" t="str">
            <v>Net Sales</v>
          </cell>
          <cell r="J307">
            <v>1.3702187512618202E-2</v>
          </cell>
          <cell r="K307">
            <v>-4.8509453719811635E-2</v>
          </cell>
          <cell r="L307">
            <v>0</v>
          </cell>
          <cell r="M307">
            <v>0</v>
          </cell>
          <cell r="N307">
            <v>0.02</v>
          </cell>
          <cell r="O307">
            <v>0.33359716088328101</v>
          </cell>
          <cell r="P307">
            <v>-0.10868781768842783</v>
          </cell>
          <cell r="Q307">
            <v>-1.6052255758189915E-3</v>
          </cell>
          <cell r="R307">
            <v>-3.2020755858486183E-3</v>
          </cell>
          <cell r="S307">
            <v>-3.9244657272687888E-3</v>
          </cell>
          <cell r="T307">
            <v>-3.7089039435587168E-3</v>
          </cell>
          <cell r="U307">
            <v>-3.8126864375920277E-3</v>
          </cell>
        </row>
        <row r="308">
          <cell r="A308" t="str">
            <v>Input Cost Inflation</v>
          </cell>
          <cell r="L308">
            <v>0.08</v>
          </cell>
          <cell r="M308">
            <v>-0.79573497501727564</v>
          </cell>
          <cell r="N308">
            <v>0.06</v>
          </cell>
          <cell r="O308">
            <v>-0.59847823343848583</v>
          </cell>
        </row>
        <row r="309">
          <cell r="A309" t="str">
            <v>Productivity</v>
          </cell>
          <cell r="J309">
            <v>2.2185474860335197</v>
          </cell>
          <cell r="K309">
            <v>2.4740744815446396</v>
          </cell>
          <cell r="L309">
            <v>3.5000000000000003E-2</v>
          </cell>
          <cell r="M309">
            <v>0.34813405157005811</v>
          </cell>
          <cell r="N309">
            <v>3.5000000000000003E-2</v>
          </cell>
          <cell r="O309">
            <v>0.34911230283911676</v>
          </cell>
          <cell r="P309">
            <v>2.4451263019418339</v>
          </cell>
          <cell r="Q309">
            <v>2.5620337971674911</v>
          </cell>
          <cell r="R309">
            <v>2.6660589342880741</v>
          </cell>
          <cell r="S309">
            <v>2.8036763171730081</v>
          </cell>
          <cell r="T309">
            <v>2.9271612956710884</v>
          </cell>
          <cell r="U309">
            <v>3.0567842776145988</v>
          </cell>
        </row>
        <row r="310">
          <cell r="A310" t="str">
            <v>Other GM</v>
          </cell>
          <cell r="M310">
            <v>0.89894262873106312</v>
          </cell>
          <cell r="O310">
            <v>0.89894262873106312</v>
          </cell>
        </row>
        <row r="311">
          <cell r="A311" t="str">
            <v>Prior Year EPS</v>
          </cell>
          <cell r="M311">
            <v>2.5446043318383742</v>
          </cell>
          <cell r="O311">
            <v>2.5446043318383742</v>
          </cell>
        </row>
        <row r="312">
          <cell r="A312" t="str">
            <v>Net Sales</v>
          </cell>
          <cell r="L312">
            <v>0</v>
          </cell>
          <cell r="M312">
            <v>-0.17227664131200832</v>
          </cell>
          <cell r="N312">
            <v>0.02</v>
          </cell>
          <cell r="O312">
            <v>-4.1993533135290209E-2</v>
          </cell>
        </row>
        <row r="313">
          <cell r="A313" t="str">
            <v>Marketing and Selling Expense</v>
          </cell>
          <cell r="L313">
            <v>-60</v>
          </cell>
          <cell r="M313">
            <v>-0.12928969481433203</v>
          </cell>
          <cell r="N313">
            <v>-90</v>
          </cell>
          <cell r="O313">
            <v>-0.19447949526813882</v>
          </cell>
        </row>
        <row r="314">
          <cell r="A314" t="str">
            <v>Other SG&amp;A</v>
          </cell>
          <cell r="L314">
            <v>3.5000000000000003E-2</v>
          </cell>
          <cell r="M314">
            <v>0.1012769276045601</v>
          </cell>
          <cell r="N314">
            <v>3.5000000000000003E-2</v>
          </cell>
          <cell r="O314">
            <v>0.1012769276045601</v>
          </cell>
        </row>
        <row r="315">
          <cell r="A315" t="str">
            <v>Administrative expenses</v>
          </cell>
          <cell r="M315">
            <v>6.8954503900977085E-2</v>
          </cell>
          <cell r="O315">
            <v>6.8954503900977085E-2</v>
          </cell>
        </row>
        <row r="316">
          <cell r="A316" t="str">
            <v>Research and development expenses</v>
          </cell>
          <cell r="M316">
            <v>2.801276720977194E-2</v>
          </cell>
          <cell r="O316">
            <v>2.801276720977194E-2</v>
          </cell>
        </row>
        <row r="317">
          <cell r="A317" t="str">
            <v>Other expenses / (income)</v>
          </cell>
          <cell r="L317">
            <v>0</v>
          </cell>
          <cell r="M317">
            <v>4.3096564938110678E-3</v>
          </cell>
          <cell r="N317">
            <v>0.02</v>
          </cell>
          <cell r="O317">
            <v>4.3096564938110678E-3</v>
          </cell>
        </row>
        <row r="318">
          <cell r="A318" t="str">
            <v>Marketing and Selling Expense</v>
          </cell>
          <cell r="L318">
            <v>-60</v>
          </cell>
          <cell r="M318">
            <v>-0.12928969481433203</v>
          </cell>
          <cell r="N318">
            <v>-90</v>
          </cell>
          <cell r="O318">
            <v>-0.1945343930919439</v>
          </cell>
        </row>
        <row r="319">
          <cell r="A319" t="str">
            <v>Interest Expense</v>
          </cell>
          <cell r="M319">
            <v>1.0774141234527669E-2</v>
          </cell>
          <cell r="O319">
            <v>1.0774141234527669E-2</v>
          </cell>
        </row>
        <row r="320">
          <cell r="A320" t="str">
            <v>Tax Rate</v>
          </cell>
          <cell r="M320">
            <v>1.2986859824684061E-2</v>
          </cell>
          <cell r="O320">
            <v>1.2986859824684061E-2</v>
          </cell>
        </row>
        <row r="321">
          <cell r="A321" t="str">
            <v>Shares Outstanding</v>
          </cell>
          <cell r="M321">
            <v>6.3982760570124864E-2</v>
          </cell>
          <cell r="O321">
            <v>6.3982760570124864E-2</v>
          </cell>
        </row>
        <row r="322">
          <cell r="A322" t="str">
            <v>Other expenses / (income)</v>
          </cell>
          <cell r="M322">
            <v>4.3096564938110678E-3</v>
          </cell>
          <cell r="O322">
            <v>4.3096564938110678E-3</v>
          </cell>
        </row>
        <row r="323">
          <cell r="A323" t="str">
            <v>Current Year EPS</v>
          </cell>
          <cell r="M323">
            <v>2.4320586849459307</v>
          </cell>
          <cell r="O323">
            <v>2.4971519926688419</v>
          </cell>
        </row>
        <row r="324">
          <cell r="A324" t="str">
            <v>Interest Expense</v>
          </cell>
          <cell r="M324">
            <v>1.0774141234527669E-2</v>
          </cell>
          <cell r="O324">
            <v>1.0774141234527669E-2</v>
          </cell>
        </row>
        <row r="325">
          <cell r="A325" t="str">
            <v>Tax Rate</v>
          </cell>
          <cell r="M325">
            <v>1.2986859824684061E-2</v>
          </cell>
          <cell r="O325">
            <v>1.2986859824684061E-2</v>
          </cell>
        </row>
        <row r="326">
          <cell r="A326" t="str">
            <v>Shares Outstanding</v>
          </cell>
          <cell r="M326">
            <v>6.3982760570124864E-2</v>
          </cell>
          <cell r="O326">
            <v>6.3982760570124864E-2</v>
          </cell>
        </row>
        <row r="327">
          <cell r="A327" t="str">
            <v>United States</v>
          </cell>
          <cell r="J327">
            <v>5309</v>
          </cell>
          <cell r="K327">
            <v>5309</v>
          </cell>
          <cell r="L327">
            <v>5309</v>
          </cell>
        </row>
        <row r="328">
          <cell r="A328" t="str">
            <v>Europe</v>
          </cell>
          <cell r="J328">
            <v>596</v>
          </cell>
          <cell r="K328">
            <v>596</v>
          </cell>
          <cell r="L328">
            <v>596</v>
          </cell>
          <cell r="M328">
            <v>2.4320586849459307</v>
          </cell>
          <cell r="O328">
            <v>2.4970970948450368</v>
          </cell>
        </row>
        <row r="329">
          <cell r="A329" t="str">
            <v>Australia/Asia</v>
          </cell>
          <cell r="J329">
            <v>1138</v>
          </cell>
          <cell r="K329">
            <v>1138</v>
          </cell>
          <cell r="L329">
            <v>1138</v>
          </cell>
        </row>
        <row r="330">
          <cell r="A330" t="str">
            <v>Other countries</v>
          </cell>
          <cell r="J330">
            <v>676</v>
          </cell>
          <cell r="K330">
            <v>676</v>
          </cell>
          <cell r="L330">
            <v>676</v>
          </cell>
        </row>
        <row r="331">
          <cell r="A331" t="str">
            <v>Total</v>
          </cell>
          <cell r="J331">
            <v>7586</v>
          </cell>
          <cell r="K331">
            <v>7676</v>
          </cell>
          <cell r="L331">
            <v>7719</v>
          </cell>
        </row>
        <row r="332">
          <cell r="A332" t="str">
            <v>United States</v>
          </cell>
          <cell r="J332">
            <v>5309</v>
          </cell>
          <cell r="K332">
            <v>5309</v>
          </cell>
          <cell r="L332">
            <v>5309</v>
          </cell>
        </row>
        <row r="333">
          <cell r="A333" t="str">
            <v>United States</v>
          </cell>
          <cell r="J333">
            <v>0.69984181386765099</v>
          </cell>
          <cell r="K333">
            <v>0.69163626889004692</v>
          </cell>
          <cell r="L333">
            <v>0.6877833916310403</v>
          </cell>
        </row>
        <row r="334">
          <cell r="A334" t="str">
            <v>Europe</v>
          </cell>
          <cell r="J334">
            <v>7.8565779066701813E-2</v>
          </cell>
          <cell r="K334">
            <v>7.7644606565919747E-2</v>
          </cell>
          <cell r="L334">
            <v>7.7212074102863071E-2</v>
          </cell>
        </row>
        <row r="335">
          <cell r="A335" t="str">
            <v>Australia/Asia</v>
          </cell>
          <cell r="J335">
            <v>0.15001318217769574</v>
          </cell>
          <cell r="K335">
            <v>0.14825429911412194</v>
          </cell>
          <cell r="L335">
            <v>0.14742842337090298</v>
          </cell>
        </row>
        <row r="336">
          <cell r="A336" t="str">
            <v>Other countries</v>
          </cell>
          <cell r="J336">
            <v>8.9111521223306095E-2</v>
          </cell>
          <cell r="K336">
            <v>8.8066701406982806E-2</v>
          </cell>
          <cell r="L336">
            <v>8.7576110895193682E-2</v>
          </cell>
        </row>
        <row r="338">
          <cell r="A338" t="str">
            <v>United States</v>
          </cell>
          <cell r="J338">
            <v>0.69984181386765099</v>
          </cell>
          <cell r="K338">
            <v>0.69163626889004692</v>
          </cell>
          <cell r="L338">
            <v>0.6877833916310403</v>
          </cell>
        </row>
        <row r="339">
          <cell r="A339" t="str">
            <v>Europe</v>
          </cell>
          <cell r="J339">
            <v>7.8565779066701813E-2</v>
          </cell>
          <cell r="K339">
            <v>7.7644606565919747E-2</v>
          </cell>
          <cell r="L339">
            <v>7.7212074102863071E-2</v>
          </cell>
        </row>
        <row r="340">
          <cell r="A340" t="str">
            <v>CPB Total Sales</v>
          </cell>
          <cell r="J340">
            <v>0.15001318217769574</v>
          </cell>
          <cell r="K340">
            <v>0.14825429911412194</v>
          </cell>
          <cell r="L340">
            <v>0.14742842337090298</v>
          </cell>
          <cell r="M340">
            <v>7175</v>
          </cell>
          <cell r="N340">
            <v>8052</v>
          </cell>
          <cell r="BC340">
            <v>2015</v>
          </cell>
          <cell r="BD340">
            <v>1943</v>
          </cell>
          <cell r="BE340">
            <v>1698</v>
          </cell>
          <cell r="BF340">
            <v>1519</v>
          </cell>
          <cell r="BG340">
            <v>2205</v>
          </cell>
          <cell r="BH340">
            <v>2162</v>
          </cell>
          <cell r="BI340">
            <v>1962</v>
          </cell>
          <cell r="BJ340">
            <v>1723</v>
          </cell>
        </row>
        <row r="341">
          <cell r="A341" t="str">
            <v>Bolthouse Sales</v>
          </cell>
          <cell r="J341">
            <v>8.9111521223306095E-2</v>
          </cell>
          <cell r="K341">
            <v>8.8066701406982806E-2</v>
          </cell>
          <cell r="L341">
            <v>8.7576110895193682E-2</v>
          </cell>
          <cell r="M341">
            <v>0</v>
          </cell>
          <cell r="N341">
            <v>768.90610000000004</v>
          </cell>
          <cell r="BC341">
            <v>0</v>
          </cell>
          <cell r="BD341">
            <v>0</v>
          </cell>
          <cell r="BE341">
            <v>0</v>
          </cell>
          <cell r="BF341">
            <v>0</v>
          </cell>
          <cell r="BG341">
            <v>170.1</v>
          </cell>
          <cell r="BH341">
            <v>194.971</v>
          </cell>
          <cell r="BI341">
            <v>205</v>
          </cell>
          <cell r="BJ341">
            <v>198.83510000000001</v>
          </cell>
        </row>
        <row r="342">
          <cell r="A342" t="str">
            <v>CPB Base Sales</v>
          </cell>
          <cell r="M342">
            <v>7175</v>
          </cell>
          <cell r="N342">
            <v>7283.0938999999998</v>
          </cell>
          <cell r="BC342">
            <v>2015</v>
          </cell>
          <cell r="BD342">
            <v>1943</v>
          </cell>
          <cell r="BE342">
            <v>1698</v>
          </cell>
          <cell r="BF342">
            <v>1519</v>
          </cell>
          <cell r="BG342">
            <v>2034.9</v>
          </cell>
          <cell r="BH342">
            <v>1967.029</v>
          </cell>
          <cell r="BI342">
            <v>1757</v>
          </cell>
          <cell r="BJ342">
            <v>1524.1649</v>
          </cell>
        </row>
        <row r="344">
          <cell r="A344" t="str">
            <v>CPB Total Gross Profit</v>
          </cell>
          <cell r="M344">
            <v>2810</v>
          </cell>
          <cell r="N344">
            <v>3003</v>
          </cell>
          <cell r="BC344">
            <v>802</v>
          </cell>
          <cell r="BD344">
            <v>750</v>
          </cell>
          <cell r="BE344">
            <v>665</v>
          </cell>
          <cell r="BF344">
            <v>593</v>
          </cell>
          <cell r="BG344">
            <v>842</v>
          </cell>
          <cell r="BH344">
            <v>802</v>
          </cell>
          <cell r="BI344">
            <v>726</v>
          </cell>
          <cell r="BJ344">
            <v>633</v>
          </cell>
        </row>
        <row r="345">
          <cell r="A345" t="str">
            <v>Bolthouse Gross Profit</v>
          </cell>
          <cell r="M345">
            <v>0</v>
          </cell>
          <cell r="N345">
            <v>150.66636111498292</v>
          </cell>
          <cell r="O345">
            <v>0.19594897363277897</v>
          </cell>
          <cell r="P345">
            <v>0.23011363636363635</v>
          </cell>
          <cell r="BC345">
            <v>0</v>
          </cell>
          <cell r="BD345">
            <v>0</v>
          </cell>
          <cell r="BE345">
            <v>0</v>
          </cell>
          <cell r="BF345">
            <v>0</v>
          </cell>
          <cell r="BG345">
            <v>33.330920414935704</v>
          </cell>
          <cell r="BH345">
            <v>38.204367338156551</v>
          </cell>
          <cell r="BI345">
            <v>40.169539594719687</v>
          </cell>
          <cell r="BJ345">
            <v>38.96153376717097</v>
          </cell>
        </row>
        <row r="346">
          <cell r="A346" t="str">
            <v>CPB Base Gross Profit</v>
          </cell>
          <cell r="M346">
            <v>2810</v>
          </cell>
          <cell r="N346">
            <v>2852.3336388850171</v>
          </cell>
          <cell r="BC346">
            <v>802</v>
          </cell>
          <cell r="BD346">
            <v>750</v>
          </cell>
          <cell r="BE346">
            <v>665</v>
          </cell>
          <cell r="BF346">
            <v>593</v>
          </cell>
          <cell r="BG346">
            <v>808.66907958506431</v>
          </cell>
          <cell r="BH346">
            <v>763.79563266184346</v>
          </cell>
          <cell r="BI346">
            <v>685.83046040528029</v>
          </cell>
          <cell r="BJ346">
            <v>594.03846623282902</v>
          </cell>
        </row>
        <row r="347">
          <cell r="A347" t="str">
            <v>CPB Base Sales</v>
          </cell>
          <cell r="M347">
            <v>7175</v>
          </cell>
          <cell r="N347">
            <v>7283.0938999999998</v>
          </cell>
          <cell r="BC347">
            <v>2015</v>
          </cell>
          <cell r="BD347">
            <v>1943</v>
          </cell>
          <cell r="BE347">
            <v>1698</v>
          </cell>
          <cell r="BF347">
            <v>1519</v>
          </cell>
          <cell r="BG347">
            <v>2034.9</v>
          </cell>
          <cell r="BH347">
            <v>1967.029</v>
          </cell>
          <cell r="BI347">
            <v>1757</v>
          </cell>
          <cell r="BJ347">
            <v>1524.1649</v>
          </cell>
        </row>
        <row r="348">
          <cell r="A348" t="str">
            <v>CPB Total Operating Profit</v>
          </cell>
          <cell r="M348">
            <v>1165</v>
          </cell>
          <cell r="N348">
            <v>1232</v>
          </cell>
          <cell r="AX348">
            <v>326</v>
          </cell>
          <cell r="AY348">
            <v>444</v>
          </cell>
          <cell r="AZ348">
            <v>359</v>
          </cell>
          <cell r="BA348">
            <v>307</v>
          </cell>
          <cell r="BB348">
            <v>232</v>
          </cell>
          <cell r="BC348">
            <v>395</v>
          </cell>
          <cell r="BD348">
            <v>306</v>
          </cell>
          <cell r="BE348">
            <v>256</v>
          </cell>
          <cell r="BF348">
            <v>208</v>
          </cell>
          <cell r="BG348">
            <v>421</v>
          </cell>
          <cell r="BH348">
            <v>325</v>
          </cell>
          <cell r="BI348">
            <v>278</v>
          </cell>
          <cell r="BJ348">
            <v>208</v>
          </cell>
        </row>
        <row r="349">
          <cell r="A349" t="str">
            <v>Bolthouse Operating Profit</v>
          </cell>
          <cell r="M349">
            <v>0</v>
          </cell>
          <cell r="N349">
            <v>61</v>
          </cell>
          <cell r="O349">
            <v>0.13506535696271788</v>
          </cell>
          <cell r="BC349">
            <v>0</v>
          </cell>
          <cell r="BD349">
            <v>0</v>
          </cell>
          <cell r="BE349">
            <v>0</v>
          </cell>
          <cell r="BF349">
            <v>0</v>
          </cell>
          <cell r="BG349">
            <v>14</v>
          </cell>
          <cell r="BH349">
            <v>15</v>
          </cell>
          <cell r="BI349">
            <v>17</v>
          </cell>
          <cell r="BJ349">
            <v>15</v>
          </cell>
        </row>
        <row r="350">
          <cell r="A350" t="str">
            <v>CPB Base Operating Profit</v>
          </cell>
          <cell r="M350">
            <v>1165</v>
          </cell>
          <cell r="N350">
            <v>1171</v>
          </cell>
          <cell r="O350">
            <v>-2.5000000000000001E-2</v>
          </cell>
          <cell r="P350">
            <v>0.23011363636363635</v>
          </cell>
          <cell r="AX350">
            <v>326</v>
          </cell>
          <cell r="AY350">
            <v>444</v>
          </cell>
          <cell r="AZ350">
            <v>359</v>
          </cell>
          <cell r="BA350">
            <v>307</v>
          </cell>
          <cell r="BB350">
            <v>232</v>
          </cell>
          <cell r="BC350">
            <v>395</v>
          </cell>
          <cell r="BD350">
            <v>306</v>
          </cell>
          <cell r="BE350">
            <v>256</v>
          </cell>
          <cell r="BF350">
            <v>208</v>
          </cell>
          <cell r="BG350">
            <v>407</v>
          </cell>
          <cell r="BH350">
            <v>310</v>
          </cell>
          <cell r="BI350">
            <v>261</v>
          </cell>
          <cell r="BJ350">
            <v>193</v>
          </cell>
        </row>
        <row r="351">
          <cell r="A351" t="str">
            <v>CPB Base Gross Profit</v>
          </cell>
          <cell r="M351">
            <v>2810</v>
          </cell>
          <cell r="N351">
            <v>2852.3336388850171</v>
          </cell>
          <cell r="O351">
            <v>-0.01</v>
          </cell>
          <cell r="BC351">
            <v>-0.11036036036036034</v>
          </cell>
          <cell r="BD351">
            <v>-0.14763231197771587</v>
          </cell>
          <cell r="BE351">
            <v>-0.16612377850162863</v>
          </cell>
          <cell r="BF351">
            <v>-0.10344827586206895</v>
          </cell>
          <cell r="BG351">
            <v>3.0379746835442978E-2</v>
          </cell>
          <cell r="BH351">
            <v>1.3071895424836555E-2</v>
          </cell>
          <cell r="BI351">
            <v>1.953125E-2</v>
          </cell>
          <cell r="BJ351">
            <v>-7.2115384615384581E-2</v>
          </cell>
        </row>
        <row r="352">
          <cell r="O352">
            <v>-6.577287066246057E-2</v>
          </cell>
          <cell r="BG352">
            <v>-6.1497699781387638E-4</v>
          </cell>
          <cell r="BH352">
            <v>2.2980921623050876E-3</v>
          </cell>
          <cell r="BI352">
            <v>-1.2954670404144997E-3</v>
          </cell>
          <cell r="BJ352">
            <v>-6.4156501943785083E-4</v>
          </cell>
        </row>
        <row r="353">
          <cell r="A353" t="str">
            <v>CPB Base GM</v>
          </cell>
          <cell r="M353">
            <v>0.3916376306620209</v>
          </cell>
          <cell r="N353">
            <v>0.39163763066202084</v>
          </cell>
          <cell r="AX353">
            <v>187</v>
          </cell>
          <cell r="AY353">
            <v>444</v>
          </cell>
          <cell r="AZ353">
            <v>359</v>
          </cell>
          <cell r="BA353">
            <v>307</v>
          </cell>
          <cell r="BB353">
            <v>232</v>
          </cell>
          <cell r="BC353">
            <v>0.39801488833746901</v>
          </cell>
          <cell r="BD353">
            <v>0.38600102933607822</v>
          </cell>
          <cell r="BE353">
            <v>0.39163722025912839</v>
          </cell>
          <cell r="BF353">
            <v>0.39038841342988806</v>
          </cell>
          <cell r="BG353">
            <v>0.39739991133965513</v>
          </cell>
          <cell r="BH353">
            <v>0.3882991214983833</v>
          </cell>
          <cell r="BI353">
            <v>0.39034175321871389</v>
          </cell>
          <cell r="BJ353">
            <v>0.38974684841045021</v>
          </cell>
        </row>
        <row r="354">
          <cell r="A354" t="str">
            <v>Bolthouse Implied GM</v>
          </cell>
          <cell r="M354">
            <v>0</v>
          </cell>
          <cell r="N354">
            <v>0.19594897363277897</v>
          </cell>
          <cell r="O354">
            <v>0.13506535696271788</v>
          </cell>
          <cell r="BC354">
            <v>0</v>
          </cell>
          <cell r="BD354">
            <v>0</v>
          </cell>
          <cell r="BE354">
            <v>0</v>
          </cell>
          <cell r="BF354">
            <v>0</v>
          </cell>
          <cell r="BG354">
            <v>0.19594897363277899</v>
          </cell>
          <cell r="BH354">
            <v>0.19594897363277897</v>
          </cell>
          <cell r="BI354">
            <v>0.19594897363277897</v>
          </cell>
          <cell r="BJ354">
            <v>0.19594897363277897</v>
          </cell>
        </row>
        <row r="355">
          <cell r="A355" t="str">
            <v>CPB Total GM</v>
          </cell>
          <cell r="L355">
            <v>0.40199507708252363</v>
          </cell>
          <cell r="M355">
            <v>0.3916376306620209</v>
          </cell>
          <cell r="N355">
            <v>0.37295081967213117</v>
          </cell>
          <cell r="O355">
            <v>-2.5000000000000001E-2</v>
          </cell>
          <cell r="AX355">
            <v>187</v>
          </cell>
          <cell r="AY355">
            <v>444</v>
          </cell>
          <cell r="AZ355">
            <v>359</v>
          </cell>
          <cell r="BA355">
            <v>307</v>
          </cell>
          <cell r="BB355">
            <v>232</v>
          </cell>
          <cell r="BC355">
            <v>0.39801488833746901</v>
          </cell>
          <cell r="BD355">
            <v>0.38600102933607822</v>
          </cell>
          <cell r="BE355">
            <v>0.39163722025912839</v>
          </cell>
          <cell r="BF355">
            <v>0.39038841342988806</v>
          </cell>
          <cell r="BG355">
            <v>0.38185941043083899</v>
          </cell>
          <cell r="BH355">
            <v>0.37095282146160963</v>
          </cell>
          <cell r="BI355">
            <v>0.37003058103975534</v>
          </cell>
          <cell r="BJ355">
            <v>0.367382472431805</v>
          </cell>
        </row>
        <row r="356">
          <cell r="O356">
            <v>-0.01</v>
          </cell>
          <cell r="BC356">
            <v>-0.11036036036036034</v>
          </cell>
          <cell r="BD356">
            <v>-0.14763231197771587</v>
          </cell>
          <cell r="BE356">
            <v>-0.16612377850162863</v>
          </cell>
          <cell r="BF356">
            <v>-0.10344827586206895</v>
          </cell>
          <cell r="BG356">
            <v>3.0379746835442978E-2</v>
          </cell>
          <cell r="BH356">
            <v>1.3071895424836555E-2</v>
          </cell>
          <cell r="BI356">
            <v>1.953125E-2</v>
          </cell>
          <cell r="BJ356">
            <v>-7.2115384615384581E-2</v>
          </cell>
        </row>
        <row r="357">
          <cell r="A357" t="str">
            <v>CPB Base OM</v>
          </cell>
          <cell r="M357">
            <v>0.16236933797909409</v>
          </cell>
          <cell r="N357">
            <v>0.16078331765020906</v>
          </cell>
          <cell r="O357">
            <v>-6.577287066246057E-2</v>
          </cell>
          <cell r="BC357">
            <v>0.19602977667493796</v>
          </cell>
          <cell r="BD357">
            <v>0.15748841996911991</v>
          </cell>
          <cell r="BE357">
            <v>0.15076560659599528</v>
          </cell>
          <cell r="BF357">
            <v>0.13693219223173139</v>
          </cell>
          <cell r="BG357">
            <v>0.20000982849280061</v>
          </cell>
          <cell r="BH357">
            <v>0.15759808320060356</v>
          </cell>
          <cell r="BI357">
            <v>0.14854866249288559</v>
          </cell>
          <cell r="BJ357">
            <v>0.12662671867066352</v>
          </cell>
        </row>
        <row r="358">
          <cell r="A358" t="str">
            <v>CPB Base OM (ex Corporate)</v>
          </cell>
          <cell r="M358">
            <v>0.18090592334494773</v>
          </cell>
          <cell r="N358">
            <v>0.18261469895369603</v>
          </cell>
          <cell r="O358">
            <v>704</v>
          </cell>
          <cell r="BC358">
            <v>0.21339950372208435</v>
          </cell>
          <cell r="BD358">
            <v>0.17601646937725168</v>
          </cell>
          <cell r="BE358">
            <v>0.16843345111896349</v>
          </cell>
          <cell r="BF358">
            <v>0.15799868334430547</v>
          </cell>
          <cell r="BG358">
            <v>0.21720969089390141</v>
          </cell>
          <cell r="BH358">
            <v>0.17793331974261692</v>
          </cell>
          <cell r="BI358">
            <v>0.17074558907228229</v>
          </cell>
          <cell r="BJ358">
            <v>0.15615108312755399</v>
          </cell>
        </row>
        <row r="359">
          <cell r="A359" t="str">
            <v>Bolthouse Implied OM</v>
          </cell>
          <cell r="N359">
            <v>7.9333484283711619E-2</v>
          </cell>
          <cell r="O359">
            <v>615</v>
          </cell>
          <cell r="BG359">
            <v>8.2304526748971193E-2</v>
          </cell>
          <cell r="BH359">
            <v>7.6934518466848914E-2</v>
          </cell>
          <cell r="BI359">
            <v>8.2926829268292687E-2</v>
          </cell>
          <cell r="BJ359">
            <v>7.5439396766466285E-2</v>
          </cell>
        </row>
        <row r="360">
          <cell r="A360" t="str">
            <v>CPB Total OM</v>
          </cell>
          <cell r="L360">
            <v>0.40199507708252363</v>
          </cell>
          <cell r="M360">
            <v>0.16236933797909409</v>
          </cell>
          <cell r="N360">
            <v>0.15300546448087432</v>
          </cell>
          <cell r="O360">
            <v>89</v>
          </cell>
          <cell r="BC360">
            <v>0.19602977667493796</v>
          </cell>
          <cell r="BD360">
            <v>0.15748841996911991</v>
          </cell>
          <cell r="BE360">
            <v>0.15076560659599528</v>
          </cell>
          <cell r="BF360">
            <v>0.13693219223173139</v>
          </cell>
          <cell r="BG360">
            <v>0.19092970521541949</v>
          </cell>
          <cell r="BH360">
            <v>0.15032377428307123</v>
          </cell>
          <cell r="BI360">
            <v>0.14169215086646278</v>
          </cell>
          <cell r="BJ360">
            <v>0.12071967498549042</v>
          </cell>
        </row>
        <row r="361">
          <cell r="A361" t="str">
            <v>NA Foodservice OM ex Bolthouse</v>
          </cell>
          <cell r="M361">
            <v>0.13934426229508196</v>
          </cell>
          <cell r="N361">
            <v>9.9982930187009891E-2</v>
          </cell>
          <cell r="O361">
            <v>0.12642045454545456</v>
          </cell>
          <cell r="BC361">
            <v>0.16666666666666666</v>
          </cell>
          <cell r="BD361">
            <v>0.16184971098265896</v>
          </cell>
          <cell r="BE361">
            <v>0.12987012987012986</v>
          </cell>
          <cell r="BF361">
            <v>8.2644628099173556E-2</v>
          </cell>
          <cell r="BG361">
            <v>0.13080444735120994</v>
          </cell>
          <cell r="BH361">
            <v>9.5523756758305794E-2</v>
          </cell>
          <cell r="BI361">
            <v>7.1942446043165464E-2</v>
          </cell>
          <cell r="BJ361">
            <v>9.8848513664324303E-2</v>
          </cell>
        </row>
        <row r="362">
          <cell r="A362" t="str">
            <v>CPB Base OM</v>
          </cell>
          <cell r="M362">
            <v>0.16236933797909409</v>
          </cell>
          <cell r="N362">
            <v>0.16078331765020906</v>
          </cell>
          <cell r="BC362">
            <v>0.19602977667493796</v>
          </cell>
          <cell r="BD362">
            <v>0.15748841996911991</v>
          </cell>
          <cell r="BE362">
            <v>0.15076560659599528</v>
          </cell>
          <cell r="BF362">
            <v>0.13693219223173139</v>
          </cell>
          <cell r="BG362">
            <v>0.20000982849280061</v>
          </cell>
          <cell r="BH362">
            <v>0.15759808320060356</v>
          </cell>
          <cell r="BI362">
            <v>0.14854866249288559</v>
          </cell>
          <cell r="BJ362">
            <v>0.12662671867066352</v>
          </cell>
        </row>
        <row r="363">
          <cell r="A363" t="str">
            <v>CPB Base OM (ex Corporate)</v>
          </cell>
          <cell r="M363">
            <v>0.18090592334494773</v>
          </cell>
          <cell r="N363">
            <v>0.18261469895369603</v>
          </cell>
          <cell r="O363">
            <v>704</v>
          </cell>
          <cell r="BC363">
            <v>0.21339950372208435</v>
          </cell>
          <cell r="BD363">
            <v>0.17601646937725168</v>
          </cell>
          <cell r="BE363">
            <v>0.16843345111896349</v>
          </cell>
          <cell r="BF363">
            <v>0.15799868334430547</v>
          </cell>
          <cell r="BG363">
            <v>0.21720969089390141</v>
          </cell>
          <cell r="BH363">
            <v>0.17793331974261692</v>
          </cell>
          <cell r="BI363">
            <v>0.17074558907228229</v>
          </cell>
          <cell r="BJ363">
            <v>0.15615108312755399</v>
          </cell>
        </row>
        <row r="364">
          <cell r="A364" t="str">
            <v>Bolthouse Implied OM</v>
          </cell>
          <cell r="N364">
            <v>7.9333484283711619E-2</v>
          </cell>
          <cell r="O364">
            <v>615</v>
          </cell>
          <cell r="BF364" t="str">
            <v>1H13</v>
          </cell>
          <cell r="BG364" t="str">
            <v>2H13  (Low)</v>
          </cell>
          <cell r="BH364" t="str">
            <v>2H13 (High)</v>
          </cell>
          <cell r="BI364" t="str">
            <v>2013 (Low)</v>
          </cell>
          <cell r="BJ364" t="str">
            <v>2013 (High)</v>
          </cell>
        </row>
        <row r="365">
          <cell r="A365" t="str">
            <v>CPB Total OM</v>
          </cell>
          <cell r="M365">
            <v>0.16236933797909409</v>
          </cell>
          <cell r="N365">
            <v>0.15300546448087432</v>
          </cell>
          <cell r="O365">
            <v>89</v>
          </cell>
          <cell r="BC365" t="str">
            <v>Total Operating Profit Growth</v>
          </cell>
          <cell r="BD365">
            <v>0.15748841996911991</v>
          </cell>
          <cell r="BE365">
            <v>0.15076560659599528</v>
          </cell>
          <cell r="BF365">
            <v>0.13693219223173139</v>
          </cell>
          <cell r="BG365">
            <v>3.4482758620693055E-3</v>
          </cell>
          <cell r="BH365">
            <v>5.3663793103448487E-2</v>
          </cell>
          <cell r="BI365">
            <v>0.04</v>
          </cell>
          <cell r="BJ365">
            <v>0.06</v>
          </cell>
        </row>
        <row r="366">
          <cell r="A366" t="str">
            <v>NA Foodservice OM ex Bolthouse</v>
          </cell>
          <cell r="M366">
            <v>0.13934426229508196</v>
          </cell>
          <cell r="N366">
            <v>9.9982930187009891E-2</v>
          </cell>
          <cell r="O366">
            <v>0.12642045454545456</v>
          </cell>
          <cell r="BC366">
            <v>0.16666666666666666</v>
          </cell>
          <cell r="BD366">
            <v>0.16184971098265896</v>
          </cell>
          <cell r="BE366">
            <v>0.12987012987012986</v>
          </cell>
          <cell r="BF366">
            <v>746</v>
          </cell>
          <cell r="BG366">
            <v>465.60000000000014</v>
          </cell>
          <cell r="BH366">
            <v>488.90000000000009</v>
          </cell>
          <cell r="BI366">
            <v>1211.6000000000001</v>
          </cell>
          <cell r="BJ366">
            <v>1234.9000000000001</v>
          </cell>
        </row>
        <row r="367">
          <cell r="BC367" t="str">
            <v>Base Operating Profit Growth</v>
          </cell>
          <cell r="BF367">
            <v>2.2824536376604865E-2</v>
          </cell>
          <cell r="BG367">
            <v>-6.5517241379310032E-2</v>
          </cell>
          <cell r="BH367">
            <v>-1.530172413793085E-2</v>
          </cell>
        </row>
        <row r="368">
          <cell r="BF368">
            <v>717</v>
          </cell>
          <cell r="BG368">
            <v>433.60000000000014</v>
          </cell>
          <cell r="BH368">
            <v>456.90000000000009</v>
          </cell>
        </row>
        <row r="369">
          <cell r="A369" t="str">
            <v>DO NOT ERASE</v>
          </cell>
        </row>
        <row r="370">
          <cell r="A370" t="str">
            <v>Statutory tax rate</v>
          </cell>
          <cell r="B370">
            <v>0.35599999999999998</v>
          </cell>
          <cell r="C370">
            <v>0.36499999999999999</v>
          </cell>
          <cell r="D370">
            <v>0.34099999999999997</v>
          </cell>
          <cell r="E370">
            <v>0.36</v>
          </cell>
          <cell r="F370">
            <v>0.36</v>
          </cell>
          <cell r="G370">
            <v>0.36</v>
          </cell>
          <cell r="H370">
            <v>0.36</v>
          </cell>
          <cell r="I370">
            <v>0.36</v>
          </cell>
          <cell r="J370">
            <v>0.36</v>
          </cell>
          <cell r="K370">
            <v>0.36</v>
          </cell>
          <cell r="L370">
            <v>0.36</v>
          </cell>
          <cell r="M370">
            <v>0.36</v>
          </cell>
          <cell r="N370">
            <v>0.36</v>
          </cell>
          <cell r="O370">
            <v>0.36</v>
          </cell>
          <cell r="P370">
            <v>0.36</v>
          </cell>
          <cell r="Q370">
            <v>0.36</v>
          </cell>
          <cell r="R370">
            <v>0.36</v>
          </cell>
          <cell r="S370">
            <v>0.36</v>
          </cell>
          <cell r="T370">
            <v>0.36</v>
          </cell>
          <cell r="U370">
            <v>0.36</v>
          </cell>
          <cell r="BC370" t="str">
            <v>Bolthouse Operating Profit</v>
          </cell>
          <cell r="BF370">
            <v>29</v>
          </cell>
          <cell r="BG370">
            <v>32</v>
          </cell>
          <cell r="DX370" t="str">
            <v>mstag:statutoryTaxRate</v>
          </cell>
          <cell r="DY370">
            <v>0</v>
          </cell>
          <cell r="DZ370" t="str">
            <v>ms_eqr_gcim_Decimal:ms_eqr_gcim_decimal</v>
          </cell>
          <cell r="EA370" t="b">
            <v>0</v>
          </cell>
        </row>
        <row r="371">
          <cell r="A371" t="str">
            <v>North American revenue</v>
          </cell>
          <cell r="B371">
            <v>4905.3499999999995</v>
          </cell>
          <cell r="C371">
            <v>5213.05</v>
          </cell>
          <cell r="D371">
            <v>5676.3</v>
          </cell>
          <cell r="E371">
            <v>6042.65</v>
          </cell>
          <cell r="F371">
            <v>6415.8</v>
          </cell>
          <cell r="G371">
            <v>6528.8499999999995</v>
          </cell>
          <cell r="H371">
            <v>6690.3499999999995</v>
          </cell>
          <cell r="I371">
            <v>6798.3</v>
          </cell>
          <cell r="J371">
            <v>6448.0999999999995</v>
          </cell>
          <cell r="K371">
            <v>6524.5999999999995</v>
          </cell>
          <cell r="L371">
            <v>6561.15</v>
          </cell>
          <cell r="M371">
            <v>6098.75</v>
          </cell>
          <cell r="N371">
            <v>6844.2</v>
          </cell>
          <cell r="O371">
            <v>7027.8</v>
          </cell>
          <cell r="P371">
            <v>6964.6492499999995</v>
          </cell>
          <cell r="Q371">
            <v>7058.1906450000006</v>
          </cell>
          <cell r="R371">
            <v>7199.3326118375007</v>
          </cell>
          <cell r="S371">
            <v>7343.7028899194383</v>
          </cell>
          <cell r="T371">
            <v>7491.3825152348627</v>
          </cell>
          <cell r="U371">
            <v>7642.4546853066122</v>
          </cell>
          <cell r="DX371" t="str">
            <v>mstag:northAmericaRevenues</v>
          </cell>
          <cell r="DY371">
            <v>6</v>
          </cell>
          <cell r="DZ371" t="str">
            <v>ISO4217:USD</v>
          </cell>
          <cell r="EA371" t="b">
            <v>0</v>
          </cell>
        </row>
        <row r="372">
          <cell r="A372" t="str">
            <v>European revenue</v>
          </cell>
          <cell r="B372">
            <v>288.55</v>
          </cell>
          <cell r="C372">
            <v>306.65000000000003</v>
          </cell>
          <cell r="D372">
            <v>333.90000000000003</v>
          </cell>
          <cell r="E372">
            <v>355.45000000000005</v>
          </cell>
          <cell r="F372">
            <v>377.40000000000003</v>
          </cell>
          <cell r="G372">
            <v>384.05</v>
          </cell>
          <cell r="H372">
            <v>393.55</v>
          </cell>
          <cell r="I372">
            <v>399.90000000000003</v>
          </cell>
          <cell r="J372">
            <v>379.3</v>
          </cell>
          <cell r="K372">
            <v>383.8</v>
          </cell>
          <cell r="L372">
            <v>385.95000000000005</v>
          </cell>
          <cell r="M372">
            <v>358.75</v>
          </cell>
          <cell r="N372">
            <v>402.6</v>
          </cell>
          <cell r="O372">
            <v>413.40000000000003</v>
          </cell>
          <cell r="P372">
            <v>409.68525</v>
          </cell>
          <cell r="Q372">
            <v>415.1876850000001</v>
          </cell>
          <cell r="R372">
            <v>423.49015363750004</v>
          </cell>
          <cell r="S372">
            <v>431.98252293643759</v>
          </cell>
          <cell r="T372">
            <v>440.66955971969787</v>
          </cell>
          <cell r="U372">
            <v>449.5561579592125</v>
          </cell>
          <cell r="DX372" t="str">
            <v>mstag:europeRevenues</v>
          </cell>
          <cell r="DY372">
            <v>6</v>
          </cell>
          <cell r="DZ372" t="str">
            <v>ISO4217:USD</v>
          </cell>
          <cell r="EA372" t="b">
            <v>0</v>
          </cell>
        </row>
        <row r="374">
          <cell r="A374" t="str">
            <v>Volume and mix</v>
          </cell>
          <cell r="B374">
            <v>0.05</v>
          </cell>
          <cell r="C374">
            <v>0.02</v>
          </cell>
          <cell r="D374">
            <v>0.03</v>
          </cell>
          <cell r="E374">
            <v>0.02</v>
          </cell>
          <cell r="F374">
            <v>0.03</v>
          </cell>
          <cell r="G374">
            <v>0.03</v>
          </cell>
          <cell r="H374">
            <v>0.02</v>
          </cell>
          <cell r="I374">
            <v>0.02</v>
          </cell>
          <cell r="J374">
            <v>-0.02</v>
          </cell>
          <cell r="K374">
            <v>-0.01</v>
          </cell>
          <cell r="L374">
            <v>-0.01</v>
          </cell>
          <cell r="M374">
            <v>-0.02</v>
          </cell>
          <cell r="N374">
            <v>1.7042829268292686E-2</v>
          </cell>
          <cell r="O374">
            <v>-5.2533532041728725E-4</v>
          </cell>
          <cell r="P374">
            <v>7.1794871794871795E-3</v>
          </cell>
          <cell r="Q374">
            <v>6.9055848361638597E-3</v>
          </cell>
          <cell r="R374">
            <v>1.018681478955716E-2</v>
          </cell>
          <cell r="S374">
            <v>1.0212028106300107E-2</v>
          </cell>
          <cell r="T374">
            <v>1.0237279689398207E-2</v>
          </cell>
          <cell r="U374">
            <v>1.0262567597529337E-2</v>
          </cell>
          <cell r="DX374" t="str">
            <v>mstag:volumeGrowth</v>
          </cell>
          <cell r="DY374">
            <v>0</v>
          </cell>
          <cell r="DZ374" t="str">
            <v>ms_eqr_gcim_Decimal:ms_eqr_gcim_decimal</v>
          </cell>
          <cell r="EA374" t="b">
            <v>0</v>
          </cell>
        </row>
        <row r="375">
          <cell r="A375" t="str">
            <v>Pricing</v>
          </cell>
          <cell r="B375">
            <v>0</v>
          </cell>
          <cell r="C375">
            <v>0.01</v>
          </cell>
          <cell r="D375">
            <v>0.01</v>
          </cell>
          <cell r="E375">
            <v>0.02</v>
          </cell>
          <cell r="F375">
            <v>0.02</v>
          </cell>
          <cell r="G375">
            <v>0</v>
          </cell>
          <cell r="H375">
            <v>0.02</v>
          </cell>
          <cell r="I375">
            <v>0.02</v>
          </cell>
          <cell r="J375">
            <v>7.0000000000000007E-2</v>
          </cell>
          <cell r="K375">
            <v>0.01</v>
          </cell>
          <cell r="L375">
            <v>0.01</v>
          </cell>
          <cell r="M375">
            <v>0.03</v>
          </cell>
          <cell r="N375">
            <v>1.3745031358885017E-2</v>
          </cell>
          <cell r="O375">
            <v>1.0669398907103826E-2</v>
          </cell>
          <cell r="P375">
            <v>5.0344702467343978E-3</v>
          </cell>
          <cell r="Q375">
            <v>6.5252989947770876E-3</v>
          </cell>
          <cell r="R375">
            <v>9.8100900740830006E-3</v>
          </cell>
          <cell r="S375">
            <v>9.8412582003440299E-3</v>
          </cell>
          <cell r="T375">
            <v>9.8724153144863231E-3</v>
          </cell>
          <cell r="U375">
            <v>9.9035592508222164E-3</v>
          </cell>
          <cell r="DX375" t="str">
            <v>mstag:priceChange</v>
          </cell>
          <cell r="DY375">
            <v>0</v>
          </cell>
          <cell r="DZ375" t="str">
            <v>ms_eqr_gcim_Decimal:ms_eqr_gcim_decimal</v>
          </cell>
          <cell r="EA375" t="b">
            <v>0</v>
          </cell>
        </row>
        <row r="376">
          <cell r="A376" t="str">
            <v>Promotion</v>
          </cell>
          <cell r="B376">
            <v>0</v>
          </cell>
          <cell r="C376">
            <v>-0.01</v>
          </cell>
          <cell r="D376">
            <v>0</v>
          </cell>
          <cell r="E376">
            <v>-3.4700000000000009E-3</v>
          </cell>
          <cell r="F376">
            <v>-0.01</v>
          </cell>
          <cell r="G376">
            <v>0</v>
          </cell>
          <cell r="H376">
            <v>0</v>
          </cell>
          <cell r="I376">
            <v>-0.01</v>
          </cell>
          <cell r="J376">
            <v>-0.02</v>
          </cell>
          <cell r="K376">
            <v>-0.02</v>
          </cell>
          <cell r="L376">
            <v>-0.01</v>
          </cell>
          <cell r="M376">
            <v>-0.01</v>
          </cell>
          <cell r="N376">
            <v>-1.2001156794425087E-2</v>
          </cell>
          <cell r="O376">
            <v>-1.741182314952807E-2</v>
          </cell>
          <cell r="P376">
            <v>-6.401790033865506E-3</v>
          </cell>
          <cell r="Q376">
            <v>0</v>
          </cell>
          <cell r="R376">
            <v>0</v>
          </cell>
          <cell r="S376">
            <v>0</v>
          </cell>
          <cell r="T376">
            <v>0</v>
          </cell>
          <cell r="U376">
            <v>0</v>
          </cell>
        </row>
        <row r="377">
          <cell r="A377" t="str">
            <v>FX</v>
          </cell>
          <cell r="B377">
            <v>-0.03</v>
          </cell>
          <cell r="C377">
            <v>0</v>
          </cell>
          <cell r="D377">
            <v>0.03</v>
          </cell>
          <cell r="E377">
            <v>0.04</v>
          </cell>
          <cell r="F377">
            <v>0.02</v>
          </cell>
          <cell r="G377">
            <v>0</v>
          </cell>
          <cell r="H377">
            <v>0</v>
          </cell>
          <cell r="I377">
            <v>0.04</v>
          </cell>
          <cell r="J377">
            <v>-0.04</v>
          </cell>
          <cell r="K377">
            <v>0.03</v>
          </cell>
          <cell r="L377">
            <v>0.02</v>
          </cell>
          <cell r="M377">
            <v>0</v>
          </cell>
          <cell r="N377">
            <v>-3.2506037798575782E-3</v>
          </cell>
          <cell r="O377">
            <v>-1.4899403874813711E-2</v>
          </cell>
          <cell r="P377">
            <v>3.7856797290759564E-4</v>
          </cell>
          <cell r="Q377">
            <v>0</v>
          </cell>
          <cell r="R377">
            <v>0</v>
          </cell>
          <cell r="S377">
            <v>0</v>
          </cell>
          <cell r="T377">
            <v>0</v>
          </cell>
          <cell r="U377">
            <v>0</v>
          </cell>
          <cell r="DX377" t="str">
            <v>mstag:currencyEffect</v>
          </cell>
          <cell r="DY377">
            <v>6</v>
          </cell>
          <cell r="DZ377" t="str">
            <v>ISO4217:USD</v>
          </cell>
          <cell r="EA377" t="b">
            <v>0</v>
          </cell>
        </row>
        <row r="378">
          <cell r="A378" t="str">
            <v>Acquisitions, net</v>
          </cell>
          <cell r="B378">
            <v>0.01</v>
          </cell>
          <cell r="C378">
            <v>0.04</v>
          </cell>
          <cell r="D378">
            <v>2.1550238872666817E-2</v>
          </cell>
          <cell r="E378">
            <v>0</v>
          </cell>
          <cell r="F378">
            <v>0</v>
          </cell>
          <cell r="G378">
            <v>0</v>
          </cell>
          <cell r="H378">
            <v>0</v>
          </cell>
          <cell r="I378">
            <v>-0.01</v>
          </cell>
          <cell r="J378">
            <v>-0.02</v>
          </cell>
          <cell r="K378">
            <v>0</v>
          </cell>
          <cell r="L378">
            <v>0</v>
          </cell>
          <cell r="M378">
            <v>0</v>
          </cell>
          <cell r="N378">
            <v>0.10716461324041812</v>
          </cell>
          <cell r="O378" t="str">
            <v>Guidance Low</v>
          </cell>
          <cell r="P378" t="str">
            <v>Guidance High</v>
          </cell>
          <cell r="Q378">
            <v>0</v>
          </cell>
          <cell r="R378">
            <v>0</v>
          </cell>
          <cell r="S378">
            <v>0</v>
          </cell>
          <cell r="T378">
            <v>0</v>
          </cell>
          <cell r="U378">
            <v>0</v>
          </cell>
          <cell r="DX378" t="str">
            <v>mstag:acquisitionsAndDisposals</v>
          </cell>
          <cell r="DY378">
            <v>6</v>
          </cell>
          <cell r="DZ378" t="str">
            <v>ISO4217:USD</v>
          </cell>
          <cell r="EA378" t="b">
            <v>0</v>
          </cell>
        </row>
        <row r="379">
          <cell r="A379" t="str">
            <v>2013 Base Sales</v>
          </cell>
          <cell r="N379">
            <v>8052</v>
          </cell>
          <cell r="O379">
            <v>8454.6</v>
          </cell>
          <cell r="P379">
            <v>8535.1200000000008</v>
          </cell>
          <cell r="BC379">
            <v>8344.1379261466936</v>
          </cell>
        </row>
        <row r="380">
          <cell r="A380" t="str">
            <v>2013 Base EBIT</v>
          </cell>
          <cell r="B380">
            <v>0.05</v>
          </cell>
          <cell r="C380">
            <v>1.9999999999999997E-2</v>
          </cell>
          <cell r="D380">
            <v>0.04</v>
          </cell>
          <cell r="E380">
            <v>3.653E-2</v>
          </cell>
          <cell r="F380">
            <v>0.04</v>
          </cell>
          <cell r="G380">
            <v>0.03</v>
          </cell>
          <cell r="H380">
            <v>0.04</v>
          </cell>
          <cell r="I380">
            <v>0.03</v>
          </cell>
          <cell r="J380">
            <v>3.0000000000000002E-2</v>
          </cell>
          <cell r="K380">
            <v>-0.02</v>
          </cell>
          <cell r="L380">
            <v>-0.01</v>
          </cell>
          <cell r="M380">
            <v>0</v>
          </cell>
          <cell r="N380">
            <v>1232</v>
          </cell>
          <cell r="O380">
            <v>1293.6000000000001</v>
          </cell>
          <cell r="P380">
            <v>1318.24</v>
          </cell>
          <cell r="Q380">
            <v>1.3430883830940947E-2</v>
          </cell>
          <cell r="R380">
            <v>1.9996904863640162E-2</v>
          </cell>
          <cell r="S380">
            <v>2.0053286306644137E-2</v>
          </cell>
          <cell r="T380">
            <v>2.0109695003884528E-2</v>
          </cell>
          <cell r="U380">
            <v>2.0166126848351555E-2</v>
          </cell>
          <cell r="BC380">
            <v>1268.7106022317957</v>
          </cell>
          <cell r="DX380" t="str">
            <v>mstag:organicSalesGrowth</v>
          </cell>
          <cell r="DY380">
            <v>0</v>
          </cell>
          <cell r="DZ380" t="str">
            <v>ms_eqr_gcim_Decimal:ms_eqr_gcim_decimal</v>
          </cell>
          <cell r="EA380" t="b">
            <v>0</v>
          </cell>
        </row>
        <row r="381">
          <cell r="A381" t="str">
            <v>2013 Base EPS</v>
          </cell>
          <cell r="B381" t="str">
            <v>NM</v>
          </cell>
          <cell r="C381">
            <v>6.2727430254721828E-2</v>
          </cell>
          <cell r="D381">
            <v>8.8863525191586579E-2</v>
          </cell>
          <cell r="E381">
            <v>6.4540281521413556E-2</v>
          </cell>
          <cell r="F381">
            <v>6.1752707835138532E-2</v>
          </cell>
          <cell r="G381">
            <v>1.7620561738208806E-2</v>
          </cell>
          <cell r="H381">
            <v>2.4736362452805638E-2</v>
          </cell>
          <cell r="I381">
            <v>8.3006093432633765E-2</v>
          </cell>
          <cell r="J381">
            <v>-5.1512878219554858E-2</v>
          </cell>
          <cell r="K381">
            <v>1.1863959926179835E-2</v>
          </cell>
          <cell r="L381">
            <v>5.6018759770712911E-3</v>
          </cell>
          <cell r="M381">
            <v>-1.7347234759768071E-18</v>
          </cell>
          <cell r="N381">
            <v>2.48</v>
          </cell>
          <cell r="O381">
            <v>2.5544000000000002</v>
          </cell>
          <cell r="P381">
            <v>2.6040000000000001</v>
          </cell>
          <cell r="Q381">
            <v>1.3430883830940947E-2</v>
          </cell>
          <cell r="R381">
            <v>1.9996904863640162E-2</v>
          </cell>
          <cell r="S381">
            <v>2.0053286306644137E-2</v>
          </cell>
          <cell r="T381">
            <v>2.0109695003884528E-2</v>
          </cell>
          <cell r="U381">
            <v>2.0166126848351555E-2</v>
          </cell>
          <cell r="BC381">
            <v>2.5191587914238927</v>
          </cell>
          <cell r="DX381" t="str">
            <v>mstag:reportedSalesGrowth</v>
          </cell>
          <cell r="DY381">
            <v>0</v>
          </cell>
          <cell r="DZ381" t="str">
            <v>ms_eqr_gcim_Decimal:ms_eqr_gcim_decimal</v>
          </cell>
          <cell r="EA381" t="b">
            <v>0</v>
          </cell>
        </row>
        <row r="471">
          <cell r="A471" t="str">
            <v>DO NOT ERASE</v>
          </cell>
        </row>
        <row r="472">
          <cell r="A472" t="str">
            <v>Statutory tax rate</v>
          </cell>
          <cell r="B472">
            <v>0.35599999999999998</v>
          </cell>
          <cell r="C472">
            <v>0.36499999999999999</v>
          </cell>
          <cell r="D472">
            <v>0.34099999999999997</v>
          </cell>
          <cell r="E472">
            <v>0.36</v>
          </cell>
          <cell r="F472">
            <v>0.36</v>
          </cell>
          <cell r="G472">
            <v>0.36</v>
          </cell>
          <cell r="H472">
            <v>0.36</v>
          </cell>
          <cell r="I472">
            <v>0.36</v>
          </cell>
          <cell r="J472">
            <v>0.36</v>
          </cell>
          <cell r="K472">
            <v>0.36</v>
          </cell>
          <cell r="L472">
            <v>0.36</v>
          </cell>
          <cell r="M472">
            <v>0.36</v>
          </cell>
          <cell r="N472">
            <v>0.36</v>
          </cell>
          <cell r="O472">
            <v>0.36</v>
          </cell>
          <cell r="P472">
            <v>0.36</v>
          </cell>
          <cell r="Q472">
            <v>0.36</v>
          </cell>
          <cell r="R472">
            <v>0.36</v>
          </cell>
          <cell r="DT472" t="str">
            <v>mstag:statutoryTaxRate</v>
          </cell>
          <cell r="DU472">
            <v>0</v>
          </cell>
          <cell r="DV472" t="str">
            <v>ms_eqr_gcim_Decimal:ms_eqr_gcim_decimal</v>
          </cell>
          <cell r="DW472" t="b">
            <v>0</v>
          </cell>
        </row>
        <row r="473">
          <cell r="A473" t="str">
            <v>North American revenue</v>
          </cell>
          <cell r="B473">
            <v>4905.3499999999995</v>
          </cell>
          <cell r="C473">
            <v>5213.05</v>
          </cell>
          <cell r="D473">
            <v>5676.3</v>
          </cell>
          <cell r="E473">
            <v>6042.65</v>
          </cell>
          <cell r="F473">
            <v>6415.8</v>
          </cell>
          <cell r="G473">
            <v>6528.8499999999995</v>
          </cell>
          <cell r="H473">
            <v>6690.3499999999995</v>
          </cell>
          <cell r="I473">
            <v>6798.3</v>
          </cell>
          <cell r="J473">
            <v>6448.0999999999995</v>
          </cell>
          <cell r="K473">
            <v>6524.5999999999995</v>
          </cell>
          <cell r="L473">
            <v>6561.15</v>
          </cell>
          <cell r="M473">
            <v>6098.75</v>
          </cell>
          <cell r="N473">
            <v>6844.2</v>
          </cell>
          <cell r="O473">
            <v>7092.5172372246898</v>
          </cell>
          <cell r="P473">
            <v>7205.6705015012003</v>
          </cell>
          <cell r="Q473">
            <v>7360.354234811718</v>
          </cell>
          <cell r="R473">
            <v>7516.1467834826535</v>
          </cell>
          <cell r="DT473" t="str">
            <v>mstag:northAmericaRevenues</v>
          </cell>
          <cell r="DU473">
            <v>6</v>
          </cell>
          <cell r="DV473" t="str">
            <v>ISO4217:USD</v>
          </cell>
          <cell r="DW473" t="b">
            <v>0</v>
          </cell>
        </row>
        <row r="474">
          <cell r="A474" t="str">
            <v>European revenue</v>
          </cell>
          <cell r="B474">
            <v>288.55</v>
          </cell>
          <cell r="C474">
            <v>306.65000000000003</v>
          </cell>
          <cell r="D474">
            <v>333.90000000000003</v>
          </cell>
          <cell r="E474">
            <v>355.45000000000005</v>
          </cell>
          <cell r="F474">
            <v>377.40000000000003</v>
          </cell>
          <cell r="G474">
            <v>384.05</v>
          </cell>
          <cell r="H474">
            <v>393.55</v>
          </cell>
          <cell r="I474">
            <v>399.90000000000003</v>
          </cell>
          <cell r="J474">
            <v>379.3</v>
          </cell>
          <cell r="K474">
            <v>383.8</v>
          </cell>
          <cell r="L474">
            <v>385.95000000000005</v>
          </cell>
          <cell r="M474">
            <v>358.75</v>
          </cell>
          <cell r="N474">
            <v>402.6</v>
          </cell>
          <cell r="O474">
            <v>417.20689630733472</v>
          </cell>
          <cell r="P474">
            <v>423.86297067654124</v>
          </cell>
          <cell r="Q474">
            <v>432.96201381245402</v>
          </cell>
          <cell r="R474">
            <v>442.1262813813326</v>
          </cell>
          <cell r="DT474" t="str">
            <v>mstag:europeRevenues</v>
          </cell>
          <cell r="DU474">
            <v>6</v>
          </cell>
          <cell r="DV474" t="str">
            <v>ISO4217:USD</v>
          </cell>
          <cell r="DW474" t="b">
            <v>0</v>
          </cell>
        </row>
        <row r="648">
          <cell r="D648" t="str">
            <v>2003-FY</v>
          </cell>
          <cell r="E648" t="str">
            <v>2004-FY</v>
          </cell>
          <cell r="F648" t="str">
            <v>2005-FY</v>
          </cell>
          <cell r="G648" t="str">
            <v>2006-FY</v>
          </cell>
          <cell r="H648" t="str">
            <v>2007-FY</v>
          </cell>
          <cell r="I648" t="str">
            <v>2008-FY</v>
          </cell>
          <cell r="J648" t="str">
            <v>2009-FY</v>
          </cell>
          <cell r="K648" t="str">
            <v>2010-FY</v>
          </cell>
          <cell r="L648" t="str">
            <v>2011-FY</v>
          </cell>
          <cell r="M648" t="str">
            <v>2012-FY</v>
          </cell>
          <cell r="N648" t="str">
            <v>2013-FY</v>
          </cell>
          <cell r="O648" t="str">
            <v>2014-FY</v>
          </cell>
          <cell r="P648" t="str">
            <v>2015-FY</v>
          </cell>
          <cell r="Q648" t="str">
            <v>2016-FY</v>
          </cell>
          <cell r="R648" t="str">
            <v>2017-FY</v>
          </cell>
          <cell r="W648" t="str">
            <v>2004-Q1</v>
          </cell>
          <cell r="X648" t="str">
            <v>2004-Q2</v>
          </cell>
          <cell r="Y648" t="str">
            <v>2004-Q3</v>
          </cell>
          <cell r="Z648" t="str">
            <v>2004-Q4</v>
          </cell>
          <cell r="AA648" t="str">
            <v>2005-Q1</v>
          </cell>
          <cell r="AB648" t="str">
            <v>2005-Q2</v>
          </cell>
          <cell r="AC648" t="str">
            <v>2005-Q3</v>
          </cell>
          <cell r="AD648" t="str">
            <v>2005-Q4</v>
          </cell>
          <cell r="AE648" t="str">
            <v>2006-Q1</v>
          </cell>
          <cell r="AF648" t="str">
            <v>2006-Q2</v>
          </cell>
          <cell r="AG648" t="str">
            <v>2006-Q3</v>
          </cell>
          <cell r="AH648" t="str">
            <v>2006-Q4</v>
          </cell>
          <cell r="AI648" t="str">
            <v>2007-Q1</v>
          </cell>
          <cell r="AJ648" t="str">
            <v>2007-Q2</v>
          </cell>
          <cell r="AK648" t="str">
            <v>2007-Q3</v>
          </cell>
          <cell r="AL648" t="str">
            <v>2007-Q4</v>
          </cell>
          <cell r="AM648" t="str">
            <v>2008-Q1</v>
          </cell>
          <cell r="AN648" t="str">
            <v>2008-Q2</v>
          </cell>
          <cell r="AO648" t="str">
            <v>2008-Q3</v>
          </cell>
          <cell r="AP648" t="str">
            <v>2008-Q4</v>
          </cell>
          <cell r="AQ648" t="str">
            <v>2009-Q1</v>
          </cell>
          <cell r="AR648" t="str">
            <v>2009-Q2</v>
          </cell>
          <cell r="AS648" t="str">
            <v>2009-Q3</v>
          </cell>
          <cell r="AT648" t="str">
            <v>2009-Q4</v>
          </cell>
          <cell r="AU648" t="str">
            <v>2010-Q1</v>
          </cell>
          <cell r="AV648" t="str">
            <v>2010-Q2</v>
          </cell>
          <cell r="AW648" t="str">
            <v>2010-Q3</v>
          </cell>
          <cell r="AX648" t="str">
            <v>2010-Q4</v>
          </cell>
          <cell r="AY648" t="str">
            <v>2011-Q1</v>
          </cell>
          <cell r="AZ648" t="str">
            <v>2011-Q2</v>
          </cell>
          <cell r="BA648" t="str">
            <v>2011-Q3</v>
          </cell>
          <cell r="BB648" t="str">
            <v>2011-Q4</v>
          </cell>
          <cell r="BC648" t="str">
            <v>2012-Q1</v>
          </cell>
          <cell r="BD648" t="str">
            <v>2012-Q2</v>
          </cell>
          <cell r="BE648" t="str">
            <v>2012-Q3</v>
          </cell>
          <cell r="BF648" t="str">
            <v>2012-Q4</v>
          </cell>
          <cell r="BG648" t="str">
            <v>2013-Q1</v>
          </cell>
          <cell r="BH648" t="str">
            <v>2013-Q2</v>
          </cell>
          <cell r="BI648" t="str">
            <v>2013-Q3</v>
          </cell>
          <cell r="BJ648" t="str">
            <v>2013-Q4</v>
          </cell>
          <cell r="BK648" t="str">
            <v>2014-Q1</v>
          </cell>
          <cell r="BL648" t="str">
            <v>2014-Q2</v>
          </cell>
          <cell r="BM648" t="str">
            <v>2014-Q3</v>
          </cell>
          <cell r="BN648" t="str">
            <v>2014-Q4</v>
          </cell>
          <cell r="BO648" t="str">
            <v>2015-Q1</v>
          </cell>
          <cell r="BP648" t="str">
            <v>2015-Q2</v>
          </cell>
          <cell r="BQ648" t="str">
            <v>2015-Q3</v>
          </cell>
          <cell r="BR648" t="str">
            <v>2015-Q4</v>
          </cell>
        </row>
        <row r="742">
          <cell r="D742" t="str">
            <v>2003-FY</v>
          </cell>
          <cell r="E742" t="str">
            <v>2004-FY</v>
          </cell>
          <cell r="F742" t="str">
            <v>2005-FY</v>
          </cell>
          <cell r="G742" t="str">
            <v>2006-FY</v>
          </cell>
          <cell r="H742" t="str">
            <v>2007-FY</v>
          </cell>
          <cell r="I742" t="str">
            <v>2008-FY</v>
          </cell>
          <cell r="J742" t="str">
            <v>2009-FY</v>
          </cell>
          <cell r="K742" t="str">
            <v>2010-FY</v>
          </cell>
          <cell r="L742" t="str">
            <v>2011-FY</v>
          </cell>
          <cell r="M742" t="str">
            <v>2012-FY</v>
          </cell>
          <cell r="N742" t="str">
            <v>2013-FY</v>
          </cell>
          <cell r="O742" t="str">
            <v>2014-FY</v>
          </cell>
          <cell r="P742" t="str">
            <v>2015-FY</v>
          </cell>
          <cell r="Q742" t="str">
            <v>2016-FY</v>
          </cell>
          <cell r="W742" t="str">
            <v>2004-Q1</v>
          </cell>
          <cell r="X742" t="str">
            <v>2004-Q2</v>
          </cell>
          <cell r="Y742" t="str">
            <v>2004-Q3</v>
          </cell>
          <cell r="Z742" t="str">
            <v>2004-Q4</v>
          </cell>
          <cell r="AA742" t="str">
            <v>2005-Q1</v>
          </cell>
          <cell r="AB742" t="str">
            <v>2005-Q2</v>
          </cell>
          <cell r="AC742" t="str">
            <v>2005-Q3</v>
          </cell>
          <cell r="AD742" t="str">
            <v>2005-Q4</v>
          </cell>
          <cell r="AE742" t="str">
            <v>2006-Q1</v>
          </cell>
          <cell r="AF742" t="str">
            <v>2006-Q2</v>
          </cell>
          <cell r="AG742" t="str">
            <v>2006-Q3</v>
          </cell>
          <cell r="AH742" t="str">
            <v>2006-Q4</v>
          </cell>
          <cell r="AI742" t="str">
            <v>2007-Q1</v>
          </cell>
          <cell r="AJ742" t="str">
            <v>2007-Q2</v>
          </cell>
          <cell r="AK742" t="str">
            <v>2007-Q3</v>
          </cell>
          <cell r="AL742" t="str">
            <v>2007-Q4</v>
          </cell>
          <cell r="AM742" t="str">
            <v>2008-Q1</v>
          </cell>
          <cell r="AN742" t="str">
            <v>2008-Q2</v>
          </cell>
          <cell r="AO742" t="str">
            <v>2008-Q3</v>
          </cell>
          <cell r="AP742" t="str">
            <v>2008-Q4</v>
          </cell>
          <cell r="AQ742" t="str">
            <v>2009-Q1</v>
          </cell>
          <cell r="AR742" t="str">
            <v>2009-Q2</v>
          </cell>
          <cell r="AS742" t="str">
            <v>2009-Q3</v>
          </cell>
          <cell r="AT742" t="str">
            <v>2009-Q4</v>
          </cell>
          <cell r="AU742" t="str">
            <v>2010-Q1</v>
          </cell>
          <cell r="AV742" t="str">
            <v>2010-Q2</v>
          </cell>
          <cell r="AW742" t="str">
            <v>2010-Q3</v>
          </cell>
          <cell r="AX742" t="str">
            <v>2010-Q4</v>
          </cell>
          <cell r="AY742" t="str">
            <v>2011-Q1</v>
          </cell>
          <cell r="AZ742" t="str">
            <v>2011-Q2</v>
          </cell>
          <cell r="BA742" t="str">
            <v>2011-Q3</v>
          </cell>
          <cell r="BB742" t="str">
            <v>2011-Q4</v>
          </cell>
          <cell r="BC742" t="str">
            <v>2012-Q1</v>
          </cell>
          <cell r="BD742" t="str">
            <v>2012-Q2</v>
          </cell>
          <cell r="BE742" t="str">
            <v>2012-Q3</v>
          </cell>
          <cell r="BF742" t="str">
            <v>2012-Q4</v>
          </cell>
          <cell r="BG742" t="str">
            <v>2013-Q1</v>
          </cell>
          <cell r="BH742" t="str">
            <v>2013-Q2</v>
          </cell>
          <cell r="BI742" t="str">
            <v>2013-Q3</v>
          </cell>
          <cell r="BJ742" t="str">
            <v>2013-Q4</v>
          </cell>
          <cell r="BK742" t="str">
            <v>2014-Q1</v>
          </cell>
          <cell r="BL742" t="str">
            <v>2014-Q2</v>
          </cell>
          <cell r="BM742" t="str">
            <v>2014-Q3</v>
          </cell>
          <cell r="BN742" t="str">
            <v>2014-Q4</v>
          </cell>
        </row>
      </sheetData>
      <sheetData sheetId="7" refreshError="1">
        <row r="1">
          <cell r="A1" t="str">
            <v>Campbell Soup Company (CPB)</v>
          </cell>
          <cell r="Q1" t="str">
            <v>Morgan Stanley Research</v>
          </cell>
          <cell r="BU1" t="str">
            <v>ElementName</v>
          </cell>
          <cell r="BV1" t="str">
            <v>ScaleOverride</v>
          </cell>
          <cell r="BW1" t="str">
            <v>UnitOverride</v>
          </cell>
          <cell r="BX1" t="str">
            <v>ReverseSign</v>
          </cell>
          <cell r="BY1" t="str">
            <v>IsDrivingAssumption</v>
          </cell>
          <cell r="BZ1" t="str">
            <v>SegmentID</v>
          </cell>
        </row>
        <row r="2">
          <cell r="A2" t="str">
            <v>Balance Sheet</v>
          </cell>
          <cell r="Q2" t="str">
            <v>Matthew Grainger 212.761.8023</v>
          </cell>
        </row>
        <row r="3">
          <cell r="Q3" t="str">
            <v>John Colantuoni 212.761.6210</v>
          </cell>
        </row>
        <row r="4">
          <cell r="Q4" t="str">
            <v>Pamela Kaufman 212.761.7151</v>
          </cell>
        </row>
        <row r="5">
          <cell r="Q5" t="str">
            <v>Tony Ryerson 212.761.6534</v>
          </cell>
        </row>
        <row r="6">
          <cell r="B6" t="str">
            <v>FYE</v>
          </cell>
          <cell r="C6" t="str">
            <v>FYE</v>
          </cell>
          <cell r="D6" t="str">
            <v>FYE</v>
          </cell>
          <cell r="E6" t="str">
            <v>FYE</v>
          </cell>
          <cell r="F6" t="str">
            <v>FYE</v>
          </cell>
          <cell r="G6" t="str">
            <v>FYE</v>
          </cell>
          <cell r="H6" t="str">
            <v>FYE</v>
          </cell>
          <cell r="I6" t="str">
            <v>FYE</v>
          </cell>
          <cell r="J6" t="str">
            <v>FYE</v>
          </cell>
          <cell r="K6" t="str">
            <v>FYE</v>
          </cell>
          <cell r="L6" t="str">
            <v>FYE</v>
          </cell>
          <cell r="M6" t="str">
            <v>FYE</v>
          </cell>
          <cell r="N6" t="str">
            <v>FYE</v>
          </cell>
        </row>
        <row r="7">
          <cell r="B7">
            <v>37468</v>
          </cell>
          <cell r="C7">
            <v>37833</v>
          </cell>
          <cell r="D7">
            <v>38199</v>
          </cell>
          <cell r="E7">
            <v>38564</v>
          </cell>
          <cell r="F7">
            <v>38929</v>
          </cell>
          <cell r="G7">
            <v>39294</v>
          </cell>
          <cell r="H7">
            <v>39660</v>
          </cell>
          <cell r="I7">
            <v>40025</v>
          </cell>
          <cell r="J7">
            <v>40390</v>
          </cell>
          <cell r="K7" t="str">
            <v>7/31/2011e</v>
          </cell>
          <cell r="L7" t="str">
            <v>7/31/2012e</v>
          </cell>
          <cell r="M7" t="str">
            <v>7/31/2013e</v>
          </cell>
          <cell r="N7" t="str">
            <v>7/31/2014e</v>
          </cell>
        </row>
        <row r="8">
          <cell r="A8" t="str">
            <v>($millions, except per share data)</v>
          </cell>
          <cell r="B8">
            <v>2002</v>
          </cell>
          <cell r="C8">
            <v>2003</v>
          </cell>
          <cell r="D8">
            <v>2004</v>
          </cell>
          <cell r="E8">
            <v>2005</v>
          </cell>
          <cell r="F8">
            <v>2006</v>
          </cell>
          <cell r="G8">
            <v>2007</v>
          </cell>
          <cell r="H8">
            <v>2008</v>
          </cell>
          <cell r="I8">
            <v>2009</v>
          </cell>
          <cell r="J8">
            <v>2010</v>
          </cell>
          <cell r="K8">
            <v>2011</v>
          </cell>
          <cell r="L8">
            <v>2012</v>
          </cell>
          <cell r="M8">
            <v>2013</v>
          </cell>
          <cell r="N8" t="str">
            <v>2014E</v>
          </cell>
          <cell r="O8" t="str">
            <v>2015E</v>
          </cell>
          <cell r="P8" t="str">
            <v>2016E</v>
          </cell>
          <cell r="Q8" t="str">
            <v>2017E</v>
          </cell>
          <cell r="R8" t="str">
            <v>2018E</v>
          </cell>
          <cell r="S8" t="str">
            <v>2019E</v>
          </cell>
          <cell r="T8" t="str">
            <v>2020E</v>
          </cell>
        </row>
        <row r="9">
          <cell r="A9" t="str">
            <v>ASSETS</v>
          </cell>
        </row>
        <row r="10">
          <cell r="A10" t="str">
            <v>Current Assets:</v>
          </cell>
        </row>
        <row r="11">
          <cell r="A11" t="str">
            <v>Cash and cash equivalents</v>
          </cell>
          <cell r="B11">
            <v>21</v>
          </cell>
          <cell r="C11">
            <v>32</v>
          </cell>
          <cell r="D11">
            <v>32</v>
          </cell>
          <cell r="E11">
            <v>40</v>
          </cell>
          <cell r="F11">
            <v>657</v>
          </cell>
          <cell r="G11">
            <v>71</v>
          </cell>
          <cell r="H11">
            <v>81.000000469387714</v>
          </cell>
          <cell r="I11">
            <v>51.000000469387714</v>
          </cell>
          <cell r="J11">
            <v>254.00000046938771</v>
          </cell>
          <cell r="K11">
            <v>484.00000046938771</v>
          </cell>
          <cell r="L11">
            <v>334.99999999999977</v>
          </cell>
          <cell r="M11">
            <v>332.99999999999977</v>
          </cell>
          <cell r="N11">
            <v>184.33950942083527</v>
          </cell>
          <cell r="O11">
            <v>677.4847980008218</v>
          </cell>
          <cell r="P11">
            <v>1182.3782832089682</v>
          </cell>
          <cell r="Q11">
            <v>1704.5635948706849</v>
          </cell>
          <cell r="R11">
            <v>2248.9873531065264</v>
          </cell>
          <cell r="S11">
            <v>2813.290862183424</v>
          </cell>
          <cell r="T11">
            <v>3398.2064562371661</v>
          </cell>
          <cell r="BU11" t="str">
            <v>mstag:cashAndCashEquivalents</v>
          </cell>
          <cell r="BV11">
            <v>6</v>
          </cell>
          <cell r="BW11" t="str">
            <v>ISO4217:USD</v>
          </cell>
          <cell r="BX11" t="b">
            <v>0</v>
          </cell>
        </row>
        <row r="12">
          <cell r="A12" t="str">
            <v>Accounts receivable</v>
          </cell>
          <cell r="B12">
            <v>417</v>
          </cell>
          <cell r="C12">
            <v>413</v>
          </cell>
          <cell r="D12">
            <v>490</v>
          </cell>
          <cell r="E12">
            <v>509</v>
          </cell>
          <cell r="F12">
            <v>494</v>
          </cell>
          <cell r="G12">
            <v>581</v>
          </cell>
          <cell r="H12">
            <v>570</v>
          </cell>
          <cell r="I12">
            <v>528</v>
          </cell>
          <cell r="J12">
            <v>512</v>
          </cell>
          <cell r="K12">
            <v>560</v>
          </cell>
          <cell r="L12">
            <v>553</v>
          </cell>
          <cell r="M12">
            <v>635</v>
          </cell>
          <cell r="N12">
            <v>658.03869636154377</v>
          </cell>
          <cell r="O12">
            <v>668.53697560756007</v>
          </cell>
          <cell r="P12">
            <v>682.88842218308071</v>
          </cell>
          <cell r="Q12">
            <v>697.34274385778986</v>
          </cell>
          <cell r="R12">
            <v>709.93094832546149</v>
          </cell>
          <cell r="S12">
            <v>722.56020910425048</v>
          </cell>
          <cell r="T12">
            <v>735.23779693631354</v>
          </cell>
          <cell r="BU12" t="str">
            <v>mstag:tradeReceivables</v>
          </cell>
          <cell r="BV12">
            <v>6</v>
          </cell>
          <cell r="BW12" t="str">
            <v>ISO4217:USD</v>
          </cell>
          <cell r="BX12" t="b">
            <v>0</v>
          </cell>
        </row>
        <row r="13">
          <cell r="A13" t="str">
            <v>Inventories</v>
          </cell>
          <cell r="B13">
            <v>638</v>
          </cell>
          <cell r="C13">
            <v>709</v>
          </cell>
          <cell r="D13">
            <v>795</v>
          </cell>
          <cell r="E13">
            <v>782</v>
          </cell>
          <cell r="F13">
            <v>728</v>
          </cell>
          <cell r="G13">
            <v>775</v>
          </cell>
          <cell r="H13">
            <v>829</v>
          </cell>
          <cell r="I13">
            <v>824</v>
          </cell>
          <cell r="J13">
            <v>724</v>
          </cell>
          <cell r="K13">
            <v>767</v>
          </cell>
          <cell r="L13">
            <v>714</v>
          </cell>
          <cell r="M13">
            <v>925</v>
          </cell>
          <cell r="N13">
            <v>963.07117775044287</v>
          </cell>
          <cell r="O13">
            <v>975.3297669479216</v>
          </cell>
          <cell r="P13">
            <v>993.09429232759555</v>
          </cell>
          <cell r="Q13">
            <v>1010.8745874957623</v>
          </cell>
          <cell r="R13">
            <v>1025.8240970927823</v>
          </cell>
          <cell r="S13">
            <v>1040.7157665667664</v>
          </cell>
          <cell r="T13">
            <v>1055.5594620446611</v>
          </cell>
          <cell r="BU13" t="str">
            <v>mstag:inventories</v>
          </cell>
          <cell r="BV13">
            <v>6</v>
          </cell>
          <cell r="BW13" t="str">
            <v>ISO4217:USD</v>
          </cell>
          <cell r="BX13" t="b">
            <v>0</v>
          </cell>
        </row>
        <row r="14">
          <cell r="A14" t="str">
            <v>Prepaid expenses and other assets</v>
          </cell>
          <cell r="B14">
            <v>123</v>
          </cell>
          <cell r="C14">
            <v>136</v>
          </cell>
          <cell r="D14">
            <v>164</v>
          </cell>
          <cell r="E14">
            <v>181</v>
          </cell>
          <cell r="F14">
            <v>233</v>
          </cell>
          <cell r="G14">
            <v>151</v>
          </cell>
          <cell r="H14">
            <v>213</v>
          </cell>
          <cell r="I14">
            <v>148</v>
          </cell>
          <cell r="J14">
            <v>197</v>
          </cell>
          <cell r="K14">
            <v>152</v>
          </cell>
          <cell r="L14">
            <v>169</v>
          </cell>
          <cell r="M14">
            <v>328</v>
          </cell>
          <cell r="N14">
            <v>328</v>
          </cell>
          <cell r="O14">
            <v>328</v>
          </cell>
          <cell r="P14">
            <v>328</v>
          </cell>
          <cell r="Q14">
            <v>328</v>
          </cell>
          <cell r="R14">
            <v>328</v>
          </cell>
          <cell r="S14">
            <v>328</v>
          </cell>
          <cell r="T14">
            <v>328</v>
          </cell>
          <cell r="BU14" t="str">
            <v>mstag:prepaidExpenses</v>
          </cell>
          <cell r="BV14">
            <v>6</v>
          </cell>
          <cell r="BW14" t="str">
            <v>ISO4217:USD</v>
          </cell>
          <cell r="BX14" t="b">
            <v>0</v>
          </cell>
        </row>
        <row r="15">
          <cell r="A15" t="str">
            <v>Total current assets</v>
          </cell>
          <cell r="B15">
            <v>1199</v>
          </cell>
          <cell r="C15">
            <v>1290</v>
          </cell>
          <cell r="D15">
            <v>1481</v>
          </cell>
          <cell r="E15">
            <v>1512</v>
          </cell>
          <cell r="F15">
            <v>2112</v>
          </cell>
          <cell r="G15">
            <v>1578</v>
          </cell>
          <cell r="H15">
            <v>1693.0000004693877</v>
          </cell>
          <cell r="I15">
            <v>1551.0000004693877</v>
          </cell>
          <cell r="J15">
            <v>1687.0000004693877</v>
          </cell>
          <cell r="K15">
            <v>1963.0000004693877</v>
          </cell>
          <cell r="L15">
            <v>1770.9999999999998</v>
          </cell>
          <cell r="M15">
            <v>2221</v>
          </cell>
          <cell r="N15">
            <v>2133.4493835328221</v>
          </cell>
          <cell r="O15">
            <v>2649.3515405563035</v>
          </cell>
          <cell r="P15">
            <v>3186.3609977196447</v>
          </cell>
          <cell r="Q15">
            <v>3740.7809262242372</v>
          </cell>
          <cell r="R15">
            <v>4312.7423985247697</v>
          </cell>
          <cell r="S15">
            <v>4904.5668378544415</v>
          </cell>
          <cell r="T15">
            <v>5517.0037152181403</v>
          </cell>
        </row>
        <row r="17">
          <cell r="A17" t="str">
            <v>Gross PP&amp;E</v>
          </cell>
          <cell r="B17">
            <v>3633</v>
          </cell>
          <cell r="C17">
            <v>4012</v>
          </cell>
          <cell r="D17">
            <v>4248</v>
          </cell>
          <cell r="E17">
            <v>4511</v>
          </cell>
          <cell r="F17">
            <v>4497</v>
          </cell>
          <cell r="G17">
            <v>4809</v>
          </cell>
          <cell r="H17">
            <v>4766</v>
          </cell>
          <cell r="I17">
            <v>4893</v>
          </cell>
          <cell r="J17">
            <v>5043</v>
          </cell>
          <cell r="K17">
            <v>5363</v>
          </cell>
          <cell r="L17">
            <v>5483</v>
          </cell>
          <cell r="M17">
            <v>5655</v>
          </cell>
          <cell r="N17">
            <v>5988.7655170458675</v>
          </cell>
          <cell r="O17">
            <v>6327.8558935871006</v>
          </cell>
          <cell r="P17">
            <v>6674.2255046370638</v>
          </cell>
          <cell r="Q17">
            <v>7027.9265297421298</v>
          </cell>
          <cell r="R17">
            <v>7389.0126894142031</v>
          </cell>
          <cell r="S17">
            <v>7757.5403952658371</v>
          </cell>
          <cell r="T17">
            <v>8133.5699509890255</v>
          </cell>
        </row>
        <row r="18">
          <cell r="A18" t="str">
            <v>Accumulated depreciation</v>
          </cell>
          <cell r="B18">
            <v>1949</v>
          </cell>
          <cell r="C18">
            <v>2169</v>
          </cell>
          <cell r="D18">
            <v>2347</v>
          </cell>
          <cell r="E18">
            <v>2524</v>
          </cell>
          <cell r="F18">
            <v>2543</v>
          </cell>
          <cell r="G18">
            <v>2767</v>
          </cell>
          <cell r="H18">
            <v>2827</v>
          </cell>
          <cell r="I18">
            <v>2916</v>
          </cell>
          <cell r="J18">
            <v>2992</v>
          </cell>
          <cell r="K18">
            <v>3260</v>
          </cell>
          <cell r="L18">
            <v>3356</v>
          </cell>
          <cell r="M18">
            <v>3395</v>
          </cell>
          <cell r="N18">
            <v>3793.718188101237</v>
          </cell>
          <cell r="O18">
            <v>4198.2457916673902</v>
          </cell>
          <cell r="P18">
            <v>4608.7075211015062</v>
          </cell>
          <cell r="Q18">
            <v>5025.2289807649531</v>
          </cell>
          <cell r="R18">
            <v>5447.9366953777826</v>
          </cell>
          <cell r="S18">
            <v>5876.9581561236118</v>
          </cell>
          <cell r="T18">
            <v>6312.4218873300961</v>
          </cell>
        </row>
        <row r="19">
          <cell r="A19" t="str">
            <v>PP&amp;E, net</v>
          </cell>
          <cell r="B19">
            <v>1684</v>
          </cell>
          <cell r="C19">
            <v>1843</v>
          </cell>
          <cell r="D19">
            <v>1901</v>
          </cell>
          <cell r="E19">
            <v>1987</v>
          </cell>
          <cell r="F19">
            <v>1954</v>
          </cell>
          <cell r="G19">
            <v>2042</v>
          </cell>
          <cell r="H19">
            <v>1939</v>
          </cell>
          <cell r="I19">
            <v>1977</v>
          </cell>
          <cell r="J19">
            <v>2051</v>
          </cell>
          <cell r="K19">
            <v>2103</v>
          </cell>
          <cell r="L19">
            <v>2127</v>
          </cell>
          <cell r="M19">
            <v>2260</v>
          </cell>
          <cell r="N19">
            <v>2195.0473289446304</v>
          </cell>
          <cell r="O19">
            <v>2129.6101019197104</v>
          </cell>
          <cell r="P19">
            <v>2065.5179835355575</v>
          </cell>
          <cell r="Q19">
            <v>2002.6975489771767</v>
          </cell>
          <cell r="R19">
            <v>1941.0759940364205</v>
          </cell>
          <cell r="S19">
            <v>1880.5822391422253</v>
          </cell>
          <cell r="T19">
            <v>1821.1480636589295</v>
          </cell>
          <cell r="BU19" t="str">
            <v>mstag:propertyPlantAndEquipmentNet</v>
          </cell>
          <cell r="BV19">
            <v>6</v>
          </cell>
          <cell r="BW19" t="str">
            <v>ISO4217:USD</v>
          </cell>
          <cell r="BX19" t="b">
            <v>0</v>
          </cell>
        </row>
        <row r="20">
          <cell r="A20" t="str">
            <v>Goodwill</v>
          </cell>
          <cell r="B20">
            <v>1581</v>
          </cell>
          <cell r="C20">
            <v>1803</v>
          </cell>
          <cell r="D20">
            <v>1900</v>
          </cell>
          <cell r="E20">
            <v>1950</v>
          </cell>
          <cell r="F20">
            <v>1765</v>
          </cell>
          <cell r="G20">
            <v>1872</v>
          </cell>
          <cell r="H20">
            <v>1998</v>
          </cell>
          <cell r="I20">
            <v>1901</v>
          </cell>
          <cell r="J20">
            <v>1919</v>
          </cell>
          <cell r="K20">
            <v>2133</v>
          </cell>
          <cell r="L20">
            <v>2013</v>
          </cell>
          <cell r="M20">
            <v>2297</v>
          </cell>
          <cell r="N20">
            <v>2297</v>
          </cell>
          <cell r="O20">
            <v>2297</v>
          </cell>
          <cell r="P20">
            <v>2297</v>
          </cell>
          <cell r="Q20">
            <v>2297</v>
          </cell>
          <cell r="R20">
            <v>2297</v>
          </cell>
          <cell r="S20">
            <v>2297</v>
          </cell>
          <cell r="T20">
            <v>2297</v>
          </cell>
          <cell r="BU20" t="str">
            <v>mstag:goodwill</v>
          </cell>
          <cell r="BV20">
            <v>6</v>
          </cell>
          <cell r="BW20" t="str">
            <v>ISO4217:USD</v>
          </cell>
          <cell r="BX20" t="b">
            <v>0</v>
          </cell>
        </row>
        <row r="21">
          <cell r="A21" t="str">
            <v>Non-amortizable intangible assets</v>
          </cell>
          <cell r="B21">
            <v>939</v>
          </cell>
          <cell r="C21">
            <v>1005</v>
          </cell>
          <cell r="D21">
            <v>1082</v>
          </cell>
          <cell r="E21">
            <v>1047</v>
          </cell>
          <cell r="F21">
            <v>596</v>
          </cell>
          <cell r="G21">
            <v>615</v>
          </cell>
          <cell r="H21">
            <v>605</v>
          </cell>
          <cell r="I21">
            <v>522</v>
          </cell>
          <cell r="J21">
            <v>509</v>
          </cell>
          <cell r="K21">
            <v>527</v>
          </cell>
          <cell r="L21">
            <v>496</v>
          </cell>
          <cell r="M21">
            <v>1021</v>
          </cell>
          <cell r="N21">
            <v>1021</v>
          </cell>
          <cell r="O21">
            <v>1021</v>
          </cell>
          <cell r="P21">
            <v>1021</v>
          </cell>
          <cell r="Q21">
            <v>1021</v>
          </cell>
          <cell r="R21">
            <v>1021</v>
          </cell>
          <cell r="S21">
            <v>1021</v>
          </cell>
          <cell r="T21">
            <v>1021</v>
          </cell>
          <cell r="BU21" t="str">
            <v>mstag:otherIndefiniteLifeIntangibleAssets</v>
          </cell>
          <cell r="BV21">
            <v>6</v>
          </cell>
          <cell r="BW21" t="str">
            <v>ISO4217:USD</v>
          </cell>
          <cell r="BX21" t="b">
            <v>0</v>
          </cell>
        </row>
        <row r="22">
          <cell r="A22" t="str">
            <v>Amortizable intangible assets</v>
          </cell>
          <cell r="B22">
            <v>20</v>
          </cell>
          <cell r="C22">
            <v>13</v>
          </cell>
          <cell r="D22">
            <v>13</v>
          </cell>
          <cell r="E22">
            <v>12</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BU22" t="str">
            <v>mstag:otherFiniteLifeIntangibleAssets</v>
          </cell>
          <cell r="BV22">
            <v>6</v>
          </cell>
          <cell r="BW22" t="str">
            <v>ISO4217:USD</v>
          </cell>
          <cell r="BX22" t="b">
            <v>0</v>
          </cell>
        </row>
        <row r="23">
          <cell r="A23" t="str">
            <v>Goodwill &amp; intangibles, net</v>
          </cell>
          <cell r="B23">
            <v>2534</v>
          </cell>
          <cell r="C23">
            <v>2821</v>
          </cell>
          <cell r="D23">
            <v>2995</v>
          </cell>
          <cell r="E23">
            <v>3009</v>
          </cell>
          <cell r="F23">
            <v>2361</v>
          </cell>
          <cell r="G23">
            <v>2487</v>
          </cell>
          <cell r="H23">
            <v>2603</v>
          </cell>
          <cell r="I23">
            <v>2423</v>
          </cell>
          <cell r="J23">
            <v>2428</v>
          </cell>
          <cell r="K23">
            <v>2660</v>
          </cell>
          <cell r="L23">
            <v>2509</v>
          </cell>
          <cell r="M23">
            <v>3318</v>
          </cell>
          <cell r="N23">
            <v>3318</v>
          </cell>
          <cell r="O23">
            <v>3318</v>
          </cell>
          <cell r="P23">
            <v>3318</v>
          </cell>
          <cell r="Q23">
            <v>3318</v>
          </cell>
          <cell r="R23">
            <v>3318</v>
          </cell>
          <cell r="S23">
            <v>3318</v>
          </cell>
          <cell r="T23">
            <v>3318</v>
          </cell>
        </row>
        <row r="24">
          <cell r="A24" t="str">
            <v>Other assets</v>
          </cell>
          <cell r="B24">
            <v>304</v>
          </cell>
          <cell r="C24">
            <v>251</v>
          </cell>
          <cell r="D24">
            <v>298</v>
          </cell>
          <cell r="E24">
            <v>268</v>
          </cell>
          <cell r="F24">
            <v>1443</v>
          </cell>
          <cell r="G24">
            <v>338</v>
          </cell>
          <cell r="H24">
            <v>239</v>
          </cell>
          <cell r="I24">
            <v>105</v>
          </cell>
          <cell r="J24">
            <v>110</v>
          </cell>
          <cell r="K24">
            <v>136</v>
          </cell>
          <cell r="L24">
            <v>123</v>
          </cell>
          <cell r="M24">
            <v>524</v>
          </cell>
          <cell r="N24">
            <v>1124</v>
          </cell>
          <cell r="O24">
            <v>1124</v>
          </cell>
          <cell r="P24">
            <v>1124</v>
          </cell>
          <cell r="Q24">
            <v>1124</v>
          </cell>
          <cell r="R24">
            <v>1124</v>
          </cell>
          <cell r="S24">
            <v>1124</v>
          </cell>
          <cell r="T24">
            <v>1124</v>
          </cell>
          <cell r="BU24" t="str">
            <v>mstag:otherAssets</v>
          </cell>
          <cell r="BV24">
            <v>6</v>
          </cell>
          <cell r="BW24" t="str">
            <v>ISO4217:USD</v>
          </cell>
          <cell r="BX24" t="b">
            <v>0</v>
          </cell>
        </row>
        <row r="26">
          <cell r="A26" t="str">
            <v>Total assets</v>
          </cell>
          <cell r="B26">
            <v>5721</v>
          </cell>
          <cell r="C26">
            <v>6205</v>
          </cell>
          <cell r="D26">
            <v>6675</v>
          </cell>
          <cell r="E26">
            <v>6776</v>
          </cell>
          <cell r="F26">
            <v>7870</v>
          </cell>
          <cell r="G26">
            <v>6445</v>
          </cell>
          <cell r="H26">
            <v>6474.0000004693875</v>
          </cell>
          <cell r="I26">
            <v>6056.0000004693875</v>
          </cell>
          <cell r="J26">
            <v>6276.0000004693875</v>
          </cell>
          <cell r="K26">
            <v>6862.0000004693875</v>
          </cell>
          <cell r="L26">
            <v>6530</v>
          </cell>
          <cell r="M26">
            <v>8323</v>
          </cell>
          <cell r="N26">
            <v>8770.4967124774521</v>
          </cell>
          <cell r="O26">
            <v>9220.9616424760134</v>
          </cell>
          <cell r="P26">
            <v>9693.8789812552022</v>
          </cell>
          <cell r="Q26">
            <v>10185.478475201413</v>
          </cell>
          <cell r="R26">
            <v>10695.81839256119</v>
          </cell>
          <cell r="S26">
            <v>11227.149076996666</v>
          </cell>
          <cell r="T26">
            <v>11780.151778877069</v>
          </cell>
        </row>
        <row r="28">
          <cell r="A28" t="str">
            <v>LIABILITIES AND SHAREOWNERS' EQUITY</v>
          </cell>
        </row>
        <row r="29">
          <cell r="A29" t="str">
            <v>Current Liabilities:</v>
          </cell>
        </row>
        <row r="30">
          <cell r="A30" t="str">
            <v>Notes payable</v>
          </cell>
          <cell r="B30">
            <v>1196</v>
          </cell>
          <cell r="C30">
            <v>1279</v>
          </cell>
          <cell r="D30">
            <v>810</v>
          </cell>
          <cell r="E30">
            <v>451</v>
          </cell>
          <cell r="F30">
            <v>1097</v>
          </cell>
          <cell r="G30">
            <v>595</v>
          </cell>
          <cell r="H30">
            <v>982</v>
          </cell>
          <cell r="I30">
            <v>378</v>
          </cell>
          <cell r="J30">
            <v>835</v>
          </cell>
          <cell r="K30">
            <v>657</v>
          </cell>
          <cell r="L30">
            <v>786</v>
          </cell>
          <cell r="M30">
            <v>1909</v>
          </cell>
          <cell r="N30">
            <v>1909</v>
          </cell>
          <cell r="O30">
            <v>1909</v>
          </cell>
          <cell r="P30">
            <v>1909</v>
          </cell>
          <cell r="Q30">
            <v>1909</v>
          </cell>
          <cell r="R30">
            <v>1909</v>
          </cell>
          <cell r="S30">
            <v>1909</v>
          </cell>
          <cell r="T30">
            <v>1909</v>
          </cell>
          <cell r="BU30" t="str">
            <v>mstag:shortTermBorrowings</v>
          </cell>
          <cell r="BV30">
            <v>6</v>
          </cell>
          <cell r="BW30" t="str">
            <v>ISO4217:USD</v>
          </cell>
          <cell r="BX30" t="b">
            <v>0</v>
          </cell>
        </row>
        <row r="31">
          <cell r="A31" t="str">
            <v>Accounts payable</v>
          </cell>
          <cell r="B31">
            <v>612</v>
          </cell>
          <cell r="C31">
            <v>620</v>
          </cell>
          <cell r="D31">
            <v>607</v>
          </cell>
          <cell r="E31">
            <v>624</v>
          </cell>
          <cell r="F31">
            <v>691</v>
          </cell>
          <cell r="G31">
            <v>694</v>
          </cell>
          <cell r="H31">
            <v>655</v>
          </cell>
          <cell r="I31">
            <v>569</v>
          </cell>
          <cell r="J31">
            <v>545</v>
          </cell>
          <cell r="K31">
            <v>585</v>
          </cell>
          <cell r="L31">
            <v>571</v>
          </cell>
          <cell r="M31">
            <v>523</v>
          </cell>
          <cell r="N31">
            <v>544.52564969025036</v>
          </cell>
          <cell r="O31">
            <v>551.45672228514911</v>
          </cell>
          <cell r="P31">
            <v>561.50088095927833</v>
          </cell>
          <cell r="Q31">
            <v>571.55395595706341</v>
          </cell>
          <cell r="R31">
            <v>580.00648949137849</v>
          </cell>
          <cell r="S31">
            <v>588.42631990747986</v>
          </cell>
          <cell r="T31">
            <v>596.81902556687328</v>
          </cell>
          <cell r="BU31" t="str">
            <v>mstag:tradeAndOtherPayables</v>
          </cell>
          <cell r="BV31">
            <v>6</v>
          </cell>
          <cell r="BW31" t="str">
            <v>ISO4217:USD</v>
          </cell>
          <cell r="BX31" t="b">
            <v>0</v>
          </cell>
        </row>
        <row r="32">
          <cell r="A32" t="str">
            <v>Accrued liabilities</v>
          </cell>
          <cell r="B32">
            <v>572</v>
          </cell>
          <cell r="C32">
            <v>602</v>
          </cell>
          <cell r="D32">
            <v>607</v>
          </cell>
          <cell r="E32">
            <v>606</v>
          </cell>
          <cell r="F32">
            <v>898</v>
          </cell>
          <cell r="G32">
            <v>622</v>
          </cell>
          <cell r="H32">
            <v>655</v>
          </cell>
          <cell r="I32">
            <v>579</v>
          </cell>
          <cell r="J32">
            <v>560</v>
          </cell>
          <cell r="K32">
            <v>619</v>
          </cell>
          <cell r="L32">
            <v>598</v>
          </cell>
          <cell r="M32">
            <v>617</v>
          </cell>
          <cell r="N32">
            <v>617</v>
          </cell>
          <cell r="O32">
            <v>617</v>
          </cell>
          <cell r="P32">
            <v>617</v>
          </cell>
          <cell r="Q32">
            <v>617</v>
          </cell>
          <cell r="R32">
            <v>617</v>
          </cell>
          <cell r="S32">
            <v>617</v>
          </cell>
          <cell r="T32">
            <v>617</v>
          </cell>
          <cell r="BU32" t="str">
            <v>mstag:accruedExpenses</v>
          </cell>
          <cell r="BV32">
            <v>6</v>
          </cell>
          <cell r="BW32" t="str">
            <v>ISO4217:USD</v>
          </cell>
          <cell r="BX32" t="b">
            <v>0</v>
          </cell>
        </row>
        <row r="33">
          <cell r="A33" t="str">
            <v>Accrued income taxes</v>
          </cell>
          <cell r="B33">
            <v>233</v>
          </cell>
          <cell r="C33">
            <v>217</v>
          </cell>
          <cell r="D33">
            <v>250</v>
          </cell>
          <cell r="E33">
            <v>251</v>
          </cell>
          <cell r="F33">
            <v>202</v>
          </cell>
          <cell r="G33">
            <v>42</v>
          </cell>
          <cell r="H33">
            <v>9</v>
          </cell>
          <cell r="I33">
            <v>14</v>
          </cell>
          <cell r="J33">
            <v>30</v>
          </cell>
          <cell r="K33">
            <v>33</v>
          </cell>
          <cell r="L33">
            <v>22</v>
          </cell>
          <cell r="M33">
            <v>19</v>
          </cell>
          <cell r="N33">
            <v>19</v>
          </cell>
          <cell r="O33">
            <v>19</v>
          </cell>
          <cell r="P33">
            <v>19</v>
          </cell>
          <cell r="Q33">
            <v>19</v>
          </cell>
          <cell r="R33">
            <v>19</v>
          </cell>
          <cell r="S33">
            <v>19</v>
          </cell>
          <cell r="T33">
            <v>19</v>
          </cell>
          <cell r="BU33" t="str">
            <v>mstag:incomeTaxPayable</v>
          </cell>
          <cell r="BV33">
            <v>6</v>
          </cell>
          <cell r="BW33" t="str">
            <v>ISO4217:USD</v>
          </cell>
          <cell r="BX33" t="b">
            <v>0</v>
          </cell>
        </row>
        <row r="34">
          <cell r="A34" t="str">
            <v>Dividend payable</v>
          </cell>
          <cell r="B34">
            <v>65</v>
          </cell>
          <cell r="C34">
            <v>65</v>
          </cell>
          <cell r="D34">
            <v>65</v>
          </cell>
          <cell r="E34">
            <v>70</v>
          </cell>
          <cell r="F34">
            <v>74</v>
          </cell>
          <cell r="G34">
            <v>77</v>
          </cell>
          <cell r="H34">
            <v>81</v>
          </cell>
          <cell r="I34">
            <v>88</v>
          </cell>
          <cell r="J34">
            <v>95</v>
          </cell>
          <cell r="K34">
            <v>95</v>
          </cell>
          <cell r="L34">
            <v>93</v>
          </cell>
          <cell r="M34">
            <v>214</v>
          </cell>
          <cell r="N34">
            <v>214</v>
          </cell>
          <cell r="O34">
            <v>214</v>
          </cell>
          <cell r="P34">
            <v>214</v>
          </cell>
          <cell r="Q34">
            <v>214</v>
          </cell>
          <cell r="R34">
            <v>214</v>
          </cell>
          <cell r="S34">
            <v>214</v>
          </cell>
          <cell r="T34">
            <v>214</v>
          </cell>
          <cell r="BU34" t="str">
            <v>mstag:dividendsPayable</v>
          </cell>
          <cell r="BV34">
            <v>6</v>
          </cell>
          <cell r="BW34" t="str">
            <v>ISO4217:USD</v>
          </cell>
          <cell r="BX34" t="b">
            <v>0</v>
          </cell>
        </row>
        <row r="35">
          <cell r="A35" t="str">
            <v>Total current liabilities</v>
          </cell>
          <cell r="B35">
            <v>2678</v>
          </cell>
          <cell r="C35">
            <v>2783</v>
          </cell>
          <cell r="D35">
            <v>2339</v>
          </cell>
          <cell r="E35">
            <v>2002</v>
          </cell>
          <cell r="F35">
            <v>2962</v>
          </cell>
          <cell r="G35">
            <v>2030</v>
          </cell>
          <cell r="H35">
            <v>2382</v>
          </cell>
          <cell r="I35">
            <v>1628</v>
          </cell>
          <cell r="J35">
            <v>2065</v>
          </cell>
          <cell r="K35">
            <v>1989</v>
          </cell>
          <cell r="L35">
            <v>2070</v>
          </cell>
          <cell r="M35">
            <v>3282</v>
          </cell>
          <cell r="N35">
            <v>3303.5256496902502</v>
          </cell>
          <cell r="O35">
            <v>3310.4567222851492</v>
          </cell>
          <cell r="P35">
            <v>3320.5008809592782</v>
          </cell>
          <cell r="Q35">
            <v>3330.5539559570634</v>
          </cell>
          <cell r="R35">
            <v>3339.0064894913785</v>
          </cell>
          <cell r="S35">
            <v>3347.4263199074799</v>
          </cell>
          <cell r="T35">
            <v>3355.8190255668733</v>
          </cell>
        </row>
        <row r="37">
          <cell r="A37" t="str">
            <v>Long term debt</v>
          </cell>
          <cell r="B37">
            <v>2449</v>
          </cell>
          <cell r="C37">
            <v>2249</v>
          </cell>
          <cell r="D37">
            <v>2543</v>
          </cell>
          <cell r="E37">
            <v>2542</v>
          </cell>
          <cell r="F37">
            <v>2116</v>
          </cell>
          <cell r="G37">
            <v>2074</v>
          </cell>
          <cell r="H37">
            <v>1633</v>
          </cell>
          <cell r="I37">
            <v>2246</v>
          </cell>
          <cell r="J37">
            <v>1945</v>
          </cell>
          <cell r="K37">
            <v>2427</v>
          </cell>
          <cell r="L37">
            <v>2004</v>
          </cell>
          <cell r="M37">
            <v>2544</v>
          </cell>
          <cell r="N37">
            <v>2544</v>
          </cell>
          <cell r="O37">
            <v>2894</v>
          </cell>
          <cell r="P37">
            <v>3244</v>
          </cell>
          <cell r="Q37">
            <v>3594</v>
          </cell>
          <cell r="R37">
            <v>3944</v>
          </cell>
          <cell r="S37">
            <v>4294</v>
          </cell>
          <cell r="T37">
            <v>4644</v>
          </cell>
          <cell r="BU37" t="str">
            <v>mstag:longTermDebt</v>
          </cell>
          <cell r="BV37">
            <v>6</v>
          </cell>
          <cell r="BW37" t="str">
            <v>ISO4217:USD</v>
          </cell>
          <cell r="BX37" t="b">
            <v>0</v>
          </cell>
        </row>
        <row r="38">
          <cell r="A38" t="str">
            <v>Deferred income taxes</v>
          </cell>
          <cell r="B38">
            <v>188</v>
          </cell>
          <cell r="C38">
            <v>0</v>
          </cell>
          <cell r="D38">
            <v>0</v>
          </cell>
          <cell r="E38">
            <v>0</v>
          </cell>
          <cell r="F38">
            <v>0</v>
          </cell>
          <cell r="G38">
            <v>354</v>
          </cell>
          <cell r="H38">
            <v>354</v>
          </cell>
          <cell r="I38">
            <v>237</v>
          </cell>
          <cell r="J38">
            <v>258</v>
          </cell>
          <cell r="K38">
            <v>367</v>
          </cell>
          <cell r="L38">
            <v>298</v>
          </cell>
          <cell r="M38">
            <v>489</v>
          </cell>
          <cell r="N38">
            <v>489</v>
          </cell>
          <cell r="O38">
            <v>489</v>
          </cell>
          <cell r="P38">
            <v>489</v>
          </cell>
          <cell r="Q38">
            <v>489</v>
          </cell>
          <cell r="R38">
            <v>489</v>
          </cell>
          <cell r="S38">
            <v>489</v>
          </cell>
          <cell r="T38">
            <v>489</v>
          </cell>
          <cell r="BU38" t="str">
            <v>mstag:deferredTaxLiabilities</v>
          </cell>
          <cell r="BV38">
            <v>6</v>
          </cell>
          <cell r="BW38" t="str">
            <v>ISO4217:USD</v>
          </cell>
          <cell r="BX38" t="b">
            <v>0</v>
          </cell>
        </row>
        <row r="39">
          <cell r="A39" t="str">
            <v>Non-pension post retirement</v>
          </cell>
          <cell r="B39">
            <v>319</v>
          </cell>
          <cell r="C39">
            <v>304</v>
          </cell>
          <cell r="D39">
            <v>298</v>
          </cell>
          <cell r="E39">
            <v>278</v>
          </cell>
          <cell r="F39">
            <v>278</v>
          </cell>
          <cell r="G39">
            <v>307</v>
          </cell>
          <cell r="H39">
            <v>299</v>
          </cell>
          <cell r="I39">
            <v>313</v>
          </cell>
          <cell r="J39">
            <v>332</v>
          </cell>
          <cell r="K39">
            <v>0</v>
          </cell>
          <cell r="L39">
            <v>0</v>
          </cell>
          <cell r="M39">
            <v>0</v>
          </cell>
          <cell r="N39">
            <v>0</v>
          </cell>
          <cell r="O39">
            <v>0</v>
          </cell>
          <cell r="P39">
            <v>0</v>
          </cell>
          <cell r="Q39">
            <v>0</v>
          </cell>
          <cell r="R39">
            <v>0</v>
          </cell>
          <cell r="S39">
            <v>0</v>
          </cell>
          <cell r="T39">
            <v>0</v>
          </cell>
          <cell r="BU39" t="str">
            <v>mstag:otherLiabilitiesNonOperating</v>
          </cell>
          <cell r="BV39">
            <v>6</v>
          </cell>
          <cell r="BW39" t="str">
            <v>ISO4217:USD</v>
          </cell>
          <cell r="BX39" t="b">
            <v>0</v>
          </cell>
        </row>
        <row r="40">
          <cell r="A40" t="str">
            <v>Other noncurrent liabs.</v>
          </cell>
          <cell r="B40">
            <v>201</v>
          </cell>
          <cell r="C40">
            <v>482</v>
          </cell>
          <cell r="D40">
            <v>621</v>
          </cell>
          <cell r="E40">
            <v>708.8</v>
          </cell>
          <cell r="F40">
            <v>746</v>
          </cell>
          <cell r="G40">
            <v>385</v>
          </cell>
          <cell r="H40">
            <v>466</v>
          </cell>
          <cell r="I40">
            <v>901</v>
          </cell>
          <cell r="J40">
            <v>747</v>
          </cell>
          <cell r="K40">
            <v>983</v>
          </cell>
          <cell r="L40">
            <v>1260</v>
          </cell>
          <cell r="M40">
            <v>798</v>
          </cell>
          <cell r="N40">
            <v>799</v>
          </cell>
          <cell r="O40">
            <v>800</v>
          </cell>
          <cell r="P40">
            <v>801</v>
          </cell>
          <cell r="Q40">
            <v>802</v>
          </cell>
          <cell r="R40">
            <v>804</v>
          </cell>
          <cell r="S40">
            <v>807</v>
          </cell>
          <cell r="T40">
            <v>811</v>
          </cell>
          <cell r="BU40" t="str">
            <v>mstag:otherLiabilitiesNonOperating</v>
          </cell>
          <cell r="BV40">
            <v>6</v>
          </cell>
          <cell r="BW40" t="str">
            <v>ISO4217:USD</v>
          </cell>
          <cell r="BX40" t="b">
            <v>0</v>
          </cell>
        </row>
        <row r="41">
          <cell r="A41" t="str">
            <v>Total liabilities</v>
          </cell>
          <cell r="B41">
            <v>5835</v>
          </cell>
          <cell r="C41">
            <v>5818</v>
          </cell>
          <cell r="D41">
            <v>5801</v>
          </cell>
          <cell r="E41">
            <v>5530.8</v>
          </cell>
          <cell r="F41">
            <v>6102</v>
          </cell>
          <cell r="G41">
            <v>5150</v>
          </cell>
          <cell r="H41">
            <v>5134</v>
          </cell>
          <cell r="I41">
            <v>5325</v>
          </cell>
          <cell r="J41">
            <v>5347</v>
          </cell>
          <cell r="K41">
            <v>5766</v>
          </cell>
          <cell r="L41">
            <v>5632</v>
          </cell>
          <cell r="M41">
            <v>7113</v>
          </cell>
          <cell r="N41">
            <v>7135.5256496902502</v>
          </cell>
          <cell r="O41">
            <v>7493.4567222851492</v>
          </cell>
          <cell r="P41">
            <v>7854.5008809592782</v>
          </cell>
          <cell r="Q41">
            <v>8215.5539559570643</v>
          </cell>
          <cell r="R41">
            <v>8576.0064894913776</v>
          </cell>
          <cell r="S41">
            <v>8937.4263199074794</v>
          </cell>
          <cell r="T41">
            <v>9299.8190255668742</v>
          </cell>
        </row>
        <row r="43">
          <cell r="A43" t="str">
            <v>net issuance of common stock</v>
          </cell>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BU43" t="str">
            <v>mstag:netIssuanceRepurchaseOfCommonStock</v>
          </cell>
          <cell r="BV43">
            <v>6</v>
          </cell>
          <cell r="BW43" t="str">
            <v>ISO4217:USD</v>
          </cell>
          <cell r="BX43" t="b">
            <v>0</v>
          </cell>
        </row>
        <row r="44">
          <cell r="A44" t="str">
            <v>Common stock</v>
          </cell>
          <cell r="B44">
            <v>20</v>
          </cell>
          <cell r="C44">
            <v>20</v>
          </cell>
          <cell r="D44">
            <v>20</v>
          </cell>
          <cell r="E44">
            <v>20</v>
          </cell>
          <cell r="F44">
            <v>20</v>
          </cell>
          <cell r="G44">
            <v>20</v>
          </cell>
          <cell r="H44">
            <v>20</v>
          </cell>
          <cell r="I44">
            <v>20</v>
          </cell>
          <cell r="J44">
            <v>20</v>
          </cell>
          <cell r="K44">
            <v>20</v>
          </cell>
          <cell r="L44">
            <v>20</v>
          </cell>
          <cell r="M44">
            <v>12</v>
          </cell>
          <cell r="N44">
            <v>12</v>
          </cell>
          <cell r="O44">
            <v>12</v>
          </cell>
          <cell r="P44">
            <v>12</v>
          </cell>
          <cell r="Q44">
            <v>12</v>
          </cell>
          <cell r="R44">
            <v>12</v>
          </cell>
          <cell r="S44">
            <v>12</v>
          </cell>
          <cell r="T44">
            <v>12</v>
          </cell>
          <cell r="BU44" t="str">
            <v>mstag:commonStock</v>
          </cell>
          <cell r="BV44">
            <v>6</v>
          </cell>
          <cell r="BW44" t="str">
            <v>ISO4217:USD</v>
          </cell>
          <cell r="BX44" t="b">
            <v>0</v>
          </cell>
        </row>
        <row r="45">
          <cell r="A45" t="str">
            <v>Retained earnings</v>
          </cell>
          <cell r="B45">
            <v>4918</v>
          </cell>
          <cell r="C45">
            <v>5254</v>
          </cell>
          <cell r="D45">
            <v>5642</v>
          </cell>
          <cell r="E45">
            <v>6044.1836729999995</v>
          </cell>
          <cell r="F45">
            <v>6539</v>
          </cell>
          <cell r="G45">
            <v>7082</v>
          </cell>
          <cell r="H45">
            <v>7909</v>
          </cell>
          <cell r="I45">
            <v>8288</v>
          </cell>
          <cell r="J45">
            <v>8760</v>
          </cell>
          <cell r="K45">
            <v>9185</v>
          </cell>
          <cell r="L45">
            <v>9584</v>
          </cell>
          <cell r="M45">
            <v>1772</v>
          </cell>
          <cell r="N45">
            <v>2196.9710627872023</v>
          </cell>
          <cell r="O45">
            <v>2639.5049201908651</v>
          </cell>
          <cell r="P45">
            <v>3101.378100295924</v>
          </cell>
          <cell r="Q45">
            <v>3581.9245192443504</v>
          </cell>
          <cell r="R45">
            <v>4081.8119030698122</v>
          </cell>
          <cell r="S45">
            <v>4601.7227570891864</v>
          </cell>
          <cell r="T45">
            <v>5142.3327533101983</v>
          </cell>
          <cell r="BU45" t="str">
            <v>mstag:retainedEarnings</v>
          </cell>
          <cell r="BV45">
            <v>6</v>
          </cell>
          <cell r="BW45" t="str">
            <v>ISO4217:USD</v>
          </cell>
          <cell r="BX45" t="b">
            <v>0</v>
          </cell>
        </row>
        <row r="46">
          <cell r="A46" t="str">
            <v>Treasury stock</v>
          </cell>
          <cell r="B46">
            <v>-4891</v>
          </cell>
          <cell r="C46">
            <v>-4869</v>
          </cell>
          <cell r="D46">
            <v>-4848</v>
          </cell>
          <cell r="E46">
            <v>-4832</v>
          </cell>
          <cell r="F46">
            <v>-5147</v>
          </cell>
          <cell r="G46">
            <v>-6015</v>
          </cell>
          <cell r="H46">
            <v>-6812</v>
          </cell>
          <cell r="I46">
            <v>-7194</v>
          </cell>
          <cell r="J46">
            <v>-7459</v>
          </cell>
          <cell r="K46">
            <v>-8021</v>
          </cell>
          <cell r="L46">
            <v>-8259</v>
          </cell>
          <cell r="M46">
            <v>-364</v>
          </cell>
          <cell r="N46">
            <v>-364</v>
          </cell>
          <cell r="O46">
            <v>-714</v>
          </cell>
          <cell r="P46">
            <v>-1064</v>
          </cell>
          <cell r="Q46">
            <v>-1414</v>
          </cell>
          <cell r="R46">
            <v>-1764</v>
          </cell>
          <cell r="S46">
            <v>-2114</v>
          </cell>
          <cell r="T46">
            <v>-2464</v>
          </cell>
          <cell r="BU46" t="str">
            <v>mstag:treasuryStockAndInvestmentInOwnShares</v>
          </cell>
          <cell r="BV46">
            <v>6</v>
          </cell>
          <cell r="BW46" t="str">
            <v>ISO4217:USD</v>
          </cell>
          <cell r="BX46" t="b">
            <v>1</v>
          </cell>
        </row>
        <row r="47">
          <cell r="A47" t="str">
            <v>Capital surplus</v>
          </cell>
          <cell r="B47">
            <v>320</v>
          </cell>
          <cell r="C47">
            <v>298</v>
          </cell>
          <cell r="D47">
            <v>264</v>
          </cell>
          <cell r="E47">
            <v>236</v>
          </cell>
          <cell r="F47">
            <v>352</v>
          </cell>
          <cell r="G47">
            <v>331</v>
          </cell>
          <cell r="H47">
            <v>337</v>
          </cell>
          <cell r="I47">
            <v>332</v>
          </cell>
          <cell r="J47">
            <v>341</v>
          </cell>
          <cell r="K47">
            <v>331</v>
          </cell>
          <cell r="L47">
            <v>329</v>
          </cell>
          <cell r="M47">
            <v>362</v>
          </cell>
          <cell r="N47">
            <v>362</v>
          </cell>
          <cell r="O47">
            <v>362</v>
          </cell>
          <cell r="P47">
            <v>362</v>
          </cell>
          <cell r="Q47">
            <v>362</v>
          </cell>
          <cell r="R47">
            <v>362</v>
          </cell>
          <cell r="S47">
            <v>362</v>
          </cell>
          <cell r="T47">
            <v>362</v>
          </cell>
          <cell r="BU47" t="str">
            <v>mstag:additionalPaidInCapital</v>
          </cell>
          <cell r="BV47">
            <v>6</v>
          </cell>
          <cell r="BW47" t="str">
            <v>ISO4217:USD</v>
          </cell>
          <cell r="BX47" t="b">
            <v>0</v>
          </cell>
        </row>
        <row r="48">
          <cell r="A48" t="str">
            <v>Translation and other</v>
          </cell>
          <cell r="B48">
            <v>-481</v>
          </cell>
          <cell r="C48">
            <v>-316</v>
          </cell>
          <cell r="D48">
            <v>-204</v>
          </cell>
          <cell r="E48">
            <v>-223</v>
          </cell>
          <cell r="F48">
            <v>4</v>
          </cell>
          <cell r="G48">
            <v>-123</v>
          </cell>
          <cell r="H48">
            <v>-136</v>
          </cell>
          <cell r="I48">
            <v>-718</v>
          </cell>
          <cell r="J48">
            <v>-736</v>
          </cell>
          <cell r="K48">
            <v>-427</v>
          </cell>
          <cell r="L48">
            <v>-776</v>
          </cell>
          <cell r="M48">
            <v>-565</v>
          </cell>
          <cell r="N48">
            <v>-565</v>
          </cell>
          <cell r="O48">
            <v>-565</v>
          </cell>
          <cell r="P48">
            <v>-565</v>
          </cell>
          <cell r="Q48">
            <v>-565</v>
          </cell>
          <cell r="R48">
            <v>-565</v>
          </cell>
          <cell r="S48">
            <v>-565</v>
          </cell>
          <cell r="T48">
            <v>-565</v>
          </cell>
          <cell r="BU48" t="str">
            <v>mstag:accumulatedOtherComprehensiveIncomeLossAndReserves</v>
          </cell>
          <cell r="BV48">
            <v>6</v>
          </cell>
          <cell r="BW48" t="str">
            <v>ISO4217:USD</v>
          </cell>
          <cell r="BX48" t="b">
            <v>0</v>
          </cell>
        </row>
        <row r="49">
          <cell r="A49" t="str">
            <v>Total shareholders' equity</v>
          </cell>
          <cell r="B49">
            <v>-114</v>
          </cell>
          <cell r="C49">
            <v>387</v>
          </cell>
          <cell r="D49">
            <v>874</v>
          </cell>
          <cell r="E49">
            <v>1245.1836729999995</v>
          </cell>
          <cell r="F49">
            <v>1768</v>
          </cell>
          <cell r="G49">
            <v>1295</v>
          </cell>
          <cell r="H49">
            <v>1318</v>
          </cell>
          <cell r="I49">
            <v>728</v>
          </cell>
          <cell r="J49">
            <v>926</v>
          </cell>
          <cell r="K49">
            <v>1088</v>
          </cell>
          <cell r="L49">
            <v>898</v>
          </cell>
          <cell r="M49">
            <v>1217</v>
          </cell>
          <cell r="N49">
            <v>1641.9710627872023</v>
          </cell>
          <cell r="O49">
            <v>1734.5049201908651</v>
          </cell>
          <cell r="P49">
            <v>1846.378100295924</v>
          </cell>
          <cell r="Q49">
            <v>1976.9245192443504</v>
          </cell>
          <cell r="R49">
            <v>2126.8119030698122</v>
          </cell>
          <cell r="S49">
            <v>2296.7227570891864</v>
          </cell>
          <cell r="T49">
            <v>2487.3327533101983</v>
          </cell>
        </row>
        <row r="51">
          <cell r="A51" t="str">
            <v>Noncontrolling interest</v>
          </cell>
          <cell r="B51">
            <v>0</v>
          </cell>
          <cell r="C51">
            <v>0</v>
          </cell>
          <cell r="D51">
            <v>0</v>
          </cell>
          <cell r="E51">
            <v>0</v>
          </cell>
          <cell r="F51">
            <v>0</v>
          </cell>
          <cell r="G51">
            <v>0</v>
          </cell>
          <cell r="H51">
            <v>0</v>
          </cell>
          <cell r="I51">
            <v>3</v>
          </cell>
          <cell r="J51">
            <v>3</v>
          </cell>
          <cell r="K51">
            <v>8</v>
          </cell>
          <cell r="L51">
            <v>0</v>
          </cell>
          <cell r="M51">
            <v>-7</v>
          </cell>
          <cell r="N51">
            <v>-7</v>
          </cell>
          <cell r="O51">
            <v>-7</v>
          </cell>
          <cell r="P51">
            <v>-7</v>
          </cell>
          <cell r="Q51">
            <v>-7</v>
          </cell>
          <cell r="R51">
            <v>-7</v>
          </cell>
          <cell r="S51">
            <v>-7</v>
          </cell>
          <cell r="T51">
            <v>-7</v>
          </cell>
          <cell r="BU51" t="str">
            <v>mstag:minorityInterestsInEquity</v>
          </cell>
          <cell r="BV51">
            <v>6</v>
          </cell>
          <cell r="BW51" t="str">
            <v>ISO4217:USD</v>
          </cell>
          <cell r="BX51" t="b">
            <v>0</v>
          </cell>
        </row>
        <row r="53">
          <cell r="A53" t="str">
            <v>Total liabilities &amp; equity</v>
          </cell>
          <cell r="B53">
            <v>5721</v>
          </cell>
          <cell r="C53">
            <v>6205</v>
          </cell>
          <cell r="D53">
            <v>6675</v>
          </cell>
          <cell r="E53">
            <v>6775.9836729999997</v>
          </cell>
          <cell r="F53">
            <v>7870</v>
          </cell>
          <cell r="G53">
            <v>6445</v>
          </cell>
          <cell r="H53">
            <v>6452</v>
          </cell>
          <cell r="I53">
            <v>6056</v>
          </cell>
          <cell r="J53">
            <v>6276</v>
          </cell>
          <cell r="K53">
            <v>6862</v>
          </cell>
          <cell r="L53">
            <v>6530</v>
          </cell>
          <cell r="M53">
            <v>8323</v>
          </cell>
          <cell r="N53">
            <v>8770.4967124774521</v>
          </cell>
          <cell r="O53">
            <v>9220.9616424760134</v>
          </cell>
          <cell r="P53">
            <v>9693.8789812552022</v>
          </cell>
          <cell r="Q53">
            <v>10185.478475201415</v>
          </cell>
          <cell r="R53">
            <v>10695.81839256119</v>
          </cell>
          <cell r="S53">
            <v>11227.149076996666</v>
          </cell>
          <cell r="T53">
            <v>11780.151778877073</v>
          </cell>
        </row>
        <row r="55">
          <cell r="A55" t="str">
            <v>check</v>
          </cell>
          <cell r="B55" t="str">
            <v>okay</v>
          </cell>
          <cell r="C55" t="str">
            <v>okay</v>
          </cell>
          <cell r="D55" t="str">
            <v>okay</v>
          </cell>
          <cell r="E55">
            <v>1.6327000000273983E-2</v>
          </cell>
          <cell r="F55" t="str">
            <v>okay</v>
          </cell>
          <cell r="G55" t="str">
            <v>okay</v>
          </cell>
          <cell r="H55">
            <v>22.000000469387487</v>
          </cell>
          <cell r="I55">
            <v>4.6938748710090294E-7</v>
          </cell>
          <cell r="J55">
            <v>4.6938748710090294E-7</v>
          </cell>
          <cell r="K55">
            <v>4.6938748710090294E-7</v>
          </cell>
          <cell r="L55" t="str">
            <v>okay</v>
          </cell>
          <cell r="M55" t="str">
            <v>okay</v>
          </cell>
          <cell r="N55" t="str">
            <v>okay</v>
          </cell>
          <cell r="O55" t="str">
            <v>okay</v>
          </cell>
          <cell r="P55" t="str">
            <v>okay</v>
          </cell>
          <cell r="Q55">
            <v>-1.8189894035458565E-12</v>
          </cell>
          <cell r="R55" t="str">
            <v>okay</v>
          </cell>
          <cell r="S55" t="str">
            <v>okay</v>
          </cell>
          <cell r="T55">
            <v>-3.637978807091713E-12</v>
          </cell>
        </row>
        <row r="57">
          <cell r="A57" t="str">
            <v>Interest Income and Expense</v>
          </cell>
        </row>
        <row r="58">
          <cell r="A58" t="str">
            <v>Interest Income and Expense</v>
          </cell>
        </row>
        <row r="59">
          <cell r="A59" t="str">
            <v>Interest Income</v>
          </cell>
        </row>
        <row r="60">
          <cell r="A60" t="str">
            <v>Interest Income</v>
          </cell>
          <cell r="B60">
            <v>24</v>
          </cell>
          <cell r="C60">
            <v>21</v>
          </cell>
          <cell r="D60">
            <v>32</v>
          </cell>
          <cell r="E60">
            <v>32</v>
          </cell>
          <cell r="F60">
            <v>40</v>
          </cell>
          <cell r="G60">
            <v>657</v>
          </cell>
          <cell r="H60">
            <v>71</v>
          </cell>
          <cell r="I60">
            <v>81.000000469387714</v>
          </cell>
          <cell r="J60">
            <v>51.000000469387714</v>
          </cell>
          <cell r="K60">
            <v>254.00000046938771</v>
          </cell>
          <cell r="L60">
            <v>484.00002564421288</v>
          </cell>
          <cell r="M60">
            <v>335.00002564421288</v>
          </cell>
          <cell r="N60">
            <v>333.00002564421288</v>
          </cell>
          <cell r="O60">
            <v>233.00002564421288</v>
          </cell>
          <cell r="P60">
            <v>493.7163876471285</v>
          </cell>
          <cell r="Q60">
            <v>818.65901034166336</v>
          </cell>
          <cell r="R60">
            <v>1146.1440269717355</v>
          </cell>
          <cell r="S60">
            <v>1489.6516932750365</v>
          </cell>
          <cell r="T60">
            <v>1844.1966471004466</v>
          </cell>
        </row>
        <row r="61">
          <cell r="A61" t="str">
            <v>Beginning Cash and Cash Equivalents</v>
          </cell>
          <cell r="B61">
            <v>24</v>
          </cell>
          <cell r="C61">
            <v>21</v>
          </cell>
          <cell r="D61">
            <v>32</v>
          </cell>
          <cell r="E61">
            <v>32</v>
          </cell>
          <cell r="F61">
            <v>40</v>
          </cell>
          <cell r="G61">
            <v>657</v>
          </cell>
          <cell r="H61">
            <v>71</v>
          </cell>
          <cell r="I61">
            <v>81.000000469387714</v>
          </cell>
          <cell r="J61">
            <v>51.000000469387714</v>
          </cell>
          <cell r="K61">
            <v>254.00000046938771</v>
          </cell>
          <cell r="L61">
            <v>484.00000046938771</v>
          </cell>
          <cell r="M61">
            <v>334.99999999999977</v>
          </cell>
          <cell r="N61">
            <v>332.99999999999977</v>
          </cell>
          <cell r="O61">
            <v>184.33950942083527</v>
          </cell>
          <cell r="P61">
            <v>677.4847980008218</v>
          </cell>
          <cell r="Q61">
            <v>1182.3782832089682</v>
          </cell>
          <cell r="R61">
            <v>1704.5635948706849</v>
          </cell>
          <cell r="S61">
            <v>2248.9873531065264</v>
          </cell>
          <cell r="T61">
            <v>2813.290862183424</v>
          </cell>
        </row>
        <row r="62">
          <cell r="A62" t="str">
            <v>Ending Cash and Cash Equivalents</v>
          </cell>
          <cell r="B62">
            <v>21</v>
          </cell>
          <cell r="C62">
            <v>32</v>
          </cell>
          <cell r="D62">
            <v>32</v>
          </cell>
          <cell r="E62">
            <v>40</v>
          </cell>
          <cell r="F62">
            <v>657</v>
          </cell>
          <cell r="G62">
            <v>71</v>
          </cell>
          <cell r="H62">
            <v>81.000000469387714</v>
          </cell>
          <cell r="I62">
            <v>51.000000469387714</v>
          </cell>
          <cell r="J62">
            <v>254.00000046938771</v>
          </cell>
          <cell r="K62">
            <v>484.00000046938771</v>
          </cell>
          <cell r="L62">
            <v>334.99999999999977</v>
          </cell>
          <cell r="M62">
            <v>332.99999999999977</v>
          </cell>
          <cell r="N62">
            <v>184.33950942083527</v>
          </cell>
          <cell r="O62">
            <v>677.4847980008218</v>
          </cell>
          <cell r="P62">
            <v>1182.3782832089682</v>
          </cell>
          <cell r="Q62">
            <v>1704.5635948706849</v>
          </cell>
          <cell r="R62">
            <v>2248.9873531065264</v>
          </cell>
          <cell r="S62">
            <v>2813.290862183424</v>
          </cell>
          <cell r="T62">
            <v>3398.2064562371661</v>
          </cell>
        </row>
        <row r="63">
          <cell r="A63" t="str">
            <v>Average Cash Balance</v>
          </cell>
          <cell r="B63">
            <v>22.5</v>
          </cell>
          <cell r="C63">
            <v>26.5</v>
          </cell>
          <cell r="D63">
            <v>32</v>
          </cell>
          <cell r="E63">
            <v>36</v>
          </cell>
          <cell r="F63">
            <v>348.5</v>
          </cell>
          <cell r="G63">
            <v>364</v>
          </cell>
          <cell r="H63">
            <v>76.000000234693857</v>
          </cell>
          <cell r="I63">
            <v>66.000000469387714</v>
          </cell>
          <cell r="J63">
            <v>152.50000046938771</v>
          </cell>
          <cell r="K63">
            <v>369.00000046938771</v>
          </cell>
          <cell r="L63">
            <v>409.50000023469374</v>
          </cell>
          <cell r="M63">
            <v>333.99999999999977</v>
          </cell>
          <cell r="N63">
            <v>258.66975471041752</v>
          </cell>
          <cell r="O63">
            <v>430.91215371082853</v>
          </cell>
          <cell r="P63">
            <v>929.93154060489496</v>
          </cell>
          <cell r="Q63">
            <v>1443.4709390398266</v>
          </cell>
          <cell r="R63">
            <v>1976.7754739886057</v>
          </cell>
          <cell r="S63">
            <v>2531.1391076449754</v>
          </cell>
          <cell r="T63">
            <v>3105.748659210295</v>
          </cell>
        </row>
        <row r="64">
          <cell r="A64" t="str">
            <v>Interest Income</v>
          </cell>
          <cell r="B64">
            <v>4</v>
          </cell>
          <cell r="C64">
            <v>5</v>
          </cell>
          <cell r="D64">
            <v>6</v>
          </cell>
          <cell r="E64">
            <v>4</v>
          </cell>
          <cell r="F64">
            <v>0.64000000000000035</v>
          </cell>
          <cell r="G64">
            <v>19</v>
          </cell>
          <cell r="H64">
            <v>8</v>
          </cell>
          <cell r="I64">
            <v>4</v>
          </cell>
          <cell r="J64">
            <v>6</v>
          </cell>
          <cell r="K64">
            <v>11</v>
          </cell>
          <cell r="L64">
            <v>8</v>
          </cell>
          <cell r="M64">
            <v>10</v>
          </cell>
          <cell r="N64">
            <v>3</v>
          </cell>
          <cell r="O64">
            <v>4.7236566863937188</v>
          </cell>
          <cell r="P64">
            <v>14.436129377876711</v>
          </cell>
          <cell r="Q64">
            <v>19.648030373133988</v>
          </cell>
          <cell r="R64">
            <v>34.26534436320803</v>
          </cell>
          <cell r="S64">
            <v>41.673104254693541</v>
          </cell>
          <cell r="T64">
            <v>50.68500547966655</v>
          </cell>
          <cell r="BU64" t="str">
            <v>mstag:interestIncome</v>
          </cell>
          <cell r="BV64">
            <v>6</v>
          </cell>
          <cell r="BW64" t="str">
            <v>ISO4217:USD</v>
          </cell>
          <cell r="BX64" t="b">
            <v>0</v>
          </cell>
        </row>
        <row r="65">
          <cell r="A65" t="str">
            <v>Interest Income</v>
          </cell>
          <cell r="B65">
            <v>4</v>
          </cell>
          <cell r="C65">
            <v>5</v>
          </cell>
          <cell r="D65">
            <v>6</v>
          </cell>
          <cell r="E65">
            <v>4</v>
          </cell>
          <cell r="F65">
            <v>0.64000000000000035</v>
          </cell>
          <cell r="G65">
            <v>19</v>
          </cell>
          <cell r="H65">
            <v>8</v>
          </cell>
          <cell r="I65">
            <v>4</v>
          </cell>
          <cell r="J65">
            <v>6</v>
          </cell>
          <cell r="K65">
            <v>11</v>
          </cell>
          <cell r="L65">
            <v>8</v>
          </cell>
          <cell r="M65">
            <v>10</v>
          </cell>
          <cell r="N65">
            <v>7.7446034344436434</v>
          </cell>
          <cell r="O65">
            <v>12.901561488348168</v>
          </cell>
          <cell r="P65">
            <v>27.842261694757354</v>
          </cell>
          <cell r="Q65">
            <v>43.217692785623584</v>
          </cell>
          <cell r="R65">
            <v>59.184894430796618</v>
          </cell>
          <cell r="S65">
            <v>75.782608013322672</v>
          </cell>
          <cell r="T65">
            <v>92.98648680270351</v>
          </cell>
          <cell r="BU65" t="str">
            <v>mstag:interestIncome</v>
          </cell>
          <cell r="BV65">
            <v>6</v>
          </cell>
          <cell r="BW65" t="str">
            <v>ISO4217:USD</v>
          </cell>
          <cell r="BX65" t="b">
            <v>0</v>
          </cell>
        </row>
        <row r="66">
          <cell r="A66" t="str">
            <v>Interest Rate</v>
          </cell>
          <cell r="B66">
            <v>0.17777777777777778</v>
          </cell>
          <cell r="C66">
            <v>0.18867924528301888</v>
          </cell>
          <cell r="D66">
            <v>0.1875</v>
          </cell>
          <cell r="E66">
            <v>0.1111111111111111</v>
          </cell>
          <cell r="F66">
            <v>1.836441893830704E-3</v>
          </cell>
          <cell r="G66">
            <v>5.21978021978022E-2</v>
          </cell>
          <cell r="H66">
            <v>0.10526315756967609</v>
          </cell>
          <cell r="I66">
            <v>6.060606017503424E-2</v>
          </cell>
          <cell r="J66">
            <v>3.9344262173982208E-2</v>
          </cell>
          <cell r="K66">
            <v>2.9810298065060737E-2</v>
          </cell>
          <cell r="L66">
            <v>1.9536019524822999E-2</v>
          </cell>
          <cell r="M66">
            <v>2.9940119760479063E-2</v>
          </cell>
          <cell r="N66">
            <v>2.9940119760479063E-2</v>
          </cell>
          <cell r="O66">
            <v>2.9940119760479063E-2</v>
          </cell>
          <cell r="P66">
            <v>2.9940119760479063E-2</v>
          </cell>
          <cell r="Q66">
            <v>2.9940119760479063E-2</v>
          </cell>
          <cell r="R66">
            <v>2.9940119760479063E-2</v>
          </cell>
          <cell r="S66">
            <v>2.9940119760479063E-2</v>
          </cell>
          <cell r="T66">
            <v>2.9940119760479063E-2</v>
          </cell>
        </row>
        <row r="67">
          <cell r="A67" t="str">
            <v>Interest Expense</v>
          </cell>
        </row>
        <row r="68">
          <cell r="A68" t="str">
            <v>Interest Expense</v>
          </cell>
          <cell r="B68">
            <v>4049</v>
          </cell>
          <cell r="C68">
            <v>3645</v>
          </cell>
          <cell r="D68">
            <v>3528</v>
          </cell>
          <cell r="E68">
            <v>3353</v>
          </cell>
          <cell r="F68">
            <v>2993</v>
          </cell>
          <cell r="G68">
            <v>3213</v>
          </cell>
          <cell r="H68">
            <v>2669</v>
          </cell>
          <cell r="I68">
            <v>2615</v>
          </cell>
          <cell r="J68">
            <v>2624</v>
          </cell>
          <cell r="K68">
            <v>2780</v>
          </cell>
          <cell r="L68">
            <v>3084</v>
          </cell>
          <cell r="M68">
            <v>2790</v>
          </cell>
          <cell r="N68">
            <v>4453</v>
          </cell>
          <cell r="O68">
            <v>4015</v>
          </cell>
          <cell r="P68">
            <v>4185</v>
          </cell>
          <cell r="Q68">
            <v>4435</v>
          </cell>
          <cell r="R68">
            <v>4835</v>
          </cell>
          <cell r="S68">
            <v>5185</v>
          </cell>
          <cell r="T68">
            <v>5535</v>
          </cell>
        </row>
        <row r="69">
          <cell r="A69" t="str">
            <v>Beginning Total Debt</v>
          </cell>
          <cell r="B69">
            <v>4049</v>
          </cell>
          <cell r="C69">
            <v>3645</v>
          </cell>
          <cell r="D69">
            <v>3528</v>
          </cell>
          <cell r="E69">
            <v>3353</v>
          </cell>
          <cell r="F69">
            <v>2993</v>
          </cell>
          <cell r="G69">
            <v>3213</v>
          </cell>
          <cell r="H69">
            <v>2669</v>
          </cell>
          <cell r="I69">
            <v>2615</v>
          </cell>
          <cell r="J69">
            <v>2624</v>
          </cell>
          <cell r="K69">
            <v>2780</v>
          </cell>
          <cell r="L69">
            <v>3084</v>
          </cell>
          <cell r="M69">
            <v>2790</v>
          </cell>
          <cell r="N69">
            <v>4453</v>
          </cell>
          <cell r="O69">
            <v>4453</v>
          </cell>
          <cell r="P69">
            <v>4803</v>
          </cell>
          <cell r="Q69">
            <v>5153</v>
          </cell>
          <cell r="R69">
            <v>5503</v>
          </cell>
          <cell r="S69">
            <v>5853</v>
          </cell>
          <cell r="T69">
            <v>6203</v>
          </cell>
        </row>
        <row r="70">
          <cell r="A70" t="str">
            <v>Ending Total Debt</v>
          </cell>
          <cell r="B70">
            <v>3645</v>
          </cell>
          <cell r="C70">
            <v>3528</v>
          </cell>
          <cell r="D70">
            <v>3353</v>
          </cell>
          <cell r="E70">
            <v>2993</v>
          </cell>
          <cell r="F70">
            <v>3213</v>
          </cell>
          <cell r="G70">
            <v>2669</v>
          </cell>
          <cell r="H70">
            <v>2615</v>
          </cell>
          <cell r="I70">
            <v>2624</v>
          </cell>
          <cell r="J70">
            <v>2780</v>
          </cell>
          <cell r="K70">
            <v>3084</v>
          </cell>
          <cell r="L70">
            <v>2790</v>
          </cell>
          <cell r="M70">
            <v>4453</v>
          </cell>
          <cell r="N70">
            <v>4453</v>
          </cell>
          <cell r="O70">
            <v>4803</v>
          </cell>
          <cell r="P70">
            <v>5153</v>
          </cell>
          <cell r="Q70">
            <v>5503</v>
          </cell>
          <cell r="R70">
            <v>5853</v>
          </cell>
          <cell r="S70">
            <v>6203</v>
          </cell>
          <cell r="T70">
            <v>6553</v>
          </cell>
        </row>
        <row r="71">
          <cell r="A71" t="str">
            <v>Average Total Debt</v>
          </cell>
          <cell r="B71">
            <v>3847</v>
          </cell>
          <cell r="C71">
            <v>3586.5</v>
          </cell>
          <cell r="D71">
            <v>3440.5</v>
          </cell>
          <cell r="E71">
            <v>3173</v>
          </cell>
          <cell r="F71">
            <v>3103</v>
          </cell>
          <cell r="G71">
            <v>2941</v>
          </cell>
          <cell r="H71">
            <v>2642</v>
          </cell>
          <cell r="I71">
            <v>2619.5</v>
          </cell>
          <cell r="J71">
            <v>2702</v>
          </cell>
          <cell r="K71">
            <v>2932</v>
          </cell>
          <cell r="L71">
            <v>2937</v>
          </cell>
          <cell r="M71">
            <v>3621.5</v>
          </cell>
          <cell r="N71">
            <v>4453</v>
          </cell>
          <cell r="O71">
            <v>4628</v>
          </cell>
          <cell r="P71">
            <v>4978</v>
          </cell>
          <cell r="Q71">
            <v>5328</v>
          </cell>
          <cell r="R71">
            <v>5678</v>
          </cell>
          <cell r="S71">
            <v>6028</v>
          </cell>
          <cell r="T71">
            <v>6378</v>
          </cell>
        </row>
        <row r="72">
          <cell r="A72" t="str">
            <v>Interest Expense</v>
          </cell>
          <cell r="B72">
            <v>190</v>
          </cell>
          <cell r="C72">
            <v>186</v>
          </cell>
          <cell r="D72">
            <v>174</v>
          </cell>
          <cell r="E72">
            <v>184</v>
          </cell>
          <cell r="F72">
            <v>183.077</v>
          </cell>
          <cell r="G72">
            <v>163</v>
          </cell>
          <cell r="H72">
            <v>167</v>
          </cell>
          <cell r="I72">
            <v>110</v>
          </cell>
          <cell r="J72">
            <v>112</v>
          </cell>
          <cell r="K72">
            <v>122</v>
          </cell>
          <cell r="L72">
            <v>114</v>
          </cell>
          <cell r="M72">
            <v>135</v>
          </cell>
          <cell r="N72">
            <v>122</v>
          </cell>
          <cell r="O72">
            <v>127.1</v>
          </cell>
          <cell r="P72">
            <v>129.29999999999998</v>
          </cell>
          <cell r="Q72">
            <v>139.04999999999998</v>
          </cell>
          <cell r="R72">
            <v>150.29999999999998</v>
          </cell>
          <cell r="S72">
            <v>160.79999999999998</v>
          </cell>
          <cell r="T72">
            <v>171.29999999999998</v>
          </cell>
          <cell r="BU72" t="str">
            <v>mstag:interestExpense</v>
          </cell>
          <cell r="BV72">
            <v>6</v>
          </cell>
          <cell r="BW72" t="str">
            <v>ISO4217:USD</v>
          </cell>
          <cell r="BX72" t="b">
            <v>0</v>
          </cell>
        </row>
        <row r="73">
          <cell r="A73" t="str">
            <v>Interest Expense</v>
          </cell>
          <cell r="B73">
            <v>190</v>
          </cell>
          <cell r="C73">
            <v>186</v>
          </cell>
          <cell r="D73">
            <v>174</v>
          </cell>
          <cell r="E73">
            <v>184</v>
          </cell>
          <cell r="F73">
            <v>183.077</v>
          </cell>
          <cell r="G73">
            <v>163</v>
          </cell>
          <cell r="H73">
            <v>167</v>
          </cell>
          <cell r="I73">
            <v>110</v>
          </cell>
          <cell r="J73">
            <v>112</v>
          </cell>
          <cell r="K73">
            <v>122</v>
          </cell>
          <cell r="L73">
            <v>114</v>
          </cell>
          <cell r="M73">
            <v>135</v>
          </cell>
          <cell r="N73">
            <v>123.79339999999999</v>
          </cell>
          <cell r="O73">
            <v>128.6584</v>
          </cell>
          <cell r="P73">
            <v>144.36199999999999</v>
          </cell>
          <cell r="Q73">
            <v>154.512</v>
          </cell>
          <cell r="R73">
            <v>164.66200000000001</v>
          </cell>
          <cell r="S73">
            <v>174.81200000000001</v>
          </cell>
          <cell r="T73">
            <v>184.96200000000002</v>
          </cell>
          <cell r="BU73" t="str">
            <v>mstag:interestExpense</v>
          </cell>
          <cell r="BV73">
            <v>6</v>
          </cell>
          <cell r="BW73" t="str">
            <v>ISO4217:USD</v>
          </cell>
          <cell r="BX73" t="b">
            <v>0</v>
          </cell>
        </row>
        <row r="74">
          <cell r="A74" t="str">
            <v>Interest Rate</v>
          </cell>
          <cell r="B74">
            <v>4.9389134390434103E-2</v>
          </cell>
          <cell r="C74">
            <v>5.1861145964031789E-2</v>
          </cell>
          <cell r="D74">
            <v>5.057404447028048E-2</v>
          </cell>
          <cell r="E74">
            <v>5.7989284588717299E-2</v>
          </cell>
          <cell r="F74">
            <v>5.8999999999999997E-2</v>
          </cell>
          <cell r="G74">
            <v>5.5423325399523972E-2</v>
          </cell>
          <cell r="H74">
            <v>6.3209689629068894E-2</v>
          </cell>
          <cell r="I74">
            <v>4.1992746707386903E-2</v>
          </cell>
          <cell r="J74">
            <v>4.145077720207254E-2</v>
          </cell>
          <cell r="K74">
            <v>4.1609822646657572E-2</v>
          </cell>
          <cell r="L74">
            <v>3.8815117466802863E-2</v>
          </cell>
          <cell r="M74">
            <v>3.7277371255004833E-2</v>
          </cell>
          <cell r="N74">
            <v>2.7799999999999998E-2</v>
          </cell>
          <cell r="O74">
            <v>2.7799999999999998E-2</v>
          </cell>
          <cell r="P74">
            <v>2.9000000000000001E-2</v>
          </cell>
          <cell r="Q74">
            <v>2.9000000000000001E-2</v>
          </cell>
          <cell r="R74">
            <v>2.9000000000000001E-2</v>
          </cell>
          <cell r="S74">
            <v>2.9000000000000001E-2</v>
          </cell>
          <cell r="T74">
            <v>2.9000000000000001E-2</v>
          </cell>
        </row>
        <row r="75">
          <cell r="A75" t="str">
            <v>Net interest expense</v>
          </cell>
          <cell r="B75">
            <v>186</v>
          </cell>
          <cell r="C75">
            <v>181</v>
          </cell>
          <cell r="D75">
            <v>168</v>
          </cell>
          <cell r="E75">
            <v>180</v>
          </cell>
          <cell r="F75">
            <v>182.43700000000001</v>
          </cell>
          <cell r="G75">
            <v>144</v>
          </cell>
          <cell r="H75">
            <v>159</v>
          </cell>
          <cell r="I75">
            <v>106</v>
          </cell>
          <cell r="J75">
            <v>106</v>
          </cell>
          <cell r="K75">
            <v>111</v>
          </cell>
          <cell r="L75">
            <v>106</v>
          </cell>
          <cell r="M75">
            <v>125</v>
          </cell>
          <cell r="N75">
            <v>119</v>
          </cell>
          <cell r="O75">
            <v>122.37634331360627</v>
          </cell>
          <cell r="P75">
            <v>114.86387062212327</v>
          </cell>
          <cell r="Q75">
            <v>119.40196962686599</v>
          </cell>
          <cell r="R75">
            <v>116.03465563679195</v>
          </cell>
          <cell r="S75">
            <v>119.12689574530644</v>
          </cell>
          <cell r="T75">
            <v>120.61499452033343</v>
          </cell>
        </row>
        <row r="76">
          <cell r="A76" t="str">
            <v>Leverage</v>
          </cell>
        </row>
        <row r="77">
          <cell r="A77" t="str">
            <v>Leverage</v>
          </cell>
        </row>
        <row r="78">
          <cell r="A78" t="str">
            <v>Total debt</v>
          </cell>
          <cell r="B78">
            <v>3645</v>
          </cell>
          <cell r="C78">
            <v>3528</v>
          </cell>
          <cell r="D78">
            <v>3353</v>
          </cell>
          <cell r="E78">
            <v>2993</v>
          </cell>
          <cell r="F78">
            <v>3213</v>
          </cell>
          <cell r="G78">
            <v>2669</v>
          </cell>
          <cell r="H78">
            <v>2615</v>
          </cell>
          <cell r="I78">
            <v>2624</v>
          </cell>
          <cell r="J78">
            <v>2780</v>
          </cell>
          <cell r="K78">
            <v>3084</v>
          </cell>
          <cell r="L78">
            <v>2790</v>
          </cell>
          <cell r="M78">
            <v>4453</v>
          </cell>
          <cell r="N78">
            <v>4453</v>
          </cell>
          <cell r="O78">
            <v>4803</v>
          </cell>
          <cell r="P78">
            <v>5153</v>
          </cell>
          <cell r="Q78">
            <v>5503</v>
          </cell>
          <cell r="R78">
            <v>5853</v>
          </cell>
          <cell r="S78">
            <v>6203</v>
          </cell>
          <cell r="T78">
            <v>6553</v>
          </cell>
        </row>
        <row r="79">
          <cell r="A79" t="str">
            <v>Total debt / EBITDA</v>
          </cell>
          <cell r="B79">
            <v>2.7551020408163267</v>
          </cell>
          <cell r="C79">
            <v>2.6172106824925816</v>
          </cell>
          <cell r="D79">
            <v>2.4261939218523878</v>
          </cell>
          <cell r="E79">
            <v>2.0698478561549103</v>
          </cell>
          <cell r="F79">
            <v>2.1506024096385543</v>
          </cell>
          <cell r="G79">
            <v>1.741030658838878</v>
          </cell>
          <cell r="H79">
            <v>1.6613722998729352</v>
          </cell>
          <cell r="I79">
            <v>1.7061118335500651</v>
          </cell>
          <cell r="J79">
            <v>1.7256362507759155</v>
          </cell>
          <cell r="K79">
            <v>1.9155279503105591</v>
          </cell>
          <cell r="L79">
            <v>1.9551506657323054</v>
          </cell>
          <cell r="M79">
            <v>2.7169005491153144</v>
          </cell>
          <cell r="N79">
            <v>2.6705788132101338</v>
          </cell>
          <cell r="O79">
            <v>2.7835022678669898</v>
          </cell>
          <cell r="P79">
            <v>2.8860782039899924</v>
          </cell>
          <cell r="Q79">
            <v>2.9944793244490961</v>
          </cell>
          <cell r="R79">
            <v>3.0946385455764802</v>
          </cell>
          <cell r="S79">
            <v>3.1870202752508137</v>
          </cell>
          <cell r="T79">
            <v>3.2720640878660139</v>
          </cell>
        </row>
        <row r="80">
          <cell r="A80" t="str">
            <v>Total Debt / Equity</v>
          </cell>
          <cell r="B80">
            <v>-31.973684210526315</v>
          </cell>
          <cell r="C80">
            <v>9.1162790697674421</v>
          </cell>
          <cell r="D80">
            <v>3.8363844393592679</v>
          </cell>
          <cell r="E80">
            <v>2.403661455654182</v>
          </cell>
          <cell r="F80">
            <v>1.8173076923076923</v>
          </cell>
          <cell r="G80">
            <v>2.061003861003861</v>
          </cell>
          <cell r="H80">
            <v>1.9840667678300454</v>
          </cell>
          <cell r="I80">
            <v>3.6043956043956045</v>
          </cell>
          <cell r="J80">
            <v>3.002159827213823</v>
          </cell>
          <cell r="K80">
            <v>2.8345588235294117</v>
          </cell>
          <cell r="L80">
            <v>3.1069042316258351</v>
          </cell>
          <cell r="M80">
            <v>3.658997534921939</v>
          </cell>
          <cell r="N80">
            <v>2.7119844563162707</v>
          </cell>
          <cell r="O80">
            <v>2.7690898677136513</v>
          </cell>
          <cell r="P80">
            <v>2.7908693236635091</v>
          </cell>
          <cell r="Q80">
            <v>2.7836166461749579</v>
          </cell>
          <cell r="R80">
            <v>2.752006414649014</v>
          </cell>
          <cell r="S80">
            <v>2.7008048667839821</v>
          </cell>
          <cell r="T80">
            <v>2.6345489928032833</v>
          </cell>
        </row>
        <row r="81">
          <cell r="A81" t="str">
            <v>Total Capitalization</v>
          </cell>
          <cell r="B81">
            <v>3531</v>
          </cell>
          <cell r="C81">
            <v>3915</v>
          </cell>
          <cell r="D81">
            <v>4227</v>
          </cell>
          <cell r="E81">
            <v>4238.1836729999995</v>
          </cell>
          <cell r="F81">
            <v>4981</v>
          </cell>
          <cell r="G81">
            <v>3964</v>
          </cell>
          <cell r="H81">
            <v>3933</v>
          </cell>
          <cell r="I81">
            <v>3352</v>
          </cell>
          <cell r="J81">
            <v>3706</v>
          </cell>
          <cell r="K81">
            <v>4172</v>
          </cell>
          <cell r="L81">
            <v>3688</v>
          </cell>
          <cell r="M81">
            <v>5670</v>
          </cell>
          <cell r="N81">
            <v>6094.9710627872028</v>
          </cell>
          <cell r="O81">
            <v>6537.5049201908651</v>
          </cell>
          <cell r="P81">
            <v>6999.378100295924</v>
          </cell>
          <cell r="Q81">
            <v>7479.9245192443504</v>
          </cell>
          <cell r="R81">
            <v>7979.8119030698126</v>
          </cell>
          <cell r="S81">
            <v>8499.7227570891864</v>
          </cell>
          <cell r="T81">
            <v>9040.3327533101983</v>
          </cell>
        </row>
        <row r="82">
          <cell r="A82" t="str">
            <v>Debt / Total Capitalization</v>
          </cell>
          <cell r="B82">
            <v>1.032285471537808</v>
          </cell>
          <cell r="C82">
            <v>0.90114942528735631</v>
          </cell>
          <cell r="D82">
            <v>0.79323397208422053</v>
          </cell>
          <cell r="E82">
            <v>0.70619874713485553</v>
          </cell>
          <cell r="F82">
            <v>0.6450511945392492</v>
          </cell>
          <cell r="G82">
            <v>0.67330978809283548</v>
          </cell>
          <cell r="H82">
            <v>0.66488685481820498</v>
          </cell>
          <cell r="I82">
            <v>0.78281622911694515</v>
          </cell>
          <cell r="J82">
            <v>0.7501349163518618</v>
          </cell>
          <cell r="K82">
            <v>0.73921380632790024</v>
          </cell>
          <cell r="L82">
            <v>0.75650759219088937</v>
          </cell>
          <cell r="M82">
            <v>0.78536155202821867</v>
          </cell>
          <cell r="N82">
            <v>0.73060232019603111</v>
          </cell>
          <cell r="O82">
            <v>0.73468395949746745</v>
          </cell>
          <cell r="P82">
            <v>0.73620826395735617</v>
          </cell>
          <cell r="Q82">
            <v>0.73570261114826507</v>
          </cell>
          <cell r="R82">
            <v>0.73347593541000211</v>
          </cell>
          <cell r="S82">
            <v>0.72978850925771588</v>
          </cell>
          <cell r="T82">
            <v>0.7248626990638769</v>
          </cell>
        </row>
        <row r="83">
          <cell r="A83" t="str">
            <v>Operating Cash Flow / Total Debt</v>
          </cell>
          <cell r="B83">
            <v>0.27901234567901234</v>
          </cell>
          <cell r="C83">
            <v>0.28826530612244899</v>
          </cell>
          <cell r="D83">
            <v>0.26036385326573219</v>
          </cell>
          <cell r="E83">
            <v>0.24858002004677582</v>
          </cell>
          <cell r="F83">
            <v>0.30812324944581004</v>
          </cell>
          <cell r="G83">
            <v>0.45934807043836645</v>
          </cell>
          <cell r="H83">
            <v>0.25774378585086044</v>
          </cell>
          <cell r="I83">
            <v>0.29192073170731708</v>
          </cell>
          <cell r="J83">
            <v>0.41942446043165466</v>
          </cell>
          <cell r="K83">
            <v>0.34273670557717251</v>
          </cell>
          <cell r="L83">
            <v>0.40931899641577063</v>
          </cell>
          <cell r="M83">
            <v>0.25151583191794569</v>
          </cell>
          <cell r="N83">
            <v>0.22883449359982033</v>
          </cell>
          <cell r="O83">
            <v>0.24103837196770242</v>
          </cell>
          <cell r="P83">
            <v>0.23680920124731114</v>
          </cell>
          <cell r="Q83">
            <v>0.22829491341247171</v>
          </cell>
          <cell r="R83">
            <v>0.22165491919277291</v>
          </cell>
          <cell r="S83">
            <v>0.21650377723634504</v>
          </cell>
          <cell r="T83">
            <v>0.21164311629240726</v>
          </cell>
        </row>
        <row r="84">
          <cell r="A84" t="str">
            <v>Operating Cash Flow / Total Debt</v>
          </cell>
          <cell r="B84">
            <v>0.27901234567901234</v>
          </cell>
          <cell r="C84">
            <v>0.28826530612244899</v>
          </cell>
          <cell r="D84">
            <v>0.26036385326573219</v>
          </cell>
          <cell r="E84">
            <v>0.24858002004677582</v>
          </cell>
          <cell r="F84">
            <v>0.30812324944581004</v>
          </cell>
          <cell r="G84">
            <v>0.45934807043836645</v>
          </cell>
          <cell r="H84">
            <v>0.25774378585086044</v>
          </cell>
          <cell r="I84">
            <v>0.29192073170731708</v>
          </cell>
          <cell r="J84">
            <v>0.41942446043165466</v>
          </cell>
          <cell r="K84">
            <v>0.34273670557717251</v>
          </cell>
          <cell r="L84">
            <v>0.40931900543900546</v>
          </cell>
          <cell r="M84">
            <v>0.25151583202335503</v>
          </cell>
          <cell r="N84">
            <v>0.25379825653798255</v>
          </cell>
          <cell r="O84">
            <v>0.21505376344086022</v>
          </cell>
          <cell r="P84">
            <v>0.24179236467112442</v>
          </cell>
          <cell r="Q84">
            <v>0.22462390928629589</v>
          </cell>
          <cell r="R84">
            <v>0.21372026801371341</v>
          </cell>
          <cell r="S84">
            <v>0.20725400485863454</v>
          </cell>
          <cell r="T84">
            <v>0.20040214366061018</v>
          </cell>
        </row>
        <row r="85">
          <cell r="A85" t="str">
            <v>Net debt</v>
          </cell>
          <cell r="B85">
            <v>3624</v>
          </cell>
          <cell r="C85">
            <v>3496</v>
          </cell>
          <cell r="D85">
            <v>3321</v>
          </cell>
          <cell r="E85">
            <v>2953</v>
          </cell>
          <cell r="F85">
            <v>2556</v>
          </cell>
          <cell r="G85">
            <v>2598</v>
          </cell>
          <cell r="H85">
            <v>2533.9999995306125</v>
          </cell>
          <cell r="I85">
            <v>2572.9999995306125</v>
          </cell>
          <cell r="J85">
            <v>2525.9999995306125</v>
          </cell>
          <cell r="K85">
            <v>2599.9999995306125</v>
          </cell>
          <cell r="L85">
            <v>2455</v>
          </cell>
          <cell r="M85">
            <v>4120</v>
          </cell>
          <cell r="N85">
            <v>4268.6604905791646</v>
          </cell>
          <cell r="O85">
            <v>4125.5152019991783</v>
          </cell>
          <cell r="P85">
            <v>3970.6217167910318</v>
          </cell>
          <cell r="Q85">
            <v>3798.4364051293151</v>
          </cell>
          <cell r="R85">
            <v>3604.0126468934736</v>
          </cell>
          <cell r="S85">
            <v>3389.709137816576</v>
          </cell>
          <cell r="T85">
            <v>3154.7935437628339</v>
          </cell>
        </row>
        <row r="86">
          <cell r="A86" t="str">
            <v>Net Debt / EBITDA</v>
          </cell>
          <cell r="B86">
            <v>2.7392290249433104</v>
          </cell>
          <cell r="C86">
            <v>2.5934718100890208</v>
          </cell>
          <cell r="D86">
            <v>2.4030390738060783</v>
          </cell>
          <cell r="E86">
            <v>2.0421853388658366</v>
          </cell>
          <cell r="F86">
            <v>1.7108433734939759</v>
          </cell>
          <cell r="G86">
            <v>1.6947162426614482</v>
          </cell>
          <cell r="H86">
            <v>1.6099110543396522</v>
          </cell>
          <cell r="I86">
            <v>1.6729518852604763</v>
          </cell>
          <cell r="J86">
            <v>1.5679702045503492</v>
          </cell>
          <cell r="K86">
            <v>1.6149068320065916</v>
          </cell>
          <cell r="L86">
            <v>1.7203924316748422</v>
          </cell>
          <cell r="M86">
            <v>2.5137278828553997</v>
          </cell>
          <cell r="N86">
            <v>2.5600256606620015</v>
          </cell>
          <cell r="O86">
            <v>2.3908767272297431</v>
          </cell>
          <cell r="P86">
            <v>2.2238549957539142</v>
          </cell>
          <cell r="Q86">
            <v>2.0669342686524592</v>
          </cell>
          <cell r="R86">
            <v>1.9055384342767232</v>
          </cell>
          <cell r="S86">
            <v>1.7415882233474742</v>
          </cell>
          <cell r="T86">
            <v>1.5752612023772206</v>
          </cell>
        </row>
        <row r="87">
          <cell r="A87" t="str">
            <v>Net Debt/Equity</v>
          </cell>
          <cell r="B87">
            <v>-31.789473684210527</v>
          </cell>
          <cell r="C87">
            <v>9.0335917312661493</v>
          </cell>
          <cell r="D87">
            <v>3.7997711670480547</v>
          </cell>
          <cell r="E87">
            <v>2.3715376807707318</v>
          </cell>
          <cell r="F87">
            <v>1.4457013574660633</v>
          </cell>
          <cell r="G87">
            <v>2.006177606177606</v>
          </cell>
          <cell r="H87">
            <v>1.9226100148183707</v>
          </cell>
          <cell r="I87">
            <v>3.5343406586958963</v>
          </cell>
          <cell r="J87">
            <v>2.7278617705514172</v>
          </cell>
          <cell r="K87">
            <v>2.3897058819215187</v>
          </cell>
          <cell r="L87">
            <v>2.7338530066815143</v>
          </cell>
          <cell r="M87">
            <v>3.3853738701725553</v>
          </cell>
          <cell r="N87">
            <v>2.59971724674199</v>
          </cell>
          <cell r="O87">
            <v>2.3784972610773605</v>
          </cell>
          <cell r="P87">
            <v>2.150492207503246</v>
          </cell>
          <cell r="Q87">
            <v>1.9213866630483243</v>
          </cell>
          <cell r="R87">
            <v>1.6945610665858553</v>
          </cell>
          <cell r="S87">
            <v>1.4758895593095509</v>
          </cell>
          <cell r="T87">
            <v>1.2683439879784335</v>
          </cell>
        </row>
        <row r="88">
          <cell r="A88" t="str">
            <v>Net Total Capitalization</v>
          </cell>
          <cell r="B88">
            <v>3510</v>
          </cell>
          <cell r="C88">
            <v>3883</v>
          </cell>
          <cell r="D88">
            <v>4195</v>
          </cell>
          <cell r="E88">
            <v>4198.1836729999995</v>
          </cell>
          <cell r="F88">
            <v>4324</v>
          </cell>
          <cell r="G88">
            <v>3893</v>
          </cell>
          <cell r="H88">
            <v>3851.9999995306125</v>
          </cell>
          <cell r="I88">
            <v>3300.9999995306125</v>
          </cell>
          <cell r="J88">
            <v>3451.9999995306125</v>
          </cell>
          <cell r="K88">
            <v>3687.9999995306125</v>
          </cell>
          <cell r="L88">
            <v>3353</v>
          </cell>
          <cell r="M88">
            <v>5337</v>
          </cell>
          <cell r="N88">
            <v>5910.6315533663674</v>
          </cell>
          <cell r="O88">
            <v>5860.0201221900434</v>
          </cell>
          <cell r="P88">
            <v>5816.9998170869558</v>
          </cell>
          <cell r="Q88">
            <v>5775.3609243736655</v>
          </cell>
          <cell r="R88">
            <v>5730.8245499632867</v>
          </cell>
          <cell r="S88">
            <v>5686.4318949057624</v>
          </cell>
          <cell r="T88">
            <v>5642.1262970730322</v>
          </cell>
        </row>
        <row r="89">
          <cell r="A89" t="str">
            <v>Net Debt / Net Total Cap</v>
          </cell>
          <cell r="B89">
            <v>1.0324786324786326</v>
          </cell>
          <cell r="C89">
            <v>0.90033479268606742</v>
          </cell>
          <cell r="D89">
            <v>0.7916567342073898</v>
          </cell>
          <cell r="E89">
            <v>0.70339942937508548</v>
          </cell>
          <cell r="F89">
            <v>0.59111933395004623</v>
          </cell>
          <cell r="G89">
            <v>0.66735165681993325</v>
          </cell>
          <cell r="H89">
            <v>0.6578400830320339</v>
          </cell>
          <cell r="I89">
            <v>0.77946076943243914</v>
          </cell>
          <cell r="J89">
            <v>0.73174971027638669</v>
          </cell>
          <cell r="K89">
            <v>0.70498915397546791</v>
          </cell>
          <cell r="L89">
            <v>0.73218013719057562</v>
          </cell>
          <cell r="M89">
            <v>0.77196927112610081</v>
          </cell>
          <cell r="N89">
            <v>0.72220040312747502</v>
          </cell>
          <cell r="O89">
            <v>0.70401041566003442</v>
          </cell>
          <cell r="P89">
            <v>0.68258927998031893</v>
          </cell>
          <cell r="Q89">
            <v>0.65769680109494688</v>
          </cell>
          <cell r="R89">
            <v>0.62888204227375311</v>
          </cell>
          <cell r="S89">
            <v>0.59610476313859928</v>
          </cell>
          <cell r="T89">
            <v>0.55914975625402907</v>
          </cell>
        </row>
        <row r="90">
          <cell r="A90" t="str">
            <v>Operating Cash Flow / Net Debt</v>
          </cell>
          <cell r="B90">
            <v>0.2806291390728477</v>
          </cell>
          <cell r="C90">
            <v>0.24971395881006864</v>
          </cell>
          <cell r="D90">
            <v>0.22402890695573621</v>
          </cell>
          <cell r="E90">
            <v>0.33525228596999246</v>
          </cell>
          <cell r="F90">
            <v>0.47965571205007823</v>
          </cell>
          <cell r="G90">
            <v>0.25943033102386454</v>
          </cell>
          <cell r="H90">
            <v>0.30228887140563954</v>
          </cell>
          <cell r="I90">
            <v>0.45316750882732654</v>
          </cell>
          <cell r="J90">
            <v>0.41844813942850922</v>
          </cell>
          <cell r="K90">
            <v>0.43923076931006516</v>
          </cell>
          <cell r="L90">
            <v>0.45621181243609454</v>
          </cell>
          <cell r="M90">
            <v>0.24733009708737863</v>
          </cell>
          <cell r="N90">
            <v>0.27121091103776185</v>
          </cell>
          <cell r="O90">
            <v>0.29578798144679269</v>
          </cell>
          <cell r="P90">
            <v>0.31640055339347489</v>
          </cell>
          <cell r="Q90">
            <v>0.34154744312248991</v>
          </cell>
          <cell r="R90">
            <v>0.372632690774446</v>
          </cell>
          <cell r="S90">
            <v>0.4091493649385774</v>
          </cell>
          <cell r="T90">
            <v>0.45397848366024912</v>
          </cell>
        </row>
        <row r="91">
          <cell r="A91" t="str">
            <v>Operating Cash Flow / Net Debt</v>
          </cell>
          <cell r="B91">
            <v>0.2806291390728477</v>
          </cell>
          <cell r="C91">
            <v>0.24971395881006864</v>
          </cell>
          <cell r="D91">
            <v>0.22402890695573621</v>
          </cell>
          <cell r="E91">
            <v>0.33525228596999246</v>
          </cell>
          <cell r="F91">
            <v>0.47965571205007823</v>
          </cell>
          <cell r="G91">
            <v>0.25943033102386454</v>
          </cell>
          <cell r="H91">
            <v>0.30228887140563954</v>
          </cell>
          <cell r="I91">
            <v>0.45316750882732654</v>
          </cell>
          <cell r="J91">
            <v>0.41844813942850922</v>
          </cell>
          <cell r="K91">
            <v>0.43923078324559722</v>
          </cell>
          <cell r="L91">
            <v>0.45621181739274658</v>
          </cell>
          <cell r="M91">
            <v>0.24733009862684119</v>
          </cell>
          <cell r="N91">
            <v>0.23796933001124698</v>
          </cell>
          <cell r="O91">
            <v>0.29050846532838143</v>
          </cell>
          <cell r="P91">
            <v>0.3003191912778802</v>
          </cell>
          <cell r="Q91">
            <v>0.30040196683022224</v>
          </cell>
          <cell r="R91">
            <v>0.31043106675625259</v>
          </cell>
          <cell r="S91">
            <v>0.31954198115598925</v>
          </cell>
          <cell r="T91">
            <v>0.33027814955296791</v>
          </cell>
        </row>
        <row r="92">
          <cell r="A92" t="str">
            <v>EBITDA</v>
          </cell>
          <cell r="B92">
            <v>1323</v>
          </cell>
          <cell r="C92">
            <v>1348</v>
          </cell>
          <cell r="D92">
            <v>1382</v>
          </cell>
          <cell r="E92">
            <v>1446</v>
          </cell>
          <cell r="F92">
            <v>1494</v>
          </cell>
          <cell r="G92">
            <v>1533</v>
          </cell>
          <cell r="H92">
            <v>1574</v>
          </cell>
          <cell r="I92">
            <v>1538</v>
          </cell>
          <cell r="J92">
            <v>1611</v>
          </cell>
          <cell r="K92">
            <v>1610</v>
          </cell>
          <cell r="L92">
            <v>1427</v>
          </cell>
          <cell r="M92">
            <v>1639</v>
          </cell>
          <cell r="N92">
            <v>1667.4287903330328</v>
          </cell>
          <cell r="O92">
            <v>1725.5240117625483</v>
          </cell>
          <cell r="P92">
            <v>1785.4679034254848</v>
          </cell>
          <cell r="Q92">
            <v>1837.7151430198653</v>
          </cell>
          <cell r="R92">
            <v>1891.3355837199017</v>
          </cell>
          <cell r="S92">
            <v>1946.3321423368834</v>
          </cell>
          <cell r="T92">
            <v>2002.711384627481</v>
          </cell>
        </row>
        <row r="93">
          <cell r="A93" t="str">
            <v>EBIT/Interest</v>
          </cell>
          <cell r="B93">
            <v>5.397849462365591</v>
          </cell>
          <cell r="C93">
            <v>6.1049723756906076</v>
          </cell>
          <cell r="D93">
            <v>6.6785714285714288</v>
          </cell>
          <cell r="E93">
            <v>6.4833333333333334</v>
          </cell>
          <cell r="F93">
            <v>6.6050198150594444</v>
          </cell>
          <cell r="G93">
            <v>8.4459459459459456</v>
          </cell>
          <cell r="H93">
            <v>8.050314465408805</v>
          </cell>
          <cell r="I93">
            <v>12.018867924528301</v>
          </cell>
          <cell r="J93">
            <v>12.830188679245284</v>
          </cell>
          <cell r="K93">
            <v>12.09009009009009</v>
          </cell>
          <cell r="L93">
            <v>10.990566037735849</v>
          </cell>
          <cell r="M93">
            <v>9.8559999999999999</v>
          </cell>
          <cell r="N93">
            <v>10.93256147223463</v>
          </cell>
          <cell r="O93">
            <v>11.411821756547251</v>
          </cell>
          <cell r="P93">
            <v>11.800628751751171</v>
          </cell>
          <cell r="Q93">
            <v>12.769688934932656</v>
          </cell>
          <cell r="R93">
            <v>13.923664867192507</v>
          </cell>
          <cell r="S93">
            <v>15.321821644579842</v>
          </cell>
          <cell r="T93">
            <v>17.039835918709116</v>
          </cell>
        </row>
        <row r="94">
          <cell r="A94" t="str">
            <v>EBIT/Interest</v>
          </cell>
          <cell r="B94">
            <v>5.397849462365591</v>
          </cell>
          <cell r="C94">
            <v>6.1049723756906076</v>
          </cell>
          <cell r="D94">
            <v>6.6785714285714288</v>
          </cell>
          <cell r="E94">
            <v>6.4833333333333334</v>
          </cell>
          <cell r="F94">
            <v>6.6050198150594444</v>
          </cell>
          <cell r="G94">
            <v>8.4459459459459456</v>
          </cell>
          <cell r="H94">
            <v>8.050314465408805</v>
          </cell>
          <cell r="I94">
            <v>12.018867924528301</v>
          </cell>
          <cell r="J94">
            <v>12.830188679245284</v>
          </cell>
          <cell r="K94">
            <v>12.09009009009009</v>
          </cell>
          <cell r="L94">
            <v>10.990566037735849</v>
          </cell>
          <cell r="M94">
            <v>9.8559999999999999</v>
          </cell>
          <cell r="N94">
            <v>10.756302521008404</v>
          </cell>
          <cell r="O94">
            <v>10.091037121784614</v>
          </cell>
          <cell r="P94">
            <v>11.096626903096855</v>
          </cell>
          <cell r="Q94">
            <v>11.00715036889409</v>
          </cell>
          <cell r="R94">
            <v>11.677741210360994</v>
          </cell>
          <cell r="S94">
            <v>11.725933837568942</v>
          </cell>
          <cell r="T94">
            <v>11.937665707414261</v>
          </cell>
        </row>
        <row r="95">
          <cell r="A95" t="str">
            <v>Unfunded pension/postretirement liability</v>
          </cell>
          <cell r="D95">
            <v>599</v>
          </cell>
          <cell r="E95">
            <v>686</v>
          </cell>
          <cell r="F95">
            <v>481</v>
          </cell>
          <cell r="G95">
            <v>212</v>
          </cell>
          <cell r="H95">
            <v>355</v>
          </cell>
          <cell r="I95">
            <v>1002</v>
          </cell>
          <cell r="J95">
            <v>870</v>
          </cell>
          <cell r="K95">
            <v>930.13260000000014</v>
          </cell>
          <cell r="L95">
            <v>995.37322794000011</v>
          </cell>
          <cell r="M95">
            <v>1066.0586762328783</v>
          </cell>
          <cell r="N95">
            <v>1142.545856773886</v>
          </cell>
          <cell r="O95">
            <v>1225.2129422474377</v>
          </cell>
          <cell r="P95">
            <v>1225.2129422474377</v>
          </cell>
          <cell r="Q95">
            <v>1225.2129422474377</v>
          </cell>
          <cell r="R95">
            <v>1225.2129422474377</v>
          </cell>
          <cell r="S95">
            <v>1225.2129422474377</v>
          </cell>
          <cell r="T95">
            <v>1225.2129422474377</v>
          </cell>
        </row>
        <row r="96">
          <cell r="A96" t="str">
            <v>Net Debt (incl. settlement and pension/OPEB)</v>
          </cell>
          <cell r="B96">
            <v>3624</v>
          </cell>
          <cell r="C96">
            <v>3496</v>
          </cell>
          <cell r="D96">
            <v>3920</v>
          </cell>
          <cell r="E96">
            <v>3639</v>
          </cell>
          <cell r="F96">
            <v>3037</v>
          </cell>
          <cell r="G96">
            <v>2810</v>
          </cell>
          <cell r="H96">
            <v>2888.9999995306125</v>
          </cell>
          <cell r="I96">
            <v>3574.9999995306125</v>
          </cell>
          <cell r="J96">
            <v>3395.9999995306125</v>
          </cell>
          <cell r="K96">
            <v>3530.1325995306124</v>
          </cell>
          <cell r="L96">
            <v>3450.3732279400001</v>
          </cell>
          <cell r="M96">
            <v>5186.0586762328785</v>
          </cell>
          <cell r="N96">
            <v>5411.2063473530507</v>
          </cell>
          <cell r="O96">
            <v>5350.7281442466156</v>
          </cell>
          <cell r="P96">
            <v>5195.8346590384699</v>
          </cell>
          <cell r="Q96">
            <v>5023.6493473767532</v>
          </cell>
          <cell r="R96">
            <v>4829.2255891409113</v>
          </cell>
          <cell r="S96">
            <v>4614.9220800640142</v>
          </cell>
          <cell r="T96">
            <v>4380.0064860102721</v>
          </cell>
        </row>
        <row r="97">
          <cell r="A97" t="str">
            <v>Net Debt (incl. settlement and pension/OPEB)</v>
          </cell>
          <cell r="B97">
            <v>3624</v>
          </cell>
          <cell r="C97">
            <v>3496</v>
          </cell>
          <cell r="R97">
            <v>3695.3483067249635</v>
          </cell>
          <cell r="S97">
            <v>3690.8033528995534</v>
          </cell>
          <cell r="T97">
            <v>3674.3962087271229</v>
          </cell>
        </row>
        <row r="98">
          <cell r="A98" t="str">
            <v>Profitability</v>
          </cell>
        </row>
        <row r="99">
          <cell r="A99" t="str">
            <v>Profitability</v>
          </cell>
        </row>
        <row r="100">
          <cell r="A100" t="str">
            <v>ROE (DuPont)</v>
          </cell>
        </row>
        <row r="101">
          <cell r="A101" t="str">
            <v>Net Income* /</v>
          </cell>
          <cell r="B101">
            <v>539.29285520239068</v>
          </cell>
          <cell r="C101">
            <v>628.00709433962265</v>
          </cell>
          <cell r="D101">
            <v>654.38144654088046</v>
          </cell>
          <cell r="E101">
            <v>681.37652521325981</v>
          </cell>
          <cell r="F101">
            <v>724.14298001147779</v>
          </cell>
          <cell r="G101">
            <v>789.76212580522929</v>
          </cell>
          <cell r="H101">
            <v>830.78989613491422</v>
          </cell>
          <cell r="I101">
            <v>805.09939386216263</v>
          </cell>
          <cell r="J101">
            <v>854.98732222687329</v>
          </cell>
          <cell r="K101">
            <v>844.61600921164359</v>
          </cell>
          <cell r="L101">
            <v>742.77415166774585</v>
          </cell>
          <cell r="M101">
            <v>787.60763838177309</v>
          </cell>
          <cell r="N101">
            <v>798.57333688137396</v>
          </cell>
          <cell r="O101">
            <v>835.15197936372954</v>
          </cell>
          <cell r="P101">
            <v>871.49296540967305</v>
          </cell>
          <cell r="Q101">
            <v>906.58229727083574</v>
          </cell>
          <cell r="R101">
            <v>942.92636916848767</v>
          </cell>
          <cell r="S101">
            <v>980.55295320887956</v>
          </cell>
          <cell r="T101">
            <v>1019.4492087565679</v>
          </cell>
        </row>
        <row r="102">
          <cell r="A102" t="str">
            <v>Revenue</v>
          </cell>
          <cell r="B102">
            <v>6133</v>
          </cell>
          <cell r="C102">
            <v>6678</v>
          </cell>
          <cell r="D102">
            <v>7109</v>
          </cell>
          <cell r="E102">
            <v>7548</v>
          </cell>
          <cell r="F102">
            <v>7681</v>
          </cell>
          <cell r="G102">
            <v>7871</v>
          </cell>
          <cell r="H102">
            <v>7998</v>
          </cell>
          <cell r="I102">
            <v>7586</v>
          </cell>
          <cell r="J102">
            <v>7676</v>
          </cell>
          <cell r="K102">
            <v>7719</v>
          </cell>
          <cell r="L102">
            <v>7175</v>
          </cell>
          <cell r="M102">
            <v>8052</v>
          </cell>
          <cell r="N102">
            <v>8344.1379261466936</v>
          </cell>
          <cell r="O102">
            <v>8477.2594135308245</v>
          </cell>
          <cell r="P102">
            <v>8659.2402762490801</v>
          </cell>
          <cell r="Q102">
            <v>8842.5256276266518</v>
          </cell>
          <cell r="R102">
            <v>9027.1539918018316</v>
          </cell>
          <cell r="S102">
            <v>9213.1926462908486</v>
          </cell>
          <cell r="T102">
            <v>9400.7388930797224</v>
          </cell>
        </row>
        <row r="103">
          <cell r="A103" t="str">
            <v>= Profit Margin</v>
          </cell>
          <cell r="B103">
            <v>8.7932961878752755E-2</v>
          </cell>
          <cell r="C103">
            <v>9.404119412093781E-2</v>
          </cell>
          <cell r="D103">
            <v>9.2049718179895976E-2</v>
          </cell>
          <cell r="E103">
            <v>9.0272459620198697E-2</v>
          </cell>
          <cell r="F103">
            <v>9.4277174848519441E-2</v>
          </cell>
          <cell r="G103">
            <v>0.1003382195153385</v>
          </cell>
          <cell r="H103">
            <v>0.10387470569328761</v>
          </cell>
          <cell r="I103">
            <v>0.10612963272635943</v>
          </cell>
          <cell r="J103">
            <v>0.11138448700193763</v>
          </cell>
          <cell r="K103">
            <v>0.10942039243576157</v>
          </cell>
          <cell r="L103">
            <v>0.10352252984916319</v>
          </cell>
          <cell r="M103">
            <v>9.7815156281889359E-2</v>
          </cell>
          <cell r="N103">
            <v>9.5704714369475141E-2</v>
          </cell>
          <cell r="O103">
            <v>9.8516742100721463E-2</v>
          </cell>
          <cell r="P103">
            <v>0.10064312082897615</v>
          </cell>
          <cell r="Q103">
            <v>0.10252526658655146</v>
          </cell>
          <cell r="R103">
            <v>0.10445444599979382</v>
          </cell>
          <cell r="S103">
            <v>0.10642922500959986</v>
          </cell>
          <cell r="T103">
            <v>0.10844351921177464</v>
          </cell>
        </row>
        <row r="104">
          <cell r="A104" t="str">
            <v>x</v>
          </cell>
          <cell r="B104">
            <v>8.7932961878752755E-2</v>
          </cell>
          <cell r="C104">
            <v>9.404119412093781E-2</v>
          </cell>
          <cell r="D104">
            <v>9.2049718179895976E-2</v>
          </cell>
          <cell r="E104">
            <v>9.0272459620198697E-2</v>
          </cell>
          <cell r="F104">
            <v>9.4277174848519441E-2</v>
          </cell>
          <cell r="G104">
            <v>0.1003382195153385</v>
          </cell>
          <cell r="H104">
            <v>0.10387470569328761</v>
          </cell>
          <cell r="I104">
            <v>0.10612963272635943</v>
          </cell>
          <cell r="J104">
            <v>0.11138448700193763</v>
          </cell>
          <cell r="K104">
            <v>0.1094203924028771</v>
          </cell>
          <cell r="L104">
            <v>0.10352252982517204</v>
          </cell>
          <cell r="M104">
            <v>9.7815156266559872E-2</v>
          </cell>
          <cell r="N104">
            <v>9.6670917217566252E-2</v>
          </cell>
          <cell r="O104">
            <v>9.3832829315455391E-2</v>
          </cell>
          <cell r="P104">
            <v>9.6619440642520357E-2</v>
          </cell>
          <cell r="Q104">
            <v>9.7667952372375702E-2</v>
          </cell>
          <cell r="R104">
            <v>9.9289149573707408E-2</v>
          </cell>
          <cell r="S104">
            <v>0.10033070005553167</v>
          </cell>
          <cell r="T104">
            <v>0.10150908891540954</v>
          </cell>
        </row>
        <row r="105">
          <cell r="A105" t="str">
            <v>Revenue /</v>
          </cell>
          <cell r="B105">
            <v>6133</v>
          </cell>
          <cell r="C105">
            <v>6678</v>
          </cell>
          <cell r="D105">
            <v>7109</v>
          </cell>
          <cell r="E105">
            <v>7548</v>
          </cell>
          <cell r="F105">
            <v>7681</v>
          </cell>
          <cell r="G105">
            <v>7871</v>
          </cell>
          <cell r="H105">
            <v>7998</v>
          </cell>
          <cell r="I105">
            <v>7586</v>
          </cell>
          <cell r="J105">
            <v>7676</v>
          </cell>
          <cell r="K105">
            <v>7719</v>
          </cell>
          <cell r="L105">
            <v>7175</v>
          </cell>
          <cell r="M105">
            <v>8052</v>
          </cell>
          <cell r="N105">
            <v>8344.1379261466936</v>
          </cell>
          <cell r="O105">
            <v>8477.2594135308245</v>
          </cell>
          <cell r="P105">
            <v>8659.2402762490801</v>
          </cell>
          <cell r="Q105">
            <v>8842.5256276266518</v>
          </cell>
          <cell r="R105">
            <v>9027.1539918018316</v>
          </cell>
          <cell r="S105">
            <v>9213.1926462908486</v>
          </cell>
          <cell r="T105">
            <v>9400.7388930797224</v>
          </cell>
        </row>
        <row r="106">
          <cell r="A106" t="str">
            <v>Total assets</v>
          </cell>
          <cell r="B106">
            <v>5721</v>
          </cell>
          <cell r="C106">
            <v>6205</v>
          </cell>
          <cell r="D106">
            <v>6675</v>
          </cell>
          <cell r="E106">
            <v>6776</v>
          </cell>
          <cell r="F106">
            <v>7870</v>
          </cell>
          <cell r="G106">
            <v>6445</v>
          </cell>
          <cell r="H106">
            <v>6474.0000004693875</v>
          </cell>
          <cell r="I106">
            <v>6056.0000004693875</v>
          </cell>
          <cell r="J106">
            <v>6276.0000004693875</v>
          </cell>
          <cell r="K106">
            <v>6862.0000004693875</v>
          </cell>
          <cell r="L106">
            <v>6530</v>
          </cell>
          <cell r="M106">
            <v>8323</v>
          </cell>
          <cell r="N106">
            <v>8770.4967124774521</v>
          </cell>
          <cell r="O106">
            <v>9220.9616424760134</v>
          </cell>
          <cell r="P106">
            <v>9693.8789812552022</v>
          </cell>
          <cell r="Q106">
            <v>10185.478475201413</v>
          </cell>
          <cell r="R106">
            <v>10695.81839256119</v>
          </cell>
          <cell r="S106">
            <v>11227.149076996666</v>
          </cell>
          <cell r="T106">
            <v>11780.151778877069</v>
          </cell>
        </row>
        <row r="107">
          <cell r="A107" t="str">
            <v>= Asset Turnover</v>
          </cell>
          <cell r="B107">
            <v>1.0720153819262366</v>
          </cell>
          <cell r="C107">
            <v>1.0762288477034649</v>
          </cell>
          <cell r="D107">
            <v>1.0650187265917603</v>
          </cell>
          <cell r="E107">
            <v>1.113931523022432</v>
          </cell>
          <cell r="F107">
            <v>0.97598475222363401</v>
          </cell>
          <cell r="G107">
            <v>1.2212567882079131</v>
          </cell>
          <cell r="H107">
            <v>1.2354031509762307</v>
          </cell>
          <cell r="I107">
            <v>1.2526420078289342</v>
          </cell>
          <cell r="J107">
            <v>1.2230720203036816</v>
          </cell>
          <cell r="K107">
            <v>1.1248907023421728</v>
          </cell>
          <cell r="L107">
            <v>1.0987748851454824</v>
          </cell>
          <cell r="M107">
            <v>0.96743962513516757</v>
          </cell>
          <cell r="N107">
            <v>0.95138715624575809</v>
          </cell>
          <cell r="O107">
            <v>0.91934656516524782</v>
          </cell>
          <cell r="P107">
            <v>0.89326886512542858</v>
          </cell>
          <cell r="Q107">
            <v>0.86815024440487021</v>
          </cell>
          <cell r="R107">
            <v>0.84398908624702396</v>
          </cell>
          <cell r="S107">
            <v>0.8206172896704278</v>
          </cell>
          <cell r="T107">
            <v>0.79801509093763467</v>
          </cell>
        </row>
        <row r="108">
          <cell r="A108" t="str">
            <v>x</v>
          </cell>
          <cell r="B108">
            <v>1.0720153819262366</v>
          </cell>
          <cell r="C108">
            <v>1.0762288477034649</v>
          </cell>
          <cell r="D108">
            <v>1.0650187265917603</v>
          </cell>
          <cell r="E108">
            <v>1.113931523022432</v>
          </cell>
          <cell r="F108">
            <v>0.97598475222363401</v>
          </cell>
          <cell r="G108">
            <v>1.2212567882079131</v>
          </cell>
          <cell r="H108">
            <v>1.2354031509762307</v>
          </cell>
          <cell r="I108">
            <v>1.2526420078289342</v>
          </cell>
          <cell r="J108">
            <v>1.2230720203036816</v>
          </cell>
          <cell r="K108">
            <v>1.1248906982152527</v>
          </cell>
          <cell r="L108">
            <v>1.0987748808304416</v>
          </cell>
          <cell r="M108">
            <v>0.96743962215436408</v>
          </cell>
          <cell r="N108">
            <v>1.0189795383126783</v>
          </cell>
          <cell r="O108">
            <v>0.96786941681287586</v>
          </cell>
          <cell r="P108">
            <v>0.93906810997275536</v>
          </cell>
          <cell r="Q108">
            <v>0.9172356343630661</v>
          </cell>
          <cell r="R108">
            <v>0.89639227949216915</v>
          </cell>
          <cell r="S108">
            <v>0.876527194699666</v>
          </cell>
          <cell r="T108">
            <v>0.85753242334445401</v>
          </cell>
        </row>
        <row r="109">
          <cell r="A109" t="str">
            <v>Total assets /</v>
          </cell>
          <cell r="B109">
            <v>5721</v>
          </cell>
          <cell r="C109">
            <v>6205</v>
          </cell>
          <cell r="D109">
            <v>6675</v>
          </cell>
          <cell r="E109">
            <v>6776</v>
          </cell>
          <cell r="F109">
            <v>7870</v>
          </cell>
          <cell r="G109">
            <v>6445</v>
          </cell>
          <cell r="H109">
            <v>6474.0000004693875</v>
          </cell>
          <cell r="I109">
            <v>6056.0000004693875</v>
          </cell>
          <cell r="J109">
            <v>6276.0000004693875</v>
          </cell>
          <cell r="K109">
            <v>6862.0000004693875</v>
          </cell>
          <cell r="L109">
            <v>6530</v>
          </cell>
          <cell r="M109">
            <v>8323</v>
          </cell>
          <cell r="N109">
            <v>8770.4967124774521</v>
          </cell>
          <cell r="O109">
            <v>9220.9616424760134</v>
          </cell>
          <cell r="P109">
            <v>9693.8789812552022</v>
          </cell>
          <cell r="Q109">
            <v>10185.478475201413</v>
          </cell>
          <cell r="R109">
            <v>10695.81839256119</v>
          </cell>
          <cell r="S109">
            <v>11227.149076996666</v>
          </cell>
          <cell r="T109">
            <v>11780.151778877069</v>
          </cell>
        </row>
        <row r="110">
          <cell r="A110" t="str">
            <v>Total shareholders' equity*</v>
          </cell>
          <cell r="B110">
            <v>-114</v>
          </cell>
          <cell r="C110">
            <v>387</v>
          </cell>
          <cell r="D110">
            <v>874</v>
          </cell>
          <cell r="E110">
            <v>1245.1836729999995</v>
          </cell>
          <cell r="F110">
            <v>1768</v>
          </cell>
          <cell r="G110">
            <v>1295</v>
          </cell>
          <cell r="H110">
            <v>1318</v>
          </cell>
          <cell r="I110">
            <v>728</v>
          </cell>
          <cell r="J110">
            <v>926</v>
          </cell>
          <cell r="K110">
            <v>1088</v>
          </cell>
          <cell r="L110">
            <v>898</v>
          </cell>
          <cell r="M110">
            <v>1217</v>
          </cell>
          <cell r="N110">
            <v>1641.9710627872023</v>
          </cell>
          <cell r="O110">
            <v>1734.5049201908651</v>
          </cell>
          <cell r="P110">
            <v>1846.378100295924</v>
          </cell>
          <cell r="Q110">
            <v>1976.9245192443504</v>
          </cell>
          <cell r="R110">
            <v>2126.8119030698122</v>
          </cell>
          <cell r="S110">
            <v>2296.7227570891864</v>
          </cell>
          <cell r="T110">
            <v>2487.3327533101983</v>
          </cell>
        </row>
        <row r="111">
          <cell r="A111" t="str">
            <v>= Equity Multiplier (Leverage)</v>
          </cell>
          <cell r="B111">
            <v>-50.184210526315788</v>
          </cell>
          <cell r="C111">
            <v>16.033591731266149</v>
          </cell>
          <cell r="D111">
            <v>7.6372997711670481</v>
          </cell>
          <cell r="E111">
            <v>5.4417674652565111</v>
          </cell>
          <cell r="F111">
            <v>4.4513574660633486</v>
          </cell>
          <cell r="G111">
            <v>4.9768339768339764</v>
          </cell>
          <cell r="H111">
            <v>4.9119878607506733</v>
          </cell>
          <cell r="I111">
            <v>8.3186813193260818</v>
          </cell>
          <cell r="J111">
            <v>6.7775377974831397</v>
          </cell>
          <cell r="K111">
            <v>6.3069852945490696</v>
          </cell>
          <cell r="L111">
            <v>7.2717149220489974</v>
          </cell>
          <cell r="M111">
            <v>6.838948233360723</v>
          </cell>
          <cell r="N111">
            <v>5.3414441406718618</v>
          </cell>
          <cell r="O111">
            <v>5.3161922662412158</v>
          </cell>
          <cell r="P111">
            <v>5.2502133662122281</v>
          </cell>
          <cell r="Q111">
            <v>5.1521837966250015</v>
          </cell>
          <cell r="R111">
            <v>5.0290382412864005</v>
          </cell>
          <cell r="S111">
            <v>4.8883344941579701</v>
          </cell>
          <cell r="T111">
            <v>4.7360578367328534</v>
          </cell>
        </row>
        <row r="112">
          <cell r="A112" t="str">
            <v>= Equity Multiplier (Leverage)</v>
          </cell>
          <cell r="B112">
            <v>-50.184210526315788</v>
          </cell>
          <cell r="C112">
            <v>16.033591731266149</v>
          </cell>
          <cell r="D112">
            <v>7.6372997711670481</v>
          </cell>
          <cell r="E112">
            <v>5.4417674652565111</v>
          </cell>
          <cell r="F112">
            <v>4.4513574660633486</v>
          </cell>
          <cell r="G112">
            <v>4.9768339768339764</v>
          </cell>
          <cell r="H112">
            <v>4.9119878607506733</v>
          </cell>
          <cell r="I112">
            <v>8.3186813193260818</v>
          </cell>
          <cell r="J112">
            <v>6.7775377974831397</v>
          </cell>
          <cell r="K112">
            <v>6.3069853176876958</v>
          </cell>
          <cell r="L112">
            <v>7.271714950606027</v>
          </cell>
          <cell r="M112">
            <v>6.8389482544323847</v>
          </cell>
          <cell r="N112">
            <v>5.024148622689915</v>
          </cell>
          <cell r="O112">
            <v>4.6993915121418555</v>
          </cell>
          <cell r="P112">
            <v>4.5985347708199811</v>
          </cell>
          <cell r="Q112">
            <v>4.8459211254171679</v>
          </cell>
          <cell r="R112">
            <v>4.9371696006014201</v>
          </cell>
          <cell r="S112">
            <v>4.9995723480600081</v>
          </cell>
          <cell r="T112">
            <v>5.032786700557641</v>
          </cell>
        </row>
        <row r="113">
          <cell r="A113" t="str">
            <v>= ROE*</v>
          </cell>
          <cell r="B113">
            <v>-4.7306390807227245</v>
          </cell>
          <cell r="C113">
            <v>1.6227573497147871</v>
          </cell>
          <cell r="D113">
            <v>0.74872019055020655</v>
          </cell>
          <cell r="E113">
            <v>0.54720965267046184</v>
          </cell>
          <cell r="F113">
            <v>0.40958313349065489</v>
          </cell>
          <cell r="G113">
            <v>0.60985492340172143</v>
          </cell>
          <cell r="H113">
            <v>0.6303413475985693</v>
          </cell>
          <cell r="I113">
            <v>1.1059057607996741</v>
          </cell>
          <cell r="J113">
            <v>0.92331244300958237</v>
          </cell>
          <cell r="K113">
            <v>0.77630147905481939</v>
          </cell>
          <cell r="L113">
            <v>0.82714270787054101</v>
          </cell>
          <cell r="M113">
            <v>0.64717143663251697</v>
          </cell>
          <cell r="N113">
            <v>0.48635043270848927</v>
          </cell>
          <cell r="O113">
            <v>0.48149300105290527</v>
          </cell>
          <cell r="P113">
            <v>0.47200135512330677</v>
          </cell>
          <cell r="Q113">
            <v>0.45858215042897194</v>
          </cell>
          <cell r="R113">
            <v>0.44335202742070434</v>
          </cell>
          <cell r="S113">
            <v>0.42693570662033664</v>
          </cell>
          <cell r="T113">
            <v>0.40985638427341986</v>
          </cell>
        </row>
        <row r="114">
          <cell r="A114" t="str">
            <v>= ROE*</v>
          </cell>
          <cell r="B114">
            <v>-4.7306390807227245</v>
          </cell>
          <cell r="C114">
            <v>1.6227573497147871</v>
          </cell>
          <cell r="D114">
            <v>0.74872019055020655</v>
          </cell>
          <cell r="E114">
            <v>0.54720965267046184</v>
          </cell>
          <cell r="F114">
            <v>0.40958313349065489</v>
          </cell>
          <cell r="G114">
            <v>0.60985492340172143</v>
          </cell>
          <cell r="H114">
            <v>0.6303413475985693</v>
          </cell>
          <cell r="I114">
            <v>1.1059057607996741</v>
          </cell>
          <cell r="J114">
            <v>0.92331244300958237</v>
          </cell>
          <cell r="K114">
            <v>0.77630147882151501</v>
          </cell>
          <cell r="L114">
            <v>0.82714270767885245</v>
          </cell>
          <cell r="M114">
            <v>0.64717143653109288</v>
          </cell>
          <cell r="N114">
            <v>0.4949072096314785</v>
          </cell>
          <cell r="O114">
            <v>0.42678898959588052</v>
          </cell>
          <cell r="P114">
            <v>0.41723533983062472</v>
          </cell>
          <cell r="Q114">
            <v>0.43411954827126498</v>
          </cell>
          <cell r="R114">
            <v>0.43941810266514042</v>
          </cell>
          <cell r="S114">
            <v>0.43967532649167906</v>
          </cell>
          <cell r="T114">
            <v>0.4380906699528786</v>
          </cell>
        </row>
        <row r="115">
          <cell r="A115" t="str">
            <v>ROIC</v>
          </cell>
        </row>
        <row r="116">
          <cell r="A116" t="str">
            <v>Net Revenue</v>
          </cell>
          <cell r="B116">
            <v>6133</v>
          </cell>
          <cell r="C116">
            <v>6678</v>
          </cell>
          <cell r="D116">
            <v>7109</v>
          </cell>
          <cell r="E116">
            <v>7548</v>
          </cell>
          <cell r="F116">
            <v>7681</v>
          </cell>
          <cell r="G116">
            <v>7871</v>
          </cell>
          <cell r="H116">
            <v>7998</v>
          </cell>
          <cell r="I116">
            <v>7586</v>
          </cell>
          <cell r="J116">
            <v>7676</v>
          </cell>
          <cell r="K116">
            <v>7719</v>
          </cell>
          <cell r="L116">
            <v>7175</v>
          </cell>
          <cell r="M116">
            <v>8052</v>
          </cell>
          <cell r="N116">
            <v>8344.1379261466936</v>
          </cell>
        </row>
        <row r="117">
          <cell r="A117" t="str">
            <v>Operating Expenses</v>
          </cell>
          <cell r="B117">
            <v>5230</v>
          </cell>
          <cell r="C117">
            <v>5604.4660000000003</v>
          </cell>
          <cell r="D117">
            <v>5990.21083</v>
          </cell>
          <cell r="E117">
            <v>6381</v>
          </cell>
          <cell r="F117">
            <v>6476</v>
          </cell>
          <cell r="G117">
            <v>6621</v>
          </cell>
          <cell r="H117">
            <v>6718</v>
          </cell>
          <cell r="I117">
            <v>6312</v>
          </cell>
          <cell r="J117">
            <v>6329</v>
          </cell>
          <cell r="K117">
            <v>6384</v>
          </cell>
          <cell r="L117">
            <v>6000</v>
          </cell>
          <cell r="M117">
            <v>6811</v>
          </cell>
          <cell r="N117">
            <v>7066.4273239148979</v>
          </cell>
          <cell r="O117">
            <v>8193.7049999999999</v>
          </cell>
          <cell r="P117">
            <v>8303.7537000000011</v>
          </cell>
          <cell r="Q117">
            <v>8469.8030727500009</v>
          </cell>
          <cell r="R117">
            <v>8639.6504587287509</v>
          </cell>
          <cell r="S117">
            <v>8813.3911943939565</v>
          </cell>
          <cell r="T117">
            <v>8991.1231591842497</v>
          </cell>
        </row>
        <row r="118">
          <cell r="A118" t="str">
            <v>Pension Adjustment</v>
          </cell>
          <cell r="B118">
            <v>0</v>
          </cell>
          <cell r="C118">
            <v>0</v>
          </cell>
          <cell r="D118">
            <v>-15</v>
          </cell>
          <cell r="E118">
            <v>-11</v>
          </cell>
          <cell r="F118">
            <v>-18</v>
          </cell>
          <cell r="G118">
            <v>-5</v>
          </cell>
          <cell r="H118">
            <v>-1</v>
          </cell>
          <cell r="I118">
            <v>-2</v>
          </cell>
          <cell r="J118">
            <v>-32</v>
          </cell>
          <cell r="K118">
            <v>-62.32309999999999</v>
          </cell>
          <cell r="L118">
            <v>-65.562095389999996</v>
          </cell>
          <cell r="M118">
            <v>-69.076392021982997</v>
          </cell>
          <cell r="N118">
            <v>-72.884086318800257</v>
          </cell>
          <cell r="O118">
            <v>6952.8007767941408</v>
          </cell>
          <cell r="P118">
            <v>7023.1521830607116</v>
          </cell>
          <cell r="Q118">
            <v>7149.5276387249614</v>
          </cell>
          <cell r="R118">
            <v>7278.6277787689387</v>
          </cell>
          <cell r="S118">
            <v>7410.5170966095202</v>
          </cell>
          <cell r="T118">
            <v>7545.2616752989061</v>
          </cell>
        </row>
        <row r="119">
          <cell r="A119" t="str">
            <v>PTOP</v>
          </cell>
          <cell r="B119">
            <v>903</v>
          </cell>
          <cell r="C119">
            <v>1073.5339999999997</v>
          </cell>
          <cell r="D119">
            <v>1133.78917</v>
          </cell>
          <cell r="E119">
            <v>1178</v>
          </cell>
          <cell r="F119">
            <v>1223</v>
          </cell>
          <cell r="G119">
            <v>1255</v>
          </cell>
          <cell r="H119">
            <v>1281</v>
          </cell>
          <cell r="I119">
            <v>1276</v>
          </cell>
          <cell r="J119">
            <v>1379</v>
          </cell>
          <cell r="K119">
            <v>1397.3231000000001</v>
          </cell>
          <cell r="L119">
            <v>1240.56209539</v>
          </cell>
          <cell r="M119">
            <v>1310.0763920219829</v>
          </cell>
          <cell r="N119">
            <v>1350.5946885505959</v>
          </cell>
          <cell r="O119">
            <v>0</v>
          </cell>
          <cell r="P119">
            <v>0</v>
          </cell>
          <cell r="Q119">
            <v>0</v>
          </cell>
          <cell r="R119">
            <v>0</v>
          </cell>
          <cell r="S119">
            <v>0</v>
          </cell>
          <cell r="T119">
            <v>0</v>
          </cell>
        </row>
        <row r="120">
          <cell r="A120" t="str">
            <v>PTOP</v>
          </cell>
          <cell r="B120">
            <v>903</v>
          </cell>
          <cell r="C120">
            <v>1073.5339999999997</v>
          </cell>
          <cell r="D120">
            <v>1118.78917</v>
          </cell>
          <cell r="E120">
            <v>1167</v>
          </cell>
          <cell r="F120">
            <v>1205</v>
          </cell>
          <cell r="G120">
            <v>1250</v>
          </cell>
          <cell r="H120">
            <v>1280</v>
          </cell>
          <cell r="I120">
            <v>1274</v>
          </cell>
          <cell r="J120">
            <v>1347</v>
          </cell>
          <cell r="K120">
            <v>1335</v>
          </cell>
          <cell r="L120">
            <v>1175</v>
          </cell>
          <cell r="M120">
            <v>1241</v>
          </cell>
          <cell r="N120">
            <v>1286</v>
          </cell>
          <cell r="O120">
            <v>1240.9042232058591</v>
          </cell>
          <cell r="P120">
            <v>1280.6015169392895</v>
          </cell>
          <cell r="Q120">
            <v>1320.2754340250394</v>
          </cell>
          <cell r="R120">
            <v>1361.0226799598122</v>
          </cell>
          <cell r="S120">
            <v>1402.8740977844363</v>
          </cell>
          <cell r="T120">
            <v>1445.8614838853437</v>
          </cell>
        </row>
        <row r="121">
          <cell r="A121" t="str">
            <v>Statutory Tax Rate</v>
          </cell>
          <cell r="B121">
            <v>0.34099999999999997</v>
          </cell>
          <cell r="C121">
            <v>0.36</v>
          </cell>
          <cell r="D121">
            <v>0.36</v>
          </cell>
          <cell r="E121">
            <v>0.36</v>
          </cell>
          <cell r="F121">
            <v>0.36</v>
          </cell>
          <cell r="G121">
            <v>0.36</v>
          </cell>
          <cell r="H121">
            <v>0.36</v>
          </cell>
          <cell r="I121">
            <v>0.36</v>
          </cell>
          <cell r="J121">
            <v>0.36</v>
          </cell>
          <cell r="K121">
            <v>0.36</v>
          </cell>
          <cell r="L121">
            <v>0.36</v>
          </cell>
          <cell r="M121">
            <v>0.36</v>
          </cell>
          <cell r="N121">
            <v>0.36</v>
          </cell>
        </row>
        <row r="122">
          <cell r="A122" t="str">
            <v>NOPAT</v>
          </cell>
          <cell r="B122">
            <v>595.077</v>
          </cell>
          <cell r="C122">
            <v>687.06175999999982</v>
          </cell>
          <cell r="D122">
            <v>725.62506880000001</v>
          </cell>
          <cell r="E122">
            <v>753.92</v>
          </cell>
          <cell r="F122">
            <v>782.72</v>
          </cell>
          <cell r="G122">
            <v>803.2</v>
          </cell>
          <cell r="H122">
            <v>819.84</v>
          </cell>
          <cell r="I122">
            <v>816.64</v>
          </cell>
          <cell r="J122">
            <v>882.56000000000006</v>
          </cell>
          <cell r="K122">
            <v>894.28678400000001</v>
          </cell>
          <cell r="L122">
            <v>793.95974104959998</v>
          </cell>
          <cell r="M122">
            <v>838.44889089406911</v>
          </cell>
          <cell r="N122">
            <v>864.38060067238143</v>
          </cell>
          <cell r="O122">
            <v>0.36</v>
          </cell>
          <cell r="P122">
            <v>0.36</v>
          </cell>
          <cell r="Q122">
            <v>0.36</v>
          </cell>
          <cell r="R122">
            <v>0.36</v>
          </cell>
          <cell r="S122">
            <v>0.36</v>
          </cell>
          <cell r="T122">
            <v>0</v>
          </cell>
        </row>
        <row r="123">
          <cell r="A123" t="str">
            <v>NOPAT Margin</v>
          </cell>
          <cell r="B123">
            <v>595.077</v>
          </cell>
          <cell r="C123">
            <v>687.06175999999982</v>
          </cell>
          <cell r="D123">
            <v>0.10207132772541848</v>
          </cell>
          <cell r="E123">
            <v>9.988341282458929E-2</v>
          </cell>
          <cell r="F123">
            <v>0.10190339799505273</v>
          </cell>
          <cell r="G123">
            <v>0.10204548342014992</v>
          </cell>
          <cell r="H123">
            <v>0.10250562640660166</v>
          </cell>
          <cell r="I123">
            <v>0.1076509359346164</v>
          </cell>
          <cell r="J123">
            <v>0.11497655028660761</v>
          </cell>
          <cell r="K123">
            <v>0.11585526415338775</v>
          </cell>
          <cell r="L123">
            <v>0.11065640990238328</v>
          </cell>
          <cell r="M123">
            <v>0.10412927109961116</v>
          </cell>
          <cell r="N123">
            <v>0.10359136058427436</v>
          </cell>
          <cell r="O123">
            <v>794.1787028517499</v>
          </cell>
          <cell r="P123">
            <v>819.58497084114526</v>
          </cell>
          <cell r="Q123">
            <v>844.9762777760252</v>
          </cell>
          <cell r="R123">
            <v>871.0545151742798</v>
          </cell>
          <cell r="S123">
            <v>897.83942258203933</v>
          </cell>
          <cell r="T123">
            <v>1445.8614838853437</v>
          </cell>
        </row>
        <row r="124">
          <cell r="A124" t="str">
            <v>NOPAT Margin</v>
          </cell>
          <cell r="D124">
            <v>0.10072092682515121</v>
          </cell>
          <cell r="E124">
            <v>9.8950715421303653E-2</v>
          </cell>
          <cell r="F124">
            <v>0.10040359328212473</v>
          </cell>
          <cell r="G124">
            <v>0.10163892770931267</v>
          </cell>
          <cell r="H124">
            <v>0.10242560640160041</v>
          </cell>
          <cell r="I124">
            <v>0.10748220406011073</v>
          </cell>
          <cell r="J124">
            <v>0.11230849400729548</v>
          </cell>
          <cell r="K124">
            <v>0.11068791294209095</v>
          </cell>
          <cell r="L124">
            <v>0.10480836236933798</v>
          </cell>
          <cell r="M124">
            <v>9.8638847491306511E-2</v>
          </cell>
          <cell r="N124">
            <v>9.9545234639574251E-2</v>
          </cell>
          <cell r="O124">
            <v>9.6925469351380106E-2</v>
          </cell>
          <cell r="P124">
            <v>9.8700539593454609E-2</v>
          </cell>
          <cell r="Q124">
            <v>9.9763391252221376E-2</v>
          </cell>
          <cell r="R124">
            <v>0.10082057362566585</v>
          </cell>
          <cell r="S124">
            <v>0.10187218549349532</v>
          </cell>
          <cell r="T124">
            <v>0.16080988529318782</v>
          </cell>
        </row>
        <row r="125">
          <cell r="A125" t="str">
            <v>S/T Debt</v>
          </cell>
          <cell r="D125">
            <v>810</v>
          </cell>
          <cell r="E125">
            <v>451</v>
          </cell>
          <cell r="F125">
            <v>1097</v>
          </cell>
          <cell r="G125">
            <v>595</v>
          </cell>
          <cell r="H125">
            <v>982</v>
          </cell>
          <cell r="I125">
            <v>378</v>
          </cell>
          <cell r="J125">
            <v>835</v>
          </cell>
          <cell r="K125">
            <v>657</v>
          </cell>
          <cell r="L125">
            <v>786</v>
          </cell>
          <cell r="M125">
            <v>1909</v>
          </cell>
          <cell r="N125">
            <v>1909</v>
          </cell>
        </row>
        <row r="126">
          <cell r="A126" t="str">
            <v>L/T Debt</v>
          </cell>
          <cell r="D126">
            <v>2543</v>
          </cell>
          <cell r="E126">
            <v>2542</v>
          </cell>
          <cell r="F126">
            <v>2116</v>
          </cell>
          <cell r="G126">
            <v>2074</v>
          </cell>
          <cell r="H126">
            <v>1633</v>
          </cell>
          <cell r="I126">
            <v>2246</v>
          </cell>
          <cell r="J126">
            <v>1945</v>
          </cell>
          <cell r="K126">
            <v>2427</v>
          </cell>
          <cell r="L126">
            <v>2004</v>
          </cell>
          <cell r="M126">
            <v>2544</v>
          </cell>
          <cell r="N126">
            <v>2544</v>
          </cell>
          <cell r="O126">
            <v>1771</v>
          </cell>
          <cell r="P126">
            <v>1771</v>
          </cell>
          <cell r="Q126">
            <v>1771</v>
          </cell>
          <cell r="R126">
            <v>1771</v>
          </cell>
          <cell r="S126">
            <v>1771</v>
          </cell>
          <cell r="T126">
            <v>1771</v>
          </cell>
        </row>
        <row r="127">
          <cell r="A127" t="str">
            <v>S/H Equity</v>
          </cell>
          <cell r="D127">
            <v>874</v>
          </cell>
          <cell r="E127">
            <v>1245.1836729999995</v>
          </cell>
          <cell r="F127">
            <v>1768</v>
          </cell>
          <cell r="G127">
            <v>1295</v>
          </cell>
          <cell r="H127">
            <v>1318</v>
          </cell>
          <cell r="I127">
            <v>731</v>
          </cell>
          <cell r="J127">
            <v>929</v>
          </cell>
          <cell r="K127">
            <v>1096</v>
          </cell>
          <cell r="L127">
            <v>898</v>
          </cell>
          <cell r="M127">
            <v>1210</v>
          </cell>
          <cell r="N127">
            <v>1634.9710627872023</v>
          </cell>
          <cell r="O127">
            <v>2414</v>
          </cell>
          <cell r="P127">
            <v>2664</v>
          </cell>
          <cell r="Q127">
            <v>3064</v>
          </cell>
          <cell r="R127">
            <v>3414</v>
          </cell>
          <cell r="S127">
            <v>3764</v>
          </cell>
          <cell r="T127">
            <v>4114</v>
          </cell>
        </row>
        <row r="128">
          <cell r="A128" t="str">
            <v>Dividends Payable</v>
          </cell>
          <cell r="D128">
            <v>65</v>
          </cell>
          <cell r="E128">
            <v>70</v>
          </cell>
          <cell r="F128">
            <v>74</v>
          </cell>
          <cell r="G128">
            <v>77</v>
          </cell>
          <cell r="H128">
            <v>81</v>
          </cell>
          <cell r="I128">
            <v>88</v>
          </cell>
          <cell r="J128">
            <v>95</v>
          </cell>
          <cell r="K128">
            <v>95</v>
          </cell>
          <cell r="L128">
            <v>93</v>
          </cell>
          <cell r="M128">
            <v>214</v>
          </cell>
          <cell r="N128">
            <v>214</v>
          </cell>
          <cell r="O128">
            <v>1789.4488224126726</v>
          </cell>
          <cell r="P128">
            <v>1910.905279435226</v>
          </cell>
          <cell r="Q128">
            <v>1893.5311524369426</v>
          </cell>
          <cell r="R128">
            <v>1940.1807168581199</v>
          </cell>
          <cell r="S128">
            <v>1999.1515364134011</v>
          </cell>
          <cell r="T128">
            <v>2071.3146716253978</v>
          </cell>
        </row>
        <row r="129">
          <cell r="A129" t="str">
            <v>Less: Cash</v>
          </cell>
          <cell r="D129">
            <v>32</v>
          </cell>
          <cell r="E129">
            <v>40</v>
          </cell>
          <cell r="F129">
            <v>657</v>
          </cell>
          <cell r="G129">
            <v>71</v>
          </cell>
          <cell r="H129">
            <v>81.000000469387714</v>
          </cell>
          <cell r="I129">
            <v>51.000000469387714</v>
          </cell>
          <cell r="J129">
            <v>254.00000046938771</v>
          </cell>
          <cell r="K129">
            <v>484.00000046938771</v>
          </cell>
          <cell r="L129">
            <v>334.99999999999977</v>
          </cell>
          <cell r="M129">
            <v>332.99999999999977</v>
          </cell>
          <cell r="N129">
            <v>184.33950942083527</v>
          </cell>
          <cell r="O129">
            <v>101</v>
          </cell>
          <cell r="P129">
            <v>101</v>
          </cell>
          <cell r="Q129">
            <v>101</v>
          </cell>
          <cell r="R129">
            <v>101</v>
          </cell>
          <cell r="S129">
            <v>101</v>
          </cell>
          <cell r="T129">
            <v>101</v>
          </cell>
        </row>
        <row r="130">
          <cell r="A130" t="str">
            <v>Less: Net Assets Held For Sale and Other</v>
          </cell>
          <cell r="D130">
            <v>-300</v>
          </cell>
          <cell r="E130">
            <v>-300</v>
          </cell>
          <cell r="F130">
            <v>-300</v>
          </cell>
          <cell r="G130">
            <v>-300</v>
          </cell>
          <cell r="H130">
            <v>-300</v>
          </cell>
          <cell r="I130">
            <v>0</v>
          </cell>
          <cell r="J130">
            <v>0</v>
          </cell>
          <cell r="K130">
            <v>0</v>
          </cell>
          <cell r="L130">
            <v>0</v>
          </cell>
          <cell r="M130">
            <v>0</v>
          </cell>
          <cell r="N130">
            <v>0</v>
          </cell>
          <cell r="O130">
            <v>493.7163876471285</v>
          </cell>
          <cell r="P130">
            <v>818.65901034166336</v>
          </cell>
          <cell r="Q130">
            <v>1146.1440269717355</v>
          </cell>
          <cell r="R130">
            <v>1489.6516932750365</v>
          </cell>
          <cell r="S130">
            <v>1844.1966471004466</v>
          </cell>
          <cell r="T130">
            <v>2210.6037912728771</v>
          </cell>
        </row>
        <row r="131">
          <cell r="A131" t="str">
            <v>Pension Adjustment</v>
          </cell>
          <cell r="D131">
            <v>-178</v>
          </cell>
          <cell r="E131">
            <v>-128</v>
          </cell>
          <cell r="F131">
            <v>-119</v>
          </cell>
          <cell r="G131">
            <v>-519</v>
          </cell>
          <cell r="H131">
            <v>-654</v>
          </cell>
          <cell r="I131">
            <v>-1315</v>
          </cell>
          <cell r="J131">
            <v>-1202</v>
          </cell>
          <cell r="K131">
            <v>-930.13260000000014</v>
          </cell>
          <cell r="L131">
            <v>-995.37322794000011</v>
          </cell>
          <cell r="M131">
            <v>-1066.0586762328783</v>
          </cell>
          <cell r="N131">
            <v>-1142.545856773886</v>
          </cell>
          <cell r="O131">
            <v>0</v>
          </cell>
          <cell r="P131">
            <v>0</v>
          </cell>
          <cell r="Q131">
            <v>0</v>
          </cell>
          <cell r="R131">
            <v>0</v>
          </cell>
          <cell r="S131">
            <v>0</v>
          </cell>
          <cell r="T131">
            <v>0</v>
          </cell>
        </row>
        <row r="132">
          <cell r="A132" t="str">
            <v>Invested Capital</v>
          </cell>
          <cell r="D132">
            <v>4738</v>
          </cell>
          <cell r="E132">
            <v>4696.1836729999995</v>
          </cell>
          <cell r="F132">
            <v>4817</v>
          </cell>
          <cell r="G132">
            <v>4789</v>
          </cell>
          <cell r="H132">
            <v>4886.9999995306125</v>
          </cell>
          <cell r="I132">
            <v>4706.9999995306125</v>
          </cell>
          <cell r="J132">
            <v>4751.9999995306125</v>
          </cell>
          <cell r="K132">
            <v>4721.1325995306124</v>
          </cell>
          <cell r="L132">
            <v>4441.3732279400001</v>
          </cell>
          <cell r="M132">
            <v>6610.0586762328785</v>
          </cell>
          <cell r="N132">
            <v>7260.1774101402534</v>
          </cell>
          <cell r="O132">
            <v>0</v>
          </cell>
          <cell r="P132">
            <v>0</v>
          </cell>
          <cell r="Q132">
            <v>0</v>
          </cell>
          <cell r="R132">
            <v>0</v>
          </cell>
          <cell r="S132">
            <v>0</v>
          </cell>
          <cell r="T132">
            <v>0</v>
          </cell>
        </row>
        <row r="133">
          <cell r="A133" t="str">
            <v>Invested Capital</v>
          </cell>
          <cell r="D133">
            <v>4560</v>
          </cell>
          <cell r="E133">
            <v>4568.1836729999995</v>
          </cell>
          <cell r="F133">
            <v>4698</v>
          </cell>
          <cell r="G133">
            <v>4270</v>
          </cell>
          <cell r="H133">
            <v>4232.9999995306125</v>
          </cell>
          <cell r="I133">
            <v>3391.9999995306125</v>
          </cell>
          <cell r="J133">
            <v>3549.9999995306125</v>
          </cell>
          <cell r="K133">
            <v>3790.9999743557873</v>
          </cell>
          <cell r="L133">
            <v>3445.9999743557873</v>
          </cell>
          <cell r="M133">
            <v>5543.9999743557873</v>
          </cell>
          <cell r="N133">
            <v>5485.9999743557873</v>
          </cell>
          <cell r="O133">
            <v>5581.732434765544</v>
          </cell>
          <cell r="P133">
            <v>5628.2462690935627</v>
          </cell>
          <cell r="Q133">
            <v>5683.3871254652076</v>
          </cell>
          <cell r="R133">
            <v>5736.5290235830835</v>
          </cell>
          <cell r="S133">
            <v>5790.954889312954</v>
          </cell>
          <cell r="T133">
            <v>5846.7108803525207</v>
          </cell>
        </row>
        <row r="134">
          <cell r="A134" t="str">
            <v>ROIC (BOP Capital)</v>
          </cell>
          <cell r="D134" t="e">
            <v>#DIV/0!</v>
          </cell>
          <cell r="E134">
            <v>0.15912199240185732</v>
          </cell>
          <cell r="F134">
            <v>0.16667150488600579</v>
          </cell>
          <cell r="G134">
            <v>0.16674278596636913</v>
          </cell>
          <cell r="H134">
            <v>0.17119231572353311</v>
          </cell>
          <cell r="I134">
            <v>0.16710456314271266</v>
          </cell>
          <cell r="J134">
            <v>0.18749946889483959</v>
          </cell>
          <cell r="K134">
            <v>0.18819166331825227</v>
          </cell>
          <cell r="L134">
            <v>0.16817145553771093</v>
          </cell>
          <cell r="M134">
            <v>0.18878145291179657</v>
          </cell>
          <cell r="N134">
            <v>0.13076746259157238</v>
          </cell>
        </row>
        <row r="135">
          <cell r="A135" t="str">
            <v>ROIC (Avg Capital)</v>
          </cell>
          <cell r="D135">
            <v>0.15315007783875054</v>
          </cell>
          <cell r="E135">
            <v>0.15982728895933379</v>
          </cell>
          <cell r="F135">
            <v>0.16455479614495194</v>
          </cell>
          <cell r="G135">
            <v>0.167228815323756</v>
          </cell>
          <cell r="H135">
            <v>0.16945845391479347</v>
          </cell>
          <cell r="I135">
            <v>0.17023973318322042</v>
          </cell>
          <cell r="J135">
            <v>0.18660746380961862</v>
          </cell>
          <cell r="K135">
            <v>0.18880486990937353</v>
          </cell>
          <cell r="L135">
            <v>0.17330624525644187</v>
          </cell>
          <cell r="M135">
            <v>0.15173579282110614</v>
          </cell>
          <cell r="N135">
            <v>0.12463819581580093</v>
          </cell>
          <cell r="O135">
            <v>0.14476462022678174</v>
          </cell>
          <cell r="P135">
            <v>0.14683343933442614</v>
          </cell>
          <cell r="Q135">
            <v>0.15013136195124416</v>
          </cell>
          <cell r="R135">
            <v>0.1532632734573717</v>
          </cell>
          <cell r="S135">
            <v>0.15651266103439695</v>
          </cell>
          <cell r="T135">
            <v>0.24967583265993676</v>
          </cell>
        </row>
        <row r="136">
          <cell r="A136" t="str">
            <v>ROIC (Avg Capital)</v>
          </cell>
          <cell r="D136">
            <v>0.15702304140350876</v>
          </cell>
          <cell r="E136">
            <v>0.16364263182152558</v>
          </cell>
          <cell r="F136">
            <v>0.16645471905486586</v>
          </cell>
          <cell r="G136">
            <v>0.17841213202497769</v>
          </cell>
          <cell r="H136">
            <v>0.19268493473955589</v>
          </cell>
          <cell r="I136">
            <v>0.2138649180591175</v>
          </cell>
          <cell r="J136">
            <v>0.24836646502926538</v>
          </cell>
          <cell r="K136">
            <v>0.23277482714597311</v>
          </cell>
          <cell r="L136">
            <v>0.20782092174365177</v>
          </cell>
          <cell r="M136">
            <v>0.17669410556867213</v>
          </cell>
          <cell r="N136">
            <v>0.14923662807380886</v>
          </cell>
          <cell r="O136">
            <v>0.1435124510594849</v>
          </cell>
          <cell r="P136">
            <v>0.14622417981204514</v>
          </cell>
          <cell r="Q136">
            <v>0.14939951610922675</v>
          </cell>
          <cell r="R136">
            <v>0.15255007196298398</v>
          </cell>
          <cell r="S136">
            <v>0.15577370211336536</v>
          </cell>
          <cell r="T136">
            <v>0.24847963715440249</v>
          </cell>
        </row>
        <row r="137">
          <cell r="A137" t="str">
            <v>RNOA</v>
          </cell>
        </row>
        <row r="138">
          <cell r="A138" t="str">
            <v>Operating Assets</v>
          </cell>
          <cell r="D138">
            <v>6943</v>
          </cell>
          <cell r="E138">
            <v>7036</v>
          </cell>
          <cell r="F138">
            <v>7513</v>
          </cell>
          <cell r="G138">
            <v>6674</v>
          </cell>
          <cell r="H138">
            <v>6693</v>
          </cell>
          <cell r="I138">
            <v>6005</v>
          </cell>
          <cell r="J138">
            <v>6022</v>
          </cell>
          <cell r="K138">
            <v>6378</v>
          </cell>
          <cell r="L138">
            <v>6195</v>
          </cell>
          <cell r="M138">
            <v>7990</v>
          </cell>
          <cell r="N138">
            <v>8586.1572030566167</v>
          </cell>
        </row>
        <row r="139">
          <cell r="A139" t="str">
            <v>Operating Liabilities</v>
          </cell>
          <cell r="D139">
            <v>2205</v>
          </cell>
          <cell r="E139">
            <v>2339.8000000000002</v>
          </cell>
          <cell r="F139">
            <v>2696</v>
          </cell>
          <cell r="G139">
            <v>1885</v>
          </cell>
          <cell r="H139">
            <v>1784</v>
          </cell>
          <cell r="I139">
            <v>1298</v>
          </cell>
          <cell r="J139">
            <v>1270</v>
          </cell>
          <cell r="K139">
            <v>1656.8673999999999</v>
          </cell>
          <cell r="L139">
            <v>1753.6267720599999</v>
          </cell>
          <cell r="M139">
            <v>1379.9413237671217</v>
          </cell>
          <cell r="N139">
            <v>1325.9797929163642</v>
          </cell>
          <cell r="O139">
            <v>7971.9969179569271</v>
          </cell>
          <cell r="P139">
            <v>8023.8877781345345</v>
          </cell>
          <cell r="Q139">
            <v>8087.9096397629673</v>
          </cell>
          <cell r="R139">
            <v>8148.5955968771623</v>
          </cell>
          <cell r="S139">
            <v>8210.7009621103934</v>
          </cell>
          <cell r="T139">
            <v>8274.2745811600325</v>
          </cell>
        </row>
        <row r="140">
          <cell r="A140" t="str">
            <v>Net Operating Assets</v>
          </cell>
          <cell r="D140">
            <v>4738</v>
          </cell>
          <cell r="E140">
            <v>4696.2</v>
          </cell>
          <cell r="F140">
            <v>4817</v>
          </cell>
          <cell r="G140">
            <v>4789</v>
          </cell>
          <cell r="H140">
            <v>4909</v>
          </cell>
          <cell r="I140">
            <v>4707</v>
          </cell>
          <cell r="J140">
            <v>4752</v>
          </cell>
          <cell r="K140">
            <v>4721.1325999999999</v>
          </cell>
          <cell r="L140">
            <v>4441.3732279400001</v>
          </cell>
          <cell r="M140">
            <v>6610.0586762328785</v>
          </cell>
          <cell r="N140">
            <v>7260.1774101402525</v>
          </cell>
          <cell r="O140">
            <v>2389.2644575471695</v>
          </cell>
          <cell r="P140">
            <v>2394.6414833967592</v>
          </cell>
          <cell r="Q140">
            <v>2403.5224886535466</v>
          </cell>
          <cell r="R140">
            <v>2411.0665476498657</v>
          </cell>
          <cell r="S140">
            <v>2418.7460471532249</v>
          </cell>
          <cell r="T140">
            <v>2426.5636751632983</v>
          </cell>
        </row>
        <row r="141">
          <cell r="A141" t="str">
            <v>Net Operating Assets</v>
          </cell>
          <cell r="D141">
            <v>4858</v>
          </cell>
          <cell r="E141">
            <v>4846.2</v>
          </cell>
          <cell r="F141">
            <v>4976</v>
          </cell>
          <cell r="G141">
            <v>4577</v>
          </cell>
          <cell r="H141">
            <v>4554</v>
          </cell>
          <cell r="I141">
            <v>3705</v>
          </cell>
          <cell r="J141">
            <v>3882</v>
          </cell>
          <cell r="K141">
            <v>3791</v>
          </cell>
          <cell r="L141">
            <v>3446</v>
          </cell>
          <cell r="M141">
            <v>5544</v>
          </cell>
          <cell r="N141">
            <v>5487</v>
          </cell>
          <cell r="O141">
            <v>5582.7324604097576</v>
          </cell>
          <cell r="P141">
            <v>5629.2462947377753</v>
          </cell>
          <cell r="Q141">
            <v>5684.3871511094203</v>
          </cell>
          <cell r="R141">
            <v>5737.5290492272961</v>
          </cell>
          <cell r="S141">
            <v>5791.9549149571685</v>
          </cell>
          <cell r="T141">
            <v>5847.7109059967343</v>
          </cell>
        </row>
        <row r="142">
          <cell r="A142" t="str">
            <v>RNOA (BOP NOA)</v>
          </cell>
          <cell r="D142" t="e">
            <v>#DIV/0!</v>
          </cell>
          <cell r="E142">
            <v>0.15912199240185732</v>
          </cell>
          <cell r="F142">
            <v>0.16667092542907033</v>
          </cell>
          <cell r="G142">
            <v>0.16674278596636913</v>
          </cell>
          <cell r="H142">
            <v>0.17119231572353311</v>
          </cell>
          <cell r="I142">
            <v>0.16635567325320838</v>
          </cell>
          <cell r="J142">
            <v>0.18749946887614194</v>
          </cell>
          <cell r="K142">
            <v>0.1881916632996633</v>
          </cell>
          <cell r="L142">
            <v>0.16817145552099089</v>
          </cell>
          <cell r="M142">
            <v>0.18878145291179657</v>
          </cell>
          <cell r="N142">
            <v>0.13076746259157238</v>
          </cell>
        </row>
        <row r="143">
          <cell r="A143" t="str">
            <v>RNOA (BOP NOA)</v>
          </cell>
          <cell r="D143" t="e">
            <v>#DIV/0!</v>
          </cell>
          <cell r="E143">
            <v>0.15374228077398105</v>
          </cell>
          <cell r="F143">
            <v>0.15913499236515211</v>
          </cell>
          <cell r="G143">
            <v>0.16077170418006431</v>
          </cell>
          <cell r="H143">
            <v>0.1789818658509941</v>
          </cell>
          <cell r="I143">
            <v>0.17904259991216515</v>
          </cell>
          <cell r="J143">
            <v>0.23268016194331984</v>
          </cell>
          <cell r="K143">
            <v>0.22009273570324575</v>
          </cell>
          <cell r="L143">
            <v>0.19836454761276709</v>
          </cell>
          <cell r="M143">
            <v>0.23048171793383634</v>
          </cell>
          <cell r="N143">
            <v>0.14845598845598845</v>
          </cell>
          <cell r="O143">
            <v>0.1447382363498724</v>
          </cell>
          <cell r="P143">
            <v>0.14680713730297401</v>
          </cell>
          <cell r="Q143">
            <v>0.15010469138042687</v>
          </cell>
          <cell r="R143">
            <v>0.15323631062044679</v>
          </cell>
          <cell r="S143">
            <v>0.15648538157779893</v>
          </cell>
          <cell r="T143">
            <v>0.24963272420362681</v>
          </cell>
        </row>
        <row r="144">
          <cell r="A144" t="str">
            <v>Check (ROIC = RNOA)</v>
          </cell>
          <cell r="D144" t="e">
            <v>#DIV/0!</v>
          </cell>
          <cell r="E144">
            <v>0</v>
          </cell>
          <cell r="F144">
            <v>5.7945693546224142E-7</v>
          </cell>
          <cell r="G144">
            <v>0</v>
          </cell>
          <cell r="H144">
            <v>0</v>
          </cell>
          <cell r="I144">
            <v>7.4888988950427837E-4</v>
          </cell>
          <cell r="J144">
            <v>1.869765453577088E-11</v>
          </cell>
          <cell r="K144">
            <v>1.8588963701660077E-11</v>
          </cell>
          <cell r="L144">
            <v>1.6720042017581704E-11</v>
          </cell>
          <cell r="M144">
            <v>0</v>
          </cell>
        </row>
        <row r="145">
          <cell r="A145" t="str">
            <v>NOA - IC</v>
          </cell>
          <cell r="D145">
            <v>0</v>
          </cell>
          <cell r="E145">
            <v>1.6327000000273983E-2</v>
          </cell>
          <cell r="F145">
            <v>0</v>
          </cell>
          <cell r="G145">
            <v>0</v>
          </cell>
          <cell r="H145">
            <v>22.000000469387487</v>
          </cell>
          <cell r="I145">
            <v>4.6938748710090294E-7</v>
          </cell>
          <cell r="J145">
            <v>4.6938748710090294E-7</v>
          </cell>
          <cell r="K145">
            <v>4.6938748710090294E-7</v>
          </cell>
          <cell r="L145">
            <v>0</v>
          </cell>
          <cell r="M145">
            <v>0</v>
          </cell>
        </row>
        <row r="146">
          <cell r="A146" t="str">
            <v>NOA - IC</v>
          </cell>
          <cell r="D146">
            <v>298</v>
          </cell>
          <cell r="E146">
            <v>278.01632700000027</v>
          </cell>
          <cell r="F146">
            <v>278</v>
          </cell>
          <cell r="G146">
            <v>307</v>
          </cell>
          <cell r="H146">
            <v>321.00000046938749</v>
          </cell>
          <cell r="I146">
            <v>313.00000046938749</v>
          </cell>
          <cell r="J146">
            <v>332.00000046938749</v>
          </cell>
          <cell r="K146">
            <v>2.564421265560668E-5</v>
          </cell>
          <cell r="L146">
            <v>2.564421265560668E-5</v>
          </cell>
          <cell r="M146">
            <v>2.564421265560668E-5</v>
          </cell>
        </row>
        <row r="147">
          <cell r="A147" t="str">
            <v>Incremental Margin</v>
          </cell>
        </row>
        <row r="148">
          <cell r="A148" t="str">
            <v>Δ NOPAT</v>
          </cell>
          <cell r="D148">
            <v>38.563308800000186</v>
          </cell>
          <cell r="E148">
            <v>28.294931199999951</v>
          </cell>
          <cell r="F148">
            <v>28.800000000000068</v>
          </cell>
          <cell r="G148">
            <v>20.480000000000018</v>
          </cell>
          <cell r="H148">
            <v>16.639999999999986</v>
          </cell>
          <cell r="I148">
            <v>-3.2000000000000455</v>
          </cell>
          <cell r="J148">
            <v>65.920000000000073</v>
          </cell>
          <cell r="K148">
            <v>11.726783999999952</v>
          </cell>
          <cell r="L148">
            <v>-100.32704295040003</v>
          </cell>
          <cell r="M148">
            <v>44.489149844469125</v>
          </cell>
          <cell r="N148">
            <v>25.931709778312324</v>
          </cell>
        </row>
        <row r="149">
          <cell r="A149" t="str">
            <v>Δ IC</v>
          </cell>
          <cell r="D149">
            <v>4738</v>
          </cell>
          <cell r="E149">
            <v>-41.816327000000456</v>
          </cell>
          <cell r="F149">
            <v>120.81632700000046</v>
          </cell>
          <cell r="G149">
            <v>-28</v>
          </cell>
          <cell r="H149">
            <v>97.999999530612513</v>
          </cell>
          <cell r="I149">
            <v>-180</v>
          </cell>
          <cell r="J149">
            <v>45</v>
          </cell>
          <cell r="K149">
            <v>-30.867400000000089</v>
          </cell>
          <cell r="L149">
            <v>-279.75937159061232</v>
          </cell>
          <cell r="M149">
            <v>2168.6854482928784</v>
          </cell>
          <cell r="N149">
            <v>650.11873390737492</v>
          </cell>
          <cell r="O149">
            <v>-28.86129714825006</v>
          </cell>
          <cell r="P149">
            <v>25.40626798939536</v>
          </cell>
          <cell r="Q149">
            <v>25.391306934879935</v>
          </cell>
          <cell r="R149">
            <v>26.078237398254601</v>
          </cell>
          <cell r="S149">
            <v>26.784907407759533</v>
          </cell>
          <cell r="T149">
            <v>548.02206130330433</v>
          </cell>
        </row>
        <row r="150">
          <cell r="A150" t="str">
            <v>Incremental Margin</v>
          </cell>
          <cell r="D150">
            <v>8.1391533980582926E-3</v>
          </cell>
          <cell r="E150">
            <v>-0.67664793227773545</v>
          </cell>
          <cell r="F150">
            <v>0.23837837745224583</v>
          </cell>
          <cell r="G150">
            <v>-0.73142857142857209</v>
          </cell>
          <cell r="H150">
            <v>0.16979591918061293</v>
          </cell>
          <cell r="I150">
            <v>1.7777777777778031E-2</v>
          </cell>
          <cell r="J150">
            <v>1.4648888888888905</v>
          </cell>
          <cell r="K150">
            <v>-0.37990838230624929</v>
          </cell>
          <cell r="L150">
            <v>0.35861906030163043</v>
          </cell>
          <cell r="M150">
            <v>2.0514339633481472E-2</v>
          </cell>
          <cell r="N150">
            <v>3.9887651940832887E-2</v>
          </cell>
          <cell r="O150">
            <v>95.732460409756641</v>
          </cell>
          <cell r="P150">
            <v>46.513834328018675</v>
          </cell>
          <cell r="Q150">
            <v>55.140856371644986</v>
          </cell>
          <cell r="R150">
            <v>53.141898117875826</v>
          </cell>
          <cell r="S150">
            <v>54.425865729870566</v>
          </cell>
          <cell r="T150">
            <v>55.755991039566652</v>
          </cell>
        </row>
        <row r="151">
          <cell r="A151" t="str">
            <v>Incremental Margin</v>
          </cell>
          <cell r="D151">
            <v>6.35160280701758E-3</v>
          </cell>
          <cell r="E151">
            <v>3.7703035299677454</v>
          </cell>
          <cell r="F151">
            <v>0.18734161227655105</v>
          </cell>
          <cell r="G151">
            <v>-6.7289719626168115E-2</v>
          </cell>
          <cell r="H151">
            <v>-0.51891891233583787</v>
          </cell>
          <cell r="I151">
            <v>4.5659928656361856E-3</v>
          </cell>
          <cell r="J151">
            <v>0.29569620253164575</v>
          </cell>
          <cell r="K151">
            <v>-3.1867223245858244E-2</v>
          </cell>
          <cell r="L151">
            <v>0.29681159420289849</v>
          </cell>
          <cell r="M151">
            <v>2.0133460438512874E-2</v>
          </cell>
          <cell r="N151">
            <v>-0.49655172413793025</v>
          </cell>
          <cell r="O151">
            <v>-0.30147869410978434</v>
          </cell>
          <cell r="P151">
            <v>0.54620885068791913</v>
          </cell>
          <cell r="Q151">
            <v>0.46048082321653744</v>
          </cell>
          <cell r="R151">
            <v>0.49072837670211905</v>
          </cell>
          <cell r="S151">
            <v>0.49213562427651314</v>
          </cell>
          <cell r="T151">
            <v>9.8289358880627962</v>
          </cell>
        </row>
        <row r="153">
          <cell r="A153" t="str">
            <v>Balance Sheet Metrics</v>
          </cell>
        </row>
        <row r="155">
          <cell r="A155" t="str">
            <v>Quick ratio</v>
          </cell>
          <cell r="B155">
            <v>0.40179238237490666</v>
          </cell>
          <cell r="C155">
            <v>0.41466043837585337</v>
          </cell>
          <cell r="D155">
            <v>0.563061137238136</v>
          </cell>
          <cell r="E155">
            <v>0.6648351648351648</v>
          </cell>
          <cell r="F155">
            <v>0.6343686698176908</v>
          </cell>
          <cell r="G155">
            <v>0.70295566502463058</v>
          </cell>
          <cell r="H155">
            <v>0.62132661648588905</v>
          </cell>
          <cell r="I155">
            <v>0.8617936120819335</v>
          </cell>
          <cell r="J155">
            <v>0.72154963703118047</v>
          </cell>
          <cell r="K155">
            <v>0.9105077930967258</v>
          </cell>
          <cell r="L155">
            <v>0.77391304347826073</v>
          </cell>
          <cell r="M155">
            <v>0.57678244972577697</v>
          </cell>
          <cell r="N155">
            <v>0.54652198135713193</v>
          </cell>
          <cell r="O155">
            <v>0.70121790897599046</v>
          </cell>
          <cell r="P155">
            <v>0.86082223742517927</v>
          </cell>
          <cell r="Q155">
            <v>1.0246886768250973</v>
          </cell>
          <cell r="R155">
            <v>1.1933916304342835</v>
          </cell>
          <cell r="S155">
            <v>1.3671897154650245</v>
          </cell>
          <cell r="T155">
            <v>1.546270426290822</v>
          </cell>
        </row>
        <row r="156">
          <cell r="A156" t="str">
            <v>Current ratio</v>
          </cell>
          <cell r="B156">
            <v>0.44772218073188946</v>
          </cell>
          <cell r="C156">
            <v>0.46352856629536471</v>
          </cell>
          <cell r="D156">
            <v>0.63317657118426673</v>
          </cell>
          <cell r="E156">
            <v>0.75524475524475521</v>
          </cell>
          <cell r="F156">
            <v>0.71303173531397701</v>
          </cell>
          <cell r="G156">
            <v>0.7773399014778325</v>
          </cell>
          <cell r="H156">
            <v>0.71074727139772786</v>
          </cell>
          <cell r="I156">
            <v>0.95270270299102444</v>
          </cell>
          <cell r="J156">
            <v>0.81694915276967928</v>
          </cell>
          <cell r="K156">
            <v>0.98692810481115523</v>
          </cell>
          <cell r="L156">
            <v>0.8555555555555554</v>
          </cell>
          <cell r="M156">
            <v>0.67672151127361369</v>
          </cell>
          <cell r="N156">
            <v>0.64580984371435457</v>
          </cell>
          <cell r="O156">
            <v>0.80029789325489309</v>
          </cell>
          <cell r="P156">
            <v>0.95960251538891894</v>
          </cell>
          <cell r="Q156">
            <v>1.1231707925143917</v>
          </cell>
          <cell r="R156">
            <v>1.2916244434079305</v>
          </cell>
          <cell r="S156">
            <v>1.4651754420064427</v>
          </cell>
          <cell r="T156">
            <v>1.6440110963034409</v>
          </cell>
        </row>
        <row r="158">
          <cell r="A158" t="str">
            <v>Cash conversion Cycle</v>
          </cell>
        </row>
        <row r="159">
          <cell r="A159" t="str">
            <v>A/R turnover days (YTD)</v>
          </cell>
          <cell r="B159">
            <v>24.477417250937552</v>
          </cell>
          <cell r="C159">
            <v>22.264150943396228</v>
          </cell>
          <cell r="D159">
            <v>24.81361654241103</v>
          </cell>
          <cell r="E159">
            <v>24.276629570747218</v>
          </cell>
          <cell r="F159">
            <v>23.153235255826065</v>
          </cell>
          <cell r="G159">
            <v>26.573497649599798</v>
          </cell>
          <cell r="H159">
            <v>25.656414103525883</v>
          </cell>
          <cell r="I159">
            <v>25.056683364091747</v>
          </cell>
          <cell r="J159">
            <v>24.012506513809274</v>
          </cell>
          <cell r="K159">
            <v>26.117372716673145</v>
          </cell>
          <cell r="L159">
            <v>27.746341463414634</v>
          </cell>
          <cell r="M159">
            <v>28.390461997019372</v>
          </cell>
          <cell r="N159">
            <v>28.390461997019372</v>
          </cell>
          <cell r="O159">
            <v>28.390461997019372</v>
          </cell>
          <cell r="P159">
            <v>28.390461997019372</v>
          </cell>
          <cell r="Q159">
            <v>28.390461997019372</v>
          </cell>
          <cell r="R159">
            <v>28.390461997019372</v>
          </cell>
          <cell r="S159">
            <v>28.390461997019372</v>
          </cell>
          <cell r="T159">
            <v>28.390461997019372</v>
          </cell>
        </row>
        <row r="160">
          <cell r="A160" t="str">
            <v>Inventory turnover days (YTD)</v>
          </cell>
          <cell r="B160">
            <v>66.709265175718841</v>
          </cell>
          <cell r="C160">
            <v>67.080157687253617</v>
          </cell>
          <cell r="D160">
            <v>68.354430379746844</v>
          </cell>
          <cell r="E160">
            <v>62.685370741482963</v>
          </cell>
          <cell r="F160">
            <v>57.445867203542278</v>
          </cell>
          <cell r="G160">
            <v>61.036972216145259</v>
          </cell>
          <cell r="H160">
            <v>61.91701244813278</v>
          </cell>
          <cell r="I160">
            <v>65.396825396825392</v>
          </cell>
          <cell r="J160">
            <v>57.58727353071145</v>
          </cell>
          <cell r="K160">
            <v>59.818024263431546</v>
          </cell>
          <cell r="L160">
            <v>58.886597938144334</v>
          </cell>
          <cell r="M160">
            <v>65.953654188948306</v>
          </cell>
          <cell r="N160">
            <v>65.953654188948306</v>
          </cell>
          <cell r="O160">
            <v>65.953654188948306</v>
          </cell>
          <cell r="P160">
            <v>65.953654188948306</v>
          </cell>
          <cell r="Q160">
            <v>65.953654188948306</v>
          </cell>
          <cell r="R160">
            <v>65.953654188948306</v>
          </cell>
          <cell r="S160">
            <v>65.953654188948306</v>
          </cell>
          <cell r="T160">
            <v>65.953654188948306</v>
          </cell>
        </row>
        <row r="161">
          <cell r="A161" t="str">
            <v>A/P turnover days (YTD)</v>
          </cell>
          <cell r="B161">
            <v>63.990705779843154</v>
          </cell>
          <cell r="C161">
            <v>58.659658344283834</v>
          </cell>
          <cell r="D161">
            <v>52.190112252209218</v>
          </cell>
          <cell r="E161">
            <v>50.020040080160321</v>
          </cell>
          <cell r="F161">
            <v>54.526228348417192</v>
          </cell>
          <cell r="G161">
            <v>54.657624152264276</v>
          </cell>
          <cell r="H161">
            <v>48.921161825726138</v>
          </cell>
          <cell r="I161">
            <v>45.158730158730165</v>
          </cell>
          <cell r="J161">
            <v>43.349536014140526</v>
          </cell>
          <cell r="K161">
            <v>45.62391681109186</v>
          </cell>
          <cell r="L161">
            <v>47.092783505154642</v>
          </cell>
          <cell r="M161">
            <v>37.29055258467023</v>
          </cell>
          <cell r="N161">
            <v>37.29055258467023</v>
          </cell>
          <cell r="O161">
            <v>37.29055258467023</v>
          </cell>
          <cell r="P161">
            <v>37.29055258467023</v>
          </cell>
          <cell r="Q161">
            <v>37.29055258467023</v>
          </cell>
          <cell r="R161">
            <v>37.29055258467023</v>
          </cell>
          <cell r="S161">
            <v>37.29055258467023</v>
          </cell>
          <cell r="T161">
            <v>37.29055258467023</v>
          </cell>
        </row>
        <row r="162">
          <cell r="A162" t="str">
            <v>Cash conversion cycle</v>
          </cell>
          <cell r="B162">
            <v>27.195976646813236</v>
          </cell>
          <cell r="C162">
            <v>30.684650286366015</v>
          </cell>
          <cell r="D162">
            <v>40.977934669948652</v>
          </cell>
          <cell r="E162">
            <v>36.941960232069853</v>
          </cell>
          <cell r="F162">
            <v>26.072874110951147</v>
          </cell>
          <cell r="G162">
            <v>32.952845713480784</v>
          </cell>
          <cell r="H162">
            <v>38.652264725932518</v>
          </cell>
          <cell r="I162">
            <v>45.29477860218698</v>
          </cell>
          <cell r="J162">
            <v>38.250244030380202</v>
          </cell>
          <cell r="K162">
            <v>40.311480169012825</v>
          </cell>
          <cell r="L162">
            <v>39.540155896404329</v>
          </cell>
          <cell r="M162">
            <v>57.053563601297448</v>
          </cell>
          <cell r="N162">
            <v>57.053563601297448</v>
          </cell>
          <cell r="O162">
            <v>57.053563601297448</v>
          </cell>
          <cell r="P162">
            <v>57.053563601297448</v>
          </cell>
          <cell r="Q162">
            <v>57.053563601297448</v>
          </cell>
          <cell r="R162">
            <v>57.053563601297448</v>
          </cell>
          <cell r="S162">
            <v>57.053563601297448</v>
          </cell>
          <cell r="T162">
            <v>57.053563601297448</v>
          </cell>
        </row>
        <row r="164">
          <cell r="A164" t="str">
            <v>Core Working Capital</v>
          </cell>
          <cell r="B164">
            <v>443</v>
          </cell>
          <cell r="C164">
            <v>502</v>
          </cell>
          <cell r="D164">
            <v>678</v>
          </cell>
          <cell r="E164">
            <v>667</v>
          </cell>
          <cell r="F164">
            <v>531</v>
          </cell>
          <cell r="G164">
            <v>662</v>
          </cell>
          <cell r="H164">
            <v>744</v>
          </cell>
          <cell r="I164">
            <v>783</v>
          </cell>
          <cell r="J164">
            <v>691</v>
          </cell>
          <cell r="K164">
            <v>742</v>
          </cell>
          <cell r="L164">
            <v>696</v>
          </cell>
          <cell r="M164">
            <v>1037</v>
          </cell>
          <cell r="N164">
            <v>1076.5842244217365</v>
          </cell>
          <cell r="O164">
            <v>1092.4100202703326</v>
          </cell>
          <cell r="P164">
            <v>1114.4818335513978</v>
          </cell>
          <cell r="Q164">
            <v>1136.6633753964888</v>
          </cell>
          <cell r="R164">
            <v>1155.7485559268653</v>
          </cell>
          <cell r="S164">
            <v>1174.8496557635372</v>
          </cell>
          <cell r="T164">
            <v>1193.9782334141014</v>
          </cell>
        </row>
        <row r="165">
          <cell r="A165" t="str">
            <v xml:space="preserve">   As % of Sales</v>
          </cell>
          <cell r="B165">
            <v>7.2232186531876727E-2</v>
          </cell>
          <cell r="C165">
            <v>7.5172207247678952E-2</v>
          </cell>
          <cell r="D165">
            <v>9.5372063581375718E-2</v>
          </cell>
          <cell r="E165">
            <v>8.8367779544250138E-2</v>
          </cell>
          <cell r="F165">
            <v>6.9131623486525198E-2</v>
          </cell>
          <cell r="G165">
            <v>8.4106212679456227E-2</v>
          </cell>
          <cell r="H165">
            <v>9.3023255813953487E-2</v>
          </cell>
          <cell r="I165">
            <v>0.10321645135776431</v>
          </cell>
          <cell r="J165">
            <v>9.002084418968212E-2</v>
          </cell>
          <cell r="K165">
            <v>9.6126441248866434E-2</v>
          </cell>
          <cell r="L165">
            <v>9.7003484320557498E-2</v>
          </cell>
          <cell r="M165">
            <v>0.12878787878787878</v>
          </cell>
          <cell r="N165">
            <v>0.12902282224365158</v>
          </cell>
          <cell r="O165">
            <v>0.12886358279029447</v>
          </cell>
          <cell r="P165">
            <v>0.12870434333693734</v>
          </cell>
          <cell r="Q165">
            <v>0.12854510388358029</v>
          </cell>
          <cell r="R165">
            <v>0.12803022491656602</v>
          </cell>
          <cell r="S165">
            <v>0.12751819058472869</v>
          </cell>
          <cell r="T165">
            <v>0.12700897737868655</v>
          </cell>
        </row>
        <row r="167">
          <cell r="A167" t="str">
            <v>Other Ratios</v>
          </cell>
        </row>
        <row r="168">
          <cell r="A168" t="str">
            <v>Accounts Receivable / Net Sales</v>
          </cell>
          <cell r="C168">
            <v>6.2144354597184787E-2</v>
          </cell>
          <cell r="D168">
            <v>6.3511042340694893E-2</v>
          </cell>
          <cell r="E168">
            <v>6.6176470588235295E-2</v>
          </cell>
          <cell r="F168">
            <v>6.5290977737273798E-2</v>
          </cell>
          <cell r="G168">
            <v>6.8288654554694447E-2</v>
          </cell>
          <cell r="H168">
            <v>7.195548887221806E-2</v>
          </cell>
          <cell r="I168">
            <v>7.2370155549696807E-2</v>
          </cell>
          <cell r="J168">
            <v>6.7743616466909851E-2</v>
          </cell>
          <cell r="K168">
            <v>6.9439046508615099E-2</v>
          </cell>
          <cell r="L168">
            <v>7.7560975609756097E-2</v>
          </cell>
          <cell r="M168">
            <v>7.3770491803278687E-2</v>
          </cell>
          <cell r="N168">
            <v>7.7481862584614924E-2</v>
          </cell>
          <cell r="O168">
            <v>7.8243192006824405E-2</v>
          </cell>
          <cell r="P168">
            <v>7.8033716277476781E-2</v>
          </cell>
          <cell r="Q168">
            <v>7.8045075816835757E-2</v>
          </cell>
          <cell r="R168">
            <v>7.7946698010319296E-2</v>
          </cell>
          <cell r="S168">
            <v>7.7741300568941241E-2</v>
          </cell>
          <cell r="T168">
            <v>7.7536352334693082E-2</v>
          </cell>
        </row>
        <row r="169">
          <cell r="A169" t="str">
            <v>Receivables Turnover</v>
          </cell>
          <cell r="C169">
            <v>16.091566265060241</v>
          </cell>
          <cell r="D169">
            <v>15.745293466223698</v>
          </cell>
          <cell r="E169">
            <v>15.111111111111111</v>
          </cell>
          <cell r="F169">
            <v>15.3160518444666</v>
          </cell>
          <cell r="G169">
            <v>14.643720930232558</v>
          </cell>
          <cell r="H169">
            <v>13.89748045178106</v>
          </cell>
          <cell r="I169">
            <v>13.817850637522769</v>
          </cell>
          <cell r="J169">
            <v>14.761538461538462</v>
          </cell>
          <cell r="K169">
            <v>14.401119402985074</v>
          </cell>
          <cell r="L169">
            <v>12.89308176100629</v>
          </cell>
          <cell r="M169">
            <v>13.555555555555555</v>
          </cell>
          <cell r="N169">
            <v>12.906246270318281</v>
          </cell>
          <cell r="O169">
            <v>12.780664673199677</v>
          </cell>
          <cell r="P169">
            <v>12.814973420516619</v>
          </cell>
          <cell r="Q169">
            <v>12.813108188233468</v>
          </cell>
          <cell r="R169">
            <v>12.829279822316668</v>
          </cell>
          <cell r="S169">
            <v>12.863175592402094</v>
          </cell>
          <cell r="T169">
            <v>12.897176226235203</v>
          </cell>
        </row>
        <row r="171">
          <cell r="A171" t="str">
            <v>Inventory / COGS</v>
          </cell>
          <cell r="C171">
            <v>0.17700394218134033</v>
          </cell>
          <cell r="D171">
            <v>0.17960353475041796</v>
          </cell>
          <cell r="E171">
            <v>0.1755733689601425</v>
          </cell>
          <cell r="F171">
            <v>0.1654900402116698</v>
          </cell>
          <cell r="G171">
            <v>0.16440603806606868</v>
          </cell>
          <cell r="H171">
            <v>0.16639004149377593</v>
          </cell>
          <cell r="I171">
            <v>0.18220899470899471</v>
          </cell>
          <cell r="J171">
            <v>0.17101193106495802</v>
          </cell>
          <cell r="K171">
            <v>0.16150346620450606</v>
          </cell>
          <cell r="L171">
            <v>0.16964490263459336</v>
          </cell>
          <cell r="M171">
            <v>0.16230936819172112</v>
          </cell>
          <cell r="N171">
            <v>0.17958346349900497</v>
          </cell>
          <cell r="O171">
            <v>0.18205327674600549</v>
          </cell>
          <cell r="P171">
            <v>0.1815660080283886</v>
          </cell>
          <cell r="Q171">
            <v>0.1815934001608587</v>
          </cell>
          <cell r="R171">
            <v>0.18136586498910351</v>
          </cell>
          <cell r="S171">
            <v>0.18088891333972049</v>
          </cell>
          <cell r="T171">
            <v>0.18041300544763503</v>
          </cell>
        </row>
        <row r="172">
          <cell r="A172" t="str">
            <v>Inventory Turnover</v>
          </cell>
          <cell r="C172">
            <v>5.6495916852264294</v>
          </cell>
          <cell r="D172">
            <v>5.5678191489361701</v>
          </cell>
          <cell r="E172">
            <v>5.6956246036778699</v>
          </cell>
          <cell r="F172">
            <v>6.0426597197085181</v>
          </cell>
          <cell r="G172">
            <v>6.0825016633399871</v>
          </cell>
          <cell r="H172">
            <v>6.0099750623441404</v>
          </cell>
          <cell r="I172">
            <v>5.488203266787659</v>
          </cell>
          <cell r="J172">
            <v>5.8475452196382429</v>
          </cell>
          <cell r="K172">
            <v>6.1918175720992625</v>
          </cell>
          <cell r="L172">
            <v>5.8946657663740716</v>
          </cell>
          <cell r="M172">
            <v>6.1610738255033564</v>
          </cell>
          <cell r="N172">
            <v>5.568441439517847</v>
          </cell>
          <cell r="O172">
            <v>5.4928975620425984</v>
          </cell>
          <cell r="P172">
            <v>5.5076388518915165</v>
          </cell>
          <cell r="Q172">
            <v>5.5068080619349713</v>
          </cell>
          <cell r="R172">
            <v>5.5137167077171894</v>
          </cell>
          <cell r="S172">
            <v>5.5282547809988696</v>
          </cell>
          <cell r="T172">
            <v>5.5428376547401985</v>
          </cell>
        </row>
        <row r="174">
          <cell r="A174" t="str">
            <v>Accounts Payable / COGS</v>
          </cell>
          <cell r="C174">
            <v>0.161892247043364</v>
          </cell>
          <cell r="D174">
            <v>0.14652495820396466</v>
          </cell>
          <cell r="E174">
            <v>0.13705188154085951</v>
          </cell>
          <cell r="F174">
            <v>0.14411880985320913</v>
          </cell>
          <cell r="G174">
            <v>0.15149857799168673</v>
          </cell>
          <cell r="H174">
            <v>0.13993775933609959</v>
          </cell>
          <cell r="I174">
            <v>0.13492063492063491</v>
          </cell>
          <cell r="J174">
            <v>0.12306672558550596</v>
          </cell>
          <cell r="K174">
            <v>0.1224003466204506</v>
          </cell>
          <cell r="L174">
            <v>0.13241695303550974</v>
          </cell>
          <cell r="M174">
            <v>0.10833828480887304</v>
          </cell>
          <cell r="N174">
            <v>0.10153746098376171</v>
          </cell>
          <cell r="O174">
            <v>0.10293390674395769</v>
          </cell>
          <cell r="P174">
            <v>0.10265840237713213</v>
          </cell>
          <cell r="Q174">
            <v>0.10267389003689631</v>
          </cell>
          <cell r="R174">
            <v>0.1025452404208661</v>
          </cell>
          <cell r="S174">
            <v>0.10227556938018791</v>
          </cell>
          <cell r="T174">
            <v>0.10200648848552772</v>
          </cell>
        </row>
        <row r="175">
          <cell r="A175" t="str">
            <v>Accounts Payable Turnover</v>
          </cell>
          <cell r="C175">
            <v>6.1769480519480515</v>
          </cell>
          <cell r="D175">
            <v>6.8247758761206194</v>
          </cell>
          <cell r="E175">
            <v>7.2965069049553204</v>
          </cell>
          <cell r="F175">
            <v>6.9387195260531271</v>
          </cell>
          <cell r="G175">
            <v>6.6007220216606495</v>
          </cell>
          <cell r="H175">
            <v>7.1460340993328391</v>
          </cell>
          <cell r="I175">
            <v>7.4117647058823533</v>
          </cell>
          <cell r="J175">
            <v>8.1256732495511663</v>
          </cell>
          <cell r="K175">
            <v>8.1699115044247783</v>
          </cell>
          <cell r="L175">
            <v>7.5519031141868513</v>
          </cell>
          <cell r="M175">
            <v>9.2303473491773307</v>
          </cell>
          <cell r="N175">
            <v>9.8485818958967677</v>
          </cell>
          <cell r="O175">
            <v>9.7149717875514412</v>
          </cell>
          <cell r="P175">
            <v>9.7410438585079415</v>
          </cell>
          <cell r="Q175">
            <v>9.739574488125907</v>
          </cell>
          <cell r="R175">
            <v>9.7517934123105157</v>
          </cell>
          <cell r="S175">
            <v>9.7775060658201802</v>
          </cell>
          <cell r="T175">
            <v>9.8032979553244406</v>
          </cell>
        </row>
        <row r="177">
          <cell r="A177" t="str">
            <v>Other Current Assets / Net Sales</v>
          </cell>
          <cell r="C177">
            <v>1.9392033542976941E-2</v>
          </cell>
          <cell r="D177">
            <v>2.1100014066676043E-2</v>
          </cell>
          <cell r="E177">
            <v>2.2853736089030206E-2</v>
          </cell>
          <cell r="F177">
            <v>2.6949615935425074E-2</v>
          </cell>
          <cell r="G177">
            <v>2.4393342650235041E-2</v>
          </cell>
          <cell r="H177">
            <v>2.2755688922230559E-2</v>
          </cell>
          <cell r="I177">
            <v>2.3793830740838386E-2</v>
          </cell>
          <cell r="J177">
            <v>2.2472642001042209E-2</v>
          </cell>
          <cell r="K177">
            <v>2.2606555253271148E-2</v>
          </cell>
          <cell r="L177">
            <v>2.2369337979094076E-2</v>
          </cell>
          <cell r="M177">
            <v>3.0861897665176354E-2</v>
          </cell>
          <cell r="N177">
            <v>3.9309033827472903E-2</v>
          </cell>
          <cell r="O177">
            <v>3.8691749774280672E-2</v>
          </cell>
          <cell r="P177">
            <v>3.7878611695260599E-2</v>
          </cell>
          <cell r="Q177">
            <v>3.7093474626212167E-2</v>
          </cell>
          <cell r="R177">
            <v>3.633481829354844E-2</v>
          </cell>
          <cell r="S177">
            <v>3.5601122498187421E-2</v>
          </cell>
          <cell r="T177">
            <v>3.4890874401527577E-2</v>
          </cell>
        </row>
        <row r="179">
          <cell r="A179" t="str">
            <v>COGS</v>
          </cell>
          <cell r="B179">
            <v>3443</v>
          </cell>
          <cell r="C179">
            <v>3805</v>
          </cell>
          <cell r="D179">
            <v>4187</v>
          </cell>
          <cell r="E179">
            <v>4491</v>
          </cell>
          <cell r="F179">
            <v>4562.2080883799308</v>
          </cell>
          <cell r="G179">
            <v>4571</v>
          </cell>
          <cell r="H179">
            <v>4820</v>
          </cell>
          <cell r="I179">
            <v>4536</v>
          </cell>
          <cell r="J179">
            <v>4526</v>
          </cell>
          <cell r="K179">
            <v>4616</v>
          </cell>
          <cell r="L179">
            <v>4365</v>
          </cell>
          <cell r="M179">
            <v>5049</v>
          </cell>
          <cell r="N179">
            <v>5256.806893472417</v>
          </cell>
          <cell r="O179">
            <v>5323.7189116973577</v>
          </cell>
          <cell r="P179">
            <v>5420.6844129319243</v>
          </cell>
          <cell r="Q179">
            <v>5517.7359916390305</v>
          </cell>
          <cell r="R179">
            <v>5614.8897829007392</v>
          </cell>
          <cell r="S179">
            <v>5712.1794407003263</v>
          </cell>
          <cell r="T179">
            <v>5809.6566359232684</v>
          </cell>
        </row>
        <row r="180">
          <cell r="A180" t="str">
            <v>EBITDA</v>
          </cell>
          <cell r="B180">
            <v>1323</v>
          </cell>
          <cell r="C180">
            <v>1348</v>
          </cell>
          <cell r="D180">
            <v>1382</v>
          </cell>
          <cell r="E180">
            <v>1446</v>
          </cell>
          <cell r="F180">
            <v>1494</v>
          </cell>
          <cell r="G180">
            <v>1533</v>
          </cell>
          <cell r="H180">
            <v>1574</v>
          </cell>
          <cell r="I180">
            <v>1538</v>
          </cell>
          <cell r="J180">
            <v>1611</v>
          </cell>
          <cell r="K180">
            <v>1610</v>
          </cell>
          <cell r="L180">
            <v>1427</v>
          </cell>
          <cell r="M180">
            <v>1639</v>
          </cell>
          <cell r="N180">
            <v>1667.4287903330328</v>
          </cell>
          <cell r="O180">
            <v>1725.5240117625483</v>
          </cell>
          <cell r="P180">
            <v>1785.4679034254848</v>
          </cell>
          <cell r="Q180">
            <v>1837.7151430198653</v>
          </cell>
          <cell r="R180">
            <v>1891.3355837199017</v>
          </cell>
          <cell r="S180">
            <v>1946.3321423368834</v>
          </cell>
          <cell r="T180">
            <v>2002.711384627481</v>
          </cell>
        </row>
        <row r="181">
          <cell r="A181" t="str">
            <v>Number of days</v>
          </cell>
          <cell r="B181">
            <v>360</v>
          </cell>
          <cell r="C181">
            <v>360</v>
          </cell>
          <cell r="D181">
            <v>360</v>
          </cell>
          <cell r="E181">
            <v>360</v>
          </cell>
          <cell r="F181">
            <v>360</v>
          </cell>
          <cell r="G181">
            <v>360</v>
          </cell>
          <cell r="H181">
            <v>360</v>
          </cell>
          <cell r="I181">
            <v>360</v>
          </cell>
          <cell r="J181">
            <v>360</v>
          </cell>
          <cell r="K181">
            <v>360</v>
          </cell>
          <cell r="L181">
            <v>360</v>
          </cell>
          <cell r="M181">
            <v>360</v>
          </cell>
          <cell r="N181">
            <v>360</v>
          </cell>
          <cell r="O181">
            <v>360</v>
          </cell>
          <cell r="P181">
            <v>360</v>
          </cell>
          <cell r="Q181">
            <v>360</v>
          </cell>
          <cell r="R181">
            <v>361</v>
          </cell>
          <cell r="S181">
            <v>362</v>
          </cell>
          <cell r="T181">
            <v>363</v>
          </cell>
        </row>
        <row r="183">
          <cell r="E183">
            <v>188</v>
          </cell>
          <cell r="I183">
            <v>106</v>
          </cell>
          <cell r="J183">
            <v>106</v>
          </cell>
          <cell r="K183">
            <v>111</v>
          </cell>
        </row>
        <row r="184">
          <cell r="A184" t="str">
            <v>DO NOT ERASE</v>
          </cell>
          <cell r="J184">
            <v>2.4740744815446396</v>
          </cell>
        </row>
        <row r="185">
          <cell r="A185" t="str">
            <v>Goodwill, net</v>
          </cell>
          <cell r="B185">
            <v>1581</v>
          </cell>
          <cell r="C185">
            <v>1803</v>
          </cell>
          <cell r="D185">
            <v>1900</v>
          </cell>
          <cell r="E185">
            <v>1950</v>
          </cell>
          <cell r="F185">
            <v>1765</v>
          </cell>
          <cell r="G185">
            <v>1872</v>
          </cell>
          <cell r="H185">
            <v>1998</v>
          </cell>
          <cell r="I185">
            <v>1901</v>
          </cell>
          <cell r="J185">
            <v>1919</v>
          </cell>
          <cell r="K185">
            <v>2133</v>
          </cell>
          <cell r="L185">
            <v>2013</v>
          </cell>
          <cell r="M185">
            <v>2297</v>
          </cell>
          <cell r="N185">
            <v>2297</v>
          </cell>
          <cell r="O185">
            <v>2297</v>
          </cell>
          <cell r="P185">
            <v>2297</v>
          </cell>
          <cell r="Q185">
            <v>2297</v>
          </cell>
          <cell r="R185">
            <v>2297</v>
          </cell>
          <cell r="S185">
            <v>2297</v>
          </cell>
          <cell r="T185">
            <v>2297</v>
          </cell>
        </row>
        <row r="186">
          <cell r="A186" t="str">
            <v>Unrecorded goodwill due to poolings</v>
          </cell>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row>
        <row r="187">
          <cell r="A187" t="str">
            <v>Non-impairment write-offs</v>
          </cell>
          <cell r="B187">
            <v>0</v>
          </cell>
          <cell r="C187">
            <v>17</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row>
        <row r="188">
          <cell r="A188" t="str">
            <v>Cumulative goodwill amortization</v>
          </cell>
          <cell r="B188">
            <v>300</v>
          </cell>
          <cell r="C188">
            <v>300</v>
          </cell>
          <cell r="D188">
            <v>300</v>
          </cell>
          <cell r="E188">
            <v>300</v>
          </cell>
          <cell r="F188">
            <v>300</v>
          </cell>
          <cell r="G188">
            <v>300</v>
          </cell>
          <cell r="H188">
            <v>300</v>
          </cell>
          <cell r="I188">
            <v>0</v>
          </cell>
          <cell r="J188">
            <v>0</v>
          </cell>
          <cell r="K188">
            <v>0</v>
          </cell>
          <cell r="L188">
            <v>0</v>
          </cell>
          <cell r="M188">
            <v>0</v>
          </cell>
          <cell r="N188">
            <v>0</v>
          </cell>
          <cell r="O188">
            <v>0</v>
          </cell>
          <cell r="P188">
            <v>0</v>
          </cell>
          <cell r="Q188">
            <v>0</v>
          </cell>
          <cell r="R188">
            <v>0</v>
          </cell>
          <cell r="S188">
            <v>0</v>
          </cell>
          <cell r="T188">
            <v>0</v>
          </cell>
        </row>
        <row r="189">
          <cell r="A189" t="str">
            <v>Adj for write-offs, amort, etc.</v>
          </cell>
          <cell r="B189">
            <v>300</v>
          </cell>
          <cell r="C189">
            <v>317</v>
          </cell>
          <cell r="D189">
            <v>300</v>
          </cell>
          <cell r="E189">
            <v>300</v>
          </cell>
          <cell r="F189">
            <v>300</v>
          </cell>
          <cell r="G189">
            <v>300</v>
          </cell>
          <cell r="H189">
            <v>300</v>
          </cell>
          <cell r="I189">
            <v>0</v>
          </cell>
          <cell r="J189">
            <v>0</v>
          </cell>
          <cell r="K189">
            <v>0</v>
          </cell>
          <cell r="L189">
            <v>0</v>
          </cell>
          <cell r="M189">
            <v>0</v>
          </cell>
          <cell r="N189">
            <v>0</v>
          </cell>
          <cell r="O189">
            <v>0</v>
          </cell>
          <cell r="P189">
            <v>0</v>
          </cell>
          <cell r="Q189">
            <v>0</v>
          </cell>
          <cell r="R189">
            <v>0</v>
          </cell>
          <cell r="S189">
            <v>0</v>
          </cell>
          <cell r="T189">
            <v>0</v>
          </cell>
          <cell r="BU189" t="str">
            <v>mstag:unrecordedGoodwillFromPoolingAndAmortizedOrWrittenOffGoodwill</v>
          </cell>
          <cell r="BV189">
            <v>6</v>
          </cell>
          <cell r="BW189" t="str">
            <v>ISO4217:USD</v>
          </cell>
          <cell r="BX189" t="b">
            <v>0</v>
          </cell>
        </row>
        <row r="190">
          <cell r="A190" t="str">
            <v>Gross Goodwill</v>
          </cell>
          <cell r="B190">
            <v>1881</v>
          </cell>
          <cell r="C190">
            <v>2120</v>
          </cell>
          <cell r="D190">
            <v>2200</v>
          </cell>
          <cell r="E190">
            <v>2250</v>
          </cell>
          <cell r="F190">
            <v>2065</v>
          </cell>
          <cell r="G190">
            <v>2172</v>
          </cell>
          <cell r="H190">
            <v>2298</v>
          </cell>
          <cell r="I190">
            <v>1901</v>
          </cell>
          <cell r="J190">
            <v>1919</v>
          </cell>
          <cell r="K190">
            <v>2133</v>
          </cell>
          <cell r="L190">
            <v>2013</v>
          </cell>
          <cell r="M190">
            <v>2297</v>
          </cell>
          <cell r="N190">
            <v>2297</v>
          </cell>
          <cell r="O190">
            <v>2297</v>
          </cell>
          <cell r="P190">
            <v>2297</v>
          </cell>
          <cell r="Q190">
            <v>2297</v>
          </cell>
          <cell r="R190">
            <v>2297</v>
          </cell>
          <cell r="S190">
            <v>2297</v>
          </cell>
          <cell r="T190">
            <v>2297</v>
          </cell>
        </row>
        <row r="191">
          <cell r="A191" t="str">
            <v>Changes in AOCI</v>
          </cell>
          <cell r="L191">
            <v>-260.916</v>
          </cell>
          <cell r="M191">
            <v>-35.28</v>
          </cell>
          <cell r="N191">
            <v>53.872</v>
          </cell>
          <cell r="BU191" t="str">
            <v>mstag:changeInAccumulatedOtherComprehensiveIncomeLossOrOtherReserves</v>
          </cell>
          <cell r="BV191">
            <v>6</v>
          </cell>
          <cell r="BW191" t="str">
            <v>ISO4217:USD</v>
          </cell>
          <cell r="BX191" t="b">
            <v>0</v>
          </cell>
        </row>
        <row r="589">
          <cell r="C589" t="str">
            <v>2003-FY</v>
          </cell>
          <cell r="D589" t="str">
            <v>2004-FY</v>
          </cell>
          <cell r="E589" t="str">
            <v>2005-FY</v>
          </cell>
          <cell r="F589" t="str">
            <v>2006-FY</v>
          </cell>
          <cell r="G589" t="str">
            <v>2007-FY</v>
          </cell>
          <cell r="H589" t="str">
            <v>2008-FY</v>
          </cell>
          <cell r="I589" t="str">
            <v>2009-FY</v>
          </cell>
          <cell r="J589" t="str">
            <v>2010-FY</v>
          </cell>
          <cell r="K589" t="str">
            <v>2011-FY</v>
          </cell>
          <cell r="L589" t="str">
            <v>2012-FY</v>
          </cell>
          <cell r="M589" t="str">
            <v>2013-FY</v>
          </cell>
          <cell r="N589" t="str">
            <v>2014-FY</v>
          </cell>
          <cell r="O589" t="str">
            <v>2015-FY</v>
          </cell>
          <cell r="P589" t="str">
            <v>2016-FY</v>
          </cell>
          <cell r="Q589" t="str">
            <v>2017-FY</v>
          </cell>
        </row>
      </sheetData>
      <sheetData sheetId="8" refreshError="1">
        <row r="1">
          <cell r="A1" t="str">
            <v>Campbell Soup Company (CPB)</v>
          </cell>
          <cell r="R1" t="str">
            <v>Morgan Stanley Research</v>
          </cell>
          <cell r="BV1" t="str">
            <v>ElementName</v>
          </cell>
          <cell r="BW1" t="str">
            <v>ScaleOverride</v>
          </cell>
          <cell r="BX1" t="str">
            <v>UnitOverride</v>
          </cell>
          <cell r="BY1" t="str">
            <v>ReverseSign</v>
          </cell>
          <cell r="BZ1" t="str">
            <v>IsDrivingAssumption</v>
          </cell>
          <cell r="CA1" t="str">
            <v>SegmentID</v>
          </cell>
        </row>
        <row r="2">
          <cell r="A2" t="str">
            <v>Cash Flow Statement</v>
          </cell>
          <cell r="R2" t="str">
            <v>Matthew Grainger 212.761.8023</v>
          </cell>
        </row>
        <row r="3">
          <cell r="K3">
            <v>7.2</v>
          </cell>
          <cell r="R3" t="str">
            <v>John Colantuoni 212.761.6210</v>
          </cell>
        </row>
        <row r="4">
          <cell r="R4" t="str">
            <v>Pamela Kaufman 212.761.7151</v>
          </cell>
        </row>
        <row r="5">
          <cell r="R5" t="str">
            <v>Tony Ryerson 212.761.6534</v>
          </cell>
        </row>
        <row r="6">
          <cell r="B6" t="str">
            <v>FYE</v>
          </cell>
          <cell r="C6" t="str">
            <v>FYE</v>
          </cell>
          <cell r="D6" t="str">
            <v>FYE</v>
          </cell>
          <cell r="E6" t="str">
            <v>FYE</v>
          </cell>
          <cell r="F6" t="str">
            <v>FYE</v>
          </cell>
          <cell r="G6" t="str">
            <v>FYE</v>
          </cell>
          <cell r="H6" t="str">
            <v>FYE</v>
          </cell>
          <cell r="I6" t="str">
            <v>FYE</v>
          </cell>
          <cell r="J6" t="str">
            <v>FYE</v>
          </cell>
          <cell r="K6" t="str">
            <v>FYE</v>
          </cell>
          <cell r="L6" t="str">
            <v>FYE</v>
          </cell>
          <cell r="M6" t="str">
            <v>FYE</v>
          </cell>
          <cell r="N6" t="str">
            <v>FYE</v>
          </cell>
          <cell r="O6" t="str">
            <v>FYE</v>
          </cell>
        </row>
        <row r="7">
          <cell r="B7">
            <v>37103</v>
          </cell>
          <cell r="C7">
            <v>37468</v>
          </cell>
          <cell r="D7">
            <v>37833</v>
          </cell>
          <cell r="E7">
            <v>38199</v>
          </cell>
          <cell r="F7">
            <v>38564</v>
          </cell>
          <cell r="G7">
            <v>38929</v>
          </cell>
          <cell r="H7">
            <v>39294</v>
          </cell>
          <cell r="I7">
            <v>39660</v>
          </cell>
          <cell r="J7">
            <v>40025</v>
          </cell>
          <cell r="K7">
            <v>40390</v>
          </cell>
          <cell r="L7" t="str">
            <v>7/31/2011e</v>
          </cell>
          <cell r="M7" t="str">
            <v>7/31/2012e</v>
          </cell>
          <cell r="N7" t="str">
            <v>7/31/2013e</v>
          </cell>
          <cell r="O7" t="str">
            <v>7/31/2014e</v>
          </cell>
        </row>
        <row r="8">
          <cell r="A8" t="str">
            <v>($millions, except per share data)</v>
          </cell>
          <cell r="B8">
            <v>2001</v>
          </cell>
          <cell r="C8">
            <v>2002</v>
          </cell>
          <cell r="D8">
            <v>2003</v>
          </cell>
          <cell r="E8">
            <v>2004</v>
          </cell>
          <cell r="F8">
            <v>2005</v>
          </cell>
          <cell r="G8">
            <v>2006</v>
          </cell>
          <cell r="H8">
            <v>2007</v>
          </cell>
          <cell r="I8">
            <v>2008</v>
          </cell>
          <cell r="J8">
            <v>2009</v>
          </cell>
          <cell r="K8">
            <v>2010</v>
          </cell>
          <cell r="L8">
            <v>2011</v>
          </cell>
          <cell r="M8">
            <v>2012</v>
          </cell>
          <cell r="N8">
            <v>2013</v>
          </cell>
          <cell r="O8" t="str">
            <v>2014E</v>
          </cell>
          <cell r="P8" t="str">
            <v>2015E</v>
          </cell>
          <cell r="Q8" t="str">
            <v>2016E</v>
          </cell>
          <cell r="R8" t="str">
            <v>2017E</v>
          </cell>
          <cell r="S8" t="str">
            <v>2018E</v>
          </cell>
          <cell r="T8" t="str">
            <v>2019E</v>
          </cell>
          <cell r="U8" t="str">
            <v>2020E</v>
          </cell>
        </row>
        <row r="9">
          <cell r="A9" t="str">
            <v>Cash flows from operating activities:</v>
          </cell>
        </row>
        <row r="10">
          <cell r="A10" t="str">
            <v>Net earnings</v>
          </cell>
          <cell r="B10">
            <v>649</v>
          </cell>
          <cell r="C10">
            <v>525</v>
          </cell>
          <cell r="D10">
            <v>595</v>
          </cell>
          <cell r="E10">
            <v>647</v>
          </cell>
          <cell r="F10">
            <v>677.18367346938771</v>
          </cell>
          <cell r="G10">
            <v>766</v>
          </cell>
          <cell r="H10">
            <v>832</v>
          </cell>
          <cell r="I10">
            <v>1291</v>
          </cell>
          <cell r="J10">
            <v>798.24</v>
          </cell>
          <cell r="K10">
            <v>848.60754716981137</v>
          </cell>
          <cell r="L10">
            <v>837.17482517482517</v>
          </cell>
          <cell r="M10">
            <v>742</v>
          </cell>
          <cell r="N10">
            <v>792</v>
          </cell>
          <cell r="O10">
            <v>798.57333688137396</v>
          </cell>
          <cell r="P10">
            <v>831.57600630983734</v>
          </cell>
          <cell r="Q10">
            <v>867.91699235578085</v>
          </cell>
          <cell r="R10">
            <v>903.00632421694354</v>
          </cell>
          <cell r="S10">
            <v>939.35039611459547</v>
          </cell>
          <cell r="T10">
            <v>976.97698015498736</v>
          </cell>
          <cell r="U10">
            <v>1015.8732357026757</v>
          </cell>
        </row>
        <row r="11">
          <cell r="A11" t="str">
            <v>Bridge to reported net earnings</v>
          </cell>
          <cell r="B11">
            <v>0</v>
          </cell>
          <cell r="C11">
            <v>0</v>
          </cell>
          <cell r="D11">
            <v>0</v>
          </cell>
          <cell r="E11">
            <v>0</v>
          </cell>
          <cell r="F11">
            <v>0</v>
          </cell>
          <cell r="G11">
            <v>0</v>
          </cell>
          <cell r="H11">
            <v>22</v>
          </cell>
          <cell r="I11">
            <v>-126</v>
          </cell>
          <cell r="J11">
            <v>-62.24</v>
          </cell>
          <cell r="K11">
            <v>-4.6075471698113688</v>
          </cell>
          <cell r="L11">
            <v>-35.174825174825202</v>
          </cell>
          <cell r="M11">
            <v>21.999999530612101</v>
          </cell>
          <cell r="N11">
            <v>-343</v>
          </cell>
          <cell r="O11">
            <v>0</v>
          </cell>
          <cell r="P11">
            <v>0</v>
          </cell>
          <cell r="Q11">
            <v>0</v>
          </cell>
          <cell r="R11">
            <v>0</v>
          </cell>
          <cell r="S11">
            <v>0</v>
          </cell>
          <cell r="T11">
            <v>0</v>
          </cell>
          <cell r="U11">
            <v>0</v>
          </cell>
        </row>
        <row r="12">
          <cell r="A12" t="str">
            <v>Net earnings - reported</v>
          </cell>
          <cell r="B12">
            <v>649</v>
          </cell>
          <cell r="C12">
            <v>525</v>
          </cell>
          <cell r="D12">
            <v>595</v>
          </cell>
          <cell r="E12">
            <v>647</v>
          </cell>
          <cell r="F12">
            <v>677.18367346938771</v>
          </cell>
          <cell r="G12">
            <v>766</v>
          </cell>
          <cell r="H12">
            <v>854</v>
          </cell>
          <cell r="I12">
            <v>1165</v>
          </cell>
          <cell r="J12">
            <v>736</v>
          </cell>
          <cell r="K12">
            <v>844</v>
          </cell>
          <cell r="L12">
            <v>802</v>
          </cell>
          <cell r="M12">
            <v>763.99999953061206</v>
          </cell>
          <cell r="N12">
            <v>449</v>
          </cell>
          <cell r="O12">
            <v>798.57333688137396</v>
          </cell>
          <cell r="P12">
            <v>831.57600630983734</v>
          </cell>
          <cell r="Q12">
            <v>867.91699235578085</v>
          </cell>
          <cell r="R12">
            <v>903.00632421694354</v>
          </cell>
          <cell r="S12">
            <v>939.35039611459547</v>
          </cell>
          <cell r="T12">
            <v>976.97698015498736</v>
          </cell>
          <cell r="U12">
            <v>1015.8732357026757</v>
          </cell>
          <cell r="BV12" t="str">
            <v>mstag:netIncomeReported</v>
          </cell>
          <cell r="BW12">
            <v>6</v>
          </cell>
          <cell r="BX12" t="str">
            <v>ISO4217:USD</v>
          </cell>
          <cell r="BY12" t="b">
            <v>0</v>
          </cell>
        </row>
        <row r="14">
          <cell r="A14" t="str">
            <v>Non-cash charges to net earnings</v>
          </cell>
        </row>
        <row r="15">
          <cell r="A15" t="str">
            <v>Change in accounting method</v>
          </cell>
          <cell r="B15">
            <v>0</v>
          </cell>
          <cell r="C15">
            <v>0</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BV15" t="str">
            <v>mstag:restructuringCostsOneTimeCashFlowStatement</v>
          </cell>
          <cell r="BW15">
            <v>6</v>
          </cell>
          <cell r="BX15" t="str">
            <v>ISO4217:USD</v>
          </cell>
          <cell r="BY15" t="b">
            <v>0</v>
          </cell>
        </row>
        <row r="16">
          <cell r="A16" t="str">
            <v>Restructuring/impairment charge</v>
          </cell>
          <cell r="B16">
            <v>0</v>
          </cell>
          <cell r="C16">
            <v>0</v>
          </cell>
          <cell r="D16">
            <v>0</v>
          </cell>
          <cell r="E16">
            <v>0</v>
          </cell>
          <cell r="F16">
            <v>0</v>
          </cell>
          <cell r="G16">
            <v>0</v>
          </cell>
          <cell r="H16">
            <v>0</v>
          </cell>
          <cell r="I16">
            <v>175</v>
          </cell>
          <cell r="J16">
            <v>67</v>
          </cell>
          <cell r="K16">
            <v>0</v>
          </cell>
          <cell r="L16">
            <v>0</v>
          </cell>
          <cell r="M16">
            <v>10</v>
          </cell>
          <cell r="N16">
            <v>447</v>
          </cell>
          <cell r="O16">
            <v>0</v>
          </cell>
          <cell r="P16">
            <v>0</v>
          </cell>
          <cell r="Q16">
            <v>0</v>
          </cell>
          <cell r="R16">
            <v>0</v>
          </cell>
          <cell r="S16">
            <v>0</v>
          </cell>
          <cell r="T16">
            <v>0</v>
          </cell>
          <cell r="U16">
            <v>0</v>
          </cell>
          <cell r="BV16" t="str">
            <v>mstag:restructuringCostsOneTimeCashFlowStatement</v>
          </cell>
          <cell r="BW16">
            <v>6</v>
          </cell>
          <cell r="BX16" t="str">
            <v>ISO4217:USD</v>
          </cell>
          <cell r="BY16" t="b">
            <v>0</v>
          </cell>
        </row>
        <row r="17">
          <cell r="A17" t="str">
            <v xml:space="preserve">Depreciation </v>
          </cell>
          <cell r="B17">
            <v>223</v>
          </cell>
          <cell r="C17">
            <v>241</v>
          </cell>
          <cell r="D17">
            <v>241</v>
          </cell>
          <cell r="E17">
            <v>257.78917000000001</v>
          </cell>
          <cell r="F17">
            <v>277</v>
          </cell>
          <cell r="G17">
            <v>287</v>
          </cell>
          <cell r="H17">
            <v>283</v>
          </cell>
          <cell r="I17">
            <v>294</v>
          </cell>
          <cell r="J17">
            <v>264</v>
          </cell>
          <cell r="K17">
            <v>251</v>
          </cell>
          <cell r="L17">
            <v>265</v>
          </cell>
          <cell r="M17">
            <v>258</v>
          </cell>
          <cell r="N17">
            <v>393</v>
          </cell>
          <cell r="O17">
            <v>398.71818810123693</v>
          </cell>
          <cell r="P17">
            <v>404.52760356615312</v>
          </cell>
          <cell r="Q17">
            <v>410.46172943411619</v>
          </cell>
          <cell r="R17">
            <v>416.52145966344705</v>
          </cell>
          <cell r="S17">
            <v>422.70771461282948</v>
          </cell>
          <cell r="T17">
            <v>429.02146074582907</v>
          </cell>
          <cell r="U17">
            <v>435.46373120648377</v>
          </cell>
          <cell r="BV17" t="str">
            <v>mstag:depreciation</v>
          </cell>
          <cell r="BW17">
            <v>6</v>
          </cell>
          <cell r="BX17" t="str">
            <v>ISO4217:USD</v>
          </cell>
          <cell r="BY17" t="b">
            <v>0</v>
          </cell>
        </row>
        <row r="18">
          <cell r="A18" t="str">
            <v>Amortization</v>
          </cell>
          <cell r="B18">
            <v>43</v>
          </cell>
          <cell r="C18">
            <v>78</v>
          </cell>
          <cell r="D18">
            <v>2</v>
          </cell>
          <cell r="E18">
            <v>2.2108300000000001</v>
          </cell>
          <cell r="F18">
            <v>2</v>
          </cell>
          <cell r="G18">
            <v>2</v>
          </cell>
          <cell r="H18">
            <v>0</v>
          </cell>
          <cell r="I18">
            <v>0</v>
          </cell>
          <cell r="J18">
            <v>0</v>
          </cell>
          <cell r="K18">
            <v>0</v>
          </cell>
          <cell r="L18">
            <v>3</v>
          </cell>
          <cell r="M18">
            <v>4</v>
          </cell>
          <cell r="N18">
            <v>14</v>
          </cell>
          <cell r="O18">
            <v>0</v>
          </cell>
          <cell r="P18">
            <v>0</v>
          </cell>
          <cell r="Q18">
            <v>0</v>
          </cell>
          <cell r="R18">
            <v>0</v>
          </cell>
          <cell r="S18">
            <v>0</v>
          </cell>
          <cell r="T18">
            <v>0</v>
          </cell>
          <cell r="U18">
            <v>0</v>
          </cell>
          <cell r="BV18" t="str">
            <v>mstag:amortizationOfOtherIntangibles</v>
          </cell>
          <cell r="BW18">
            <v>6</v>
          </cell>
          <cell r="BX18" t="str">
            <v>ISO4217:USD</v>
          </cell>
          <cell r="BY18" t="b">
            <v>0</v>
          </cell>
        </row>
        <row r="19">
          <cell r="A19" t="str">
            <v>Deferred taxes</v>
          </cell>
          <cell r="B19">
            <v>4</v>
          </cell>
          <cell r="C19">
            <v>5</v>
          </cell>
          <cell r="D19">
            <v>72</v>
          </cell>
          <cell r="E19">
            <v>51</v>
          </cell>
          <cell r="F19">
            <v>47</v>
          </cell>
          <cell r="G19">
            <v>0</v>
          </cell>
          <cell r="H19">
            <v>10</v>
          </cell>
          <cell r="I19">
            <v>29</v>
          </cell>
          <cell r="J19">
            <v>144</v>
          </cell>
          <cell r="K19">
            <v>54</v>
          </cell>
          <cell r="L19">
            <v>46</v>
          </cell>
          <cell r="M19">
            <v>45</v>
          </cell>
          <cell r="N19">
            <v>-171</v>
          </cell>
          <cell r="O19">
            <v>0</v>
          </cell>
          <cell r="P19">
            <v>0</v>
          </cell>
          <cell r="Q19">
            <v>0</v>
          </cell>
          <cell r="R19">
            <v>0</v>
          </cell>
          <cell r="S19">
            <v>0</v>
          </cell>
          <cell r="T19">
            <v>0</v>
          </cell>
          <cell r="U19">
            <v>0</v>
          </cell>
          <cell r="BV19" t="str">
            <v>mstag:deferredTax</v>
          </cell>
          <cell r="BW19">
            <v>6</v>
          </cell>
          <cell r="BX19" t="str">
            <v>ISO4217:USD</v>
          </cell>
          <cell r="BY19" t="b">
            <v>0</v>
          </cell>
        </row>
        <row r="21">
          <cell r="A21" t="str">
            <v>Changes in working capital</v>
          </cell>
        </row>
        <row r="22">
          <cell r="A22" t="str">
            <v xml:space="preserve">    Decrease (increase) accounts receivable</v>
          </cell>
          <cell r="B22">
            <v>-11</v>
          </cell>
          <cell r="C22">
            <v>40</v>
          </cell>
          <cell r="D22">
            <v>46</v>
          </cell>
          <cell r="E22">
            <v>-61</v>
          </cell>
          <cell r="F22">
            <v>-10</v>
          </cell>
          <cell r="G22">
            <v>-18</v>
          </cell>
          <cell r="H22">
            <v>-68</v>
          </cell>
          <cell r="I22">
            <v>-53</v>
          </cell>
          <cell r="J22">
            <v>27</v>
          </cell>
          <cell r="K22">
            <v>21</v>
          </cell>
          <cell r="L22">
            <v>-15</v>
          </cell>
          <cell r="M22">
            <v>-18</v>
          </cell>
          <cell r="N22">
            <v>-48</v>
          </cell>
          <cell r="O22">
            <v>-23.038696361543771</v>
          </cell>
          <cell r="P22">
            <v>-10.498279246016295</v>
          </cell>
          <cell r="Q22">
            <v>-14.35144657552064</v>
          </cell>
          <cell r="R22">
            <v>-14.454321674709149</v>
          </cell>
          <cell r="S22">
            <v>-12.58820446767163</v>
          </cell>
          <cell r="T22">
            <v>-12.629260778788989</v>
          </cell>
          <cell r="U22">
            <v>-12.677587832063068</v>
          </cell>
          <cell r="BV22" t="str">
            <v>mstag:netDecreaseInTradeReceivables</v>
          </cell>
          <cell r="BW22">
            <v>6</v>
          </cell>
          <cell r="BX22" t="str">
            <v>ISO4217:USD</v>
          </cell>
          <cell r="BY22" t="b">
            <v>0</v>
          </cell>
        </row>
        <row r="23">
          <cell r="A23" t="str">
            <v xml:space="preserve">    Decrease (increase) in inventories</v>
          </cell>
          <cell r="B23">
            <v>-1</v>
          </cell>
          <cell r="C23">
            <v>-30</v>
          </cell>
          <cell r="D23">
            <v>-33</v>
          </cell>
          <cell r="E23">
            <v>-67</v>
          </cell>
          <cell r="F23">
            <v>6</v>
          </cell>
          <cell r="G23">
            <v>-2</v>
          </cell>
          <cell r="H23">
            <v>-29</v>
          </cell>
          <cell r="I23">
            <v>-91</v>
          </cell>
          <cell r="J23">
            <v>-14</v>
          </cell>
          <cell r="K23">
            <v>105</v>
          </cell>
          <cell r="L23">
            <v>-14</v>
          </cell>
          <cell r="M23">
            <v>32</v>
          </cell>
          <cell r="N23">
            <v>-146</v>
          </cell>
          <cell r="O23">
            <v>-38.071177750442871</v>
          </cell>
          <cell r="P23">
            <v>-12.258589197478727</v>
          </cell>
          <cell r="Q23">
            <v>-17.764525379673955</v>
          </cell>
          <cell r="R23">
            <v>-17.780295168166731</v>
          </cell>
          <cell r="S23">
            <v>-14.949509597019983</v>
          </cell>
          <cell r="T23">
            <v>-14.891669473984166</v>
          </cell>
          <cell r="U23">
            <v>-14.843695477894698</v>
          </cell>
          <cell r="BV23" t="str">
            <v>mstag:netDecreaseInInventories</v>
          </cell>
          <cell r="BW23">
            <v>6</v>
          </cell>
          <cell r="BX23" t="str">
            <v>ISO4217:USD</v>
          </cell>
          <cell r="BY23" t="b">
            <v>0</v>
          </cell>
        </row>
        <row r="24">
          <cell r="A24" t="str">
            <v xml:space="preserve">    Increase (decrease) current assets &amp; liabilities</v>
          </cell>
          <cell r="B24">
            <v>140</v>
          </cell>
          <cell r="C24">
            <v>204</v>
          </cell>
          <cell r="D24">
            <v>-37</v>
          </cell>
          <cell r="E24">
            <v>-47</v>
          </cell>
          <cell r="F24">
            <v>-41</v>
          </cell>
          <cell r="G24">
            <v>168</v>
          </cell>
          <cell r="H24">
            <v>-128</v>
          </cell>
          <cell r="I24">
            <v>23</v>
          </cell>
          <cell r="J24">
            <v>-97</v>
          </cell>
          <cell r="K24">
            <v>-43</v>
          </cell>
          <cell r="L24">
            <v>-7</v>
          </cell>
          <cell r="M24">
            <v>-22</v>
          </cell>
          <cell r="N24">
            <v>-64</v>
          </cell>
          <cell r="O24">
            <v>21.525649690250361</v>
          </cell>
          <cell r="P24">
            <v>6.931072594898751</v>
          </cell>
          <cell r="Q24">
            <v>10.044158674129221</v>
          </cell>
          <cell r="R24">
            <v>10.053074997785075</v>
          </cell>
          <cell r="S24">
            <v>8.45253353431508</v>
          </cell>
          <cell r="T24">
            <v>8.4198304161013766</v>
          </cell>
          <cell r="U24">
            <v>8.392705659393414</v>
          </cell>
          <cell r="BV24" t="str">
            <v>mstag:netDecreaseInOtherAssets</v>
          </cell>
          <cell r="BW24">
            <v>6</v>
          </cell>
          <cell r="BX24" t="str">
            <v>ISO4217:USD</v>
          </cell>
          <cell r="BY24" t="b">
            <v>0</v>
          </cell>
        </row>
        <row r="25">
          <cell r="A25" t="str">
            <v>Net change in working capital</v>
          </cell>
          <cell r="B25">
            <v>128</v>
          </cell>
          <cell r="C25">
            <v>214</v>
          </cell>
          <cell r="D25">
            <v>-24</v>
          </cell>
          <cell r="E25">
            <v>-175</v>
          </cell>
          <cell r="F25">
            <v>-45</v>
          </cell>
          <cell r="G25">
            <v>148</v>
          </cell>
          <cell r="H25">
            <v>-225</v>
          </cell>
          <cell r="I25">
            <v>-121</v>
          </cell>
          <cell r="J25">
            <v>-84</v>
          </cell>
          <cell r="K25">
            <v>83</v>
          </cell>
          <cell r="L25">
            <v>-36</v>
          </cell>
          <cell r="M25">
            <v>-8</v>
          </cell>
          <cell r="N25">
            <v>-258</v>
          </cell>
          <cell r="O25">
            <v>-39.58422442173628</v>
          </cell>
          <cell r="P25">
            <v>-15.825795848596272</v>
          </cell>
          <cell r="Q25">
            <v>-22.071813281065374</v>
          </cell>
          <cell r="R25">
            <v>-22.181541845090806</v>
          </cell>
          <cell r="S25">
            <v>-19.085180530376533</v>
          </cell>
          <cell r="T25">
            <v>-19.101099836671779</v>
          </cell>
          <cell r="U25">
            <v>-19.128577650564353</v>
          </cell>
        </row>
        <row r="27">
          <cell r="A27" t="str">
            <v>Other</v>
          </cell>
          <cell r="B27">
            <v>59</v>
          </cell>
          <cell r="C27">
            <v>-46</v>
          </cell>
          <cell r="D27">
            <v>-13</v>
          </cell>
          <cell r="E27">
            <v>-39</v>
          </cell>
          <cell r="F27">
            <v>31.816327000000001</v>
          </cell>
          <cell r="G27">
            <v>23</v>
          </cell>
          <cell r="H27">
            <v>-248</v>
          </cell>
          <cell r="I27">
            <v>-776</v>
          </cell>
          <cell r="J27">
            <v>39</v>
          </cell>
          <cell r="K27">
            <v>-175</v>
          </cell>
          <cell r="L27">
            <v>62</v>
          </cell>
          <cell r="M27">
            <v>47</v>
          </cell>
          <cell r="N27">
            <v>145</v>
          </cell>
          <cell r="O27">
            <v>0</v>
          </cell>
          <cell r="P27">
            <v>0</v>
          </cell>
          <cell r="Q27">
            <v>0</v>
          </cell>
          <cell r="R27">
            <v>0</v>
          </cell>
          <cell r="S27">
            <v>0</v>
          </cell>
          <cell r="T27">
            <v>0</v>
          </cell>
          <cell r="U27">
            <v>0</v>
          </cell>
          <cell r="BV27" t="str">
            <v>mstag:otherCashFlow</v>
          </cell>
          <cell r="BW27">
            <v>6</v>
          </cell>
          <cell r="BX27" t="str">
            <v>ISO4217:USD</v>
          </cell>
          <cell r="BY27" t="b">
            <v>0</v>
          </cell>
        </row>
        <row r="29">
          <cell r="A29" t="str">
            <v>Net cash provided by (used in) operating activities</v>
          </cell>
          <cell r="B29">
            <v>1106</v>
          </cell>
          <cell r="C29">
            <v>1017</v>
          </cell>
          <cell r="D29">
            <v>873</v>
          </cell>
          <cell r="E29">
            <v>744</v>
          </cell>
          <cell r="F29">
            <v>990.00000046938771</v>
          </cell>
          <cell r="G29">
            <v>1226</v>
          </cell>
          <cell r="H29">
            <v>674</v>
          </cell>
          <cell r="I29">
            <v>766</v>
          </cell>
          <cell r="J29">
            <v>1166</v>
          </cell>
          <cell r="K29">
            <v>1057</v>
          </cell>
          <cell r="L29">
            <v>1142</v>
          </cell>
          <cell r="M29">
            <v>1119.9999995306121</v>
          </cell>
          <cell r="N29">
            <v>1019</v>
          </cell>
          <cell r="O29">
            <v>1157.7073005608747</v>
          </cell>
          <cell r="P29">
            <v>1220.2778140273942</v>
          </cell>
          <cell r="Q29">
            <v>1256.3069085088318</v>
          </cell>
          <cell r="R29">
            <v>1297.3462420352998</v>
          </cell>
          <cell r="S29">
            <v>1342.9729301970483</v>
          </cell>
          <cell r="T29">
            <v>1386.8973410641447</v>
          </cell>
          <cell r="U29">
            <v>1432.2083892585952</v>
          </cell>
        </row>
        <row r="31">
          <cell r="A31" t="str">
            <v>Cash flows from investing activities:</v>
          </cell>
        </row>
        <row r="32">
          <cell r="A32" t="str">
            <v>Capital expenditures</v>
          </cell>
          <cell r="B32">
            <v>-200</v>
          </cell>
          <cell r="C32">
            <v>-269</v>
          </cell>
          <cell r="D32">
            <v>-283</v>
          </cell>
          <cell r="E32">
            <v>-288</v>
          </cell>
          <cell r="F32">
            <v>-332</v>
          </cell>
          <cell r="G32">
            <v>-309</v>
          </cell>
          <cell r="H32">
            <v>-334</v>
          </cell>
          <cell r="I32">
            <v>-298</v>
          </cell>
          <cell r="J32">
            <v>-345</v>
          </cell>
          <cell r="K32">
            <v>-315</v>
          </cell>
          <cell r="L32">
            <v>-272</v>
          </cell>
          <cell r="M32">
            <v>-323</v>
          </cell>
          <cell r="N32">
            <v>-336</v>
          </cell>
          <cell r="O32">
            <v>-333.76551704586774</v>
          </cell>
          <cell r="P32">
            <v>-339.09037654123301</v>
          </cell>
          <cell r="Q32">
            <v>-346.36961104996323</v>
          </cell>
          <cell r="R32">
            <v>-353.70102510506609</v>
          </cell>
          <cell r="S32">
            <v>-361.08615967207328</v>
          </cell>
          <cell r="T32">
            <v>-368.52770585163393</v>
          </cell>
          <cell r="U32">
            <v>-376.02955572318888</v>
          </cell>
          <cell r="BV32" t="str">
            <v>mstag:capitalExpenditures</v>
          </cell>
          <cell r="BW32">
            <v>6</v>
          </cell>
          <cell r="BX32" t="str">
            <v>ISO4217:USD</v>
          </cell>
          <cell r="BY32" t="b">
            <v>1</v>
          </cell>
        </row>
        <row r="33">
          <cell r="A33" t="str">
            <v>Proceeds from divestitures</v>
          </cell>
          <cell r="B33">
            <v>8</v>
          </cell>
          <cell r="C33">
            <v>8</v>
          </cell>
          <cell r="D33">
            <v>32</v>
          </cell>
          <cell r="E33">
            <v>22</v>
          </cell>
          <cell r="F33">
            <v>11</v>
          </cell>
          <cell r="G33">
            <v>15</v>
          </cell>
          <cell r="H33">
            <v>929</v>
          </cell>
          <cell r="I33">
            <v>831</v>
          </cell>
          <cell r="J33">
            <v>39</v>
          </cell>
          <cell r="K33">
            <v>13</v>
          </cell>
          <cell r="L33">
            <v>9</v>
          </cell>
          <cell r="M33">
            <v>1</v>
          </cell>
          <cell r="N33">
            <v>5</v>
          </cell>
          <cell r="O33">
            <v>0</v>
          </cell>
          <cell r="P33">
            <v>0</v>
          </cell>
          <cell r="Q33">
            <v>0</v>
          </cell>
          <cell r="R33">
            <v>0</v>
          </cell>
          <cell r="S33">
            <v>0</v>
          </cell>
          <cell r="T33">
            <v>0</v>
          </cell>
          <cell r="U33">
            <v>0</v>
          </cell>
          <cell r="BV33" t="str">
            <v>mstag:netDisposalsAcquisitions</v>
          </cell>
          <cell r="BW33">
            <v>6</v>
          </cell>
          <cell r="BX33" t="str">
            <v>ISO4217:USD</v>
          </cell>
          <cell r="BY33" t="b">
            <v>0</v>
          </cell>
        </row>
        <row r="34">
          <cell r="A34" t="str">
            <v>Acquisitions</v>
          </cell>
          <cell r="B34">
            <v>-911</v>
          </cell>
          <cell r="C34">
            <v>-15</v>
          </cell>
          <cell r="D34">
            <v>-177</v>
          </cell>
          <cell r="E34">
            <v>-9</v>
          </cell>
          <cell r="F34">
            <v>0</v>
          </cell>
          <cell r="G34">
            <v>0</v>
          </cell>
          <cell r="H34">
            <v>0</v>
          </cell>
          <cell r="I34">
            <v>-9</v>
          </cell>
          <cell r="J34">
            <v>-66</v>
          </cell>
          <cell r="K34">
            <v>0</v>
          </cell>
          <cell r="L34">
            <v>0</v>
          </cell>
          <cell r="M34">
            <v>0</v>
          </cell>
          <cell r="N34">
            <v>-1806</v>
          </cell>
          <cell r="O34">
            <v>-600</v>
          </cell>
          <cell r="P34">
            <v>0</v>
          </cell>
          <cell r="Q34">
            <v>0</v>
          </cell>
          <cell r="R34">
            <v>0</v>
          </cell>
          <cell r="S34">
            <v>0</v>
          </cell>
          <cell r="T34">
            <v>0</v>
          </cell>
          <cell r="U34">
            <v>0</v>
          </cell>
          <cell r="BV34" t="str">
            <v>mstag:netDisposalsAcquisitions</v>
          </cell>
          <cell r="BW34">
            <v>6</v>
          </cell>
          <cell r="BX34" t="str">
            <v>ISO4217:USD</v>
          </cell>
          <cell r="BY34" t="b">
            <v>0</v>
          </cell>
        </row>
        <row r="35">
          <cell r="A35" t="str">
            <v>Long-term investments</v>
          </cell>
          <cell r="B35">
            <v>-19</v>
          </cell>
          <cell r="C35">
            <v>-12</v>
          </cell>
          <cell r="D35">
            <v>-4</v>
          </cell>
          <cell r="E35">
            <v>0</v>
          </cell>
          <cell r="F35">
            <v>7</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BV35" t="str">
            <v>mstag:otherCashFlow</v>
          </cell>
          <cell r="BW35">
            <v>6</v>
          </cell>
          <cell r="BX35" t="str">
            <v>ISO4217:USD</v>
          </cell>
          <cell r="BY35" t="b">
            <v>0</v>
          </cell>
        </row>
        <row r="36">
          <cell r="A36" t="str">
            <v>Other, net</v>
          </cell>
          <cell r="B36">
            <v>0</v>
          </cell>
          <cell r="C36">
            <v>0</v>
          </cell>
          <cell r="D36">
            <v>0</v>
          </cell>
          <cell r="E36">
            <v>0</v>
          </cell>
          <cell r="F36">
            <v>0</v>
          </cell>
          <cell r="G36">
            <v>0</v>
          </cell>
          <cell r="H36">
            <v>8</v>
          </cell>
          <cell r="I36">
            <v>7</v>
          </cell>
          <cell r="J36">
            <v>-6</v>
          </cell>
          <cell r="K36">
            <v>2</v>
          </cell>
          <cell r="L36">
            <v>2</v>
          </cell>
          <cell r="M36">
            <v>-1</v>
          </cell>
          <cell r="N36">
            <v>-17</v>
          </cell>
          <cell r="O36">
            <v>0</v>
          </cell>
          <cell r="P36">
            <v>0</v>
          </cell>
          <cell r="Q36">
            <v>0</v>
          </cell>
          <cell r="R36">
            <v>0</v>
          </cell>
          <cell r="S36">
            <v>0</v>
          </cell>
          <cell r="T36">
            <v>0</v>
          </cell>
          <cell r="U36">
            <v>0</v>
          </cell>
          <cell r="BV36" t="str">
            <v>mstag:otherCashFlow</v>
          </cell>
          <cell r="BW36">
            <v>6</v>
          </cell>
          <cell r="BX36" t="str">
            <v>ISO4217:USD</v>
          </cell>
          <cell r="BY36" t="b">
            <v>0</v>
          </cell>
        </row>
        <row r="38">
          <cell r="A38" t="str">
            <v>Net cash provided by (used in) investing activities</v>
          </cell>
          <cell r="B38">
            <v>-1122</v>
          </cell>
          <cell r="C38">
            <v>-288</v>
          </cell>
          <cell r="D38">
            <v>-432</v>
          </cell>
          <cell r="E38">
            <v>-275</v>
          </cell>
          <cell r="F38">
            <v>-314</v>
          </cell>
          <cell r="G38">
            <v>-294</v>
          </cell>
          <cell r="H38">
            <v>603</v>
          </cell>
          <cell r="I38">
            <v>531</v>
          </cell>
          <cell r="J38">
            <v>-378</v>
          </cell>
          <cell r="K38">
            <v>-300</v>
          </cell>
          <cell r="L38">
            <v>-261</v>
          </cell>
          <cell r="M38">
            <v>-323</v>
          </cell>
          <cell r="N38">
            <v>-2154</v>
          </cell>
          <cell r="O38">
            <v>-933.76551704586768</v>
          </cell>
          <cell r="P38">
            <v>-339.09037654123301</v>
          </cell>
          <cell r="Q38">
            <v>-346.36961104996323</v>
          </cell>
          <cell r="R38">
            <v>-353.70102510506609</v>
          </cell>
          <cell r="S38">
            <v>-361.08615967207328</v>
          </cell>
          <cell r="T38">
            <v>-368.52770585163393</v>
          </cell>
          <cell r="U38">
            <v>-376.02955572318888</v>
          </cell>
        </row>
        <row r="40">
          <cell r="A40" t="str">
            <v>Cash flows from financing activities:</v>
          </cell>
        </row>
        <row r="41">
          <cell r="A41" t="str">
            <v>Long-term borrowings</v>
          </cell>
          <cell r="B41">
            <v>1028</v>
          </cell>
          <cell r="C41">
            <v>1100</v>
          </cell>
          <cell r="D41">
            <v>400</v>
          </cell>
          <cell r="E41">
            <v>301</v>
          </cell>
          <cell r="F41">
            <v>0</v>
          </cell>
          <cell r="G41">
            <v>202</v>
          </cell>
          <cell r="H41">
            <v>-62</v>
          </cell>
          <cell r="I41">
            <v>-181</v>
          </cell>
          <cell r="J41">
            <v>600</v>
          </cell>
          <cell r="K41">
            <v>400</v>
          </cell>
          <cell r="L41">
            <v>500</v>
          </cell>
          <cell r="M41">
            <v>0</v>
          </cell>
          <cell r="N41">
            <v>1250</v>
          </cell>
          <cell r="O41">
            <v>0</v>
          </cell>
          <cell r="P41">
            <v>350</v>
          </cell>
          <cell r="Q41">
            <v>350</v>
          </cell>
          <cell r="R41">
            <v>350</v>
          </cell>
          <cell r="S41">
            <v>350</v>
          </cell>
          <cell r="T41">
            <v>350</v>
          </cell>
          <cell r="U41">
            <v>350</v>
          </cell>
          <cell r="BV41" t="str">
            <v>mstag:proceedsFromIssuanceAndCashUsedToRepayLongTermDebt</v>
          </cell>
          <cell r="BW41">
            <v>6</v>
          </cell>
          <cell r="BX41" t="str">
            <v>ISO4217:USD</v>
          </cell>
          <cell r="BY41" t="b">
            <v>0</v>
          </cell>
        </row>
        <row r="42">
          <cell r="A42" t="str">
            <v>Repayments of long-term borrowings</v>
          </cell>
          <cell r="B42">
            <v>0</v>
          </cell>
          <cell r="C42">
            <v>-628</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BV42" t="str">
            <v>mstag:proceedsFromIssuanceAndCashUsedToRepayLongTermDebt</v>
          </cell>
          <cell r="BW42">
            <v>6</v>
          </cell>
          <cell r="BX42" t="str">
            <v>ISO4217:USD</v>
          </cell>
          <cell r="BY42" t="b">
            <v>0</v>
          </cell>
        </row>
        <row r="43">
          <cell r="A43" t="str">
            <v>Net repayments of short-term borrowings</v>
          </cell>
          <cell r="B43">
            <v>-45</v>
          </cell>
          <cell r="C43">
            <v>-915</v>
          </cell>
          <cell r="D43">
            <v>-566</v>
          </cell>
          <cell r="E43">
            <v>-486</v>
          </cell>
          <cell r="F43">
            <v>-354</v>
          </cell>
          <cell r="G43">
            <v>31</v>
          </cell>
          <cell r="H43">
            <v>-543</v>
          </cell>
          <cell r="I43">
            <v>58</v>
          </cell>
          <cell r="J43">
            <v>-620</v>
          </cell>
          <cell r="K43">
            <v>-265</v>
          </cell>
          <cell r="L43">
            <v>-205</v>
          </cell>
          <cell r="M43">
            <v>-257</v>
          </cell>
          <cell r="N43">
            <v>425</v>
          </cell>
          <cell r="O43">
            <v>0</v>
          </cell>
          <cell r="P43">
            <v>0</v>
          </cell>
          <cell r="Q43">
            <v>0</v>
          </cell>
          <cell r="R43">
            <v>0</v>
          </cell>
          <cell r="S43">
            <v>0</v>
          </cell>
          <cell r="T43">
            <v>0</v>
          </cell>
          <cell r="U43">
            <v>0</v>
          </cell>
          <cell r="BV43" t="str">
            <v>mstag:proceedsFromIssuanceAndCashUsedToRepayShortTermBorrowings</v>
          </cell>
          <cell r="BW43">
            <v>6</v>
          </cell>
          <cell r="BX43" t="str">
            <v>ISO4217:USD</v>
          </cell>
          <cell r="BY43" t="b">
            <v>0</v>
          </cell>
        </row>
        <row r="44">
          <cell r="A44" t="str">
            <v>Other financing, net</v>
          </cell>
          <cell r="B44">
            <v>0</v>
          </cell>
          <cell r="C44">
            <v>-6</v>
          </cell>
          <cell r="D44">
            <v>0</v>
          </cell>
          <cell r="E44">
            <v>0</v>
          </cell>
          <cell r="F44">
            <v>0</v>
          </cell>
          <cell r="G44">
            <v>0</v>
          </cell>
          <cell r="H44">
            <v>0</v>
          </cell>
          <cell r="I44">
            <v>0</v>
          </cell>
          <cell r="J44">
            <v>0</v>
          </cell>
          <cell r="K44">
            <v>0</v>
          </cell>
          <cell r="L44">
            <v>0</v>
          </cell>
          <cell r="M44">
            <v>0</v>
          </cell>
          <cell r="N44">
            <v>0</v>
          </cell>
          <cell r="O44">
            <v>1</v>
          </cell>
          <cell r="P44">
            <v>1</v>
          </cell>
          <cell r="Q44">
            <v>1</v>
          </cell>
          <cell r="R44">
            <v>1</v>
          </cell>
          <cell r="S44">
            <v>2</v>
          </cell>
          <cell r="T44">
            <v>3</v>
          </cell>
          <cell r="U44">
            <v>4</v>
          </cell>
          <cell r="BV44" t="str">
            <v>mstag:otherCashFlow</v>
          </cell>
          <cell r="BW44">
            <v>6</v>
          </cell>
          <cell r="BX44" t="str">
            <v>ISO4217:USD</v>
          </cell>
          <cell r="BY44" t="b">
            <v>0</v>
          </cell>
        </row>
        <row r="45">
          <cell r="A45" t="str">
            <v>Dividends</v>
          </cell>
          <cell r="B45">
            <v>-374</v>
          </cell>
          <cell r="C45">
            <v>-286</v>
          </cell>
          <cell r="D45">
            <v>-259</v>
          </cell>
          <cell r="E45">
            <v>-259</v>
          </cell>
          <cell r="F45">
            <v>-275</v>
          </cell>
          <cell r="G45">
            <v>-292</v>
          </cell>
          <cell r="H45">
            <v>-308</v>
          </cell>
          <cell r="I45">
            <v>-329</v>
          </cell>
          <cell r="J45">
            <v>-350</v>
          </cell>
          <cell r="K45">
            <v>-365</v>
          </cell>
          <cell r="L45">
            <v>-378</v>
          </cell>
          <cell r="M45">
            <v>-373</v>
          </cell>
          <cell r="N45">
            <v>-367</v>
          </cell>
          <cell r="O45">
            <v>-373.60227409417155</v>
          </cell>
          <cell r="P45">
            <v>-389.0421489061747</v>
          </cell>
          <cell r="Q45">
            <v>-406.04381225072223</v>
          </cell>
          <cell r="R45">
            <v>-422.45990526851705</v>
          </cell>
          <cell r="S45">
            <v>-439.46301228913353</v>
          </cell>
          <cell r="T45">
            <v>-457.0661261356131</v>
          </cell>
          <cell r="U45">
            <v>-475.26323948166396</v>
          </cell>
          <cell r="BV45" t="str">
            <v>mstag:cashDividendsPaid</v>
          </cell>
          <cell r="BW45">
            <v>6</v>
          </cell>
          <cell r="BX45" t="str">
            <v>ISO4217:USD</v>
          </cell>
          <cell r="BY45" t="b">
            <v>1</v>
          </cell>
        </row>
        <row r="46">
          <cell r="A46" t="str">
            <v>Share repurchases</v>
          </cell>
          <cell r="B46">
            <v>-594</v>
          </cell>
          <cell r="C46">
            <v>-5</v>
          </cell>
          <cell r="D46">
            <v>-24</v>
          </cell>
          <cell r="E46">
            <v>-56</v>
          </cell>
          <cell r="F46">
            <v>-110</v>
          </cell>
          <cell r="G46">
            <v>-259</v>
          </cell>
          <cell r="H46">
            <v>-1140</v>
          </cell>
          <cell r="I46">
            <v>-903</v>
          </cell>
          <cell r="J46">
            <v>-527</v>
          </cell>
          <cell r="K46">
            <v>-472</v>
          </cell>
          <cell r="L46">
            <v>-728</v>
          </cell>
          <cell r="M46">
            <v>-412</v>
          </cell>
          <cell r="N46">
            <v>-153</v>
          </cell>
          <cell r="O46">
            <v>0</v>
          </cell>
          <cell r="P46">
            <v>-350</v>
          </cell>
          <cell r="Q46">
            <v>-350</v>
          </cell>
          <cell r="R46">
            <v>-350</v>
          </cell>
          <cell r="S46">
            <v>-350</v>
          </cell>
          <cell r="T46">
            <v>-350</v>
          </cell>
          <cell r="U46">
            <v>-350</v>
          </cell>
          <cell r="BV46" t="str">
            <v>mstag:proceedsFromIssuanceFundsUsedToRepurchaseCommonStock</v>
          </cell>
          <cell r="BW46">
            <v>6</v>
          </cell>
          <cell r="BX46" t="str">
            <v>ISO4217:USD</v>
          </cell>
          <cell r="BY46" t="b">
            <v>0</v>
          </cell>
        </row>
        <row r="47">
          <cell r="A47" t="str">
            <v>Treasury stock issuances</v>
          </cell>
          <cell r="B47">
            <v>0</v>
          </cell>
          <cell r="C47">
            <v>14</v>
          </cell>
          <cell r="D47">
            <v>17</v>
          </cell>
          <cell r="E47">
            <v>25</v>
          </cell>
          <cell r="F47">
            <v>71</v>
          </cell>
          <cell r="G47">
            <v>0</v>
          </cell>
          <cell r="H47">
            <v>165</v>
          </cell>
          <cell r="I47">
            <v>47</v>
          </cell>
          <cell r="J47">
            <v>72</v>
          </cell>
          <cell r="K47">
            <v>139</v>
          </cell>
          <cell r="L47">
            <v>96</v>
          </cell>
          <cell r="M47">
            <v>112</v>
          </cell>
          <cell r="N47">
            <v>83</v>
          </cell>
          <cell r="O47">
            <v>0</v>
          </cell>
          <cell r="P47">
            <v>0</v>
          </cell>
          <cell r="Q47">
            <v>0</v>
          </cell>
          <cell r="R47">
            <v>0</v>
          </cell>
          <cell r="S47">
            <v>0</v>
          </cell>
          <cell r="T47">
            <v>0</v>
          </cell>
          <cell r="U47">
            <v>0</v>
          </cell>
          <cell r="BV47" t="str">
            <v>mstag:proceedsFromIssuanceFundsUsedToRepurchaseCommonStock</v>
          </cell>
          <cell r="BW47">
            <v>6</v>
          </cell>
          <cell r="BX47" t="str">
            <v>ISO4217:USD</v>
          </cell>
          <cell r="BY47" t="b">
            <v>0</v>
          </cell>
        </row>
        <row r="48">
          <cell r="A48" t="str">
            <v>Other</v>
          </cell>
          <cell r="B48">
            <v>0</v>
          </cell>
          <cell r="C48">
            <v>0</v>
          </cell>
          <cell r="D48">
            <v>0</v>
          </cell>
          <cell r="E48">
            <v>0</v>
          </cell>
          <cell r="F48">
            <v>0</v>
          </cell>
          <cell r="G48">
            <v>0</v>
          </cell>
          <cell r="H48">
            <v>25</v>
          </cell>
          <cell r="I48">
            <v>8</v>
          </cell>
          <cell r="J48">
            <v>11</v>
          </cell>
          <cell r="K48">
            <v>7</v>
          </cell>
          <cell r="L48">
            <v>15</v>
          </cell>
          <cell r="M48">
            <v>10</v>
          </cell>
          <cell r="N48">
            <v>-1</v>
          </cell>
          <cell r="O48">
            <v>0</v>
          </cell>
          <cell r="P48">
            <v>0</v>
          </cell>
          <cell r="Q48">
            <v>0</v>
          </cell>
          <cell r="R48">
            <v>0</v>
          </cell>
          <cell r="S48">
            <v>0</v>
          </cell>
          <cell r="T48">
            <v>0</v>
          </cell>
          <cell r="U48">
            <v>0</v>
          </cell>
          <cell r="BV48" t="str">
            <v>mstag:otherCashFlow</v>
          </cell>
          <cell r="BW48">
            <v>6</v>
          </cell>
          <cell r="BX48" t="str">
            <v>ISO4217:USD</v>
          </cell>
          <cell r="BY48" t="b">
            <v>0</v>
          </cell>
        </row>
        <row r="49">
          <cell r="A49" t="str">
            <v>Net cash used in financing activities</v>
          </cell>
          <cell r="B49">
            <v>15</v>
          </cell>
          <cell r="C49">
            <v>-726</v>
          </cell>
          <cell r="D49">
            <v>-432</v>
          </cell>
          <cell r="E49">
            <v>-475</v>
          </cell>
          <cell r="F49">
            <v>-668</v>
          </cell>
          <cell r="G49">
            <v>-318</v>
          </cell>
          <cell r="H49">
            <v>-1863</v>
          </cell>
          <cell r="I49">
            <v>-1300</v>
          </cell>
          <cell r="J49">
            <v>-814</v>
          </cell>
          <cell r="K49">
            <v>-556</v>
          </cell>
          <cell r="L49">
            <v>-700</v>
          </cell>
          <cell r="M49">
            <v>-920</v>
          </cell>
          <cell r="N49">
            <v>1237</v>
          </cell>
          <cell r="O49">
            <v>-925</v>
          </cell>
          <cell r="P49">
            <v>-411.63277531352117</v>
          </cell>
          <cell r="Q49">
            <v>-428.96383070470574</v>
          </cell>
          <cell r="R49">
            <v>-441.86245011103188</v>
          </cell>
          <cell r="S49">
            <v>-458.05723224009137</v>
          </cell>
          <cell r="T49">
            <v>-472.28601384152256</v>
          </cell>
          <cell r="U49">
            <v>-487.52071000303476</v>
          </cell>
        </row>
        <row r="50">
          <cell r="A50" t="str">
            <v>Net cash used in financing activities</v>
          </cell>
          <cell r="B50">
            <v>15</v>
          </cell>
          <cell r="C50">
            <v>-726</v>
          </cell>
          <cell r="D50">
            <v>-432</v>
          </cell>
          <cell r="E50">
            <v>-475</v>
          </cell>
          <cell r="F50">
            <v>-668</v>
          </cell>
          <cell r="G50">
            <v>-318</v>
          </cell>
          <cell r="H50">
            <v>-1863</v>
          </cell>
          <cell r="I50">
            <v>-1300</v>
          </cell>
          <cell r="J50">
            <v>-814</v>
          </cell>
          <cell r="K50">
            <v>-556</v>
          </cell>
          <cell r="L50">
            <v>-700</v>
          </cell>
          <cell r="M50">
            <v>-920</v>
          </cell>
          <cell r="N50">
            <v>1237</v>
          </cell>
          <cell r="O50">
            <v>-372.60227409417155</v>
          </cell>
          <cell r="P50">
            <v>-388.0421489061747</v>
          </cell>
          <cell r="Q50">
            <v>-405.04381225072223</v>
          </cell>
          <cell r="R50">
            <v>-421.45990526851705</v>
          </cell>
          <cell r="S50">
            <v>-437.46301228913353</v>
          </cell>
          <cell r="T50">
            <v>-454.0661261356131</v>
          </cell>
          <cell r="U50">
            <v>-471.26323948166396</v>
          </cell>
        </row>
        <row r="51">
          <cell r="A51" t="str">
            <v>Effect of exchange rate changes on cash</v>
          </cell>
          <cell r="B51">
            <v>-2</v>
          </cell>
          <cell r="C51">
            <v>-6</v>
          </cell>
          <cell r="D51">
            <v>2</v>
          </cell>
          <cell r="E51">
            <v>6</v>
          </cell>
          <cell r="F51">
            <v>0</v>
          </cell>
          <cell r="G51">
            <v>3</v>
          </cell>
          <cell r="H51">
            <v>0</v>
          </cell>
          <cell r="I51">
            <v>13</v>
          </cell>
          <cell r="J51">
            <v>-4</v>
          </cell>
          <cell r="K51">
            <v>2</v>
          </cell>
          <cell r="L51">
            <v>49</v>
          </cell>
          <cell r="M51">
            <v>-26</v>
          </cell>
          <cell r="N51">
            <v>-104</v>
          </cell>
          <cell r="O51">
            <v>59</v>
          </cell>
          <cell r="P51">
            <v>0</v>
          </cell>
          <cell r="Q51">
            <v>0</v>
          </cell>
          <cell r="R51">
            <v>0</v>
          </cell>
          <cell r="S51">
            <v>0</v>
          </cell>
          <cell r="T51">
            <v>0</v>
          </cell>
          <cell r="U51">
            <v>0</v>
          </cell>
          <cell r="BV51" t="str">
            <v>mstag:effectOfForeignExchangeRatesOnCash</v>
          </cell>
          <cell r="BW51">
            <v>6</v>
          </cell>
          <cell r="BX51" t="str">
            <v>ISO4217:USD</v>
          </cell>
          <cell r="BY51" t="b">
            <v>0</v>
          </cell>
        </row>
        <row r="52">
          <cell r="A52" t="str">
            <v>Effect of exchange rate changes on cash</v>
          </cell>
          <cell r="B52">
            <v>-2</v>
          </cell>
          <cell r="C52">
            <v>-6</v>
          </cell>
          <cell r="D52">
            <v>2</v>
          </cell>
          <cell r="E52">
            <v>6</v>
          </cell>
          <cell r="F52">
            <v>0</v>
          </cell>
          <cell r="G52">
            <v>3</v>
          </cell>
          <cell r="H52">
            <v>0</v>
          </cell>
          <cell r="I52">
            <v>13</v>
          </cell>
          <cell r="J52">
            <v>-4</v>
          </cell>
          <cell r="K52">
            <v>2</v>
          </cell>
          <cell r="L52">
            <v>49</v>
          </cell>
          <cell r="M52">
            <v>-26</v>
          </cell>
          <cell r="N52">
            <v>-104</v>
          </cell>
          <cell r="O52">
            <v>0</v>
          </cell>
          <cell r="P52">
            <v>0</v>
          </cell>
          <cell r="Q52">
            <v>0</v>
          </cell>
          <cell r="R52">
            <v>0</v>
          </cell>
          <cell r="S52">
            <v>0</v>
          </cell>
          <cell r="T52">
            <v>0</v>
          </cell>
          <cell r="U52">
            <v>0</v>
          </cell>
          <cell r="BV52" t="str">
            <v>mstag:effectOfForeignExchangeRatesOnCash</v>
          </cell>
          <cell r="BW52">
            <v>6</v>
          </cell>
          <cell r="BX52" t="str">
            <v>ISO4217:USD</v>
          </cell>
          <cell r="BY52" t="b">
            <v>0</v>
          </cell>
        </row>
        <row r="53">
          <cell r="A53" t="str">
            <v>Net change in cash and cash equivalents</v>
          </cell>
          <cell r="B53">
            <v>-3</v>
          </cell>
          <cell r="C53">
            <v>-3</v>
          </cell>
          <cell r="D53">
            <v>11</v>
          </cell>
          <cell r="E53">
            <v>0</v>
          </cell>
          <cell r="F53">
            <v>8.0000004693877145</v>
          </cell>
          <cell r="G53">
            <v>617</v>
          </cell>
          <cell r="H53">
            <v>-586</v>
          </cell>
          <cell r="I53">
            <v>10</v>
          </cell>
          <cell r="J53">
            <v>-30</v>
          </cell>
          <cell r="K53">
            <v>203</v>
          </cell>
          <cell r="L53">
            <v>230</v>
          </cell>
          <cell r="M53">
            <v>-149.00000046938794</v>
          </cell>
          <cell r="N53">
            <v>-2</v>
          </cell>
          <cell r="O53">
            <v>-148.6604905791645</v>
          </cell>
          <cell r="P53">
            <v>493.14528857998653</v>
          </cell>
          <cell r="Q53">
            <v>504.89348520814644</v>
          </cell>
          <cell r="R53">
            <v>522.1853116617167</v>
          </cell>
          <cell r="S53">
            <v>544.42375823584143</v>
          </cell>
          <cell r="T53">
            <v>564.30350907689763</v>
          </cell>
          <cell r="U53">
            <v>584.91559405374232</v>
          </cell>
        </row>
        <row r="54">
          <cell r="A54" t="str">
            <v>Cash and cash equivalents - beginning of period</v>
          </cell>
          <cell r="B54">
            <v>27</v>
          </cell>
          <cell r="C54">
            <v>24</v>
          </cell>
          <cell r="D54">
            <v>21</v>
          </cell>
          <cell r="E54">
            <v>32</v>
          </cell>
          <cell r="F54">
            <v>32</v>
          </cell>
          <cell r="G54">
            <v>40.000000469387714</v>
          </cell>
          <cell r="H54">
            <v>657.00000046938771</v>
          </cell>
          <cell r="I54">
            <v>71.000000469387714</v>
          </cell>
          <cell r="J54">
            <v>81.000000469387714</v>
          </cell>
          <cell r="K54">
            <v>51.000000469387714</v>
          </cell>
          <cell r="L54">
            <v>254.00000046938771</v>
          </cell>
          <cell r="M54">
            <v>484.00000046938771</v>
          </cell>
          <cell r="N54">
            <v>334.99999999999977</v>
          </cell>
          <cell r="O54">
            <v>332.99999999999977</v>
          </cell>
          <cell r="P54">
            <v>184.33950942083527</v>
          </cell>
          <cell r="Q54">
            <v>677.4847980008218</v>
          </cell>
          <cell r="R54">
            <v>1182.3782832089682</v>
          </cell>
          <cell r="S54">
            <v>1704.5635948706849</v>
          </cell>
          <cell r="T54">
            <v>2248.9873531065264</v>
          </cell>
          <cell r="U54">
            <v>2813.290862183424</v>
          </cell>
        </row>
        <row r="55">
          <cell r="A55" t="str">
            <v>Cash and cash equivalents - end of period</v>
          </cell>
          <cell r="B55">
            <v>24</v>
          </cell>
          <cell r="C55">
            <v>21</v>
          </cell>
          <cell r="D55">
            <v>32</v>
          </cell>
          <cell r="E55">
            <v>32</v>
          </cell>
          <cell r="F55">
            <v>40.000000469387714</v>
          </cell>
          <cell r="G55">
            <v>657.00000046938771</v>
          </cell>
          <cell r="H55">
            <v>71.000000469387714</v>
          </cell>
          <cell r="I55">
            <v>81.000000469387714</v>
          </cell>
          <cell r="J55">
            <v>51.000000469387714</v>
          </cell>
          <cell r="K55">
            <v>254.00000046938771</v>
          </cell>
          <cell r="L55">
            <v>484.00000046938771</v>
          </cell>
          <cell r="M55">
            <v>334.99999999999977</v>
          </cell>
          <cell r="N55">
            <v>332.99999999999977</v>
          </cell>
          <cell r="O55">
            <v>184.33950942083527</v>
          </cell>
          <cell r="P55">
            <v>677.4847980008218</v>
          </cell>
          <cell r="Q55">
            <v>1182.3782832089682</v>
          </cell>
          <cell r="R55">
            <v>1704.5635948706849</v>
          </cell>
          <cell r="S55">
            <v>2248.9873531065264</v>
          </cell>
          <cell r="T55">
            <v>2813.290862183424</v>
          </cell>
          <cell r="U55">
            <v>3398.2064562371661</v>
          </cell>
        </row>
        <row r="57">
          <cell r="A57" t="str">
            <v>CASH FLOW METRICS</v>
          </cell>
        </row>
        <row r="58">
          <cell r="A58" t="str">
            <v>CASH FLOW METRICS</v>
          </cell>
        </row>
        <row r="59">
          <cell r="A59" t="str">
            <v>Levered Free Cash Flow</v>
          </cell>
          <cell r="B59">
            <v>906</v>
          </cell>
          <cell r="C59">
            <v>748</v>
          </cell>
          <cell r="D59">
            <v>590</v>
          </cell>
          <cell r="E59">
            <v>456</v>
          </cell>
          <cell r="F59">
            <v>658.00000046938771</v>
          </cell>
          <cell r="G59">
            <v>917</v>
          </cell>
          <cell r="H59">
            <v>493</v>
          </cell>
          <cell r="I59">
            <v>698</v>
          </cell>
          <cell r="J59">
            <v>821</v>
          </cell>
          <cell r="K59">
            <v>742</v>
          </cell>
          <cell r="L59">
            <v>870.00002517482517</v>
          </cell>
          <cell r="M59">
            <v>797</v>
          </cell>
          <cell r="N59">
            <v>683</v>
          </cell>
          <cell r="O59">
            <v>553</v>
          </cell>
          <cell r="P59">
            <v>672.34913731643678</v>
          </cell>
          <cell r="Q59">
            <v>753.9064533992406</v>
          </cell>
          <cell r="R59">
            <v>769.34746674110397</v>
          </cell>
          <cell r="S59">
            <v>801.56489854339225</v>
          </cell>
          <cell r="T59">
            <v>826.83096766693279</v>
          </cell>
          <cell r="U59">
            <v>853.92785417546509</v>
          </cell>
        </row>
        <row r="60">
          <cell r="A60" t="str">
            <v>Levered Free Cash Flow</v>
          </cell>
          <cell r="B60">
            <v>906</v>
          </cell>
          <cell r="C60">
            <v>748</v>
          </cell>
          <cell r="D60">
            <v>590</v>
          </cell>
          <cell r="E60">
            <v>456</v>
          </cell>
          <cell r="F60">
            <v>658.00000046938771</v>
          </cell>
          <cell r="G60">
            <v>917</v>
          </cell>
          <cell r="H60">
            <v>493</v>
          </cell>
          <cell r="I60">
            <v>698</v>
          </cell>
          <cell r="J60">
            <v>821</v>
          </cell>
          <cell r="K60">
            <v>742</v>
          </cell>
          <cell r="L60">
            <v>870</v>
          </cell>
          <cell r="M60">
            <v>796.99999953061206</v>
          </cell>
          <cell r="N60">
            <v>683</v>
          </cell>
          <cell r="O60">
            <v>823.94178351500705</v>
          </cell>
          <cell r="P60">
            <v>881.18743748616123</v>
          </cell>
          <cell r="Q60">
            <v>909.93729745886867</v>
          </cell>
          <cell r="R60">
            <v>943.6452169302338</v>
          </cell>
          <cell r="S60">
            <v>981.88677052497496</v>
          </cell>
          <cell r="T60">
            <v>1018.3696352125107</v>
          </cell>
          <cell r="U60">
            <v>1056.1788335354063</v>
          </cell>
        </row>
        <row r="61">
          <cell r="A61" t="str">
            <v>Discretionary Cash Flow (Levered)</v>
          </cell>
          <cell r="B61">
            <v>532</v>
          </cell>
          <cell r="C61">
            <v>462</v>
          </cell>
          <cell r="D61">
            <v>331</v>
          </cell>
          <cell r="E61">
            <v>197</v>
          </cell>
          <cell r="F61">
            <v>383.00000046938771</v>
          </cell>
          <cell r="G61">
            <v>625</v>
          </cell>
          <cell r="H61">
            <v>185</v>
          </cell>
          <cell r="I61">
            <v>369</v>
          </cell>
          <cell r="J61">
            <v>471</v>
          </cell>
          <cell r="K61">
            <v>377</v>
          </cell>
          <cell r="L61">
            <v>492</v>
          </cell>
          <cell r="M61">
            <v>423.99999953061206</v>
          </cell>
          <cell r="N61">
            <v>316</v>
          </cell>
          <cell r="O61">
            <v>450.3395094208355</v>
          </cell>
          <cell r="P61">
            <v>492.14528857998653</v>
          </cell>
          <cell r="Q61">
            <v>503.89348520814644</v>
          </cell>
          <cell r="R61">
            <v>521.1853116617167</v>
          </cell>
          <cell r="S61">
            <v>542.42375823584143</v>
          </cell>
          <cell r="T61">
            <v>561.30350907689763</v>
          </cell>
          <cell r="U61">
            <v>580.91559405374232</v>
          </cell>
        </row>
        <row r="62">
          <cell r="A62" t="str">
            <v>Operating Cash Flow</v>
          </cell>
          <cell r="B62">
            <v>1242.3125374326214</v>
          </cell>
          <cell r="C62">
            <v>1139.559902200489</v>
          </cell>
          <cell r="D62">
            <v>995.71799999999996</v>
          </cell>
          <cell r="E62">
            <v>858.60628930817609</v>
          </cell>
          <cell r="F62">
            <v>1113.4985427434401</v>
          </cell>
          <cell r="G62">
            <v>1355.1653960000001</v>
          </cell>
          <cell r="H62">
            <v>777.27767695099817</v>
          </cell>
          <cell r="I62">
            <v>879.0446030330063</v>
          </cell>
          <cell r="J62">
            <v>1238.08</v>
          </cell>
          <cell r="K62">
            <v>1129.8312599681021</v>
          </cell>
          <cell r="L62">
            <v>1218.1197445933433</v>
          </cell>
          <cell r="M62">
            <v>1193.0689324862306</v>
          </cell>
          <cell r="N62">
            <v>1106.7371273712738</v>
          </cell>
          <cell r="O62">
            <v>1237.2007262082809</v>
          </cell>
          <cell r="P62">
            <v>1299.2818563115966</v>
          </cell>
          <cell r="Q62">
            <v>1335.8316299021599</v>
          </cell>
          <cell r="R62">
            <v>1373.3046067091118</v>
          </cell>
          <cell r="S62">
            <v>1414.9610547480297</v>
          </cell>
          <cell r="T62">
            <v>1454.484901095052</v>
          </cell>
          <cell r="U62">
            <v>1494.9816770157499</v>
          </cell>
        </row>
        <row r="63">
          <cell r="A63" t="str">
            <v>Discretionary Cash Flow</v>
          </cell>
          <cell r="B63">
            <v>868.31253743262141</v>
          </cell>
          <cell r="C63">
            <v>853.55990220048898</v>
          </cell>
          <cell r="D63">
            <v>736.71799999999996</v>
          </cell>
          <cell r="E63">
            <v>599.60628930817609</v>
          </cell>
          <cell r="F63">
            <v>838.49854274344011</v>
          </cell>
          <cell r="G63">
            <v>1063.1653960000001</v>
          </cell>
          <cell r="H63">
            <v>469.27767695099817</v>
          </cell>
          <cell r="I63">
            <v>550.0446030330063</v>
          </cell>
          <cell r="J63">
            <v>888.07999999999993</v>
          </cell>
          <cell r="K63">
            <v>764.83125996810213</v>
          </cell>
          <cell r="L63">
            <v>840.11974459334328</v>
          </cell>
          <cell r="M63">
            <v>820.06893248623055</v>
          </cell>
          <cell r="N63">
            <v>739.7371273712738</v>
          </cell>
          <cell r="O63">
            <v>863.59845211410936</v>
          </cell>
          <cell r="P63">
            <v>910.23970740542188</v>
          </cell>
          <cell r="Q63">
            <v>929.78781765143765</v>
          </cell>
          <cell r="R63">
            <v>950.84470144059469</v>
          </cell>
          <cell r="S63">
            <v>975.49804245889618</v>
          </cell>
          <cell r="T63">
            <v>997.41877495943891</v>
          </cell>
          <cell r="U63">
            <v>1019.718437534086</v>
          </cell>
        </row>
        <row r="64">
          <cell r="A64" t="str">
            <v>Unlevered Free Cash Flow</v>
          </cell>
          <cell r="B64">
            <v>1042.3125374326214</v>
          </cell>
          <cell r="C64">
            <v>870.55990220048898</v>
          </cell>
          <cell r="D64">
            <v>712.71799999999996</v>
          </cell>
          <cell r="E64">
            <v>570.60628930817609</v>
          </cell>
          <cell r="F64">
            <v>781.49854274344011</v>
          </cell>
          <cell r="G64">
            <v>1046.1653960000001</v>
          </cell>
          <cell r="H64">
            <v>451.27767695099817</v>
          </cell>
          <cell r="I64">
            <v>588.0446030330063</v>
          </cell>
          <cell r="J64">
            <v>887.07999999999993</v>
          </cell>
          <cell r="K64">
            <v>816.83125996810213</v>
          </cell>
          <cell r="L64">
            <v>948.11974459334328</v>
          </cell>
          <cell r="M64">
            <v>869.06893248623055</v>
          </cell>
          <cell r="N64">
            <v>753.7371273712738</v>
          </cell>
          <cell r="O64">
            <v>903.43520916241323</v>
          </cell>
          <cell r="P64">
            <v>960.19147977036357</v>
          </cell>
          <cell r="Q64">
            <v>989.46201885219671</v>
          </cell>
          <cell r="R64">
            <v>1019.6035816040458</v>
          </cell>
          <cell r="S64">
            <v>1053.8748950759564</v>
          </cell>
          <cell r="T64">
            <v>1085.957195243418</v>
          </cell>
          <cell r="U64">
            <v>1118.9521212925611</v>
          </cell>
        </row>
        <row r="65">
          <cell r="A65" t="str">
            <v>CFO / Net Income</v>
          </cell>
          <cell r="B65">
            <v>1.6765196301349099</v>
          </cell>
          <cell r="C65">
            <v>1.8868274582560296</v>
          </cell>
          <cell r="D65">
            <v>1.3935179864383405</v>
          </cell>
          <cell r="E65">
            <v>1.1432083589428397</v>
          </cell>
          <cell r="F65">
            <v>1.4619371955578326</v>
          </cell>
          <cell r="G65">
            <v>1.6934295667641954</v>
          </cell>
          <cell r="H65">
            <v>0.87646293888166449</v>
          </cell>
          <cell r="I65">
            <v>0.96110414052697613</v>
          </cell>
          <cell r="J65">
            <v>1.4680701047542304</v>
          </cell>
          <cell r="K65">
            <v>1.2455698791805443</v>
          </cell>
          <cell r="L65">
            <v>1.3641117310969293</v>
          </cell>
          <cell r="M65">
            <v>1.5135135128792054</v>
          </cell>
          <cell r="N65">
            <v>1.2964376590330788</v>
          </cell>
          <cell r="O65">
            <v>1.4497194522947729</v>
          </cell>
          <cell r="P65">
            <v>1.4674278776301422</v>
          </cell>
          <cell r="Q65">
            <v>1.4474966149687276</v>
          </cell>
          <cell r="R65">
            <v>1.4366967398155428</v>
          </cell>
          <cell r="S65">
            <v>1.4296826144449863</v>
          </cell>
          <cell r="T65">
            <v>1.4195803680493349</v>
          </cell>
          <cell r="U65">
            <v>1.4098298280965558</v>
          </cell>
        </row>
        <row r="66">
          <cell r="A66" t="str">
            <v>Dividend as % of FCF</v>
          </cell>
          <cell r="B66">
            <v>0.36092821153877641</v>
          </cell>
          <cell r="C66">
            <v>0.29742927436183331</v>
          </cell>
          <cell r="D66">
            <v>0.36329936945608227</v>
          </cell>
          <cell r="E66">
            <v>0.45488457604401805</v>
          </cell>
          <cell r="F66">
            <v>0.35923932630053079</v>
          </cell>
          <cell r="G66">
            <v>0.28492626609492633</v>
          </cell>
          <cell r="H66">
            <v>0.67322452564607838</v>
          </cell>
          <cell r="I66">
            <v>0.57016083179864019</v>
          </cell>
          <cell r="J66">
            <v>0.40357126752942241</v>
          </cell>
          <cell r="K66">
            <v>0.45140902175364722</v>
          </cell>
          <cell r="L66">
            <v>0.39731795709156126</v>
          </cell>
          <cell r="M66">
            <v>0.42699029516381815</v>
          </cell>
          <cell r="N66">
            <v>0.4878623947880299</v>
          </cell>
          <cell r="O66">
            <v>0.41353521570245549</v>
          </cell>
          <cell r="P66">
            <v>0.40517142372396059</v>
          </cell>
          <cell r="Q66">
            <v>0.41036826529404763</v>
          </cell>
          <cell r="R66">
            <v>0.4143374080776579</v>
          </cell>
          <cell r="S66">
            <v>0.41699732514973697</v>
          </cell>
          <cell r="T66">
            <v>0.42088779202126969</v>
          </cell>
          <cell r="U66">
            <v>0.42473956699117932</v>
          </cell>
        </row>
        <row r="67">
          <cell r="A67" t="str">
            <v>% Growth</v>
          </cell>
        </row>
        <row r="68">
          <cell r="A68" t="str">
            <v>% Growth</v>
          </cell>
          <cell r="C68">
            <v>-0.18296195240260715</v>
          </cell>
          <cell r="D68">
            <v>0.16228571428571414</v>
          </cell>
          <cell r="E68">
            <v>3.883333971829539E-2</v>
          </cell>
          <cell r="F68">
            <v>4.0540371034707645E-2</v>
          </cell>
          <cell r="G68">
            <v>6.9096365378819913E-2</v>
          </cell>
          <cell r="H68">
            <v>6.2191955009515798E-2</v>
          </cell>
          <cell r="I68">
            <v>3.6410923276983143E-2</v>
          </cell>
          <cell r="J68">
            <v>-3.4629861982433674E-3</v>
          </cell>
          <cell r="K68">
            <v>6.8452290453529629E-2</v>
          </cell>
          <cell r="L68">
            <v>-1.3472331271522919E-2</v>
          </cell>
          <cell r="M68">
            <v>-0.11607471014734871</v>
          </cell>
          <cell r="N68">
            <v>6.2162162162162193E-2</v>
          </cell>
          <cell r="O68">
            <v>1.653944020356235E-2</v>
          </cell>
          <cell r="P68">
            <v>-3.8696373308894305E-2</v>
          </cell>
          <cell r="Q68">
            <v>4.2103195932307269E-2</v>
          </cell>
          <cell r="R68">
            <v>3.0069247062476601E-2</v>
          </cell>
          <cell r="S68">
            <v>3.6651184378736046E-2</v>
          </cell>
          <cell r="T68">
            <v>3.1063327025416587E-2</v>
          </cell>
          <cell r="U68">
            <v>3.2257351932984069E-2</v>
          </cell>
        </row>
        <row r="69">
          <cell r="A69" t="str">
            <v xml:space="preserve">   Net Income</v>
          </cell>
          <cell r="C69">
            <v>-0.18296195240260715</v>
          </cell>
          <cell r="D69">
            <v>0.16228571428571414</v>
          </cell>
          <cell r="E69">
            <v>3.883333971829539E-2</v>
          </cell>
          <cell r="F69">
            <v>4.0540371034707645E-2</v>
          </cell>
          <cell r="G69">
            <v>6.9096365378819913E-2</v>
          </cell>
          <cell r="H69">
            <v>6.2191955009515798E-2</v>
          </cell>
          <cell r="I69">
            <v>3.6410923276983143E-2</v>
          </cell>
          <cell r="J69">
            <v>-3.4629861982433674E-3</v>
          </cell>
          <cell r="K69">
            <v>6.8452290453529629E-2</v>
          </cell>
          <cell r="L69">
            <v>-1.3472331271522919E-2</v>
          </cell>
          <cell r="M69">
            <v>-0.11607471014734871</v>
          </cell>
          <cell r="N69">
            <v>6.2162162162162193E-2</v>
          </cell>
          <cell r="O69">
            <v>1.599661180836387E-2</v>
          </cell>
          <cell r="P69">
            <v>4.1327036484021473E-2</v>
          </cell>
          <cell r="Q69">
            <v>4.3701340310681402E-2</v>
          </cell>
          <cell r="R69">
            <v>4.0429363833423659E-2</v>
          </cell>
          <cell r="S69">
            <v>4.0247859757979398E-2</v>
          </cell>
          <cell r="T69">
            <v>4.0055962286305036E-2</v>
          </cell>
          <cell r="U69">
            <v>3.9812867997685908E-2</v>
          </cell>
        </row>
        <row r="70">
          <cell r="A70" t="str">
            <v xml:space="preserve">   Diluted EPS</v>
          </cell>
          <cell r="C70">
            <v>-0.16904646254085109</v>
          </cell>
          <cell r="D70">
            <v>0.16228571428571414</v>
          </cell>
          <cell r="E70">
            <v>3.6311899573348017E-2</v>
          </cell>
          <cell r="F70">
            <v>3.8020902823969971E-2</v>
          </cell>
          <cell r="G70">
            <v>6.6514007008339648E-2</v>
          </cell>
          <cell r="H70">
            <v>0.11047340750994827</v>
          </cell>
          <cell r="I70">
            <v>7.7214502933557361E-2</v>
          </cell>
          <cell r="J70">
            <v>6.0560341504104054E-2</v>
          </cell>
          <cell r="K70">
            <v>0.11517760927802789</v>
          </cell>
          <cell r="L70">
            <v>2.850756952543354E-2</v>
          </cell>
          <cell r="M70">
            <v>-9.0930227066201019E-2</v>
          </cell>
          <cell r="N70">
            <v>7.1879103077841178E-2</v>
          </cell>
          <cell r="O70">
            <v>1.599661180836387E-2</v>
          </cell>
          <cell r="P70">
            <v>4.8566749346029781E-2</v>
          </cell>
          <cell r="Q70">
            <v>5.7815976314613327E-2</v>
          </cell>
          <cell r="R70">
            <v>5.3505856126822682E-2</v>
          </cell>
          <cell r="S70">
            <v>5.2346371270468373E-2</v>
          </cell>
          <cell r="T70">
            <v>5.1196450738744348E-2</v>
          </cell>
          <cell r="U70">
            <v>5.0016472473523255E-2</v>
          </cell>
        </row>
        <row r="71">
          <cell r="A71" t="str">
            <v xml:space="preserve">   Levered FCF</v>
          </cell>
          <cell r="C71">
            <v>-0.17439293598233996</v>
          </cell>
          <cell r="D71">
            <v>-0.21122994652406413</v>
          </cell>
          <cell r="E71">
            <v>-0.22711864406779658</v>
          </cell>
          <cell r="F71">
            <v>0.44298245716970985</v>
          </cell>
          <cell r="G71">
            <v>0.39361702028245182</v>
          </cell>
          <cell r="H71">
            <v>-0.46237731733914944</v>
          </cell>
          <cell r="I71">
            <v>0.41582150101419879</v>
          </cell>
          <cell r="J71">
            <v>0.17621776504297992</v>
          </cell>
          <cell r="K71">
            <v>-9.6224116930572423E-2</v>
          </cell>
          <cell r="L71">
            <v>0.17250673854447429</v>
          </cell>
          <cell r="M71">
            <v>-8.3908046516537826E-2</v>
          </cell>
          <cell r="N71">
            <v>-0.14303638594448131</v>
          </cell>
          <cell r="O71">
            <v>0.20635693047585213</v>
          </cell>
          <cell r="P71">
            <v>6.9477789713418003E-2</v>
          </cell>
          <cell r="Q71">
            <v>3.2626270813306935E-2</v>
          </cell>
          <cell r="R71">
            <v>3.7044222239817293E-2</v>
          </cell>
          <cell r="S71">
            <v>4.0525350956734041E-2</v>
          </cell>
          <cell r="T71">
            <v>3.715587762530892E-2</v>
          </cell>
          <cell r="U71">
            <v>3.7127185469356228E-2</v>
          </cell>
        </row>
        <row r="72">
          <cell r="A72" t="str">
            <v>Index to 2001</v>
          </cell>
        </row>
        <row r="73">
          <cell r="A73" t="str">
            <v>Index to 2001</v>
          </cell>
          <cell r="B73">
            <v>100</v>
          </cell>
          <cell r="C73">
            <v>81.703804759739285</v>
          </cell>
          <cell r="D73">
            <v>94.963165075034112</v>
          </cell>
          <cell r="E73">
            <v>98.650901925117481</v>
          </cell>
          <cell r="F73">
            <v>102.65024609207029</v>
          </cell>
          <cell r="G73">
            <v>109.74300500227376</v>
          </cell>
          <cell r="H73">
            <v>116.56813703198425</v>
          </cell>
          <cell r="I73">
            <v>120.81249052599668</v>
          </cell>
          <cell r="J73">
            <v>120.39411853872974</v>
          </cell>
          <cell r="K73">
            <v>128.63537170983955</v>
          </cell>
          <cell r="L73">
            <v>126.9023533689291</v>
          </cell>
          <cell r="M73">
            <v>112.17219948461423</v>
          </cell>
          <cell r="N73">
            <v>119.14506593906322</v>
          </cell>
          <cell r="O73">
            <v>121.11565863271186</v>
          </cell>
          <cell r="P73">
            <v>116.42892189270782</v>
          </cell>
          <cell r="Q73">
            <v>121.33095160334379</v>
          </cell>
          <cell r="R73">
            <v>124.97928196343014</v>
          </cell>
          <cell r="S73">
            <v>129.55992067019386</v>
          </cell>
          <cell r="T73">
            <v>133.58448285535914</v>
          </cell>
          <cell r="U73">
            <v>137.89356453161014</v>
          </cell>
        </row>
        <row r="74">
          <cell r="A74" t="str">
            <v xml:space="preserve">   Net Income</v>
          </cell>
          <cell r="B74">
            <v>100</v>
          </cell>
          <cell r="C74">
            <v>81.703804759739285</v>
          </cell>
          <cell r="D74">
            <v>94.963165075034112</v>
          </cell>
          <cell r="E74">
            <v>98.650901925117481</v>
          </cell>
          <cell r="F74">
            <v>102.65024609207029</v>
          </cell>
          <cell r="G74">
            <v>109.74300500227376</v>
          </cell>
          <cell r="H74">
            <v>116.56813703198425</v>
          </cell>
          <cell r="I74">
            <v>120.81249052599668</v>
          </cell>
          <cell r="J74">
            <v>120.39411853872974</v>
          </cell>
          <cell r="K74">
            <v>128.63537170983955</v>
          </cell>
          <cell r="L74">
            <v>126.9023533689291</v>
          </cell>
          <cell r="M74">
            <v>112.17219948461423</v>
          </cell>
          <cell r="N74">
            <v>119.14506593906322</v>
          </cell>
          <cell r="O74">
            <v>121.05098330777233</v>
          </cell>
          <cell r="P74">
            <v>126.05366171135933</v>
          </cell>
          <cell r="Q74">
            <v>131.56237567921494</v>
          </cell>
          <cell r="R74">
            <v>136.88135883233949</v>
          </cell>
          <cell r="S74">
            <v>142.39054056610513</v>
          </cell>
          <cell r="T74">
            <v>148.09413068894762</v>
          </cell>
          <cell r="U74">
            <v>153.99018276529875</v>
          </cell>
        </row>
        <row r="75">
          <cell r="A75" t="str">
            <v xml:space="preserve">   Diluted EPS</v>
          </cell>
          <cell r="B75">
            <v>100</v>
          </cell>
          <cell r="C75">
            <v>83.095353745914892</v>
          </cell>
          <cell r="D75">
            <v>96.580542582394784</v>
          </cell>
          <cell r="E75">
            <v>100.08756554538618</v>
          </cell>
          <cell r="F75">
            <v>103.89298514887504</v>
          </cell>
          <cell r="G75">
            <v>110.80332389118463</v>
          </cell>
          <cell r="H75">
            <v>123.04414464487226</v>
          </cell>
          <cell r="I75">
            <v>132.54493711251078</v>
          </cell>
          <cell r="J75">
            <v>140.57190376868445</v>
          </cell>
          <cell r="K75">
            <v>156.76263957642254</v>
          </cell>
          <cell r="L75">
            <v>161.23156142313786</v>
          </cell>
          <cell r="M75">
            <v>146.57073893269381</v>
          </cell>
          <cell r="N75">
            <v>157.10611218463225</v>
          </cell>
          <cell r="O75">
            <v>159.61927767397108</v>
          </cell>
          <cell r="P75">
            <v>167.37146712355718</v>
          </cell>
          <cell r="Q75">
            <v>177.04821190251482</v>
          </cell>
          <cell r="R75">
            <v>186.52132805608201</v>
          </cell>
          <cell r="S75">
            <v>196.28504274436654</v>
          </cell>
          <cell r="T75">
            <v>206.33414026598081</v>
          </cell>
          <cell r="U75">
            <v>216.65424611294233</v>
          </cell>
        </row>
        <row r="76">
          <cell r="A76" t="str">
            <v xml:space="preserve">   Levered FCF</v>
          </cell>
          <cell r="B76">
            <v>100</v>
          </cell>
          <cell r="C76">
            <v>82.560706401765998</v>
          </cell>
          <cell r="D76">
            <v>65.12141280353201</v>
          </cell>
          <cell r="E76">
            <v>50.331125827814574</v>
          </cell>
          <cell r="F76">
            <v>72.626931619137707</v>
          </cell>
          <cell r="G76">
            <v>101.21412803532009</v>
          </cell>
          <cell r="H76">
            <v>54.415011037527591</v>
          </cell>
          <cell r="I76">
            <v>77.041942604856516</v>
          </cell>
          <cell r="J76">
            <v>90.618101545253865</v>
          </cell>
          <cell r="K76">
            <v>81.898454746136863</v>
          </cell>
          <cell r="L76">
            <v>96.026490066225165</v>
          </cell>
          <cell r="M76">
            <v>87.969094870928487</v>
          </cell>
          <cell r="N76">
            <v>75.386313465783658</v>
          </cell>
          <cell r="O76">
            <v>90.942801712473184</v>
          </cell>
          <cell r="P76">
            <v>97.261306565801462</v>
          </cell>
          <cell r="Q76">
            <v>100.43458029347336</v>
          </cell>
          <cell r="R76">
            <v>104.15510120642757</v>
          </cell>
          <cell r="S76">
            <v>108.37602323675219</v>
          </cell>
          <cell r="T76">
            <v>112.40282949365461</v>
          </cell>
          <cell r="U76">
            <v>116.57603019154594</v>
          </cell>
        </row>
        <row r="77">
          <cell r="A77" t="str">
            <v xml:space="preserve">   Levered FCF</v>
          </cell>
          <cell r="B77">
            <v>100</v>
          </cell>
          <cell r="C77">
            <v>86.842105263157904</v>
          </cell>
          <cell r="D77">
            <v>62.218045112781951</v>
          </cell>
          <cell r="E77">
            <v>37.030075187969928</v>
          </cell>
          <cell r="F77">
            <v>71.992481291238292</v>
          </cell>
          <cell r="G77">
            <v>117.48120300751879</v>
          </cell>
          <cell r="H77">
            <v>34.774436090225564</v>
          </cell>
          <cell r="I77">
            <v>69.360902255639104</v>
          </cell>
          <cell r="J77">
            <v>88.53383458646617</v>
          </cell>
          <cell r="K77">
            <v>70.864661654135347</v>
          </cell>
          <cell r="L77">
            <v>92.481203007518801</v>
          </cell>
          <cell r="M77">
            <v>79.699248032069931</v>
          </cell>
          <cell r="N77">
            <v>59.398496240601503</v>
          </cell>
          <cell r="O77">
            <v>84.650283725720953</v>
          </cell>
          <cell r="P77">
            <v>92.508512890974913</v>
          </cell>
          <cell r="Q77">
            <v>94.716820527847077</v>
          </cell>
          <cell r="R77">
            <v>97.967163846187347</v>
          </cell>
          <cell r="S77">
            <v>101.95935305184989</v>
          </cell>
          <cell r="T77">
            <v>105.50817839791308</v>
          </cell>
          <cell r="U77">
            <v>109.19466053641773</v>
          </cell>
        </row>
        <row r="78">
          <cell r="A78" t="str">
            <v xml:space="preserve">   Operating Income</v>
          </cell>
          <cell r="B78">
            <v>100</v>
          </cell>
          <cell r="C78">
            <v>83.057577763070825</v>
          </cell>
          <cell r="D78">
            <v>91.412971542025161</v>
          </cell>
          <cell r="E78">
            <v>92.819324950364006</v>
          </cell>
          <cell r="F78">
            <v>96.54202514890801</v>
          </cell>
          <cell r="G78">
            <v>99.685638649900739</v>
          </cell>
          <cell r="H78">
            <v>103.40833884844474</v>
          </cell>
          <cell r="I78">
            <v>105.89013898080741</v>
          </cell>
          <cell r="J78">
            <v>105.39377895433488</v>
          </cell>
          <cell r="K78">
            <v>112.50827266710787</v>
          </cell>
          <cell r="L78">
            <v>111.01919258769028</v>
          </cell>
          <cell r="M78">
            <v>96.376571806750505</v>
          </cell>
          <cell r="N78">
            <v>101.91925876902714</v>
          </cell>
          <cell r="O78">
            <v>143.26806446023218</v>
          </cell>
        </row>
        <row r="79">
          <cell r="A79" t="str">
            <v xml:space="preserve">   Net Sales</v>
          </cell>
          <cell r="B79">
            <v>100</v>
          </cell>
          <cell r="C79">
            <v>106.27274302547218</v>
          </cell>
          <cell r="D79">
            <v>115.71651360249524</v>
          </cell>
          <cell r="E79">
            <v>123.18488996707677</v>
          </cell>
          <cell r="F79">
            <v>130.79189048691734</v>
          </cell>
          <cell r="G79">
            <v>133.0965170680991</v>
          </cell>
          <cell r="H79">
            <v>136.38884075550163</v>
          </cell>
          <cell r="I79">
            <v>138.58949922023913</v>
          </cell>
          <cell r="J79">
            <v>131.45035522439784</v>
          </cell>
          <cell r="K79">
            <v>133.00987697106223</v>
          </cell>
          <cell r="L79">
            <v>133.75498180557963</v>
          </cell>
          <cell r="M79">
            <v>124.32853924796396</v>
          </cell>
          <cell r="N79">
            <v>139.52521226823774</v>
          </cell>
        </row>
        <row r="80">
          <cell r="A80" t="str">
            <v>Capex / Sales</v>
          </cell>
          <cell r="B80">
            <v>3.4656038814763472E-2</v>
          </cell>
          <cell r="C80">
            <v>4.3861079406489485E-2</v>
          </cell>
          <cell r="D80">
            <v>4.2377957472297098E-2</v>
          </cell>
          <cell r="E80">
            <v>4.0512027008018002E-2</v>
          </cell>
          <cell r="F80">
            <v>4.3985161632220458E-2</v>
          </cell>
          <cell r="G80">
            <v>4.0229136831141779E-2</v>
          </cell>
          <cell r="H80">
            <v>4.2434252318638038E-2</v>
          </cell>
          <cell r="I80">
            <v>3.7259314828707174E-2</v>
          </cell>
          <cell r="J80">
            <v>4.5478513050355919E-2</v>
          </cell>
          <cell r="K80">
            <v>4.1036998436685776E-2</v>
          </cell>
          <cell r="L80">
            <v>3.5237725093924081E-2</v>
          </cell>
          <cell r="M80">
            <v>4.5017421602787454E-2</v>
          </cell>
          <cell r="N80">
            <v>4.1728763040238454E-2</v>
          </cell>
          <cell r="O80">
            <v>4.196903725205612E-2</v>
          </cell>
          <cell r="P80">
            <v>0.04</v>
          </cell>
          <cell r="Q80">
            <v>0.04</v>
          </cell>
          <cell r="R80">
            <v>0.04</v>
          </cell>
          <cell r="S80">
            <v>0.04</v>
          </cell>
          <cell r="T80">
            <v>0.04</v>
          </cell>
          <cell r="U80">
            <v>0.04</v>
          </cell>
        </row>
        <row r="81">
          <cell r="A81" t="str">
            <v>Capex / Sales</v>
          </cell>
          <cell r="B81">
            <v>3.4656038814763472E-2</v>
          </cell>
          <cell r="C81">
            <v>4.3861079406489485E-2</v>
          </cell>
          <cell r="D81">
            <v>4.2377957472297098E-2</v>
          </cell>
          <cell r="E81">
            <v>4.0512027008018002E-2</v>
          </cell>
          <cell r="F81">
            <v>4.3985161632220458E-2</v>
          </cell>
          <cell r="G81">
            <v>4.0229136831141779E-2</v>
          </cell>
          <cell r="H81">
            <v>4.2434252318638038E-2</v>
          </cell>
          <cell r="I81">
            <v>3.7259314828707174E-2</v>
          </cell>
          <cell r="J81">
            <v>4.5478513050355919E-2</v>
          </cell>
          <cell r="K81">
            <v>4.1036998436685776E-2</v>
          </cell>
          <cell r="L81">
            <v>3.5237725093924081E-2</v>
          </cell>
          <cell r="M81">
            <v>4.5017421602787454E-2</v>
          </cell>
          <cell r="N81">
            <v>4.1728763040238454E-2</v>
          </cell>
          <cell r="O81">
            <v>0.04</v>
          </cell>
          <cell r="P81">
            <v>0.04</v>
          </cell>
          <cell r="Q81">
            <v>0.04</v>
          </cell>
          <cell r="R81">
            <v>0.04</v>
          </cell>
          <cell r="S81">
            <v>0.04</v>
          </cell>
          <cell r="T81">
            <v>0.04</v>
          </cell>
          <cell r="U81">
            <v>0.04</v>
          </cell>
        </row>
        <row r="82">
          <cell r="A82" t="str">
            <v>Dividends as % of OCF</v>
          </cell>
          <cell r="B82">
            <v>0.41280353200883002</v>
          </cell>
          <cell r="C82">
            <v>0.38235294117647056</v>
          </cell>
          <cell r="D82">
            <v>0.43898305084745765</v>
          </cell>
          <cell r="E82">
            <v>0.56798245614035092</v>
          </cell>
          <cell r="F82">
            <v>0.41793313040095337</v>
          </cell>
          <cell r="G82">
            <v>0.31842966194111233</v>
          </cell>
          <cell r="H82">
            <v>0.62474645030425968</v>
          </cell>
          <cell r="I82">
            <v>0.47134670487106017</v>
          </cell>
          <cell r="J82">
            <v>0.42630937880633374</v>
          </cell>
          <cell r="K82">
            <v>0.49191374663072779</v>
          </cell>
          <cell r="L82">
            <v>0.43448275862068964</v>
          </cell>
          <cell r="M82">
            <v>0.46800501909620568</v>
          </cell>
          <cell r="N82">
            <v>0.53733528550512444</v>
          </cell>
          <cell r="O82">
            <v>0.70705244122965638</v>
          </cell>
        </row>
        <row r="84">
          <cell r="A84" t="str">
            <v>DO NOT ERASE</v>
          </cell>
          <cell r="H84">
            <v>100.77119999999999</v>
          </cell>
        </row>
        <row r="85">
          <cell r="A85" t="str">
            <v>Repurchase under forward stock purcahse contracts</v>
          </cell>
        </row>
        <row r="86">
          <cell r="A86" t="str">
            <v>Repurchase</v>
          </cell>
          <cell r="B86">
            <v>-594</v>
          </cell>
          <cell r="C86">
            <v>-5</v>
          </cell>
          <cell r="D86">
            <v>-24</v>
          </cell>
          <cell r="E86">
            <v>-56</v>
          </cell>
          <cell r="F86">
            <v>-110</v>
          </cell>
          <cell r="G86">
            <v>-259</v>
          </cell>
          <cell r="H86">
            <v>-1140</v>
          </cell>
          <cell r="I86">
            <v>-903</v>
          </cell>
          <cell r="J86">
            <v>-527</v>
          </cell>
          <cell r="K86">
            <v>-472</v>
          </cell>
          <cell r="L86">
            <v>-728</v>
          </cell>
          <cell r="M86">
            <v>-412</v>
          </cell>
          <cell r="N86">
            <v>-153</v>
          </cell>
          <cell r="O86">
            <v>0</v>
          </cell>
          <cell r="P86">
            <v>-350</v>
          </cell>
          <cell r="Q86">
            <v>-350</v>
          </cell>
          <cell r="R86">
            <v>-350</v>
          </cell>
          <cell r="S86">
            <v>-350</v>
          </cell>
          <cell r="T86">
            <v>-350</v>
          </cell>
          <cell r="U86">
            <v>-350</v>
          </cell>
        </row>
        <row r="87">
          <cell r="A87" t="str">
            <v>Issuance</v>
          </cell>
          <cell r="B87">
            <v>98</v>
          </cell>
          <cell r="C87">
            <v>98</v>
          </cell>
          <cell r="D87">
            <v>55.466000000000001</v>
          </cell>
          <cell r="E87">
            <v>46.210830000000001</v>
          </cell>
          <cell r="F87">
            <v>98</v>
          </cell>
          <cell r="G87">
            <v>138.510119</v>
          </cell>
          <cell r="H87">
            <v>165</v>
          </cell>
          <cell r="I87">
            <v>112</v>
          </cell>
          <cell r="J87">
            <v>72</v>
          </cell>
          <cell r="K87">
            <v>139</v>
          </cell>
          <cell r="L87">
            <v>96</v>
          </cell>
          <cell r="M87">
            <v>112</v>
          </cell>
          <cell r="N87">
            <v>83</v>
          </cell>
          <cell r="O87">
            <v>0</v>
          </cell>
          <cell r="P87">
            <v>0</v>
          </cell>
          <cell r="Q87">
            <v>0</v>
          </cell>
          <cell r="R87">
            <v>0</v>
          </cell>
          <cell r="S87">
            <v>0</v>
          </cell>
          <cell r="T87">
            <v>0</v>
          </cell>
          <cell r="U87">
            <v>0</v>
          </cell>
        </row>
        <row r="88">
          <cell r="A88" t="str">
            <v>FIN 48</v>
          </cell>
          <cell r="I88">
            <v>-6</v>
          </cell>
        </row>
        <row r="89">
          <cell r="A89" t="str">
            <v>Net Income Reconciliation</v>
          </cell>
          <cell r="G89">
            <v>32.436999999999998</v>
          </cell>
          <cell r="I89">
            <v>-126</v>
          </cell>
          <cell r="J89">
            <v>7</v>
          </cell>
          <cell r="K89">
            <v>69</v>
          </cell>
          <cell r="L89">
            <v>25</v>
          </cell>
        </row>
        <row r="90">
          <cell r="A90" t="str">
            <v>Net share repurchase</v>
          </cell>
          <cell r="B90">
            <v>-496</v>
          </cell>
          <cell r="C90">
            <v>93</v>
          </cell>
          <cell r="D90">
            <v>31.466000000000001</v>
          </cell>
          <cell r="E90">
            <v>-9.7891699999999986</v>
          </cell>
          <cell r="F90">
            <v>-12</v>
          </cell>
          <cell r="G90">
            <v>-88.052880999999999</v>
          </cell>
          <cell r="H90">
            <v>-874.22879999999998</v>
          </cell>
          <cell r="I90">
            <v>-923</v>
          </cell>
          <cell r="J90">
            <v>-448</v>
          </cell>
          <cell r="K90">
            <v>-264</v>
          </cell>
          <cell r="L90">
            <v>-607</v>
          </cell>
          <cell r="M90">
            <v>-300</v>
          </cell>
          <cell r="N90">
            <v>-70</v>
          </cell>
          <cell r="O90">
            <v>0</v>
          </cell>
          <cell r="P90">
            <v>-350</v>
          </cell>
          <cell r="Q90">
            <v>-350</v>
          </cell>
          <cell r="R90">
            <v>-350</v>
          </cell>
          <cell r="S90">
            <v>-350</v>
          </cell>
          <cell r="T90">
            <v>-350</v>
          </cell>
          <cell r="U90">
            <v>-350</v>
          </cell>
          <cell r="BV90" t="str">
            <v>mstag:netIssuanceRepurchaseOfCommonStock</v>
          </cell>
          <cell r="BW90">
            <v>6</v>
          </cell>
          <cell r="BX90" t="str">
            <v>ISO4217:USD</v>
          </cell>
          <cell r="BY90" t="b">
            <v>0</v>
          </cell>
        </row>
        <row r="509">
          <cell r="D509" t="str">
            <v>2003-FY</v>
          </cell>
          <cell r="E509" t="str">
            <v>2004-FY</v>
          </cell>
          <cell r="F509" t="str">
            <v>2005-FY</v>
          </cell>
          <cell r="G509" t="str">
            <v>2006-FY</v>
          </cell>
          <cell r="H509" t="str">
            <v>2007-FY</v>
          </cell>
          <cell r="I509" t="str">
            <v>2008-FY</v>
          </cell>
          <cell r="J509" t="str">
            <v>2009-FY</v>
          </cell>
          <cell r="K509" t="str">
            <v>2010-FY</v>
          </cell>
          <cell r="L509" t="str">
            <v>2011-FY</v>
          </cell>
          <cell r="M509" t="str">
            <v>2012-FY</v>
          </cell>
          <cell r="N509" t="str">
            <v>2013-FY</v>
          </cell>
          <cell r="O509" t="str">
            <v>2014-FY</v>
          </cell>
          <cell r="P509" t="str">
            <v>2015-FY</v>
          </cell>
          <cell r="Q509" t="str">
            <v>2016-FY</v>
          </cell>
          <cell r="R509" t="str">
            <v>2017-FY</v>
          </cell>
        </row>
      </sheetData>
      <sheetData sheetId="9"/>
      <sheetData sheetId="10"/>
      <sheetData sheetId="11"/>
      <sheetData sheetId="12" refreshError="1">
        <row r="3">
          <cell r="A3" t="str">
            <v>$ millions</v>
          </cell>
        </row>
        <row r="59">
          <cell r="A59" t="str">
            <v>Bolthouse P&amp;L</v>
          </cell>
        </row>
        <row r="60">
          <cell r="A60" t="str">
            <v>Actual / Estimated Results by Segment</v>
          </cell>
          <cell r="B60" t="str">
            <v>FY12</v>
          </cell>
          <cell r="C60" t="str">
            <v>FY13e</v>
          </cell>
          <cell r="D60" t="str">
            <v>FY14e</v>
          </cell>
          <cell r="E60" t="str">
            <v>FY15e</v>
          </cell>
          <cell r="F60" t="str">
            <v>FY16e</v>
          </cell>
        </row>
        <row r="61">
          <cell r="A61" t="str">
            <v>Sales (US $ Millions)</v>
          </cell>
          <cell r="B61">
            <v>689</v>
          </cell>
          <cell r="C61">
            <v>734.31130499999995</v>
          </cell>
          <cell r="D61">
            <v>780.27718162499991</v>
          </cell>
          <cell r="E61">
            <v>827.34861769537497</v>
          </cell>
          <cell r="F61">
            <v>875.06387176354303</v>
          </cell>
        </row>
        <row r="62">
          <cell r="A62" t="str">
            <v>Carrots</v>
          </cell>
          <cell r="B62">
            <v>428.99700000000001</v>
          </cell>
          <cell r="C62">
            <v>444.01189499999998</v>
          </cell>
          <cell r="D62">
            <v>459.55231132499995</v>
          </cell>
          <cell r="E62">
            <v>475.63664222137493</v>
          </cell>
          <cell r="F62">
            <v>492.28392469912302</v>
          </cell>
        </row>
        <row r="63">
          <cell r="A63" t="str">
            <v>CPG (Beverages)</v>
          </cell>
          <cell r="B63">
            <v>213.37799999999999</v>
          </cell>
          <cell r="C63">
            <v>240.05024999999998</v>
          </cell>
          <cell r="D63">
            <v>266.45577750000001</v>
          </cell>
          <cell r="E63">
            <v>293.10135525000004</v>
          </cell>
          <cell r="F63">
            <v>319.48047722250004</v>
          </cell>
        </row>
        <row r="64">
          <cell r="A64" t="str">
            <v>Natural/fresh logistics/dressings</v>
          </cell>
          <cell r="B64">
            <v>46.527000000000001</v>
          </cell>
          <cell r="C64">
            <v>50.249160000000003</v>
          </cell>
          <cell r="D64">
            <v>54.26909280000001</v>
          </cell>
          <cell r="E64">
            <v>58.610620224000016</v>
          </cell>
          <cell r="F64">
            <v>63.299469841920022</v>
          </cell>
        </row>
        <row r="66">
          <cell r="A66" t="str">
            <v>Gross Profit (US $ Millions)</v>
          </cell>
          <cell r="B66">
            <v>161.68699999999998</v>
          </cell>
          <cell r="C66">
            <v>174.49402499999999</v>
          </cell>
          <cell r="D66">
            <v>187.318091025</v>
          </cell>
          <cell r="E66">
            <v>200.34966306037501</v>
          </cell>
          <cell r="F66">
            <v>213.40802727119814</v>
          </cell>
        </row>
        <row r="67">
          <cell r="A67" t="str">
            <v>Carrots</v>
          </cell>
          <cell r="B67">
            <v>81.052999999999997</v>
          </cell>
          <cell r="C67">
            <v>83.889854999999997</v>
          </cell>
          <cell r="D67">
            <v>86.825999924999991</v>
          </cell>
          <cell r="E67">
            <v>89.864909922374977</v>
          </cell>
          <cell r="F67">
            <v>93.010181769658104</v>
          </cell>
        </row>
        <row r="68">
          <cell r="A68" t="str">
            <v>CPG (Beverages)</v>
          </cell>
          <cell r="B68">
            <v>78.209999999999994</v>
          </cell>
          <cell r="C68">
            <v>87.986249999999998</v>
          </cell>
          <cell r="D68">
            <v>97.664737500000001</v>
          </cell>
          <cell r="E68">
            <v>107.43121125000002</v>
          </cell>
          <cell r="F68">
            <v>117.10002026250002</v>
          </cell>
        </row>
        <row r="69">
          <cell r="A69" t="str">
            <v>Natural/fresh logistics/dressings</v>
          </cell>
          <cell r="B69">
            <v>2.4239999999999999</v>
          </cell>
          <cell r="C69">
            <v>2.6179199999999998</v>
          </cell>
          <cell r="D69">
            <v>2.8273536000000004</v>
          </cell>
          <cell r="E69">
            <v>3.0535418880000003</v>
          </cell>
          <cell r="F69">
            <v>3.2978252390400007</v>
          </cell>
        </row>
        <row r="71">
          <cell r="A71" t="str">
            <v>Operating Expenses</v>
          </cell>
          <cell r="B71">
            <v>601.25400000000002</v>
          </cell>
          <cell r="C71">
            <v>639.94079834999991</v>
          </cell>
          <cell r="D71">
            <v>679.25862197324989</v>
          </cell>
          <cell r="E71">
            <v>719.56411641354373</v>
          </cell>
          <cell r="F71">
            <v>760.48342931871105</v>
          </cell>
        </row>
        <row r="72">
          <cell r="A72" t="str">
            <v>as % of Sales</v>
          </cell>
          <cell r="B72">
            <v>0.87264731494920178</v>
          </cell>
          <cell r="C72">
            <v>0.87148433367779887</v>
          </cell>
          <cell r="D72">
            <v>0.87053503289514444</v>
          </cell>
          <cell r="E72">
            <v>0.86972299345580473</v>
          </cell>
          <cell r="F72">
            <v>0.86906048102075739</v>
          </cell>
        </row>
        <row r="74">
          <cell r="A74" t="str">
            <v>EBIT (US $ Millions)</v>
          </cell>
          <cell r="B74">
            <v>87.745999999999995</v>
          </cell>
          <cell r="C74">
            <v>94.370506649999996</v>
          </cell>
          <cell r="D74">
            <v>101.01855965175</v>
          </cell>
          <cell r="E74">
            <v>107.78450128183125</v>
          </cell>
          <cell r="F74">
            <v>114.58044244483195</v>
          </cell>
        </row>
        <row r="75">
          <cell r="A75" t="str">
            <v>Carrots</v>
          </cell>
          <cell r="B75">
            <v>47.18967</v>
          </cell>
          <cell r="C75">
            <v>48.84130845</v>
          </cell>
          <cell r="D75">
            <v>50.550754245749992</v>
          </cell>
          <cell r="E75">
            <v>52.320030644351242</v>
          </cell>
          <cell r="F75">
            <v>54.151231716903531</v>
          </cell>
        </row>
        <row r="76">
          <cell r="A76" t="str">
            <v>CPG (Beverages)</v>
          </cell>
          <cell r="B76">
            <v>38.408039999999993</v>
          </cell>
          <cell r="C76">
            <v>43.209044999999996</v>
          </cell>
          <cell r="D76">
            <v>47.962039949999998</v>
          </cell>
          <cell r="E76">
            <v>52.758243945000004</v>
          </cell>
          <cell r="F76">
            <v>57.506485900050002</v>
          </cell>
        </row>
        <row r="77">
          <cell r="A77" t="str">
            <v>Natural/fresh logistics/dressings</v>
          </cell>
          <cell r="B77">
            <v>2.1482900000000029</v>
          </cell>
          <cell r="C77">
            <v>2.3201532000000031</v>
          </cell>
          <cell r="D77">
            <v>2.5057654560000038</v>
          </cell>
          <cell r="E77">
            <v>2.7062266924800045</v>
          </cell>
          <cell r="F77">
            <v>2.922724827878405</v>
          </cell>
        </row>
      </sheetData>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row r="1">
          <cell r="A1" t="str">
            <v>Campbell Soup</v>
          </cell>
        </row>
        <row r="2">
          <cell r="A2" t="str">
            <v>Operating Income and Estimates by Division</v>
          </cell>
        </row>
        <row r="3">
          <cell r="A3" t="str">
            <v>($ millions except per share data)</v>
          </cell>
        </row>
        <row r="4">
          <cell r="D4" t="str">
            <v>%</v>
          </cell>
          <cell r="F4" t="str">
            <v>%</v>
          </cell>
          <cell r="H4" t="str">
            <v>%</v>
          </cell>
          <cell r="J4" t="str">
            <v>%</v>
          </cell>
          <cell r="L4" t="str">
            <v>%</v>
          </cell>
          <cell r="N4" t="str">
            <v>%</v>
          </cell>
          <cell r="P4" t="str">
            <v>%</v>
          </cell>
          <cell r="R4" t="str">
            <v>%</v>
          </cell>
          <cell r="T4" t="str">
            <v>%</v>
          </cell>
          <cell r="U4" t="str">
            <v xml:space="preserve"> 5-Year</v>
          </cell>
          <cell r="V4" t="str">
            <v>03-08</v>
          </cell>
        </row>
        <row r="5">
          <cell r="B5">
            <v>2000</v>
          </cell>
          <cell r="C5">
            <v>2001</v>
          </cell>
          <cell r="D5" t="str">
            <v>Change</v>
          </cell>
          <cell r="E5">
            <v>2002</v>
          </cell>
          <cell r="F5" t="str">
            <v>Change</v>
          </cell>
          <cell r="G5">
            <v>2003</v>
          </cell>
          <cell r="H5" t="str">
            <v>Change</v>
          </cell>
          <cell r="I5">
            <v>2004</v>
          </cell>
          <cell r="J5" t="str">
            <v>Change</v>
          </cell>
          <cell r="K5">
            <v>2005</v>
          </cell>
          <cell r="L5" t="str">
            <v>Change</v>
          </cell>
          <cell r="M5">
            <v>2006</v>
          </cell>
          <cell r="N5" t="str">
            <v>Change</v>
          </cell>
          <cell r="O5" t="str">
            <v>2007E</v>
          </cell>
          <cell r="P5" t="str">
            <v>Change</v>
          </cell>
          <cell r="Q5" t="str">
            <v>2008E</v>
          </cell>
          <cell r="R5" t="str">
            <v>Change</v>
          </cell>
          <cell r="S5" t="str">
            <v>2009E</v>
          </cell>
          <cell r="T5" t="str">
            <v>Change</v>
          </cell>
          <cell r="U5" t="str">
            <v>CAGR</v>
          </cell>
          <cell r="V5" t="str">
            <v>CAGR</v>
          </cell>
        </row>
        <row r="6">
          <cell r="A6" t="str">
            <v>Sales</v>
          </cell>
        </row>
        <row r="7">
          <cell r="A7" t="str">
            <v>US Soup, Sauces and Beverages</v>
          </cell>
          <cell r="B7">
            <v>2434</v>
          </cell>
          <cell r="C7">
            <v>2532</v>
          </cell>
          <cell r="D7">
            <v>4.0262941659819231E-2</v>
          </cell>
          <cell r="E7">
            <v>2524</v>
          </cell>
          <cell r="F7">
            <v>-3.1595576619273301E-3</v>
          </cell>
          <cell r="G7">
            <v>2944</v>
          </cell>
          <cell r="H7">
            <v>0.1664025356576862</v>
          </cell>
          <cell r="I7">
            <v>2998</v>
          </cell>
          <cell r="J7">
            <v>1.8342391304347828E-2</v>
          </cell>
          <cell r="K7">
            <v>3098</v>
          </cell>
          <cell r="L7">
            <v>3.3355570380253496E-2</v>
          </cell>
          <cell r="M7">
            <v>3257</v>
          </cell>
          <cell r="N7">
            <v>5.1323434473854013E-2</v>
          </cell>
          <cell r="O7">
            <v>3459.6799999999953</v>
          </cell>
          <cell r="P7">
            <v>6.2229045133556982E-2</v>
          </cell>
          <cell r="Q7">
            <v>3580.7687999999948</v>
          </cell>
          <cell r="R7">
            <v>3.5000000000000003E-2</v>
          </cell>
          <cell r="S7">
            <v>3688.1918639999949</v>
          </cell>
          <cell r="T7">
            <v>0.03</v>
          </cell>
          <cell r="U7">
            <v>5.1648995741492509E-2</v>
          </cell>
          <cell r="V7">
            <v>3.9938591753209574E-2</v>
          </cell>
        </row>
        <row r="8">
          <cell r="A8" t="str">
            <v xml:space="preserve">Other </v>
          </cell>
          <cell r="B8">
            <v>1156</v>
          </cell>
          <cell r="C8">
            <v>1161</v>
          </cell>
          <cell r="D8">
            <v>4.3252595155709346E-3</v>
          </cell>
          <cell r="E8">
            <v>1182</v>
          </cell>
          <cell r="F8">
            <v>1.8087855297157621E-2</v>
          </cell>
          <cell r="G8">
            <v>868</v>
          </cell>
          <cell r="H8">
            <v>-0.26565143824027071</v>
          </cell>
          <cell r="I8">
            <v>903</v>
          </cell>
          <cell r="J8">
            <v>4.0322580645161289E-2</v>
          </cell>
          <cell r="K8">
            <v>1005</v>
          </cell>
          <cell r="L8">
            <v>0.11295681063122931</v>
          </cell>
          <cell r="M8">
            <v>1084</v>
          </cell>
          <cell r="N8">
            <v>7.8606965174129462E-2</v>
          </cell>
          <cell r="O8">
            <v>1124.1650000000002</v>
          </cell>
          <cell r="P8">
            <v>3.7052583025830366E-2</v>
          </cell>
          <cell r="Q8">
            <v>1166.3211875000004</v>
          </cell>
          <cell r="R8">
            <v>3.7499999999999999E-2</v>
          </cell>
          <cell r="S8">
            <v>1203.6434655000005</v>
          </cell>
          <cell r="T8">
            <v>3.2000000000000001E-2</v>
          </cell>
          <cell r="U8">
            <v>-1.3631004834186333E-2</v>
          </cell>
          <cell r="V8">
            <v>6.0863941232876639E-2</v>
          </cell>
        </row>
        <row r="9">
          <cell r="A9" t="str">
            <v>Baking and Snacking</v>
          </cell>
          <cell r="B9">
            <v>1391</v>
          </cell>
          <cell r="C9">
            <v>1446</v>
          </cell>
          <cell r="D9">
            <v>3.9539899352983465E-2</v>
          </cell>
          <cell r="E9">
            <v>1507</v>
          </cell>
          <cell r="F9">
            <v>4.2185338865836794E-2</v>
          </cell>
          <cell r="G9">
            <v>1428</v>
          </cell>
          <cell r="H9">
            <v>-5.2422030524220307E-2</v>
          </cell>
          <cell r="I9">
            <v>1613</v>
          </cell>
          <cell r="J9">
            <v>0.12955182072829133</v>
          </cell>
          <cell r="K9">
            <v>1742</v>
          </cell>
          <cell r="L9">
            <v>7.9975201487910708E-2</v>
          </cell>
          <cell r="M9">
            <v>1747</v>
          </cell>
          <cell r="N9">
            <v>2.8702640642939148E-3</v>
          </cell>
          <cell r="O9">
            <v>1830.1400000000003</v>
          </cell>
          <cell r="P9">
            <v>4.7590154550658514E-2</v>
          </cell>
          <cell r="Q9">
            <v>1900.6003900000003</v>
          </cell>
          <cell r="R9">
            <v>3.85E-2</v>
          </cell>
          <cell r="S9">
            <v>1965.2208032600004</v>
          </cell>
          <cell r="T9">
            <v>3.4000000000000002E-2</v>
          </cell>
          <cell r="U9">
            <v>3.8544051143532654E-2</v>
          </cell>
          <cell r="V9">
            <v>5.884531977448848E-2</v>
          </cell>
        </row>
        <row r="10">
          <cell r="A10" t="str">
            <v>International Soups and Sauces</v>
          </cell>
          <cell r="B10">
            <v>622</v>
          </cell>
          <cell r="C10">
            <v>632</v>
          </cell>
          <cell r="D10">
            <v>1.607717041800643E-2</v>
          </cell>
          <cell r="E10">
            <v>920</v>
          </cell>
          <cell r="F10">
            <v>0.45569620253164556</v>
          </cell>
          <cell r="G10">
            <v>1438</v>
          </cell>
          <cell r="H10">
            <v>0.56304347826086953</v>
          </cell>
          <cell r="I10">
            <v>1595</v>
          </cell>
          <cell r="J10">
            <v>0.10917941585535466</v>
          </cell>
          <cell r="K10">
            <v>1703</v>
          </cell>
          <cell r="L10">
            <v>6.7711598746081458E-2</v>
          </cell>
          <cell r="M10">
            <v>1593</v>
          </cell>
          <cell r="N10">
            <v>-6.4591896652965386E-2</v>
          </cell>
          <cell r="O10">
            <v>1350</v>
          </cell>
          <cell r="P10">
            <v>7.5697211155378419E-2</v>
          </cell>
          <cell r="Q10">
            <v>1398.6000000000001</v>
          </cell>
          <cell r="R10">
            <v>3.5999999999999997E-2</v>
          </cell>
          <cell r="S10">
            <v>1443.3552000000002</v>
          </cell>
          <cell r="T10">
            <v>3.2000000000000001E-2</v>
          </cell>
          <cell r="U10">
            <v>0.20309449474164687</v>
          </cell>
          <cell r="V10">
            <v>-5.5408968916812462E-3</v>
          </cell>
        </row>
        <row r="11">
          <cell r="A11" t="str">
            <v>Other</v>
          </cell>
          <cell r="B11">
            <v>23</v>
          </cell>
          <cell r="C11">
            <v>0</v>
          </cell>
          <cell r="D11" t="str">
            <v>NM</v>
          </cell>
          <cell r="E11">
            <v>0</v>
          </cell>
          <cell r="F11" t="str">
            <v>NM</v>
          </cell>
          <cell r="G11">
            <v>0</v>
          </cell>
          <cell r="H11" t="str">
            <v>NM</v>
          </cell>
          <cell r="I11">
            <v>0</v>
          </cell>
          <cell r="J11" t="str">
            <v>NM</v>
          </cell>
          <cell r="K11">
            <v>0</v>
          </cell>
          <cell r="L11" t="str">
            <v>NM</v>
          </cell>
          <cell r="M11">
            <v>0</v>
          </cell>
          <cell r="N11" t="str">
            <v>NM</v>
          </cell>
          <cell r="O11">
            <v>0</v>
          </cell>
          <cell r="P11" t="str">
            <v>NM</v>
          </cell>
          <cell r="Q11">
            <v>0</v>
          </cell>
          <cell r="R11" t="str">
            <v>NM</v>
          </cell>
          <cell r="S11">
            <v>0</v>
          </cell>
          <cell r="T11" t="str">
            <v>NM</v>
          </cell>
          <cell r="U11" t="str">
            <v>NM</v>
          </cell>
        </row>
        <row r="13">
          <cell r="A13" t="str">
            <v>Total sales</v>
          </cell>
          <cell r="B13">
            <v>5626</v>
          </cell>
          <cell r="C13">
            <v>5771</v>
          </cell>
          <cell r="D13">
            <v>2.5773195876288658E-2</v>
          </cell>
          <cell r="E13">
            <v>6133</v>
          </cell>
          <cell r="F13">
            <v>6.2727430254721883E-2</v>
          </cell>
          <cell r="G13">
            <v>6678</v>
          </cell>
          <cell r="H13">
            <v>8.8863525191586495E-2</v>
          </cell>
          <cell r="I13">
            <v>7109</v>
          </cell>
          <cell r="J13">
            <v>6.4540281521413598E-2</v>
          </cell>
          <cell r="K13">
            <v>7548</v>
          </cell>
          <cell r="L13">
            <v>6.1752707835138559E-2</v>
          </cell>
          <cell r="M13">
            <v>7681</v>
          </cell>
          <cell r="N13">
            <v>1.7620561738208796E-2</v>
          </cell>
          <cell r="O13">
            <v>7763.984999999996</v>
          </cell>
          <cell r="P13">
            <v>1.0803931779715666E-2</v>
          </cell>
          <cell r="Q13">
            <v>8046.2903774999959</v>
          </cell>
          <cell r="R13">
            <v>3.6360886516395893E-2</v>
          </cell>
          <cell r="S13">
            <v>8300.4113327599953</v>
          </cell>
          <cell r="T13">
            <v>3.1582374403315461E-2</v>
          </cell>
          <cell r="U13">
            <v>5.8847311297468785E-2</v>
          </cell>
          <cell r="V13">
            <v>3.7982083715829784E-2</v>
          </cell>
        </row>
        <row r="15">
          <cell r="A15" t="str">
            <v>Operating Profit</v>
          </cell>
        </row>
        <row r="16">
          <cell r="A16" t="str">
            <v>US Soup, Sauces and Beverages</v>
          </cell>
          <cell r="B16">
            <v>768</v>
          </cell>
          <cell r="C16">
            <v>774</v>
          </cell>
          <cell r="D16">
            <v>7.8125E-3</v>
          </cell>
          <cell r="E16">
            <v>624</v>
          </cell>
          <cell r="F16">
            <v>-0.19379844961240311</v>
          </cell>
          <cell r="G16">
            <v>772</v>
          </cell>
          <cell r="H16">
            <v>0.23717948717948723</v>
          </cell>
          <cell r="I16">
            <v>730</v>
          </cell>
          <cell r="J16">
            <v>-5.4404145077720178E-2</v>
          </cell>
          <cell r="K16">
            <v>742</v>
          </cell>
          <cell r="L16">
            <v>1.643835616438356E-2</v>
          </cell>
          <cell r="M16">
            <v>807</v>
          </cell>
          <cell r="N16">
            <v>0.12558139534883722</v>
          </cell>
          <cell r="O16">
            <v>889.71749999999997</v>
          </cell>
          <cell r="P16">
            <v>0.10249999999999999</v>
          </cell>
          <cell r="Q16">
            <v>951.99772500000006</v>
          </cell>
          <cell r="R16">
            <v>7.0000000000000007E-2</v>
          </cell>
          <cell r="S16">
            <v>970.08568177500001</v>
          </cell>
          <cell r="T16">
            <v>1.9E-2</v>
          </cell>
          <cell r="U16">
            <v>8.3853204291421957E-3</v>
          </cell>
          <cell r="V16">
            <v>4.2806481996497059E-2</v>
          </cell>
        </row>
        <row r="17">
          <cell r="A17" t="str">
            <v xml:space="preserve">Other </v>
          </cell>
          <cell r="B17">
            <v>309</v>
          </cell>
          <cell r="C17">
            <v>295</v>
          </cell>
          <cell r="D17">
            <v>-4.5307443365695796E-2</v>
          </cell>
          <cell r="E17">
            <v>236</v>
          </cell>
          <cell r="F17">
            <v>-0.19999999999999996</v>
          </cell>
          <cell r="G17">
            <v>100</v>
          </cell>
          <cell r="H17">
            <v>-0.57627118644067798</v>
          </cell>
          <cell r="I17">
            <v>101</v>
          </cell>
          <cell r="J17">
            <v>1.0000000000000009E-2</v>
          </cell>
          <cell r="K17">
            <v>105</v>
          </cell>
          <cell r="L17">
            <v>3.9603960396039604E-2</v>
          </cell>
          <cell r="M17">
            <v>110</v>
          </cell>
          <cell r="N17">
            <v>-1.4285714285714285E-2</v>
          </cell>
          <cell r="O17">
            <v>108.68697160913732</v>
          </cell>
          <cell r="P17">
            <v>-1.193662173511539E-2</v>
          </cell>
          <cell r="Q17">
            <v>115.4799073347084</v>
          </cell>
          <cell r="R17">
            <v>6.25E-2</v>
          </cell>
          <cell r="S17">
            <v>118.59786483274551</v>
          </cell>
          <cell r="T17">
            <v>2.7E-2</v>
          </cell>
          <cell r="U17">
            <v>-0.17905486443071628</v>
          </cell>
          <cell r="V17">
            <v>2.9203573232825963E-2</v>
          </cell>
        </row>
        <row r="18">
          <cell r="A18" t="str">
            <v>Baking and Snacking</v>
          </cell>
          <cell r="B18">
            <v>206</v>
          </cell>
          <cell r="C18">
            <v>212</v>
          </cell>
          <cell r="D18">
            <v>2.9126213592233011E-2</v>
          </cell>
          <cell r="E18">
            <v>195</v>
          </cell>
          <cell r="F18">
            <v>-8.0188679245283057E-2</v>
          </cell>
          <cell r="G18">
            <v>161</v>
          </cell>
          <cell r="H18">
            <v>-0.17435897435897441</v>
          </cell>
          <cell r="I18">
            <v>166</v>
          </cell>
          <cell r="J18">
            <v>3.105590062111796E-2</v>
          </cell>
          <cell r="K18">
            <v>190</v>
          </cell>
          <cell r="L18">
            <v>0.14457831325301204</v>
          </cell>
          <cell r="M18">
            <v>182</v>
          </cell>
          <cell r="N18">
            <v>-0.1111111111111111</v>
          </cell>
          <cell r="O18">
            <v>233.41499999999999</v>
          </cell>
          <cell r="P18">
            <v>0.28249999999999997</v>
          </cell>
          <cell r="Q18">
            <v>258.27369750000003</v>
          </cell>
          <cell r="R18">
            <v>0.1065</v>
          </cell>
          <cell r="S18">
            <v>273.77011935000002</v>
          </cell>
          <cell r="T18">
            <v>0.06</v>
          </cell>
          <cell r="U18">
            <v>-3.0055007173560688E-2</v>
          </cell>
          <cell r="V18">
            <v>9.9134552993892733E-2</v>
          </cell>
        </row>
        <row r="19">
          <cell r="A19" t="str">
            <v>International Soups and Sauces</v>
          </cell>
          <cell r="B19">
            <v>64</v>
          </cell>
          <cell r="C19">
            <v>51</v>
          </cell>
          <cell r="D19" t="str">
            <v>NM</v>
          </cell>
          <cell r="E19">
            <v>92</v>
          </cell>
          <cell r="F19">
            <v>0.80392156862745101</v>
          </cell>
          <cell r="G19">
            <v>201</v>
          </cell>
          <cell r="H19">
            <v>1.1847826086956523</v>
          </cell>
          <cell r="I19">
            <v>205</v>
          </cell>
          <cell r="J19">
            <v>1.990049751243772E-2</v>
          </cell>
          <cell r="K19">
            <v>217</v>
          </cell>
          <cell r="L19">
            <v>5.8536585365853662E-2</v>
          </cell>
          <cell r="M19">
            <v>211</v>
          </cell>
          <cell r="N19">
            <v>0.17391304347826086</v>
          </cell>
          <cell r="O19">
            <v>148.22</v>
          </cell>
          <cell r="P19">
            <v>0.02</v>
          </cell>
          <cell r="Q19">
            <v>159.3365</v>
          </cell>
          <cell r="R19">
            <v>7.4999999999999997E-2</v>
          </cell>
          <cell r="S19">
            <v>163.797922</v>
          </cell>
          <cell r="T19">
            <v>2.8000000000000001E-2</v>
          </cell>
          <cell r="U19">
            <v>0.32844156579463668</v>
          </cell>
          <cell r="V19">
            <v>-4.5394695827597253E-2</v>
          </cell>
        </row>
        <row r="20">
          <cell r="A20" t="str">
            <v>Corporate expenses</v>
          </cell>
          <cell r="B20">
            <v>-81.899999999999991</v>
          </cell>
          <cell r="C20">
            <v>-123.2</v>
          </cell>
          <cell r="D20">
            <v>0.50427350427350448</v>
          </cell>
          <cell r="E20">
            <v>-143</v>
          </cell>
          <cell r="F20">
            <v>0.1607142857142857</v>
          </cell>
          <cell r="G20">
            <v>-129</v>
          </cell>
          <cell r="H20">
            <v>-9.7902097902097904E-2</v>
          </cell>
          <cell r="I20">
            <v>-80</v>
          </cell>
          <cell r="J20">
            <v>-0.37984496124031009</v>
          </cell>
          <cell r="K20">
            <v>-87</v>
          </cell>
          <cell r="L20">
            <v>8.7499999999999994E-2</v>
          </cell>
          <cell r="M20">
            <v>-105</v>
          </cell>
          <cell r="N20">
            <v>0.31818181818181818</v>
          </cell>
          <cell r="O20">
            <v>-125.47500000000001</v>
          </cell>
          <cell r="P20">
            <v>0.19500000000000001</v>
          </cell>
          <cell r="Q20">
            <v>-126.72975000000001</v>
          </cell>
          <cell r="R20">
            <v>0.01</v>
          </cell>
          <cell r="S20">
            <v>-127.99704750000001</v>
          </cell>
          <cell r="T20">
            <v>0.01</v>
          </cell>
          <cell r="U20">
            <v>-3.1464110650661237E-2</v>
          </cell>
          <cell r="V20">
            <v>-3.5448098677703932E-3</v>
          </cell>
        </row>
        <row r="21">
          <cell r="A21" t="str">
            <v>Amortization from UL acquisition</v>
          </cell>
          <cell r="B21">
            <v>0</v>
          </cell>
          <cell r="C21">
            <v>-8.75</v>
          </cell>
          <cell r="D21" t="str">
            <v>NM</v>
          </cell>
          <cell r="E21">
            <v>-15</v>
          </cell>
          <cell r="F21" t="str">
            <v>NM</v>
          </cell>
          <cell r="G21">
            <v>0</v>
          </cell>
          <cell r="H21" t="str">
            <v>NM</v>
          </cell>
          <cell r="I21">
            <v>0</v>
          </cell>
          <cell r="J21" t="str">
            <v>NM</v>
          </cell>
          <cell r="K21">
            <v>0</v>
          </cell>
          <cell r="L21" t="str">
            <v>NM</v>
          </cell>
          <cell r="M21">
            <v>0</v>
          </cell>
          <cell r="N21" t="str">
            <v>NM</v>
          </cell>
          <cell r="O21">
            <v>0</v>
          </cell>
          <cell r="P21" t="str">
            <v>NM</v>
          </cell>
          <cell r="Q21">
            <v>0</v>
          </cell>
          <cell r="R21" t="str">
            <v>NM</v>
          </cell>
          <cell r="S21">
            <v>0</v>
          </cell>
          <cell r="T21" t="str">
            <v>NM</v>
          </cell>
          <cell r="U21" t="str">
            <v>NM</v>
          </cell>
        </row>
        <row r="22">
          <cell r="O22">
            <v>0</v>
          </cell>
          <cell r="Q22">
            <v>0</v>
          </cell>
          <cell r="S22">
            <v>0</v>
          </cell>
        </row>
        <row r="23">
          <cell r="A23" t="str">
            <v>Total operating profit</v>
          </cell>
          <cell r="B23">
            <v>1265.0999999999999</v>
          </cell>
          <cell r="C23">
            <v>1208.8</v>
          </cell>
          <cell r="D23">
            <v>-4.4502410876610513E-2</v>
          </cell>
          <cell r="E23">
            <v>1004</v>
          </cell>
          <cell r="F23">
            <v>-0.16942422236929183</v>
          </cell>
          <cell r="G23">
            <v>1105</v>
          </cell>
          <cell r="H23">
            <v>0.10059760956175298</v>
          </cell>
          <cell r="I23">
            <v>1122</v>
          </cell>
          <cell r="J23">
            <v>1.5384615384615385E-2</v>
          </cell>
          <cell r="K23">
            <v>1167</v>
          </cell>
          <cell r="L23">
            <v>4.0106951871657755E-2</v>
          </cell>
          <cell r="M23">
            <v>1205</v>
          </cell>
          <cell r="N23">
            <v>3.2562125107112254E-2</v>
          </cell>
          <cell r="O23">
            <v>1254.5644716091374</v>
          </cell>
          <cell r="P23">
            <v>4.1132341584346387E-2</v>
          </cell>
          <cell r="Q23">
            <v>1358.3580798347084</v>
          </cell>
          <cell r="R23">
            <v>8.2732781434853325E-2</v>
          </cell>
          <cell r="S23">
            <v>1398.2545404577454</v>
          </cell>
          <cell r="T23">
            <v>2.9371092361663426E-2</v>
          </cell>
          <cell r="U23">
            <v>-6.2951477913042453E-4</v>
          </cell>
          <cell r="V23">
            <v>4.2150397402000772E-2</v>
          </cell>
        </row>
        <row r="25">
          <cell r="U25" t="str">
            <v>6-Year</v>
          </cell>
          <cell r="V25" t="str">
            <v>6-Year</v>
          </cell>
        </row>
        <row r="26">
          <cell r="A26" t="str">
            <v>Profit Margins</v>
          </cell>
          <cell r="B26">
            <v>2000</v>
          </cell>
          <cell r="C26">
            <v>2001</v>
          </cell>
          <cell r="E26">
            <v>2002</v>
          </cell>
          <cell r="G26">
            <v>2003</v>
          </cell>
          <cell r="I26">
            <v>2004</v>
          </cell>
          <cell r="K26">
            <v>2005</v>
          </cell>
          <cell r="M26">
            <v>2006</v>
          </cell>
          <cell r="O26" t="str">
            <v>2007E</v>
          </cell>
          <cell r="Q26" t="str">
            <v>2008E</v>
          </cell>
          <cell r="S26" t="str">
            <v>2009E</v>
          </cell>
          <cell r="U26" t="str">
            <v>Average</v>
          </cell>
          <cell r="V26" t="str">
            <v>Average</v>
          </cell>
        </row>
        <row r="27">
          <cell r="A27" t="str">
            <v>US Soup, Sauces and Beverages</v>
          </cell>
          <cell r="B27">
            <v>0.31552999178307312</v>
          </cell>
          <cell r="C27">
            <v>0.30568720379146919</v>
          </cell>
          <cell r="E27">
            <v>0.24722662440570523</v>
          </cell>
          <cell r="G27">
            <v>0.26222826086956524</v>
          </cell>
          <cell r="I27">
            <v>0.24349566377585058</v>
          </cell>
          <cell r="K27">
            <v>0.2395093608779858</v>
          </cell>
          <cell r="M27">
            <v>0.24777402517654282</v>
          </cell>
          <cell r="O27">
            <v>0.25716757041113664</v>
          </cell>
          <cell r="P27">
            <v>0.64103799511033521</v>
          </cell>
          <cell r="Q27">
            <v>0.26586405829943599</v>
          </cell>
          <cell r="S27">
            <v>0.26302473340497595</v>
          </cell>
          <cell r="U27">
            <v>0.25765352314951978</v>
          </cell>
          <cell r="V27">
            <v>0.25267315656841954</v>
          </cell>
        </row>
        <row r="28">
          <cell r="A28" t="str">
            <v xml:space="preserve">Other </v>
          </cell>
          <cell r="B28">
            <v>0.26730103806228372</v>
          </cell>
          <cell r="C28">
            <v>0.2540913006029285</v>
          </cell>
          <cell r="E28">
            <v>0.19966159052453469</v>
          </cell>
          <cell r="G28">
            <v>0.1152073732718894</v>
          </cell>
          <cell r="I28">
            <v>0.11184939091915837</v>
          </cell>
          <cell r="K28">
            <v>0.1044776119402985</v>
          </cell>
          <cell r="M28">
            <v>0.1014760147601476</v>
          </cell>
          <cell r="O28">
            <v>9.6682401257055059E-2</v>
          </cell>
          <cell r="P28">
            <v>7.7759648294714948E-2</v>
          </cell>
          <cell r="Q28">
            <v>9.9012097672887697E-2</v>
          </cell>
          <cell r="S28">
            <v>9.8532387897340742E-2</v>
          </cell>
          <cell r="U28">
            <v>0.14779388033649282</v>
          </cell>
          <cell r="V28">
            <v>0.10478414830357276</v>
          </cell>
        </row>
        <row r="29">
          <cell r="A29" t="str">
            <v>Baking and Snacking</v>
          </cell>
          <cell r="B29">
            <v>0.14809489575844717</v>
          </cell>
          <cell r="C29">
            <v>0.14661134163208853</v>
          </cell>
          <cell r="E29">
            <v>0.12939615129396151</v>
          </cell>
          <cell r="G29">
            <v>0.11274509803921569</v>
          </cell>
          <cell r="I29">
            <v>0.10291382517048978</v>
          </cell>
          <cell r="K29">
            <v>0.10907003444316878</v>
          </cell>
          <cell r="M29">
            <v>0.10417859187178019</v>
          </cell>
          <cell r="O29">
            <v>0.12753942321352463</v>
          </cell>
          <cell r="P29">
            <v>0.17391139588609122</v>
          </cell>
          <cell r="Q29">
            <v>0.13589058429057777</v>
          </cell>
          <cell r="S29">
            <v>0.13930756223212035</v>
          </cell>
          <cell r="U29">
            <v>0.11748584040845074</v>
          </cell>
          <cell r="V29">
            <v>0.11538959283812615</v>
          </cell>
        </row>
        <row r="30">
          <cell r="A30" t="str">
            <v>International Soups and Sauces</v>
          </cell>
          <cell r="B30">
            <v>0.10289389067524116</v>
          </cell>
          <cell r="C30">
            <v>8.0696202531645569E-2</v>
          </cell>
          <cell r="E30">
            <v>0.1</v>
          </cell>
          <cell r="G30">
            <v>0.13977746870653684</v>
          </cell>
          <cell r="I30">
            <v>0.12852664576802508</v>
          </cell>
          <cell r="K30">
            <v>0.12742219612448621</v>
          </cell>
          <cell r="M30">
            <v>0.13245448838669177</v>
          </cell>
          <cell r="O30">
            <v>0.10979259259259259</v>
          </cell>
          <cell r="P30">
            <v>0.10729096070885874</v>
          </cell>
          <cell r="Q30">
            <v>0.11392571142571141</v>
          </cell>
          <cell r="S30">
            <v>0.11348413890080555</v>
          </cell>
          <cell r="U30">
            <v>0.11814616691956425</v>
          </cell>
          <cell r="V30">
            <v>0.12531651716734063</v>
          </cell>
        </row>
        <row r="31">
          <cell r="A31" t="str">
            <v>Corporate expenses</v>
          </cell>
          <cell r="B31">
            <v>1.4557412015641662E-2</v>
          </cell>
          <cell r="C31">
            <v>2.1348119909894301E-2</v>
          </cell>
          <cell r="E31">
            <v>2.3316484591553888E-2</v>
          </cell>
          <cell r="G31">
            <v>1.9317160826594789E-2</v>
          </cell>
          <cell r="I31">
            <v>1.1253340835560557E-2</v>
          </cell>
          <cell r="K31">
            <v>1.1526232114467409E-2</v>
          </cell>
          <cell r="M31">
            <v>1.3670095039708372E-2</v>
          </cell>
          <cell r="O31">
            <v>1.6161159507649753E-2</v>
          </cell>
          <cell r="Q31">
            <v>1.5750084082768994E-2</v>
          </cell>
          <cell r="S31">
            <v>1.5420566809119726E-2</v>
          </cell>
          <cell r="U31">
            <v>1.6738572219629884E-2</v>
          </cell>
          <cell r="V31">
            <v>1.4613012067791644E-2</v>
          </cell>
        </row>
        <row r="32">
          <cell r="A32" t="str">
            <v>Total profit margin</v>
          </cell>
          <cell r="B32">
            <v>0.22486669036615711</v>
          </cell>
          <cell r="C32">
            <v>0.20946109859643042</v>
          </cell>
          <cell r="E32">
            <v>0.16370454916028046</v>
          </cell>
          <cell r="G32">
            <v>0.16546870320455226</v>
          </cell>
          <cell r="I32">
            <v>0.1578281052187368</v>
          </cell>
          <cell r="K32">
            <v>0.15461049284578696</v>
          </cell>
          <cell r="M32">
            <v>0.15688061450331989</v>
          </cell>
          <cell r="O32">
            <v>0.16158769905005457</v>
          </cell>
          <cell r="Q32">
            <v>0.16881792927000405</v>
          </cell>
          <cell r="S32">
            <v>0.16845605409205758</v>
          </cell>
          <cell r="U32">
            <v>0.16799226058818448</v>
          </cell>
          <cell r="V32">
            <v>0.16086559068207576</v>
          </cell>
        </row>
        <row r="33">
          <cell r="A33" t="str">
            <v>E = Morgan Stanley Research Estimate</v>
          </cell>
        </row>
        <row r="36">
          <cell r="A36" t="str">
            <v>Y-O-Y % Change</v>
          </cell>
          <cell r="B36" t="str">
            <v>2000E</v>
          </cell>
          <cell r="C36">
            <v>2001</v>
          </cell>
          <cell r="E36">
            <v>2002</v>
          </cell>
          <cell r="G36">
            <v>2003</v>
          </cell>
          <cell r="I36">
            <v>2004</v>
          </cell>
          <cell r="K36">
            <v>2005</v>
          </cell>
          <cell r="M36">
            <v>2006</v>
          </cell>
          <cell r="O36" t="str">
            <v>2007E</v>
          </cell>
          <cell r="Q36" t="str">
            <v>2008E</v>
          </cell>
          <cell r="S36" t="str">
            <v>2009E</v>
          </cell>
        </row>
        <row r="37">
          <cell r="A37" t="str">
            <v>Sales:</v>
          </cell>
        </row>
        <row r="38">
          <cell r="A38" t="str">
            <v>US Soup, Sauces and Beverages</v>
          </cell>
          <cell r="C38">
            <v>4.0262941659819231E-2</v>
          </cell>
          <cell r="E38">
            <v>-3.1595576619273301E-3</v>
          </cell>
          <cell r="G38">
            <v>0.1664025356576862</v>
          </cell>
          <cell r="I38">
            <v>1.8342391304347828E-2</v>
          </cell>
          <cell r="K38">
            <v>3.3355570380253503E-2</v>
          </cell>
          <cell r="M38">
            <v>5.1323434473854096E-2</v>
          </cell>
          <cell r="O38">
            <v>6.2229045133557044E-2</v>
          </cell>
          <cell r="Q38">
            <v>3.4999999999999913E-2</v>
          </cell>
          <cell r="S38">
            <v>3.0000000000000061E-2</v>
          </cell>
        </row>
        <row r="39">
          <cell r="A39" t="str">
            <v xml:space="preserve">Other </v>
          </cell>
          <cell r="C39">
            <v>4.3252595155709346E-3</v>
          </cell>
          <cell r="E39">
            <v>1.8087855297157621E-2</v>
          </cell>
          <cell r="G39">
            <v>-0.26565143824027071</v>
          </cell>
          <cell r="I39">
            <v>4.0322580645161289E-2</v>
          </cell>
          <cell r="K39">
            <v>0.11295681063122924</v>
          </cell>
          <cell r="M39">
            <v>7.8606965174129351E-2</v>
          </cell>
          <cell r="O39">
            <v>3.7052583025830435E-2</v>
          </cell>
          <cell r="Q39">
            <v>3.7500000000000186E-2</v>
          </cell>
          <cell r="S39">
            <v>3.200000000000007E-2</v>
          </cell>
        </row>
        <row r="40">
          <cell r="A40" t="str">
            <v>Baking and Snacking</v>
          </cell>
          <cell r="C40">
            <v>3.9539899352983465E-2</v>
          </cell>
          <cell r="E40">
            <v>4.2185338865836794E-2</v>
          </cell>
          <cell r="G40">
            <v>-5.2422030524220307E-2</v>
          </cell>
          <cell r="I40">
            <v>0.12955182072829133</v>
          </cell>
          <cell r="K40">
            <v>7.9975201487910721E-2</v>
          </cell>
          <cell r="M40">
            <v>2.8702640642939152E-3</v>
          </cell>
          <cell r="O40">
            <v>4.7590154550658459E-2</v>
          </cell>
          <cell r="Q40">
            <v>3.8499999999999972E-2</v>
          </cell>
          <cell r="S40">
            <v>3.4000000000000037E-2</v>
          </cell>
        </row>
        <row r="41">
          <cell r="A41" t="str">
            <v>International Soups and Sauces</v>
          </cell>
          <cell r="C41">
            <v>1.607717041800643E-2</v>
          </cell>
          <cell r="E41">
            <v>0.45569620253164556</v>
          </cell>
          <cell r="G41">
            <v>0.56304347826086953</v>
          </cell>
          <cell r="I41">
            <v>0.10917941585535466</v>
          </cell>
          <cell r="K41">
            <v>6.77115987460815E-2</v>
          </cell>
          <cell r="M41">
            <v>-6.4591896652965358E-2</v>
          </cell>
          <cell r="O41">
            <v>-0.15254237288135594</v>
          </cell>
          <cell r="Q41">
            <v>3.6000000000000101E-2</v>
          </cell>
          <cell r="S41">
            <v>3.2000000000000042E-2</v>
          </cell>
        </row>
        <row r="42">
          <cell r="A42" t="str">
            <v>Other</v>
          </cell>
          <cell r="C42" t="str">
            <v>NM</v>
          </cell>
          <cell r="E42" t="str">
            <v>NM</v>
          </cell>
          <cell r="G42" t="str">
            <v>NM</v>
          </cell>
          <cell r="I42" t="str">
            <v>NM</v>
          </cell>
          <cell r="K42" t="str">
            <v>NM</v>
          </cell>
          <cell r="M42" t="str">
            <v>NM</v>
          </cell>
          <cell r="O42" t="str">
            <v>NM</v>
          </cell>
          <cell r="Q42" t="str">
            <v>NM</v>
          </cell>
          <cell r="S42" t="str">
            <v>NM</v>
          </cell>
        </row>
        <row r="44">
          <cell r="A44" t="str">
            <v>Total sales</v>
          </cell>
          <cell r="C44">
            <v>2.5773195876288658E-2</v>
          </cell>
          <cell r="E44">
            <v>6.2727430254721883E-2</v>
          </cell>
          <cell r="G44">
            <v>8.8863525191586495E-2</v>
          </cell>
          <cell r="I44">
            <v>6.4540281521413598E-2</v>
          </cell>
          <cell r="K44">
            <v>6.1752707835138559E-2</v>
          </cell>
          <cell r="M44">
            <v>1.7620561738208796E-2</v>
          </cell>
          <cell r="O44">
            <v>1.0803931779715666E-2</v>
          </cell>
          <cell r="Q44">
            <v>3.6360886516395893E-2</v>
          </cell>
          <cell r="S44">
            <v>3.1582374403315461E-2</v>
          </cell>
        </row>
        <row r="46">
          <cell r="A46" t="str">
            <v>Operating Profit:</v>
          </cell>
        </row>
        <row r="47">
          <cell r="A47" t="str">
            <v>US Soup, Sauces and Beverages</v>
          </cell>
          <cell r="C47">
            <v>7.8125E-3</v>
          </cell>
          <cell r="E47">
            <v>-0.19379844961240311</v>
          </cell>
          <cell r="G47">
            <v>0.23717948717948717</v>
          </cell>
          <cell r="I47">
            <v>-5.4404145077720206E-2</v>
          </cell>
          <cell r="K47">
            <v>1.643835616438356E-2</v>
          </cell>
          <cell r="M47">
            <v>8.7601078167115903E-2</v>
          </cell>
          <cell r="O47">
            <v>0.10249999999999997</v>
          </cell>
          <cell r="Q47">
            <v>7.0000000000000104E-2</v>
          </cell>
          <cell r="S47">
            <v>1.8999999999999947E-2</v>
          </cell>
        </row>
        <row r="48">
          <cell r="A48" t="str">
            <v xml:space="preserve">Other </v>
          </cell>
          <cell r="C48">
            <v>-4.5307443365695796E-2</v>
          </cell>
          <cell r="E48">
            <v>-0.2</v>
          </cell>
          <cell r="G48">
            <v>-0.57627118644067798</v>
          </cell>
          <cell r="I48">
            <v>0.01</v>
          </cell>
          <cell r="K48">
            <v>3.9603960396039604E-2</v>
          </cell>
          <cell r="M48">
            <v>4.7619047619047616E-2</v>
          </cell>
          <cell r="O48">
            <v>-1.1936621735115305E-2</v>
          </cell>
          <cell r="Q48">
            <v>6.2500000000000014E-2</v>
          </cell>
          <cell r="S48">
            <v>2.6999999999999892E-2</v>
          </cell>
        </row>
        <row r="49">
          <cell r="A49" t="str">
            <v>Baking and Snacking</v>
          </cell>
          <cell r="C49">
            <v>2.9126213592233011E-2</v>
          </cell>
          <cell r="E49">
            <v>-8.0188679245283015E-2</v>
          </cell>
          <cell r="G49">
            <v>-0.17435897435897435</v>
          </cell>
          <cell r="I49">
            <v>3.1055900621118012E-2</v>
          </cell>
          <cell r="K49">
            <v>0.14457831325301204</v>
          </cell>
          <cell r="M49">
            <v>-4.2105263157894736E-2</v>
          </cell>
          <cell r="O49">
            <v>0.28249999999999997</v>
          </cell>
          <cell r="Q49">
            <v>0.10650000000000015</v>
          </cell>
          <cell r="S49">
            <v>5.9999999999999956E-2</v>
          </cell>
        </row>
        <row r="50">
          <cell r="A50" t="str">
            <v>International Soups and Sauces</v>
          </cell>
          <cell r="C50" t="str">
            <v>NM</v>
          </cell>
          <cell r="E50">
            <v>0.80392156862745101</v>
          </cell>
          <cell r="G50">
            <v>1.1847826086956521</v>
          </cell>
          <cell r="I50">
            <v>1.9900497512437811E-2</v>
          </cell>
          <cell r="K50">
            <v>5.8536585365853662E-2</v>
          </cell>
          <cell r="M50">
            <v>-2.7649769585253458E-2</v>
          </cell>
          <cell r="O50">
            <v>-0.29753554502369667</v>
          </cell>
          <cell r="Q50">
            <v>7.5000000000000011E-2</v>
          </cell>
          <cell r="S50">
            <v>2.7999999999999994E-2</v>
          </cell>
        </row>
        <row r="51">
          <cell r="A51" t="str">
            <v>Corporate expenses</v>
          </cell>
          <cell r="C51">
            <v>0.50427350427350448</v>
          </cell>
          <cell r="E51">
            <v>0.1607142857142857</v>
          </cell>
          <cell r="G51">
            <v>-9.7902097902097904E-2</v>
          </cell>
          <cell r="I51">
            <v>-0.37984496124031009</v>
          </cell>
          <cell r="K51">
            <v>8.7499999999999994E-2</v>
          </cell>
          <cell r="M51">
            <v>0.20689655172413793</v>
          </cell>
          <cell r="O51">
            <v>0.19500000000000009</v>
          </cell>
          <cell r="Q51">
            <v>1.0000000000000011E-2</v>
          </cell>
          <cell r="S51">
            <v>9.9999999999999829E-3</v>
          </cell>
        </row>
        <row r="53">
          <cell r="A53" t="str">
            <v>Total operating profit</v>
          </cell>
          <cell r="C53">
            <v>-4.4502410876610513E-2</v>
          </cell>
          <cell r="E53">
            <v>-0.16942422236929183</v>
          </cell>
          <cell r="G53">
            <v>0.10059760956175298</v>
          </cell>
          <cell r="I53">
            <v>1.5384615384615385E-2</v>
          </cell>
          <cell r="K53">
            <v>4.0106951871657755E-2</v>
          </cell>
          <cell r="M53">
            <v>3.2562125107112254E-2</v>
          </cell>
          <cell r="O53">
            <v>4.1132341584346387E-2</v>
          </cell>
          <cell r="Q53">
            <v>8.2732781434853325E-2</v>
          </cell>
          <cell r="S53">
            <v>2.9371092361663426E-2</v>
          </cell>
        </row>
        <row r="55">
          <cell r="A55" t="str">
            <v>Sales Composition (% of total)</v>
          </cell>
        </row>
        <row r="56">
          <cell r="B56" t="str">
            <v>2000E</v>
          </cell>
          <cell r="C56">
            <v>2001</v>
          </cell>
          <cell r="E56">
            <v>2002</v>
          </cell>
          <cell r="G56">
            <v>2003</v>
          </cell>
          <cell r="I56">
            <v>2004</v>
          </cell>
          <cell r="K56">
            <v>2005</v>
          </cell>
          <cell r="M56">
            <v>2006</v>
          </cell>
          <cell r="O56" t="str">
            <v>2007E</v>
          </cell>
          <cell r="Q56" t="str">
            <v>2008E</v>
          </cell>
          <cell r="S56" t="str">
            <v>2009E</v>
          </cell>
        </row>
        <row r="58">
          <cell r="A58" t="str">
            <v>US Soup, Sauces and Beverages</v>
          </cell>
          <cell r="B58">
            <v>0.43263419836473516</v>
          </cell>
          <cell r="C58">
            <v>0.43874545139490556</v>
          </cell>
          <cell r="E58">
            <v>0.41154410565791621</v>
          </cell>
          <cell r="G58">
            <v>0.44085055405810125</v>
          </cell>
          <cell r="I58">
            <v>0.42171894781263186</v>
          </cell>
          <cell r="K58">
            <v>0.41043985161632218</v>
          </cell>
          <cell r="M58">
            <v>0.42403332899362062</v>
          </cell>
          <cell r="O58">
            <v>0.44560621897131397</v>
          </cell>
          <cell r="Q58">
            <v>0.4450210758007157</v>
          </cell>
          <cell r="S58">
            <v>0.44433844494470648</v>
          </cell>
        </row>
        <row r="59">
          <cell r="A59" t="str">
            <v xml:space="preserve">Other </v>
          </cell>
          <cell r="B59">
            <v>0.20547458229648063</v>
          </cell>
          <cell r="C59">
            <v>0.20117830531970196</v>
          </cell>
          <cell r="E59">
            <v>0.19272786564487202</v>
          </cell>
          <cell r="G59">
            <v>0.12997903563941299</v>
          </cell>
          <cell r="I59">
            <v>0.12702208468138979</v>
          </cell>
          <cell r="K59">
            <v>0.13314785373608903</v>
          </cell>
          <cell r="M59">
            <v>0.14112745736232263</v>
          </cell>
          <cell r="O59">
            <v>0.14479226840340376</v>
          </cell>
          <cell r="Q59">
            <v>0.14495141646408982</v>
          </cell>
          <cell r="S59">
            <v>0.14501009856577474</v>
          </cell>
        </row>
        <row r="60">
          <cell r="A60" t="str">
            <v>Baking and Snacking</v>
          </cell>
          <cell r="B60">
            <v>0.24724493423391397</v>
          </cell>
          <cell r="C60">
            <v>0.25056316063073991</v>
          </cell>
          <cell r="E60">
            <v>0.24571987608022175</v>
          </cell>
          <cell r="G60">
            <v>0.21383647798742139</v>
          </cell>
          <cell r="I60">
            <v>0.22689548459698974</v>
          </cell>
          <cell r="K60">
            <v>0.23078961314255431</v>
          </cell>
          <cell r="M60">
            <v>0.22744434318448117</v>
          </cell>
          <cell r="O60">
            <v>0.2357217331048426</v>
          </cell>
          <cell r="Q60">
            <v>0.23620827745847794</v>
          </cell>
          <cell r="S60">
            <v>0.23676185727129967</v>
          </cell>
        </row>
        <row r="61">
          <cell r="A61" t="str">
            <v>International Soups and Sauces</v>
          </cell>
          <cell r="B61">
            <v>0.11055812300035549</v>
          </cell>
          <cell r="C61">
            <v>0.10951308265465258</v>
          </cell>
          <cell r="E61">
            <v>0.15000815261699005</v>
          </cell>
          <cell r="G61">
            <v>0.2153339323150644</v>
          </cell>
          <cell r="I61">
            <v>0.22436348290898861</v>
          </cell>
          <cell r="K61">
            <v>0.22562268150503445</v>
          </cell>
          <cell r="M61">
            <v>0.20739487045957558</v>
          </cell>
          <cell r="O61">
            <v>0.17387977952043965</v>
          </cell>
          <cell r="Q61">
            <v>0.17381923027671653</v>
          </cell>
          <cell r="S61">
            <v>0.1738895992182192</v>
          </cell>
        </row>
        <row r="62">
          <cell r="A62" t="str">
            <v>Other</v>
          </cell>
          <cell r="B62">
            <v>4.088162104514753E-3</v>
          </cell>
          <cell r="C62">
            <v>0</v>
          </cell>
          <cell r="E62">
            <v>0</v>
          </cell>
          <cell r="G62">
            <v>0</v>
          </cell>
          <cell r="I62">
            <v>0</v>
          </cell>
          <cell r="K62">
            <v>0</v>
          </cell>
          <cell r="M62">
            <v>0</v>
          </cell>
          <cell r="O62">
            <v>0</v>
          </cell>
          <cell r="Q62">
            <v>0</v>
          </cell>
          <cell r="S62">
            <v>0</v>
          </cell>
        </row>
        <row r="64">
          <cell r="A64" t="str">
            <v>Total</v>
          </cell>
          <cell r="B64">
            <v>1</v>
          </cell>
          <cell r="C64">
            <v>1</v>
          </cell>
          <cell r="E64">
            <v>1</v>
          </cell>
          <cell r="G64">
            <v>1</v>
          </cell>
          <cell r="I64">
            <v>1</v>
          </cell>
          <cell r="K64">
            <v>1</v>
          </cell>
          <cell r="M64">
            <v>1</v>
          </cell>
          <cell r="O64">
            <v>1</v>
          </cell>
          <cell r="Q64">
            <v>1</v>
          </cell>
          <cell r="S64">
            <v>1</v>
          </cell>
        </row>
        <row r="66">
          <cell r="A66" t="str">
            <v>Profit Composition (% of total)</v>
          </cell>
        </row>
        <row r="67">
          <cell r="B67" t="str">
            <v>2000E</v>
          </cell>
          <cell r="C67">
            <v>2001</v>
          </cell>
          <cell r="E67">
            <v>2002</v>
          </cell>
          <cell r="G67">
            <v>2003</v>
          </cell>
          <cell r="I67">
            <v>2004</v>
          </cell>
          <cell r="K67">
            <v>2005</v>
          </cell>
          <cell r="M67">
            <v>2006</v>
          </cell>
          <cell r="O67" t="str">
            <v>2007E</v>
          </cell>
          <cell r="Q67" t="str">
            <v>2008E</v>
          </cell>
          <cell r="S67" t="str">
            <v>2009E</v>
          </cell>
        </row>
        <row r="68">
          <cell r="A68" t="str">
            <v>US Soup, Sauces and Beverages</v>
          </cell>
          <cell r="B68">
            <v>0.6070666350486128</v>
          </cell>
          <cell r="C68">
            <v>0.64030443414956983</v>
          </cell>
          <cell r="E68">
            <v>0.62151394422310757</v>
          </cell>
          <cell r="G68">
            <v>0.69864253393665154</v>
          </cell>
          <cell r="I68">
            <v>0.65062388591800357</v>
          </cell>
          <cell r="K68">
            <v>0.63581833761782347</v>
          </cell>
          <cell r="M68">
            <v>0.66970954356846468</v>
          </cell>
          <cell r="O68">
            <v>0.70918435850397143</v>
          </cell>
          <cell r="Q68">
            <v>0.70084445267616313</v>
          </cell>
          <cell r="S68">
            <v>0.69378332321196956</v>
          </cell>
        </row>
        <row r="69">
          <cell r="A69" t="str">
            <v xml:space="preserve">Other </v>
          </cell>
          <cell r="B69">
            <v>0.24424946644534032</v>
          </cell>
          <cell r="C69">
            <v>0.2440436796823296</v>
          </cell>
          <cell r="E69">
            <v>0.23505976095617531</v>
          </cell>
          <cell r="G69">
            <v>9.0497737556561084E-2</v>
          </cell>
          <cell r="I69">
            <v>9.0017825311942953E-2</v>
          </cell>
          <cell r="K69">
            <v>8.9974293059125965E-2</v>
          </cell>
          <cell r="M69">
            <v>9.1286307053941904E-2</v>
          </cell>
          <cell r="O69">
            <v>8.663322935467202E-2</v>
          </cell>
          <cell r="Q69">
            <v>8.5014333885186269E-2</v>
          </cell>
          <cell r="S69">
            <v>8.4818508648590002E-2</v>
          </cell>
        </row>
        <row r="70">
          <cell r="A70" t="str">
            <v>Baking and Snacking</v>
          </cell>
          <cell r="B70">
            <v>0.16283297763022686</v>
          </cell>
          <cell r="C70">
            <v>0.17538054268696229</v>
          </cell>
          <cell r="E70">
            <v>0.19422310756972111</v>
          </cell>
          <cell r="G70">
            <v>0.14570135746606336</v>
          </cell>
          <cell r="I70">
            <v>0.14795008912655971</v>
          </cell>
          <cell r="K70">
            <v>0.16281062553556128</v>
          </cell>
          <cell r="M70">
            <v>0.15103734439834024</v>
          </cell>
          <cell r="O70">
            <v>0.1860526144986521</v>
          </cell>
          <cell r="Q70">
            <v>0.19013668143485996</v>
          </cell>
          <cell r="S70">
            <v>0.19579419299462894</v>
          </cell>
        </row>
        <row r="71">
          <cell r="A71" t="str">
            <v>International Soups and Sauces</v>
          </cell>
          <cell r="B71">
            <v>5.0588886254051064E-2</v>
          </cell>
          <cell r="C71">
            <v>4.2190602250165452E-2</v>
          </cell>
          <cell r="E71">
            <v>9.1633466135458169E-2</v>
          </cell>
          <cell r="G71">
            <v>0.18190045248868777</v>
          </cell>
          <cell r="I71">
            <v>0.18270944741532977</v>
          </cell>
          <cell r="K71">
            <v>0.18594687232219365</v>
          </cell>
          <cell r="M71">
            <v>0.17510373443983401</v>
          </cell>
          <cell r="O71">
            <v>0.11814458591345978</v>
          </cell>
          <cell r="Q71">
            <v>0.11730080776593815</v>
          </cell>
          <cell r="S71">
            <v>0.11714456650101605</v>
          </cell>
        </row>
        <row r="72">
          <cell r="A72" t="str">
            <v>Corporate expenses</v>
          </cell>
          <cell r="B72">
            <v>-6.4737965378230969E-2</v>
          </cell>
          <cell r="C72">
            <v>-0.10191925876902715</v>
          </cell>
          <cell r="E72">
            <v>-0.14243027888446216</v>
          </cell>
          <cell r="G72">
            <v>-0.1167420814479638</v>
          </cell>
          <cell r="I72">
            <v>-7.130124777183601E-2</v>
          </cell>
          <cell r="K72">
            <v>-7.4550128534704371E-2</v>
          </cell>
          <cell r="M72">
            <v>-8.7136929460580909E-2</v>
          </cell>
          <cell r="O72">
            <v>-0.10001478827075541</v>
          </cell>
          <cell r="Q72">
            <v>-9.3296275762147413E-2</v>
          </cell>
          <cell r="S72">
            <v>-9.1540591356204515E-2</v>
          </cell>
        </row>
        <row r="74">
          <cell r="A74" t="str">
            <v>Total</v>
          </cell>
          <cell r="B74">
            <v>1</v>
          </cell>
          <cell r="C74">
            <v>1</v>
          </cell>
          <cell r="E74">
            <v>1</v>
          </cell>
          <cell r="G74">
            <v>1</v>
          </cell>
          <cell r="I74">
            <v>1</v>
          </cell>
          <cell r="K74">
            <v>1</v>
          </cell>
          <cell r="M74">
            <v>1</v>
          </cell>
          <cell r="O74">
            <v>1</v>
          </cell>
          <cell r="Q74">
            <v>1</v>
          </cell>
          <cell r="S74">
            <v>1</v>
          </cell>
        </row>
        <row r="76">
          <cell r="A76" t="str">
            <v>Fiscal year ends July 31</v>
          </cell>
        </row>
        <row r="77">
          <cell r="A77" t="str">
            <v>CAGR = Compound Annual Growth Rate</v>
          </cell>
        </row>
        <row r="78">
          <cell r="A78" t="str">
            <v>E = Morgan Stanley Research Estimates</v>
          </cell>
        </row>
      </sheetData>
      <sheetData sheetId="26" refreshError="1">
        <row r="1">
          <cell r="A1" t="str">
            <v>Campbell Soup</v>
          </cell>
        </row>
        <row r="2">
          <cell r="A2" t="str">
            <v>Divisional Quarterly Sales and Profit</v>
          </cell>
        </row>
        <row r="4">
          <cell r="B4" t="str">
            <v>1Q98</v>
          </cell>
          <cell r="C4" t="str">
            <v>2Q98</v>
          </cell>
          <cell r="D4" t="str">
            <v>6 Mos.</v>
          </cell>
          <cell r="E4" t="str">
            <v>3Q98</v>
          </cell>
          <cell r="F4" t="str">
            <v>9 Mos.</v>
          </cell>
          <cell r="G4" t="str">
            <v>4Q98</v>
          </cell>
          <cell r="H4" t="str">
            <v>F1998</v>
          </cell>
          <cell r="I4" t="str">
            <v>1Q99</v>
          </cell>
          <cell r="J4" t="str">
            <v>2Q99</v>
          </cell>
          <cell r="K4" t="str">
            <v>6 Mos.</v>
          </cell>
          <cell r="L4" t="str">
            <v>3Q99</v>
          </cell>
          <cell r="M4" t="str">
            <v>9 Mos.</v>
          </cell>
          <cell r="N4" t="str">
            <v>4Q99</v>
          </cell>
          <cell r="O4" t="str">
            <v>F1999</v>
          </cell>
          <cell r="P4" t="str">
            <v>1Q00</v>
          </cell>
          <cell r="Q4" t="str">
            <v>2Q00</v>
          </cell>
          <cell r="R4" t="str">
            <v>6 Mos.</v>
          </cell>
          <cell r="S4" t="str">
            <v>3Q00</v>
          </cell>
          <cell r="T4" t="str">
            <v>9 Mos.</v>
          </cell>
          <cell r="U4" t="str">
            <v>4Q00</v>
          </cell>
          <cell r="V4" t="str">
            <v>F2000</v>
          </cell>
          <cell r="W4" t="str">
            <v>1Q01</v>
          </cell>
          <cell r="X4" t="str">
            <v>2Q01</v>
          </cell>
          <cell r="Y4" t="str">
            <v>6 Mos.</v>
          </cell>
          <cell r="Z4" t="str">
            <v>3Q01</v>
          </cell>
          <cell r="AA4" t="str">
            <v>9 Mos.</v>
          </cell>
          <cell r="AB4" t="str">
            <v>4Q01</v>
          </cell>
          <cell r="AC4" t="str">
            <v>F2001</v>
          </cell>
          <cell r="AD4" t="str">
            <v>1Q02</v>
          </cell>
          <cell r="AE4" t="str">
            <v>2Q02</v>
          </cell>
          <cell r="AF4" t="str">
            <v>6 Mos.</v>
          </cell>
          <cell r="AG4" t="str">
            <v>3Q02</v>
          </cell>
          <cell r="AH4" t="str">
            <v>9 Mos.</v>
          </cell>
          <cell r="AI4" t="str">
            <v>4Q02</v>
          </cell>
          <cell r="AJ4" t="str">
            <v>F2002</v>
          </cell>
          <cell r="AK4" t="str">
            <v>1Q03</v>
          </cell>
          <cell r="AL4" t="str">
            <v>2Q03</v>
          </cell>
          <cell r="AM4" t="str">
            <v>6 Mos.</v>
          </cell>
          <cell r="AN4" t="str">
            <v>3Q03</v>
          </cell>
          <cell r="AO4" t="str">
            <v>9 Mos.</v>
          </cell>
          <cell r="AP4" t="str">
            <v>4Q03</v>
          </cell>
          <cell r="AQ4" t="str">
            <v>F2003</v>
          </cell>
          <cell r="AR4" t="str">
            <v>1Q04</v>
          </cell>
          <cell r="AS4" t="str">
            <v>2Q04</v>
          </cell>
          <cell r="AT4" t="str">
            <v>6 Mos.</v>
          </cell>
          <cell r="AU4" t="str">
            <v>3Q04</v>
          </cell>
          <cell r="AV4" t="str">
            <v>9 Mos.</v>
          </cell>
          <cell r="AW4" t="str">
            <v>4Q04</v>
          </cell>
          <cell r="AX4" t="str">
            <v>F2004</v>
          </cell>
          <cell r="AY4" t="str">
            <v>1Q05</v>
          </cell>
          <cell r="AZ4" t="str">
            <v>2Q05</v>
          </cell>
          <cell r="BA4" t="str">
            <v>6 Mos.</v>
          </cell>
          <cell r="BB4" t="str">
            <v>3Q05</v>
          </cell>
          <cell r="BC4" t="str">
            <v>9 Mos.</v>
          </cell>
          <cell r="BD4" t="str">
            <v>4Q05</v>
          </cell>
          <cell r="BE4" t="str">
            <v>F2005</v>
          </cell>
          <cell r="BF4" t="str">
            <v>1Q06</v>
          </cell>
          <cell r="BG4" t="str">
            <v>2Q06</v>
          </cell>
          <cell r="BH4" t="str">
            <v>6 Mos.</v>
          </cell>
          <cell r="BI4" t="str">
            <v>3Q06</v>
          </cell>
          <cell r="BJ4" t="str">
            <v>9 Mos.</v>
          </cell>
          <cell r="BK4" t="str">
            <v>4Q06</v>
          </cell>
          <cell r="BL4" t="str">
            <v>F2006</v>
          </cell>
          <cell r="BM4" t="str">
            <v>1Q07</v>
          </cell>
          <cell r="BN4" t="str">
            <v>2Q07</v>
          </cell>
          <cell r="BO4" t="str">
            <v>3Q07</v>
          </cell>
          <cell r="BP4" t="str">
            <v>4Q07</v>
          </cell>
          <cell r="BQ4" t="str">
            <v>F2007</v>
          </cell>
        </row>
        <row r="5">
          <cell r="B5">
            <v>35736</v>
          </cell>
          <cell r="C5">
            <v>35827</v>
          </cell>
          <cell r="E5">
            <v>35918</v>
          </cell>
          <cell r="G5">
            <v>36009</v>
          </cell>
          <cell r="I5">
            <v>36100</v>
          </cell>
          <cell r="J5">
            <v>36191</v>
          </cell>
          <cell r="L5">
            <v>36282</v>
          </cell>
          <cell r="N5">
            <v>36372</v>
          </cell>
          <cell r="P5">
            <v>36464</v>
          </cell>
          <cell r="Q5">
            <v>36556</v>
          </cell>
          <cell r="S5">
            <v>36646</v>
          </cell>
          <cell r="U5">
            <v>36738</v>
          </cell>
          <cell r="W5">
            <v>36464</v>
          </cell>
          <cell r="X5">
            <v>36556</v>
          </cell>
          <cell r="Z5">
            <v>36646</v>
          </cell>
          <cell r="AB5">
            <v>36738</v>
          </cell>
          <cell r="AD5">
            <v>36464</v>
          </cell>
          <cell r="AE5">
            <v>36556</v>
          </cell>
          <cell r="AG5">
            <v>36646</v>
          </cell>
          <cell r="AI5">
            <v>36738</v>
          </cell>
          <cell r="AK5">
            <v>36464</v>
          </cell>
          <cell r="AL5">
            <v>36556</v>
          </cell>
          <cell r="AN5">
            <v>36646</v>
          </cell>
          <cell r="AP5">
            <v>36738</v>
          </cell>
        </row>
        <row r="6">
          <cell r="A6" t="str">
            <v>Sales</v>
          </cell>
        </row>
        <row r="7">
          <cell r="A7" t="str">
            <v xml:space="preserve">   Foodservice/Away FromHome</v>
          </cell>
          <cell r="W7">
            <v>143</v>
          </cell>
          <cell r="X7">
            <v>153.89999999999998</v>
          </cell>
          <cell r="Z7">
            <v>143</v>
          </cell>
          <cell r="AB7">
            <v>1006.1</v>
          </cell>
          <cell r="AC7">
            <v>1446</v>
          </cell>
        </row>
        <row r="8">
          <cell r="A8" t="str">
            <v xml:space="preserve">  NA Soup</v>
          </cell>
          <cell r="W8">
            <v>631</v>
          </cell>
          <cell r="X8">
            <v>698.1</v>
          </cell>
          <cell r="Z8">
            <v>369</v>
          </cell>
          <cell r="AB8">
            <v>-612.1</v>
          </cell>
          <cell r="AC8">
            <v>1086</v>
          </cell>
        </row>
        <row r="9">
          <cell r="A9" t="str">
            <v>US Soup, Sauces and Beverages</v>
          </cell>
          <cell r="W9">
            <v>774</v>
          </cell>
          <cell r="X9">
            <v>852</v>
          </cell>
          <cell r="Z9">
            <v>512</v>
          </cell>
          <cell r="AB9">
            <v>394</v>
          </cell>
          <cell r="AC9">
            <v>2532</v>
          </cell>
          <cell r="AD9">
            <v>806</v>
          </cell>
          <cell r="AE9">
            <v>812</v>
          </cell>
          <cell r="AG9">
            <v>516</v>
          </cell>
          <cell r="AI9">
            <v>390</v>
          </cell>
          <cell r="AJ9">
            <v>2524</v>
          </cell>
          <cell r="AK9">
            <v>835</v>
          </cell>
          <cell r="AL9">
            <v>896</v>
          </cell>
          <cell r="AN9">
            <v>662</v>
          </cell>
          <cell r="AP9">
            <v>551</v>
          </cell>
          <cell r="AQ9">
            <v>2944</v>
          </cell>
          <cell r="AR9">
            <v>900</v>
          </cell>
          <cell r="AS9">
            <v>950</v>
          </cell>
          <cell r="AT9">
            <v>1850</v>
          </cell>
          <cell r="AU9">
            <v>637</v>
          </cell>
          <cell r="AV9">
            <v>2487</v>
          </cell>
          <cell r="AW9">
            <v>511</v>
          </cell>
          <cell r="AX9">
            <v>2998</v>
          </cell>
          <cell r="AY9">
            <v>994</v>
          </cell>
          <cell r="AZ9">
            <v>956</v>
          </cell>
          <cell r="BA9">
            <v>1950</v>
          </cell>
          <cell r="BB9">
            <v>627</v>
          </cell>
          <cell r="BC9">
            <v>2577</v>
          </cell>
          <cell r="BD9">
            <v>521</v>
          </cell>
          <cell r="BE9">
            <v>3098</v>
          </cell>
          <cell r="BF9">
            <v>970</v>
          </cell>
          <cell r="BG9">
            <v>1018</v>
          </cell>
          <cell r="BH9">
            <v>1988</v>
          </cell>
          <cell r="BI9">
            <v>713</v>
          </cell>
          <cell r="BJ9">
            <v>2701</v>
          </cell>
          <cell r="BK9">
            <v>556</v>
          </cell>
          <cell r="BL9">
            <v>3257</v>
          </cell>
          <cell r="BM9">
            <v>1052</v>
          </cell>
          <cell r="BN9">
            <v>1028</v>
          </cell>
          <cell r="BO9">
            <v>807</v>
          </cell>
          <cell r="BP9">
            <v>572.67999999999529</v>
          </cell>
          <cell r="BQ9">
            <v>3459.6799999999953</v>
          </cell>
        </row>
        <row r="10">
          <cell r="A10" t="str">
            <v xml:space="preserve">Other </v>
          </cell>
          <cell r="W10">
            <v>299</v>
          </cell>
          <cell r="X10">
            <v>314</v>
          </cell>
          <cell r="Z10">
            <v>278</v>
          </cell>
          <cell r="AB10">
            <v>270</v>
          </cell>
          <cell r="AC10">
            <v>1161</v>
          </cell>
          <cell r="AD10">
            <v>313</v>
          </cell>
          <cell r="AE10">
            <v>319</v>
          </cell>
          <cell r="AG10">
            <v>276</v>
          </cell>
          <cell r="AI10">
            <v>274</v>
          </cell>
          <cell r="AJ10">
            <v>1182</v>
          </cell>
          <cell r="AK10">
            <v>196</v>
          </cell>
          <cell r="AL10">
            <v>287</v>
          </cell>
          <cell r="AN10">
            <v>217</v>
          </cell>
          <cell r="AP10">
            <v>168</v>
          </cell>
          <cell r="AQ10">
            <v>868</v>
          </cell>
          <cell r="AR10">
            <v>207</v>
          </cell>
          <cell r="AS10">
            <v>296</v>
          </cell>
          <cell r="AT10">
            <v>503</v>
          </cell>
          <cell r="AU10">
            <v>229</v>
          </cell>
          <cell r="AV10">
            <v>732</v>
          </cell>
          <cell r="AW10">
            <v>171</v>
          </cell>
          <cell r="AX10">
            <v>903</v>
          </cell>
          <cell r="AY10">
            <v>232</v>
          </cell>
          <cell r="AZ10">
            <v>332</v>
          </cell>
          <cell r="BA10">
            <v>564</v>
          </cell>
          <cell r="BB10">
            <v>253</v>
          </cell>
          <cell r="BC10">
            <v>817</v>
          </cell>
          <cell r="BD10">
            <v>188</v>
          </cell>
          <cell r="BE10">
            <v>1005</v>
          </cell>
          <cell r="BF10">
            <v>262</v>
          </cell>
          <cell r="BG10">
            <v>351</v>
          </cell>
          <cell r="BH10">
            <v>613</v>
          </cell>
          <cell r="BI10">
            <v>271</v>
          </cell>
          <cell r="BJ10">
            <v>884</v>
          </cell>
          <cell r="BK10">
            <v>200</v>
          </cell>
          <cell r="BL10">
            <v>1084</v>
          </cell>
          <cell r="BM10">
            <v>271</v>
          </cell>
          <cell r="BN10">
            <v>366</v>
          </cell>
          <cell r="BO10">
            <v>280</v>
          </cell>
          <cell r="BP10">
            <v>207.16500000000019</v>
          </cell>
          <cell r="BQ10">
            <v>1124.1650000000002</v>
          </cell>
        </row>
        <row r="11">
          <cell r="A11" t="str">
            <v>Baking and Snacking</v>
          </cell>
          <cell r="W11">
            <v>367</v>
          </cell>
          <cell r="X11">
            <v>425</v>
          </cell>
          <cell r="Z11">
            <v>341</v>
          </cell>
          <cell r="AB11">
            <v>314</v>
          </cell>
          <cell r="AC11">
            <v>1447</v>
          </cell>
          <cell r="AD11">
            <v>379</v>
          </cell>
          <cell r="AE11">
            <v>428</v>
          </cell>
          <cell r="AG11">
            <v>357</v>
          </cell>
          <cell r="AI11">
            <v>343</v>
          </cell>
          <cell r="AJ11">
            <v>1507</v>
          </cell>
          <cell r="AK11">
            <v>341</v>
          </cell>
          <cell r="AL11">
            <v>341</v>
          </cell>
          <cell r="AN11">
            <v>348</v>
          </cell>
          <cell r="AP11">
            <v>398</v>
          </cell>
          <cell r="AQ11">
            <v>1428</v>
          </cell>
          <cell r="AR11">
            <v>416</v>
          </cell>
          <cell r="AS11">
            <v>397</v>
          </cell>
          <cell r="AT11">
            <v>813</v>
          </cell>
          <cell r="AU11">
            <v>389</v>
          </cell>
          <cell r="AV11">
            <v>1202</v>
          </cell>
          <cell r="AW11">
            <v>411</v>
          </cell>
          <cell r="AX11">
            <v>1613</v>
          </cell>
          <cell r="AY11">
            <v>449</v>
          </cell>
          <cell r="AZ11">
            <v>433</v>
          </cell>
          <cell r="BA11">
            <v>882</v>
          </cell>
          <cell r="BB11">
            <v>421</v>
          </cell>
          <cell r="BC11">
            <v>1303</v>
          </cell>
          <cell r="BD11">
            <v>439</v>
          </cell>
          <cell r="BE11">
            <v>1742</v>
          </cell>
          <cell r="BF11">
            <v>458</v>
          </cell>
          <cell r="BG11">
            <v>429</v>
          </cell>
          <cell r="BH11">
            <v>887</v>
          </cell>
          <cell r="BI11">
            <v>422</v>
          </cell>
          <cell r="BJ11">
            <v>1309</v>
          </cell>
          <cell r="BK11">
            <v>438</v>
          </cell>
          <cell r="BL11">
            <v>1747</v>
          </cell>
          <cell r="BM11">
            <v>484</v>
          </cell>
          <cell r="BN11">
            <v>454</v>
          </cell>
          <cell r="BO11">
            <v>441</v>
          </cell>
          <cell r="BP11">
            <v>451.14000000000033</v>
          </cell>
          <cell r="BQ11">
            <v>1830.1400000000003</v>
          </cell>
        </row>
        <row r="12">
          <cell r="A12" t="str">
            <v>International Soups and Sauces</v>
          </cell>
          <cell r="W12">
            <v>141</v>
          </cell>
          <cell r="X12">
            <v>164</v>
          </cell>
          <cell r="Z12">
            <v>140</v>
          </cell>
          <cell r="AB12">
            <v>187</v>
          </cell>
          <cell r="AC12">
            <v>632</v>
          </cell>
          <cell r="AD12">
            <v>231</v>
          </cell>
          <cell r="AE12">
            <v>251</v>
          </cell>
          <cell r="AG12">
            <v>222</v>
          </cell>
          <cell r="AI12">
            <v>216</v>
          </cell>
          <cell r="AJ12">
            <v>920</v>
          </cell>
          <cell r="AK12">
            <v>333</v>
          </cell>
          <cell r="AL12">
            <v>394</v>
          </cell>
          <cell r="AN12">
            <v>373</v>
          </cell>
          <cell r="AP12">
            <v>338</v>
          </cell>
          <cell r="AQ12">
            <v>1438</v>
          </cell>
          <cell r="AR12">
            <v>386</v>
          </cell>
          <cell r="AS12">
            <v>457</v>
          </cell>
          <cell r="AT12">
            <v>843</v>
          </cell>
          <cell r="AU12">
            <v>412</v>
          </cell>
          <cell r="AV12">
            <v>1255</v>
          </cell>
          <cell r="AW12">
            <v>340</v>
          </cell>
          <cell r="AX12">
            <v>1595</v>
          </cell>
          <cell r="AY12">
            <v>416</v>
          </cell>
          <cell r="AZ12">
            <v>502</v>
          </cell>
          <cell r="BA12">
            <v>918</v>
          </cell>
          <cell r="BB12">
            <v>435</v>
          </cell>
          <cell r="BC12">
            <v>1353</v>
          </cell>
          <cell r="BD12">
            <v>350</v>
          </cell>
          <cell r="BE12">
            <v>1703</v>
          </cell>
          <cell r="BF12">
            <v>420</v>
          </cell>
          <cell r="BG12">
            <v>483</v>
          </cell>
          <cell r="BH12">
            <v>903</v>
          </cell>
          <cell r="BI12">
            <v>430</v>
          </cell>
          <cell r="BJ12">
            <v>1333</v>
          </cell>
          <cell r="BK12">
            <v>260</v>
          </cell>
          <cell r="BL12">
            <v>1593</v>
          </cell>
          <cell r="BM12">
            <v>346</v>
          </cell>
          <cell r="BN12">
            <v>404</v>
          </cell>
          <cell r="BO12">
            <v>340</v>
          </cell>
          <cell r="BP12">
            <v>260</v>
          </cell>
          <cell r="BQ12">
            <v>1350</v>
          </cell>
        </row>
        <row r="13">
          <cell r="A13" t="str">
            <v>Soup &amp; Sauces</v>
          </cell>
          <cell r="B13">
            <v>1215</v>
          </cell>
          <cell r="C13">
            <v>1383</v>
          </cell>
          <cell r="D13">
            <v>2598</v>
          </cell>
          <cell r="E13">
            <v>1007.2</v>
          </cell>
          <cell r="F13">
            <v>3605.2</v>
          </cell>
          <cell r="G13">
            <v>821.3</v>
          </cell>
          <cell r="H13">
            <v>4426.5</v>
          </cell>
          <cell r="I13">
            <v>1288.48</v>
          </cell>
          <cell r="J13">
            <v>1278.7</v>
          </cell>
          <cell r="K13">
            <v>2567.1800000000003</v>
          </cell>
          <cell r="L13">
            <v>1010.2</v>
          </cell>
          <cell r="M13">
            <v>3577.38</v>
          </cell>
          <cell r="N13">
            <v>845.2</v>
          </cell>
          <cell r="O13">
            <v>4422.58</v>
          </cell>
          <cell r="P13">
            <v>1286.5999999999999</v>
          </cell>
          <cell r="Q13">
            <v>1384.6</v>
          </cell>
          <cell r="R13">
            <v>2671.2</v>
          </cell>
          <cell r="S13">
            <v>949.9</v>
          </cell>
          <cell r="T13">
            <v>3621.1</v>
          </cell>
          <cell r="U13">
            <v>771.90000000000009</v>
          </cell>
          <cell r="V13">
            <v>4393</v>
          </cell>
          <cell r="W13">
            <v>1293.5</v>
          </cell>
          <cell r="X13">
            <v>1410.1999999999998</v>
          </cell>
          <cell r="Y13">
            <v>2703.7</v>
          </cell>
          <cell r="Z13">
            <v>978.7</v>
          </cell>
          <cell r="AA13">
            <v>3682.3999999999996</v>
          </cell>
          <cell r="AB13">
            <v>-1150.3999999999996</v>
          </cell>
          <cell r="AC13">
            <v>2532</v>
          </cell>
          <cell r="AT13">
            <v>0</v>
          </cell>
          <cell r="AV13">
            <v>0</v>
          </cell>
          <cell r="AW13">
            <v>0</v>
          </cell>
        </row>
        <row r="14">
          <cell r="A14" t="str">
            <v>Biscuits &amp; Confectionary</v>
          </cell>
          <cell r="B14">
            <v>408.3</v>
          </cell>
          <cell r="C14">
            <v>428</v>
          </cell>
          <cell r="D14">
            <v>836.3</v>
          </cell>
          <cell r="E14">
            <v>360.7</v>
          </cell>
          <cell r="F14">
            <v>1197</v>
          </cell>
          <cell r="G14">
            <v>325.39999999999998</v>
          </cell>
          <cell r="H14">
            <v>1522.4</v>
          </cell>
          <cell r="I14">
            <v>362</v>
          </cell>
          <cell r="J14">
            <v>406.7</v>
          </cell>
          <cell r="K14">
            <v>768.7</v>
          </cell>
          <cell r="L14">
            <v>339.7</v>
          </cell>
          <cell r="M14">
            <v>1108.4000000000001</v>
          </cell>
          <cell r="N14">
            <v>320.8</v>
          </cell>
          <cell r="O14">
            <v>1429.2</v>
          </cell>
          <cell r="P14">
            <v>394.59999999999997</v>
          </cell>
          <cell r="Q14">
            <v>439.90000000000003</v>
          </cell>
          <cell r="R14">
            <v>834.5</v>
          </cell>
          <cell r="S14">
            <v>368.1</v>
          </cell>
          <cell r="T14">
            <v>1202.5999999999999</v>
          </cell>
          <cell r="U14">
            <v>339.6</v>
          </cell>
          <cell r="V14">
            <v>1542.1999999999998</v>
          </cell>
          <cell r="W14">
            <v>411.90000000000003</v>
          </cell>
          <cell r="X14">
            <v>462.7</v>
          </cell>
          <cell r="Y14">
            <v>874.6</v>
          </cell>
          <cell r="Z14">
            <v>384.8</v>
          </cell>
          <cell r="AA14">
            <v>1259.4000000000001</v>
          </cell>
          <cell r="AB14">
            <v>-98.400000000000091</v>
          </cell>
          <cell r="AC14">
            <v>1161</v>
          </cell>
          <cell r="AT14">
            <v>0</v>
          </cell>
          <cell r="AV14">
            <v>0</v>
          </cell>
          <cell r="AW14">
            <v>0</v>
          </cell>
        </row>
        <row r="15">
          <cell r="A15" t="str">
            <v>Foodservice/Away From Home</v>
          </cell>
          <cell r="B15">
            <v>107</v>
          </cell>
          <cell r="C15">
            <v>118</v>
          </cell>
          <cell r="D15">
            <v>225</v>
          </cell>
          <cell r="E15">
            <v>114.9</v>
          </cell>
          <cell r="F15">
            <v>339.9</v>
          </cell>
          <cell r="G15">
            <v>113</v>
          </cell>
          <cell r="H15">
            <v>452.9</v>
          </cell>
          <cell r="I15">
            <v>126.5</v>
          </cell>
          <cell r="J15">
            <v>134.9</v>
          </cell>
          <cell r="K15">
            <v>261.39999999999998</v>
          </cell>
          <cell r="L15">
            <v>121.9</v>
          </cell>
          <cell r="M15">
            <v>383.29999999999995</v>
          </cell>
          <cell r="N15">
            <v>124.3</v>
          </cell>
          <cell r="O15">
            <v>507.59999999999997</v>
          </cell>
          <cell r="P15">
            <v>143.1</v>
          </cell>
          <cell r="Q15">
            <v>150.9</v>
          </cell>
          <cell r="R15">
            <v>294</v>
          </cell>
          <cell r="S15">
            <v>139.5</v>
          </cell>
          <cell r="T15">
            <v>433.5</v>
          </cell>
          <cell r="U15">
            <v>131.30000000000001</v>
          </cell>
          <cell r="V15">
            <v>564.79999999999995</v>
          </cell>
          <cell r="W15">
            <v>143</v>
          </cell>
          <cell r="X15">
            <v>153.89999999999998</v>
          </cell>
          <cell r="Y15">
            <v>296.89999999999998</v>
          </cell>
          <cell r="Z15">
            <v>143</v>
          </cell>
          <cell r="AA15">
            <v>439.9</v>
          </cell>
          <cell r="AB15">
            <v>1006.1</v>
          </cell>
          <cell r="AC15">
            <v>1446</v>
          </cell>
          <cell r="AT15">
            <v>0</v>
          </cell>
          <cell r="AV15">
            <v>0</v>
          </cell>
          <cell r="AW15">
            <v>0</v>
          </cell>
        </row>
        <row r="16">
          <cell r="A16" t="str">
            <v>Other Prepared Foods</v>
          </cell>
          <cell r="B16">
            <v>104.43</v>
          </cell>
          <cell r="C16">
            <v>103.43</v>
          </cell>
          <cell r="D16">
            <v>207.86</v>
          </cell>
          <cell r="E16">
            <v>94.4</v>
          </cell>
          <cell r="F16">
            <v>302.26</v>
          </cell>
          <cell r="G16">
            <v>40.9</v>
          </cell>
          <cell r="H16">
            <v>343.15999999999997</v>
          </cell>
          <cell r="I16">
            <v>39.700000000000003</v>
          </cell>
          <cell r="J16">
            <v>35.700000000000003</v>
          </cell>
          <cell r="K16">
            <v>75.400000000000006</v>
          </cell>
          <cell r="L16">
            <v>34.4</v>
          </cell>
          <cell r="M16">
            <v>109.80000000000001</v>
          </cell>
          <cell r="N16">
            <v>16.399999999999999</v>
          </cell>
          <cell r="O16">
            <v>126.20000000000002</v>
          </cell>
          <cell r="P16">
            <v>13</v>
          </cell>
          <cell r="Q16">
            <v>8.6</v>
          </cell>
          <cell r="R16">
            <v>21.6</v>
          </cell>
          <cell r="S16">
            <v>5.4</v>
          </cell>
          <cell r="T16">
            <v>27</v>
          </cell>
          <cell r="U16">
            <v>0.7</v>
          </cell>
          <cell r="V16">
            <v>27.7</v>
          </cell>
          <cell r="W16">
            <v>1.2</v>
          </cell>
          <cell r="X16">
            <v>1.5</v>
          </cell>
          <cell r="Y16">
            <v>2.7</v>
          </cell>
          <cell r="Z16">
            <v>0.8</v>
          </cell>
          <cell r="AA16">
            <v>3.5</v>
          </cell>
          <cell r="AB16">
            <v>628.5</v>
          </cell>
          <cell r="AC16">
            <v>632</v>
          </cell>
          <cell r="AT16">
            <v>0</v>
          </cell>
          <cell r="AV16">
            <v>0</v>
          </cell>
          <cell r="AW16">
            <v>0</v>
          </cell>
        </row>
        <row r="17">
          <cell r="A17" t="str">
            <v>Interdivsion</v>
          </cell>
          <cell r="B17">
            <v>-21.4</v>
          </cell>
          <cell r="C17">
            <v>-20.399999999999999</v>
          </cell>
          <cell r="D17">
            <v>-41.8</v>
          </cell>
          <cell r="E17">
            <v>-5.4</v>
          </cell>
          <cell r="F17">
            <v>-47.199999999999996</v>
          </cell>
          <cell r="G17">
            <v>-1.6</v>
          </cell>
          <cell r="H17">
            <v>-48.8</v>
          </cell>
          <cell r="I17">
            <v>-13</v>
          </cell>
          <cell r="J17">
            <v>-24.1</v>
          </cell>
          <cell r="K17">
            <v>-37.1</v>
          </cell>
          <cell r="L17">
            <v>-14.1</v>
          </cell>
          <cell r="M17">
            <v>-51.2</v>
          </cell>
          <cell r="N17">
            <v>-10.8</v>
          </cell>
          <cell r="O17">
            <v>-62</v>
          </cell>
          <cell r="P17">
            <v>-17.2</v>
          </cell>
          <cell r="Q17">
            <v>-16.5</v>
          </cell>
          <cell r="R17">
            <v>-33.700000000000003</v>
          </cell>
          <cell r="S17">
            <v>-17.3</v>
          </cell>
          <cell r="T17">
            <v>-51</v>
          </cell>
          <cell r="U17">
            <v>-11</v>
          </cell>
          <cell r="V17">
            <v>-62</v>
          </cell>
          <cell r="W17">
            <v>-18.100000000000001</v>
          </cell>
          <cell r="X17">
            <v>-18.3</v>
          </cell>
          <cell r="Y17">
            <v>-36.400000000000006</v>
          </cell>
          <cell r="Z17">
            <v>-14.6</v>
          </cell>
          <cell r="AA17">
            <v>-51.000000000000007</v>
          </cell>
          <cell r="AB17">
            <v>51.000000000000007</v>
          </cell>
          <cell r="AC17">
            <v>0</v>
          </cell>
          <cell r="AI17">
            <v>0</v>
          </cell>
          <cell r="AP17">
            <v>0</v>
          </cell>
          <cell r="AT17">
            <v>0</v>
          </cell>
          <cell r="AV17">
            <v>0</v>
          </cell>
          <cell r="AW17">
            <v>0</v>
          </cell>
        </row>
        <row r="18">
          <cell r="N18" t="str">
            <v xml:space="preserve"> </v>
          </cell>
        </row>
        <row r="19">
          <cell r="A19" t="str">
            <v>Total sales</v>
          </cell>
          <cell r="B19">
            <v>1813.33</v>
          </cell>
          <cell r="C19">
            <v>2012.03</v>
          </cell>
          <cell r="D19">
            <v>3825.3599999999997</v>
          </cell>
          <cell r="E19">
            <v>1571.8000000000002</v>
          </cell>
          <cell r="F19">
            <v>5397.16</v>
          </cell>
          <cell r="G19">
            <v>1299</v>
          </cell>
          <cell r="H19">
            <v>6696.1599999999989</v>
          </cell>
          <cell r="I19">
            <v>1803.68</v>
          </cell>
          <cell r="J19">
            <v>1831.9000000000003</v>
          </cell>
          <cell r="K19">
            <v>3635.5800000000004</v>
          </cell>
          <cell r="L19">
            <v>1492.1000000000004</v>
          </cell>
          <cell r="M19">
            <v>5127.68</v>
          </cell>
          <cell r="N19">
            <v>1295.9000000000001</v>
          </cell>
          <cell r="O19">
            <v>6423.58</v>
          </cell>
          <cell r="P19">
            <v>1820.0999999999997</v>
          </cell>
          <cell r="Q19">
            <v>1967.5</v>
          </cell>
          <cell r="R19">
            <v>3787.5999999999995</v>
          </cell>
          <cell r="S19">
            <v>1445.6000000000001</v>
          </cell>
          <cell r="T19">
            <v>5233.2</v>
          </cell>
          <cell r="U19">
            <v>1232.5</v>
          </cell>
          <cell r="V19">
            <v>6465.7</v>
          </cell>
          <cell r="W19">
            <v>1581</v>
          </cell>
          <cell r="X19">
            <v>1755</v>
          </cell>
          <cell r="Y19">
            <v>3336</v>
          </cell>
          <cell r="Z19">
            <v>1271</v>
          </cell>
          <cell r="AA19">
            <v>4607</v>
          </cell>
          <cell r="AB19">
            <v>1165</v>
          </cell>
          <cell r="AC19">
            <v>5771</v>
          </cell>
          <cell r="AD19">
            <v>1729</v>
          </cell>
          <cell r="AE19">
            <v>1810</v>
          </cell>
          <cell r="AF19">
            <v>3539</v>
          </cell>
          <cell r="AG19">
            <v>1371</v>
          </cell>
          <cell r="AH19">
            <v>4910</v>
          </cell>
          <cell r="AI19">
            <v>1223</v>
          </cell>
          <cell r="AJ19">
            <v>6133</v>
          </cell>
          <cell r="AK19">
            <v>1705</v>
          </cell>
          <cell r="AL19">
            <v>1918</v>
          </cell>
          <cell r="AM19">
            <v>3623</v>
          </cell>
          <cell r="AN19">
            <v>1600</v>
          </cell>
          <cell r="AO19">
            <v>5223</v>
          </cell>
          <cell r="AP19">
            <v>1455</v>
          </cell>
          <cell r="AQ19">
            <v>6678</v>
          </cell>
          <cell r="AR19">
            <v>1909</v>
          </cell>
          <cell r="AS19">
            <v>2100</v>
          </cell>
          <cell r="AT19">
            <v>4009</v>
          </cell>
          <cell r="AU19">
            <v>1667</v>
          </cell>
          <cell r="AV19">
            <v>5676</v>
          </cell>
          <cell r="AW19">
            <v>1433</v>
          </cell>
          <cell r="AX19">
            <v>7109</v>
          </cell>
          <cell r="AY19">
            <v>2091</v>
          </cell>
          <cell r="AZ19">
            <v>2223</v>
          </cell>
          <cell r="BA19">
            <v>4314</v>
          </cell>
          <cell r="BB19">
            <v>1736</v>
          </cell>
          <cell r="BC19">
            <v>6050</v>
          </cell>
          <cell r="BD19">
            <v>1498</v>
          </cell>
          <cell r="BE19">
            <v>7548</v>
          </cell>
          <cell r="BF19">
            <v>2110</v>
          </cell>
          <cell r="BG19">
            <v>2281</v>
          </cell>
          <cell r="BH19">
            <v>4391</v>
          </cell>
          <cell r="BI19">
            <v>1836</v>
          </cell>
          <cell r="BJ19">
            <v>6227</v>
          </cell>
          <cell r="BK19">
            <v>1454</v>
          </cell>
          <cell r="BL19">
            <v>7681</v>
          </cell>
          <cell r="BM19">
            <v>2153</v>
          </cell>
          <cell r="BN19">
            <v>2252</v>
          </cell>
          <cell r="BO19">
            <v>1868</v>
          </cell>
          <cell r="BP19">
            <v>1490.9849999999958</v>
          </cell>
          <cell r="BQ19">
            <v>7763.984999999996</v>
          </cell>
        </row>
        <row r="21">
          <cell r="A21" t="str">
            <v>Operating Profit</v>
          </cell>
        </row>
        <row r="22">
          <cell r="A22" t="str">
            <v>US Soup, Sauces and Beverages</v>
          </cell>
          <cell r="W22">
            <v>258</v>
          </cell>
          <cell r="X22">
            <v>294</v>
          </cell>
          <cell r="Z22">
            <v>132</v>
          </cell>
          <cell r="AB22">
            <v>90</v>
          </cell>
          <cell r="AC22">
            <v>774</v>
          </cell>
          <cell r="AD22">
            <v>232</v>
          </cell>
          <cell r="AE22">
            <v>216</v>
          </cell>
          <cell r="AG22">
            <v>108</v>
          </cell>
          <cell r="AI22">
            <v>68</v>
          </cell>
          <cell r="AJ22">
            <v>624</v>
          </cell>
          <cell r="AK22">
            <v>244</v>
          </cell>
          <cell r="AL22">
            <v>253</v>
          </cell>
          <cell r="AN22">
            <v>168</v>
          </cell>
          <cell r="AP22">
            <v>107</v>
          </cell>
          <cell r="AQ22">
            <v>772</v>
          </cell>
          <cell r="AR22">
            <v>265</v>
          </cell>
          <cell r="AS22">
            <v>246</v>
          </cell>
          <cell r="AT22">
            <v>511</v>
          </cell>
          <cell r="AU22">
            <v>141</v>
          </cell>
          <cell r="AV22">
            <v>652</v>
          </cell>
          <cell r="AW22">
            <v>78</v>
          </cell>
          <cell r="AX22">
            <v>730</v>
          </cell>
          <cell r="AY22">
            <v>274</v>
          </cell>
          <cell r="AZ22">
            <v>215</v>
          </cell>
          <cell r="BA22">
            <v>489</v>
          </cell>
          <cell r="BB22">
            <v>150</v>
          </cell>
          <cell r="BC22">
            <v>639</v>
          </cell>
          <cell r="BD22">
            <v>103</v>
          </cell>
          <cell r="BE22">
            <v>742</v>
          </cell>
          <cell r="BF22">
            <v>280</v>
          </cell>
          <cell r="BG22">
            <v>242</v>
          </cell>
          <cell r="BH22">
            <v>522</v>
          </cell>
          <cell r="BI22">
            <v>171</v>
          </cell>
          <cell r="BJ22">
            <v>693</v>
          </cell>
          <cell r="BK22">
            <v>114</v>
          </cell>
          <cell r="BL22">
            <v>807</v>
          </cell>
          <cell r="BM22">
            <v>322</v>
          </cell>
          <cell r="BN22">
            <v>274</v>
          </cell>
          <cell r="BO22">
            <v>182</v>
          </cell>
          <cell r="BP22">
            <v>111.71749999999997</v>
          </cell>
          <cell r="BQ22">
            <v>889.71749999999997</v>
          </cell>
        </row>
        <row r="23">
          <cell r="A23" t="str">
            <v xml:space="preserve">Other </v>
          </cell>
          <cell r="W23">
            <v>72</v>
          </cell>
          <cell r="X23">
            <v>89</v>
          </cell>
          <cell r="Z23">
            <v>72</v>
          </cell>
          <cell r="AB23">
            <v>62</v>
          </cell>
          <cell r="AC23">
            <v>295</v>
          </cell>
          <cell r="AD23">
            <v>64</v>
          </cell>
          <cell r="AE23">
            <v>65</v>
          </cell>
          <cell r="AG23">
            <v>56</v>
          </cell>
          <cell r="AI23">
            <v>51</v>
          </cell>
          <cell r="AJ23">
            <v>236</v>
          </cell>
          <cell r="AK23">
            <v>22</v>
          </cell>
          <cell r="AL23">
            <v>60</v>
          </cell>
          <cell r="AN23">
            <v>25</v>
          </cell>
          <cell r="AP23">
            <v>-7</v>
          </cell>
          <cell r="AQ23">
            <v>100</v>
          </cell>
          <cell r="AR23">
            <v>22</v>
          </cell>
          <cell r="AS23">
            <v>63</v>
          </cell>
          <cell r="AT23">
            <v>85</v>
          </cell>
          <cell r="AU23">
            <v>24</v>
          </cell>
          <cell r="AV23">
            <v>109</v>
          </cell>
          <cell r="AW23">
            <v>-8</v>
          </cell>
          <cell r="AX23">
            <v>101</v>
          </cell>
          <cell r="AY23">
            <v>21</v>
          </cell>
          <cell r="AZ23">
            <v>70</v>
          </cell>
          <cell r="BA23">
            <v>91</v>
          </cell>
          <cell r="BB23">
            <v>26</v>
          </cell>
          <cell r="BC23">
            <v>117</v>
          </cell>
          <cell r="BD23">
            <v>-12</v>
          </cell>
          <cell r="BE23">
            <v>105</v>
          </cell>
          <cell r="BF23">
            <v>26</v>
          </cell>
          <cell r="BG23">
            <v>69</v>
          </cell>
          <cell r="BH23">
            <v>95</v>
          </cell>
          <cell r="BI23">
            <v>27</v>
          </cell>
          <cell r="BJ23">
            <v>122</v>
          </cell>
          <cell r="BK23">
            <v>-12</v>
          </cell>
          <cell r="BL23">
            <v>110</v>
          </cell>
          <cell r="BM23">
            <v>26</v>
          </cell>
          <cell r="BN23">
            <v>70</v>
          </cell>
          <cell r="BO23">
            <v>23</v>
          </cell>
          <cell r="BP23">
            <v>-10.313028390862684</v>
          </cell>
          <cell r="BQ23">
            <v>108.68697160913732</v>
          </cell>
        </row>
        <row r="24">
          <cell r="A24" t="str">
            <v>Baking and Snacking</v>
          </cell>
          <cell r="W24">
            <v>45</v>
          </cell>
          <cell r="X24">
            <v>89</v>
          </cell>
          <cell r="Z24">
            <v>43</v>
          </cell>
          <cell r="AB24">
            <v>34</v>
          </cell>
          <cell r="AC24">
            <v>211</v>
          </cell>
          <cell r="AD24">
            <v>37</v>
          </cell>
          <cell r="AE24">
            <v>80</v>
          </cell>
          <cell r="AG24">
            <v>46</v>
          </cell>
          <cell r="AI24">
            <v>32</v>
          </cell>
          <cell r="AJ24">
            <v>195</v>
          </cell>
          <cell r="AK24">
            <v>37</v>
          </cell>
          <cell r="AL24">
            <v>45</v>
          </cell>
          <cell r="AN24">
            <v>24</v>
          </cell>
          <cell r="AP24">
            <v>55</v>
          </cell>
          <cell r="AQ24">
            <v>161</v>
          </cell>
          <cell r="AR24">
            <v>42</v>
          </cell>
          <cell r="AS24">
            <v>42</v>
          </cell>
          <cell r="AT24">
            <v>84</v>
          </cell>
          <cell r="AU24">
            <v>27</v>
          </cell>
          <cell r="AV24">
            <v>111</v>
          </cell>
          <cell r="AW24">
            <v>55</v>
          </cell>
          <cell r="AX24">
            <v>166</v>
          </cell>
          <cell r="AY24">
            <v>44</v>
          </cell>
          <cell r="AZ24">
            <v>45</v>
          </cell>
          <cell r="BA24">
            <v>89</v>
          </cell>
          <cell r="BB24">
            <v>34</v>
          </cell>
          <cell r="BC24">
            <v>123</v>
          </cell>
          <cell r="BD24">
            <v>67</v>
          </cell>
          <cell r="BE24">
            <v>190</v>
          </cell>
          <cell r="BF24">
            <v>45</v>
          </cell>
          <cell r="BG24">
            <v>40</v>
          </cell>
          <cell r="BH24">
            <v>85</v>
          </cell>
          <cell r="BI24">
            <v>35</v>
          </cell>
          <cell r="BJ24">
            <v>120</v>
          </cell>
          <cell r="BK24">
            <v>62</v>
          </cell>
          <cell r="BL24">
            <v>182</v>
          </cell>
          <cell r="BM24">
            <v>68</v>
          </cell>
          <cell r="BN24">
            <v>54</v>
          </cell>
          <cell r="BO24">
            <v>46</v>
          </cell>
          <cell r="BP24">
            <v>65.414999999999992</v>
          </cell>
          <cell r="BQ24">
            <v>233.41499999999999</v>
          </cell>
        </row>
        <row r="25">
          <cell r="A25" t="str">
            <v>International Soups and Sauces</v>
          </cell>
          <cell r="W25">
            <v>14</v>
          </cell>
          <cell r="X25">
            <v>19</v>
          </cell>
          <cell r="Z25">
            <v>14</v>
          </cell>
          <cell r="AB25">
            <v>4</v>
          </cell>
          <cell r="AC25">
            <v>51</v>
          </cell>
          <cell r="AD25">
            <v>29</v>
          </cell>
          <cell r="AE25">
            <v>29</v>
          </cell>
          <cell r="AG25">
            <v>19</v>
          </cell>
          <cell r="AI25">
            <v>16</v>
          </cell>
          <cell r="AJ25">
            <v>92</v>
          </cell>
          <cell r="AK25">
            <v>42</v>
          </cell>
          <cell r="AL25">
            <v>56</v>
          </cell>
          <cell r="AN25">
            <v>59</v>
          </cell>
          <cell r="AP25">
            <v>44</v>
          </cell>
          <cell r="AQ25">
            <v>201</v>
          </cell>
          <cell r="AR25">
            <v>53</v>
          </cell>
          <cell r="AS25">
            <v>65</v>
          </cell>
          <cell r="AT25">
            <v>118</v>
          </cell>
          <cell r="AU25">
            <v>57</v>
          </cell>
          <cell r="AV25">
            <v>175</v>
          </cell>
          <cell r="AW25">
            <v>30</v>
          </cell>
          <cell r="AX25">
            <v>205</v>
          </cell>
          <cell r="AY25">
            <v>54</v>
          </cell>
          <cell r="AZ25">
            <v>69</v>
          </cell>
          <cell r="BA25">
            <v>123</v>
          </cell>
          <cell r="BB25">
            <v>58</v>
          </cell>
          <cell r="BC25">
            <v>181</v>
          </cell>
          <cell r="BD25">
            <v>36</v>
          </cell>
          <cell r="BE25">
            <v>217</v>
          </cell>
          <cell r="BF25">
            <v>55</v>
          </cell>
          <cell r="BG25">
            <v>81</v>
          </cell>
          <cell r="BH25">
            <v>136</v>
          </cell>
          <cell r="BI25">
            <v>70</v>
          </cell>
          <cell r="BJ25">
            <v>206</v>
          </cell>
          <cell r="BK25">
            <v>5</v>
          </cell>
          <cell r="BL25">
            <v>211</v>
          </cell>
          <cell r="BM25">
            <v>48</v>
          </cell>
          <cell r="BN25">
            <v>59</v>
          </cell>
          <cell r="BO25">
            <v>43</v>
          </cell>
          <cell r="BP25">
            <v>-1.7800000000000011</v>
          </cell>
          <cell r="BQ25">
            <v>148.22</v>
          </cell>
        </row>
        <row r="26">
          <cell r="A26" t="str">
            <v>Soup &amp; Sauces</v>
          </cell>
          <cell r="B26">
            <v>371</v>
          </cell>
          <cell r="C26">
            <v>395.5</v>
          </cell>
          <cell r="D26">
            <v>766.5</v>
          </cell>
          <cell r="E26">
            <v>243.6</v>
          </cell>
          <cell r="F26">
            <v>1010.1</v>
          </cell>
          <cell r="G26">
            <v>233.7</v>
          </cell>
          <cell r="H26">
            <v>1243.8</v>
          </cell>
          <cell r="I26">
            <v>389.5</v>
          </cell>
          <cell r="J26">
            <v>290.5</v>
          </cell>
          <cell r="K26">
            <v>680</v>
          </cell>
          <cell r="L26">
            <v>248.5</v>
          </cell>
          <cell r="M26">
            <v>928.5</v>
          </cell>
          <cell r="N26">
            <v>184.6</v>
          </cell>
          <cell r="O26">
            <v>1113.0999999999999</v>
          </cell>
          <cell r="P26">
            <v>357.6</v>
          </cell>
          <cell r="Q26">
            <v>406</v>
          </cell>
          <cell r="R26">
            <v>763.6</v>
          </cell>
          <cell r="S26">
            <v>204</v>
          </cell>
          <cell r="T26">
            <v>967.6</v>
          </cell>
          <cell r="U26">
            <v>113.1</v>
          </cell>
          <cell r="V26">
            <v>1080.7</v>
          </cell>
          <cell r="W26">
            <v>325.7</v>
          </cell>
          <cell r="X26">
            <v>381.5</v>
          </cell>
          <cell r="Y26">
            <v>707.2</v>
          </cell>
          <cell r="Z26">
            <v>202</v>
          </cell>
          <cell r="AA26">
            <v>909.2</v>
          </cell>
          <cell r="AB26">
            <v>-135.20000000000005</v>
          </cell>
          <cell r="AC26">
            <v>774</v>
          </cell>
          <cell r="AD26">
            <v>293</v>
          </cell>
          <cell r="AK26">
            <v>293</v>
          </cell>
          <cell r="AT26">
            <v>0</v>
          </cell>
          <cell r="AV26">
            <v>0</v>
          </cell>
          <cell r="AW26">
            <v>0</v>
          </cell>
          <cell r="BA26">
            <v>0</v>
          </cell>
          <cell r="BC26">
            <v>0</v>
          </cell>
          <cell r="BD26">
            <v>0</v>
          </cell>
          <cell r="BH26">
            <v>0</v>
          </cell>
          <cell r="BJ26">
            <v>0</v>
          </cell>
          <cell r="BK26">
            <v>7681</v>
          </cell>
          <cell r="BL26">
            <v>7681</v>
          </cell>
          <cell r="BM26">
            <v>0</v>
          </cell>
          <cell r="BN26">
            <v>0</v>
          </cell>
          <cell r="BO26">
            <v>0</v>
          </cell>
          <cell r="BP26">
            <v>0</v>
          </cell>
        </row>
        <row r="27">
          <cell r="A27" t="str">
            <v>Biscuits &amp; Confectionary</v>
          </cell>
          <cell r="B27">
            <v>59</v>
          </cell>
          <cell r="C27">
            <v>75.900000000000006</v>
          </cell>
          <cell r="D27">
            <v>134.9</v>
          </cell>
          <cell r="E27">
            <v>39.6</v>
          </cell>
          <cell r="F27">
            <v>174.5</v>
          </cell>
          <cell r="G27">
            <v>56.4</v>
          </cell>
          <cell r="H27">
            <v>230.9</v>
          </cell>
          <cell r="I27">
            <v>58</v>
          </cell>
          <cell r="J27">
            <v>71.2</v>
          </cell>
          <cell r="K27">
            <v>129.19999999999999</v>
          </cell>
          <cell r="L27">
            <v>44.4</v>
          </cell>
          <cell r="M27">
            <v>173.6</v>
          </cell>
          <cell r="N27">
            <v>42.6</v>
          </cell>
          <cell r="O27">
            <v>216.2</v>
          </cell>
          <cell r="P27">
            <v>57.9</v>
          </cell>
          <cell r="Q27">
            <v>77.900000000000006</v>
          </cell>
          <cell r="R27">
            <v>135.80000000000001</v>
          </cell>
          <cell r="S27">
            <v>42.2</v>
          </cell>
          <cell r="T27">
            <v>178</v>
          </cell>
          <cell r="U27">
            <v>34.9</v>
          </cell>
          <cell r="V27">
            <v>212.9</v>
          </cell>
          <cell r="W27">
            <v>47.5</v>
          </cell>
          <cell r="X27">
            <v>91</v>
          </cell>
          <cell r="Y27">
            <v>138.5</v>
          </cell>
          <cell r="Z27">
            <v>46.8</v>
          </cell>
          <cell r="AA27">
            <v>185.3</v>
          </cell>
          <cell r="AB27">
            <v>109.69999999999999</v>
          </cell>
          <cell r="AC27">
            <v>295</v>
          </cell>
          <cell r="AD27">
            <v>37</v>
          </cell>
          <cell r="AK27">
            <v>37</v>
          </cell>
          <cell r="AT27">
            <v>0</v>
          </cell>
          <cell r="AV27">
            <v>0</v>
          </cell>
          <cell r="AW27">
            <v>0</v>
          </cell>
          <cell r="BA27">
            <v>0</v>
          </cell>
          <cell r="BC27">
            <v>0</v>
          </cell>
          <cell r="BD27">
            <v>0</v>
          </cell>
          <cell r="BH27">
            <v>0</v>
          </cell>
          <cell r="BJ27">
            <v>0</v>
          </cell>
          <cell r="BK27">
            <v>7681</v>
          </cell>
          <cell r="BL27">
            <v>7681</v>
          </cell>
          <cell r="BM27">
            <v>0</v>
          </cell>
          <cell r="BN27">
            <v>0</v>
          </cell>
          <cell r="BO27">
            <v>0</v>
          </cell>
          <cell r="BP27">
            <v>0</v>
          </cell>
        </row>
        <row r="28">
          <cell r="A28" t="str">
            <v>Foodservice/Away From Home</v>
          </cell>
          <cell r="B28">
            <v>15</v>
          </cell>
          <cell r="C28">
            <v>16</v>
          </cell>
          <cell r="D28">
            <v>31</v>
          </cell>
          <cell r="E28">
            <v>12.7</v>
          </cell>
          <cell r="F28">
            <v>43.7</v>
          </cell>
          <cell r="G28">
            <v>13.5</v>
          </cell>
          <cell r="H28">
            <v>57.2</v>
          </cell>
          <cell r="I28">
            <v>16.25</v>
          </cell>
          <cell r="J28">
            <v>17.100000000000001</v>
          </cell>
          <cell r="K28">
            <v>33.35</v>
          </cell>
          <cell r="L28">
            <v>13.1</v>
          </cell>
          <cell r="M28">
            <v>46.45</v>
          </cell>
          <cell r="N28">
            <v>14</v>
          </cell>
          <cell r="O28">
            <v>60.45</v>
          </cell>
          <cell r="P28">
            <v>14.3</v>
          </cell>
          <cell r="Q28">
            <v>16.5</v>
          </cell>
          <cell r="R28">
            <v>30.8</v>
          </cell>
          <cell r="S28">
            <v>12.6</v>
          </cell>
          <cell r="T28">
            <v>43.4</v>
          </cell>
          <cell r="U28">
            <v>9.3000000000000007</v>
          </cell>
          <cell r="V28">
            <v>52.7</v>
          </cell>
          <cell r="W28">
            <v>15.5</v>
          </cell>
          <cell r="X28">
            <v>18.3</v>
          </cell>
          <cell r="Y28">
            <v>33.799999999999997</v>
          </cell>
          <cell r="Z28">
            <v>13.5</v>
          </cell>
          <cell r="AA28">
            <v>47.3</v>
          </cell>
          <cell r="AB28">
            <v>164.7</v>
          </cell>
          <cell r="AC28">
            <v>212</v>
          </cell>
          <cell r="AD28">
            <v>15</v>
          </cell>
          <cell r="AK28">
            <v>15</v>
          </cell>
          <cell r="AT28">
            <v>0</v>
          </cell>
          <cell r="AV28">
            <v>0</v>
          </cell>
          <cell r="AW28">
            <v>0</v>
          </cell>
          <cell r="BA28">
            <v>0</v>
          </cell>
          <cell r="BC28">
            <v>0</v>
          </cell>
          <cell r="BD28">
            <v>0</v>
          </cell>
          <cell r="BH28">
            <v>0</v>
          </cell>
          <cell r="BJ28">
            <v>0</v>
          </cell>
          <cell r="BK28">
            <v>7681</v>
          </cell>
          <cell r="BL28">
            <v>7681</v>
          </cell>
          <cell r="BM28">
            <v>0</v>
          </cell>
          <cell r="BN28">
            <v>0</v>
          </cell>
          <cell r="BO28">
            <v>0</v>
          </cell>
          <cell r="BP28">
            <v>0</v>
          </cell>
        </row>
        <row r="29">
          <cell r="A29" t="str">
            <v>Other Prepared Foods</v>
          </cell>
          <cell r="B29">
            <v>1</v>
          </cell>
          <cell r="C29">
            <v>5</v>
          </cell>
          <cell r="D29">
            <v>6</v>
          </cell>
          <cell r="E29">
            <v>3.4000000000000057</v>
          </cell>
          <cell r="F29">
            <v>9.4000000000000057</v>
          </cell>
          <cell r="G29">
            <v>3.6</v>
          </cell>
          <cell r="H29">
            <v>13.000000000000005</v>
          </cell>
          <cell r="I29">
            <v>3.1</v>
          </cell>
          <cell r="J29">
            <v>3.7</v>
          </cell>
          <cell r="K29">
            <v>6.8000000000000007</v>
          </cell>
          <cell r="L29">
            <v>-0.56000000000000005</v>
          </cell>
          <cell r="M29">
            <v>6.24</v>
          </cell>
          <cell r="N29">
            <v>1.5</v>
          </cell>
          <cell r="O29">
            <v>7.74</v>
          </cell>
          <cell r="P29">
            <v>1.2</v>
          </cell>
          <cell r="Q29">
            <v>0.5</v>
          </cell>
          <cell r="R29">
            <v>1.7</v>
          </cell>
          <cell r="S29">
            <v>-1.1000000000000001</v>
          </cell>
          <cell r="T29">
            <v>0.59999999999999987</v>
          </cell>
          <cell r="U29">
            <v>0.1</v>
          </cell>
          <cell r="V29">
            <v>0.69999999999999984</v>
          </cell>
          <cell r="W29">
            <v>0.3</v>
          </cell>
          <cell r="X29">
            <v>0.2</v>
          </cell>
          <cell r="Y29">
            <v>0.5</v>
          </cell>
          <cell r="Z29">
            <v>0.2</v>
          </cell>
          <cell r="AA29">
            <v>0.7</v>
          </cell>
          <cell r="AB29">
            <v>50.3</v>
          </cell>
          <cell r="AC29">
            <v>51</v>
          </cell>
          <cell r="AD29">
            <v>17</v>
          </cell>
          <cell r="AK29">
            <v>0</v>
          </cell>
          <cell r="AT29">
            <v>0</v>
          </cell>
          <cell r="AV29">
            <v>0</v>
          </cell>
          <cell r="AW29">
            <v>0</v>
          </cell>
          <cell r="BA29">
            <v>0</v>
          </cell>
          <cell r="BC29">
            <v>0</v>
          </cell>
          <cell r="BD29">
            <v>0</v>
          </cell>
          <cell r="BH29">
            <v>0</v>
          </cell>
          <cell r="BJ29">
            <v>0</v>
          </cell>
          <cell r="BK29">
            <v>7681</v>
          </cell>
          <cell r="BL29">
            <v>7681</v>
          </cell>
          <cell r="BM29">
            <v>0</v>
          </cell>
          <cell r="BN29">
            <v>0</v>
          </cell>
          <cell r="BO29">
            <v>0</v>
          </cell>
          <cell r="BP29">
            <v>0</v>
          </cell>
        </row>
        <row r="30">
          <cell r="A30" t="str">
            <v>Corporate expenses</v>
          </cell>
          <cell r="B30">
            <v>-19</v>
          </cell>
          <cell r="C30">
            <v>-7</v>
          </cell>
          <cell r="D30">
            <v>-26</v>
          </cell>
          <cell r="E30">
            <v>-20.8</v>
          </cell>
          <cell r="F30">
            <v>-46.8</v>
          </cell>
          <cell r="G30">
            <v>-2</v>
          </cell>
          <cell r="H30">
            <v>-48.8</v>
          </cell>
          <cell r="I30">
            <v>-20</v>
          </cell>
          <cell r="J30">
            <v>-11.1</v>
          </cell>
          <cell r="K30">
            <v>-31.1</v>
          </cell>
          <cell r="L30">
            <v>-21.25</v>
          </cell>
          <cell r="M30">
            <v>-52.35</v>
          </cell>
          <cell r="N30">
            <v>-17</v>
          </cell>
          <cell r="O30">
            <v>-69.349999999999994</v>
          </cell>
          <cell r="P30">
            <v>-20.2</v>
          </cell>
          <cell r="Q30">
            <v>-27.9</v>
          </cell>
          <cell r="R30">
            <v>-48.099999999999994</v>
          </cell>
          <cell r="S30">
            <v>-13.3</v>
          </cell>
          <cell r="T30">
            <v>-61.399999999999991</v>
          </cell>
          <cell r="U30">
            <v>-20.5</v>
          </cell>
          <cell r="V30">
            <v>-81.899999999999991</v>
          </cell>
          <cell r="W30">
            <v>-26.5</v>
          </cell>
          <cell r="X30">
            <v>-30.9</v>
          </cell>
          <cell r="Y30">
            <v>-57.4</v>
          </cell>
          <cell r="Z30">
            <v>-24.2</v>
          </cell>
          <cell r="AA30">
            <v>-81.599999999999994</v>
          </cell>
          <cell r="AB30">
            <v>-41.600000000000009</v>
          </cell>
          <cell r="AC30">
            <v>-123.2</v>
          </cell>
          <cell r="AD30">
            <v>-31</v>
          </cell>
          <cell r="AE30">
            <v>-33</v>
          </cell>
          <cell r="AG30">
            <v>-33</v>
          </cell>
          <cell r="AI30">
            <v>-46</v>
          </cell>
          <cell r="AJ30">
            <v>-143</v>
          </cell>
          <cell r="AK30">
            <v>-15</v>
          </cell>
          <cell r="AL30">
            <v>-29</v>
          </cell>
          <cell r="AN30">
            <v>-41</v>
          </cell>
          <cell r="AP30">
            <v>-44</v>
          </cell>
          <cell r="AQ30">
            <v>-129</v>
          </cell>
          <cell r="AR30">
            <v>-28</v>
          </cell>
          <cell r="AS30">
            <v>-27</v>
          </cell>
          <cell r="AT30">
            <v>-55</v>
          </cell>
          <cell r="AU30">
            <v>-24</v>
          </cell>
          <cell r="AV30">
            <v>-79</v>
          </cell>
          <cell r="AW30">
            <v>-1</v>
          </cell>
          <cell r="AX30">
            <v>-80</v>
          </cell>
          <cell r="AY30">
            <v>-22</v>
          </cell>
          <cell r="AZ30">
            <v>-22</v>
          </cell>
          <cell r="BA30">
            <v>-44</v>
          </cell>
          <cell r="BB30">
            <v>-20</v>
          </cell>
          <cell r="BC30">
            <v>-64</v>
          </cell>
          <cell r="BD30">
            <v>-23</v>
          </cell>
          <cell r="BE30">
            <v>-87</v>
          </cell>
          <cell r="BF30">
            <v>-18</v>
          </cell>
          <cell r="BG30">
            <v>-29</v>
          </cell>
          <cell r="BH30">
            <v>-47</v>
          </cell>
          <cell r="BI30">
            <v>-28</v>
          </cell>
          <cell r="BJ30">
            <v>-75</v>
          </cell>
          <cell r="BK30">
            <v>-30</v>
          </cell>
          <cell r="BL30">
            <v>-105</v>
          </cell>
          <cell r="BM30">
            <v>-26</v>
          </cell>
          <cell r="BN30">
            <v>-35</v>
          </cell>
          <cell r="BO30">
            <v>-33</v>
          </cell>
          <cell r="BP30">
            <v>-31.475000000000009</v>
          </cell>
          <cell r="BQ30">
            <v>-125.47500000000001</v>
          </cell>
        </row>
        <row r="31">
          <cell r="N31" t="str">
            <v xml:space="preserve"> </v>
          </cell>
          <cell r="AT31">
            <v>0</v>
          </cell>
          <cell r="AV31">
            <v>0</v>
          </cell>
        </row>
        <row r="32">
          <cell r="A32" t="str">
            <v>Total operating profit</v>
          </cell>
          <cell r="B32">
            <v>427</v>
          </cell>
          <cell r="C32">
            <v>485.4</v>
          </cell>
          <cell r="D32">
            <v>912.4</v>
          </cell>
          <cell r="E32">
            <v>278.49999999999994</v>
          </cell>
          <cell r="F32">
            <v>1190.8999999999999</v>
          </cell>
          <cell r="G32">
            <v>305.2</v>
          </cell>
          <cell r="H32">
            <v>1496.1000000000001</v>
          </cell>
          <cell r="I32">
            <v>446.85</v>
          </cell>
          <cell r="J32">
            <v>371.4</v>
          </cell>
          <cell r="K32">
            <v>818.25</v>
          </cell>
          <cell r="L32">
            <v>284.19</v>
          </cell>
          <cell r="M32">
            <v>1102.44</v>
          </cell>
          <cell r="N32">
            <v>225.7</v>
          </cell>
          <cell r="O32">
            <v>1328.14</v>
          </cell>
          <cell r="P32">
            <v>410.8</v>
          </cell>
          <cell r="Q32">
            <v>473</v>
          </cell>
          <cell r="R32">
            <v>883.80000000000007</v>
          </cell>
          <cell r="S32">
            <v>244.39999999999998</v>
          </cell>
          <cell r="T32">
            <v>1128.1999999999998</v>
          </cell>
          <cell r="U32">
            <v>136.9</v>
          </cell>
          <cell r="V32">
            <v>1265.0999999999999</v>
          </cell>
          <cell r="W32">
            <v>362.5</v>
          </cell>
          <cell r="X32">
            <v>460.1</v>
          </cell>
          <cell r="Y32">
            <v>822.6</v>
          </cell>
          <cell r="Z32">
            <v>236.8</v>
          </cell>
          <cell r="AA32">
            <v>1060.9000000000001</v>
          </cell>
          <cell r="AB32">
            <v>148.39999999999998</v>
          </cell>
          <cell r="AC32">
            <v>1208.8</v>
          </cell>
          <cell r="AD32">
            <v>331</v>
          </cell>
          <cell r="AE32">
            <v>357</v>
          </cell>
          <cell r="AF32">
            <v>0</v>
          </cell>
          <cell r="AG32">
            <v>196</v>
          </cell>
          <cell r="AH32">
            <v>0</v>
          </cell>
          <cell r="AI32">
            <v>121</v>
          </cell>
          <cell r="AJ32">
            <v>1004</v>
          </cell>
          <cell r="AK32">
            <v>330</v>
          </cell>
          <cell r="AL32">
            <v>385</v>
          </cell>
          <cell r="AM32">
            <v>0</v>
          </cell>
          <cell r="AN32">
            <v>235</v>
          </cell>
          <cell r="AO32">
            <v>0</v>
          </cell>
          <cell r="AP32">
            <v>155</v>
          </cell>
          <cell r="AQ32">
            <v>1105</v>
          </cell>
          <cell r="AR32">
            <v>354</v>
          </cell>
          <cell r="AS32">
            <v>389</v>
          </cell>
          <cell r="AT32">
            <v>743</v>
          </cell>
          <cell r="AU32">
            <v>225</v>
          </cell>
          <cell r="AV32">
            <v>968</v>
          </cell>
          <cell r="AW32">
            <v>154</v>
          </cell>
          <cell r="AX32">
            <v>1122</v>
          </cell>
          <cell r="AY32">
            <v>371</v>
          </cell>
          <cell r="AZ32">
            <v>377</v>
          </cell>
          <cell r="BA32">
            <v>748</v>
          </cell>
          <cell r="BB32">
            <v>248</v>
          </cell>
          <cell r="BC32">
            <v>996</v>
          </cell>
          <cell r="BD32">
            <v>171</v>
          </cell>
          <cell r="BE32">
            <v>1167</v>
          </cell>
          <cell r="BF32">
            <v>388</v>
          </cell>
          <cell r="BG32">
            <v>403</v>
          </cell>
          <cell r="BH32">
            <v>791</v>
          </cell>
          <cell r="BI32">
            <v>275</v>
          </cell>
          <cell r="BJ32">
            <v>1066</v>
          </cell>
          <cell r="BK32">
            <v>139</v>
          </cell>
          <cell r="BL32">
            <v>1205</v>
          </cell>
          <cell r="BM32">
            <v>438</v>
          </cell>
          <cell r="BN32">
            <v>422</v>
          </cell>
          <cell r="BO32">
            <v>261</v>
          </cell>
          <cell r="BP32">
            <v>133.56447160913729</v>
          </cell>
          <cell r="BQ32">
            <v>1254.5644716091374</v>
          </cell>
        </row>
        <row r="34">
          <cell r="AR34" t="str">
            <v>% Change is Not ProForma</v>
          </cell>
        </row>
        <row r="35">
          <cell r="A35" t="str">
            <v>Y-O-Y % Change</v>
          </cell>
          <cell r="B35" t="str">
            <v>1Q98</v>
          </cell>
          <cell r="C35" t="str">
            <v>2Q98</v>
          </cell>
          <cell r="D35" t="str">
            <v>6 Mos.</v>
          </cell>
          <cell r="E35" t="str">
            <v>3Q98</v>
          </cell>
          <cell r="F35" t="str">
            <v>9 Mos.</v>
          </cell>
          <cell r="G35" t="str">
            <v>4Q98</v>
          </cell>
          <cell r="H35" t="str">
            <v>F1998</v>
          </cell>
          <cell r="I35" t="str">
            <v>1Q99</v>
          </cell>
          <cell r="J35" t="str">
            <v>2Q99</v>
          </cell>
          <cell r="K35" t="str">
            <v>6 Mos.</v>
          </cell>
          <cell r="L35" t="str">
            <v>3Q99</v>
          </cell>
          <cell r="M35" t="str">
            <v>9 Mos.</v>
          </cell>
          <cell r="N35" t="str">
            <v>4Q99</v>
          </cell>
          <cell r="O35" t="str">
            <v>F1999</v>
          </cell>
          <cell r="P35" t="str">
            <v>1Q00</v>
          </cell>
          <cell r="Q35" t="str">
            <v>2Q00</v>
          </cell>
          <cell r="R35" t="str">
            <v>6 Mos.</v>
          </cell>
          <cell r="S35" t="str">
            <v>3Q00</v>
          </cell>
          <cell r="T35" t="str">
            <v>9 Mos.</v>
          </cell>
          <cell r="U35" t="str">
            <v>4Q00</v>
          </cell>
          <cell r="V35" t="str">
            <v>F2000</v>
          </cell>
          <cell r="W35" t="str">
            <v>1Q01</v>
          </cell>
          <cell r="X35" t="str">
            <v>2Q01</v>
          </cell>
          <cell r="Y35" t="str">
            <v>6 Mos.</v>
          </cell>
          <cell r="Z35" t="str">
            <v>3Q01</v>
          </cell>
          <cell r="AA35" t="str">
            <v>9 Mos.</v>
          </cell>
          <cell r="AB35" t="str">
            <v>4Q01</v>
          </cell>
          <cell r="AC35" t="str">
            <v>F2001</v>
          </cell>
          <cell r="AD35" t="str">
            <v>1Q02</v>
          </cell>
          <cell r="AE35" t="str">
            <v>2Q02</v>
          </cell>
          <cell r="AF35" t="str">
            <v>6 Mos.</v>
          </cell>
          <cell r="AG35" t="str">
            <v>3Q02</v>
          </cell>
          <cell r="AH35" t="str">
            <v>9 Mos.</v>
          </cell>
          <cell r="AI35" t="str">
            <v>4Q02</v>
          </cell>
          <cell r="AJ35" t="str">
            <v>F2002</v>
          </cell>
          <cell r="AK35" t="str">
            <v>1Q03</v>
          </cell>
          <cell r="AL35" t="str">
            <v>2Q03</v>
          </cell>
          <cell r="AM35" t="str">
            <v>6 Mos.</v>
          </cell>
          <cell r="AN35" t="str">
            <v>3Q03</v>
          </cell>
          <cell r="AO35" t="str">
            <v>9 Mos.</v>
          </cell>
          <cell r="AP35" t="str">
            <v>4Q03</v>
          </cell>
          <cell r="AQ35" t="str">
            <v>F2003</v>
          </cell>
          <cell r="AR35" t="str">
            <v>1Q04</v>
          </cell>
          <cell r="AS35" t="str">
            <v>2Q04</v>
          </cell>
          <cell r="AT35" t="str">
            <v>6 Mos.</v>
          </cell>
          <cell r="AU35" t="str">
            <v>3Q04</v>
          </cell>
          <cell r="AV35" t="str">
            <v>9 Mos.</v>
          </cell>
          <cell r="AW35" t="str">
            <v>4Q04</v>
          </cell>
          <cell r="AX35" t="str">
            <v>F2004</v>
          </cell>
          <cell r="AY35" t="str">
            <v>1Q05</v>
          </cell>
          <cell r="AZ35" t="str">
            <v>2Q05</v>
          </cell>
          <cell r="BA35" t="str">
            <v>6 Mos.</v>
          </cell>
          <cell r="BB35" t="str">
            <v>3Q05</v>
          </cell>
          <cell r="BC35" t="str">
            <v>9 Mos.</v>
          </cell>
          <cell r="BD35" t="str">
            <v>4Q05</v>
          </cell>
          <cell r="BE35" t="str">
            <v>F2005</v>
          </cell>
          <cell r="BF35" t="str">
            <v>1Q06</v>
          </cell>
          <cell r="BG35" t="str">
            <v>2Q06</v>
          </cell>
          <cell r="BH35" t="str">
            <v>6 Mos.</v>
          </cell>
          <cell r="BI35" t="str">
            <v>3Q06</v>
          </cell>
          <cell r="BJ35" t="str">
            <v>9 Mos.</v>
          </cell>
          <cell r="BK35" t="str">
            <v>4Q06</v>
          </cell>
          <cell r="BL35" t="str">
            <v>F2006</v>
          </cell>
          <cell r="BM35" t="str">
            <v>1Q07</v>
          </cell>
          <cell r="BN35" t="str">
            <v>2Q07</v>
          </cell>
          <cell r="BO35" t="str">
            <v>3Q07</v>
          </cell>
          <cell r="BP35" t="str">
            <v>4Q07</v>
          </cell>
          <cell r="BQ35" t="str">
            <v>F2007</v>
          </cell>
        </row>
        <row r="36">
          <cell r="B36">
            <v>35736</v>
          </cell>
          <cell r="C36">
            <v>35827</v>
          </cell>
          <cell r="E36">
            <v>35918</v>
          </cell>
          <cell r="G36">
            <v>36009</v>
          </cell>
          <cell r="I36">
            <v>36100</v>
          </cell>
          <cell r="J36">
            <v>36191</v>
          </cell>
          <cell r="L36">
            <v>36282</v>
          </cell>
          <cell r="N36">
            <v>36372</v>
          </cell>
          <cell r="P36">
            <v>36464</v>
          </cell>
          <cell r="Q36">
            <v>36556</v>
          </cell>
          <cell r="S36">
            <v>36646</v>
          </cell>
          <cell r="U36">
            <v>36738</v>
          </cell>
          <cell r="W36">
            <v>36464</v>
          </cell>
          <cell r="X36">
            <v>36556</v>
          </cell>
          <cell r="Z36">
            <v>36646</v>
          </cell>
          <cell r="AB36">
            <v>36738</v>
          </cell>
          <cell r="AD36">
            <v>36464</v>
          </cell>
          <cell r="AE36">
            <v>36556</v>
          </cell>
          <cell r="AG36">
            <v>36646</v>
          </cell>
          <cell r="AI36">
            <v>36738</v>
          </cell>
          <cell r="AK36">
            <v>36464</v>
          </cell>
          <cell r="AL36">
            <v>36556</v>
          </cell>
          <cell r="AN36">
            <v>36646</v>
          </cell>
          <cell r="AP36">
            <v>36738</v>
          </cell>
        </row>
        <row r="37">
          <cell r="A37" t="str">
            <v>Sales</v>
          </cell>
        </row>
        <row r="38">
          <cell r="A38" t="str">
            <v>US Soup, Sauces and Beverages</v>
          </cell>
          <cell r="W38" t="str">
            <v>--</v>
          </cell>
          <cell r="X38" t="str">
            <v>--</v>
          </cell>
          <cell r="Z38" t="str">
            <v>--</v>
          </cell>
          <cell r="AB38" t="str">
            <v>--</v>
          </cell>
          <cell r="AC38">
            <v>4.0262941659819231E-2</v>
          </cell>
          <cell r="AD38">
            <v>4.1343669250645997E-2</v>
          </cell>
          <cell r="AE38">
            <v>-4.6948356807511735E-2</v>
          </cell>
          <cell r="AG38">
            <v>7.8125E-3</v>
          </cell>
          <cell r="AI38">
            <v>-1.015228426395939E-2</v>
          </cell>
          <cell r="AJ38">
            <v>-3.1595576619273301E-3</v>
          </cell>
          <cell r="AK38">
            <v>3.5980148883374689E-2</v>
          </cell>
          <cell r="AL38">
            <v>0.10344827586206896</v>
          </cell>
          <cell r="AM38" t="e">
            <v>#DIV/0!</v>
          </cell>
          <cell r="AN38">
            <v>0.28294573643410853</v>
          </cell>
          <cell r="AP38">
            <v>0.4128205128205128</v>
          </cell>
          <cell r="AQ38">
            <v>0.1664025356576862</v>
          </cell>
          <cell r="AR38">
            <v>7.7844311377245512E-2</v>
          </cell>
          <cell r="AS38">
            <v>6.0267857142857144E-2</v>
          </cell>
          <cell r="AT38" t="e">
            <v>#DIV/0!</v>
          </cell>
          <cell r="AU38">
            <v>-3.7764350453172203E-2</v>
          </cell>
          <cell r="AV38" t="e">
            <v>#DIV/0!</v>
          </cell>
          <cell r="AW38">
            <v>-7.2595281306715068E-2</v>
          </cell>
          <cell r="AX38">
            <v>1.8342391304347828E-2</v>
          </cell>
          <cell r="AY38">
            <v>0.10444444444444445</v>
          </cell>
          <cell r="AZ38">
            <v>6.3157894736842746E-3</v>
          </cell>
          <cell r="BB38">
            <v>-1.5698587127158548E-2</v>
          </cell>
          <cell r="BD38">
            <v>1.9569471624266255E-2</v>
          </cell>
          <cell r="BE38">
            <v>3.3355570380253503E-2</v>
          </cell>
          <cell r="BF38">
            <v>-2.4144869215291749E-2</v>
          </cell>
          <cell r="BG38">
            <v>6.4853556485355651E-2</v>
          </cell>
          <cell r="BI38">
            <v>0.13716108452950548</v>
          </cell>
          <cell r="BK38">
            <v>6.7178502879078783E-2</v>
          </cell>
          <cell r="BL38">
            <v>5.1323434473854096E-2</v>
          </cell>
          <cell r="BM38">
            <v>8.4536082474226809E-2</v>
          </cell>
          <cell r="BN38">
            <v>9.823182711198428E-3</v>
          </cell>
          <cell r="BO38">
            <v>0.13183730715287512</v>
          </cell>
          <cell r="BP38">
            <v>2.9999999999991589E-2</v>
          </cell>
          <cell r="BQ38">
            <v>6.2229045133556982E-2</v>
          </cell>
        </row>
        <row r="39">
          <cell r="A39" t="str">
            <v xml:space="preserve">Other </v>
          </cell>
          <cell r="W39" t="str">
            <v>--</v>
          </cell>
          <cell r="X39" t="str">
            <v>--</v>
          </cell>
          <cell r="Z39" t="str">
            <v>--</v>
          </cell>
          <cell r="AB39" t="str">
            <v>--</v>
          </cell>
          <cell r="AC39">
            <v>4.3252595155709346E-3</v>
          </cell>
          <cell r="AD39">
            <v>4.6822742474916385E-2</v>
          </cell>
          <cell r="AE39">
            <v>1.5923566878980892E-2</v>
          </cell>
          <cell r="AG39">
            <v>-7.1942446043165471E-3</v>
          </cell>
          <cell r="AI39">
            <v>1.4814814814814815E-2</v>
          </cell>
          <cell r="AJ39">
            <v>1.8087855297157621E-2</v>
          </cell>
          <cell r="AK39">
            <v>-0.37380191693290737</v>
          </cell>
          <cell r="AL39">
            <v>-0.10031347962382445</v>
          </cell>
          <cell r="AM39" t="e">
            <v>#DIV/0!</v>
          </cell>
          <cell r="AN39">
            <v>-0.21376811594202899</v>
          </cell>
          <cell r="AP39">
            <v>-0.38686131386861317</v>
          </cell>
          <cell r="AQ39">
            <v>-0.26565143824027071</v>
          </cell>
          <cell r="AR39">
            <v>5.6122448979591837E-2</v>
          </cell>
          <cell r="AS39">
            <v>3.1358885017421602E-2</v>
          </cell>
          <cell r="AT39" t="e">
            <v>#DIV/0!</v>
          </cell>
          <cell r="AU39">
            <v>5.5299539170506916E-2</v>
          </cell>
          <cell r="AV39" t="e">
            <v>#DIV/0!</v>
          </cell>
          <cell r="AW39">
            <v>1.7857142857142856E-2</v>
          </cell>
          <cell r="AX39">
            <v>4.0322580645161289E-2</v>
          </cell>
          <cell r="AY39">
            <v>0.12077294685990338</v>
          </cell>
          <cell r="AZ39">
            <v>0.12162162162162171</v>
          </cell>
          <cell r="BB39">
            <v>0.10480349344978168</v>
          </cell>
          <cell r="BD39">
            <v>9.9415204678362512E-2</v>
          </cell>
          <cell r="BE39">
            <v>0.11295681063122924</v>
          </cell>
          <cell r="BF39">
            <v>0.12931034482758622</v>
          </cell>
          <cell r="BG39">
            <v>5.7228915662650599E-2</v>
          </cell>
          <cell r="BI39">
            <v>7.1146245059288571E-2</v>
          </cell>
          <cell r="BK39">
            <v>6.3829787234042534E-2</v>
          </cell>
          <cell r="BL39">
            <v>7.8606965174129351E-2</v>
          </cell>
          <cell r="BM39">
            <v>3.4351145038167941E-2</v>
          </cell>
          <cell r="BN39">
            <v>4.2735042735042736E-2</v>
          </cell>
          <cell r="BO39">
            <v>3.3210332103321027E-2</v>
          </cell>
          <cell r="BP39">
            <v>3.5825000000000884E-2</v>
          </cell>
          <cell r="BQ39">
            <v>3.7052583025830366E-2</v>
          </cell>
        </row>
        <row r="40">
          <cell r="A40" t="str">
            <v>Baking and Snacking</v>
          </cell>
          <cell r="W40" t="str">
            <v>--</v>
          </cell>
          <cell r="X40" t="str">
            <v>--</v>
          </cell>
          <cell r="Z40" t="str">
            <v>--</v>
          </cell>
          <cell r="AB40" t="str">
            <v>--</v>
          </cell>
          <cell r="AC40">
            <v>3.9539899352983465E-2</v>
          </cell>
          <cell r="AD40">
            <v>3.2697547683923703E-2</v>
          </cell>
          <cell r="AE40">
            <v>7.058823529411765E-3</v>
          </cell>
          <cell r="AG40">
            <v>4.6920821114369501E-2</v>
          </cell>
          <cell r="AI40">
            <v>9.2356687898089165E-2</v>
          </cell>
          <cell r="AJ40">
            <v>4.1465100207325502E-2</v>
          </cell>
          <cell r="AK40">
            <v>-0.10026385224274406</v>
          </cell>
          <cell r="AL40">
            <v>-0.20327102803738317</v>
          </cell>
          <cell r="AM40" t="e">
            <v>#DIV/0!</v>
          </cell>
          <cell r="AN40">
            <v>-2.5210084033613446E-2</v>
          </cell>
          <cell r="AP40">
            <v>0.16034985422740525</v>
          </cell>
          <cell r="AQ40">
            <v>-5.2422030524220307E-2</v>
          </cell>
          <cell r="AR40">
            <v>0.21994134897360704</v>
          </cell>
          <cell r="AS40">
            <v>0.16422287390029325</v>
          </cell>
          <cell r="AT40" t="e">
            <v>#DIV/0!</v>
          </cell>
          <cell r="AU40">
            <v>0.11781609195402298</v>
          </cell>
          <cell r="AV40" t="e">
            <v>#DIV/0!</v>
          </cell>
          <cell r="AW40">
            <v>3.2663316582914576E-2</v>
          </cell>
          <cell r="AX40">
            <v>0.12955182072829133</v>
          </cell>
          <cell r="AY40">
            <v>7.9326923076923073E-2</v>
          </cell>
          <cell r="AZ40">
            <v>9.0680100755667459E-2</v>
          </cell>
          <cell r="BB40">
            <v>8.2262210796915092E-2</v>
          </cell>
          <cell r="BD40">
            <v>6.8126520681265124E-2</v>
          </cell>
          <cell r="BE40">
            <v>7.9975201487910721E-2</v>
          </cell>
          <cell r="BF40">
            <v>2.0044543429844099E-2</v>
          </cell>
          <cell r="BG40">
            <v>-9.2378752886836026E-3</v>
          </cell>
          <cell r="BI40">
            <v>2.3752969121140222E-3</v>
          </cell>
          <cell r="BK40">
            <v>-2.277904328018221E-3</v>
          </cell>
          <cell r="BL40">
            <v>2.8702640642939152E-3</v>
          </cell>
          <cell r="BM40">
            <v>5.6768558951965066E-2</v>
          </cell>
          <cell r="BN40">
            <v>5.8275058275058272E-2</v>
          </cell>
          <cell r="BO40">
            <v>4.502369668246442E-2</v>
          </cell>
          <cell r="BP40">
            <v>3.0000000000000693E-2</v>
          </cell>
          <cell r="BQ40">
            <v>4.7590154550658514E-2</v>
          </cell>
        </row>
        <row r="41">
          <cell r="A41" t="str">
            <v>International Soups and Sauces</v>
          </cell>
          <cell r="W41" t="str">
            <v>--</v>
          </cell>
          <cell r="X41" t="str">
            <v>--</v>
          </cell>
          <cell r="Z41" t="str">
            <v>--</v>
          </cell>
          <cell r="AB41" t="str">
            <v>--</v>
          </cell>
          <cell r="AC41">
            <v>1.607717041800643E-2</v>
          </cell>
          <cell r="AD41">
            <v>0.63829787234042556</v>
          </cell>
          <cell r="AE41">
            <v>0.53048780487804881</v>
          </cell>
          <cell r="AG41">
            <v>0.58571428571428574</v>
          </cell>
          <cell r="AI41">
            <v>0.15508021390374332</v>
          </cell>
          <cell r="AJ41">
            <v>0.45569620253164556</v>
          </cell>
          <cell r="AK41">
            <v>0.44155844155844154</v>
          </cell>
          <cell r="AL41">
            <v>0.56972111553784865</v>
          </cell>
          <cell r="AM41" t="e">
            <v>#DIV/0!</v>
          </cell>
          <cell r="AN41">
            <v>0.68018018018018023</v>
          </cell>
          <cell r="AP41">
            <v>0.56481481481481477</v>
          </cell>
          <cell r="AQ41">
            <v>0.56304347826086953</v>
          </cell>
          <cell r="AR41">
            <v>0.15915915915915915</v>
          </cell>
          <cell r="AS41">
            <v>0.15989847715736041</v>
          </cell>
          <cell r="AT41" t="e">
            <v>#DIV/0!</v>
          </cell>
          <cell r="AU41">
            <v>0.10455764075067024</v>
          </cell>
          <cell r="AV41" t="e">
            <v>#DIV/0!</v>
          </cell>
          <cell r="AW41">
            <v>5.9171597633136093E-3</v>
          </cell>
          <cell r="AX41">
            <v>0.10917941585535466</v>
          </cell>
          <cell r="AY41">
            <v>7.7720207253886009E-2</v>
          </cell>
          <cell r="AZ41">
            <v>9.846827133479219E-2</v>
          </cell>
          <cell r="BB41">
            <v>5.5825242718446688E-2</v>
          </cell>
          <cell r="BD41">
            <v>2.9411764705882248E-2</v>
          </cell>
          <cell r="BE41">
            <v>6.77115987460815E-2</v>
          </cell>
          <cell r="BF41">
            <v>9.6153846153846159E-3</v>
          </cell>
          <cell r="BG41">
            <v>-3.7848605577689244E-2</v>
          </cell>
          <cell r="BI41">
            <v>-1.1494252873563204E-2</v>
          </cell>
          <cell r="BK41">
            <v>-0.25714285714285712</v>
          </cell>
          <cell r="BL41">
            <v>-6.4591896652965358E-2</v>
          </cell>
          <cell r="BM41">
            <v>-0.1761904761904762</v>
          </cell>
          <cell r="BN41">
            <v>-0.16356107660455488</v>
          </cell>
          <cell r="BO41">
            <v>-0.20930232558139539</v>
          </cell>
          <cell r="BP41">
            <v>0</v>
          </cell>
          <cell r="BQ41">
            <v>-0.15254237288135597</v>
          </cell>
        </row>
        <row r="42">
          <cell r="AT42" t="e">
            <v>#DIV/0!</v>
          </cell>
          <cell r="AV42" t="e">
            <v>#DIV/0!</v>
          </cell>
        </row>
        <row r="43">
          <cell r="A43" t="str">
            <v>Soup &amp; Sauces</v>
          </cell>
          <cell r="I43">
            <v>6.0477366255144049E-2</v>
          </cell>
          <cell r="J43">
            <v>-7.5415762834417893E-2</v>
          </cell>
          <cell r="K43">
            <v>-1.1862971516551081E-2</v>
          </cell>
          <cell r="L43">
            <v>2.9785544082605239E-3</v>
          </cell>
          <cell r="M43">
            <v>-7.7166315322311409E-3</v>
          </cell>
          <cell r="N43">
            <v>2.9100206988920116E-2</v>
          </cell>
          <cell r="O43">
            <v>-8.8557551112618835E-4</v>
          </cell>
          <cell r="P43">
            <v>-1.4590835713399581E-3</v>
          </cell>
          <cell r="Q43">
            <v>8.2818487526393883E-2</v>
          </cell>
          <cell r="R43">
            <v>4.0519168893493843E-2</v>
          </cell>
          <cell r="S43">
            <v>-5.9691150267273875E-2</v>
          </cell>
          <cell r="T43">
            <v>1.2221234534771201E-2</v>
          </cell>
          <cell r="U43">
            <v>-8.6725035494557443E-2</v>
          </cell>
          <cell r="V43">
            <v>-6.6884036015176498E-3</v>
          </cell>
          <cell r="W43">
            <v>5.3629721747241498E-3</v>
          </cell>
          <cell r="X43">
            <v>1.8489094323270193E-2</v>
          </cell>
          <cell r="Y43">
            <v>1.2166816412099431E-2</v>
          </cell>
          <cell r="Z43">
            <v>3.0318980945362742E-2</v>
          </cell>
          <cell r="AA43">
            <v>1.6928557620612447E-2</v>
          </cell>
          <cell r="AB43">
            <v>-2.4903484907371416</v>
          </cell>
          <cell r="AC43">
            <v>-0.42362849988618256</v>
          </cell>
          <cell r="AT43" t="e">
            <v>#DIV/0!</v>
          </cell>
          <cell r="AV43" t="e">
            <v>#DIV/0!</v>
          </cell>
        </row>
        <row r="44">
          <cell r="A44" t="str">
            <v>Biscuits &amp; Confectionary</v>
          </cell>
          <cell r="I44">
            <v>-0.11339701200097969</v>
          </cell>
          <cell r="J44">
            <v>-4.9766355140186944E-2</v>
          </cell>
          <cell r="K44">
            <v>-8.0832237235441723E-2</v>
          </cell>
          <cell r="L44">
            <v>-5.8220127529803163E-2</v>
          </cell>
          <cell r="M44">
            <v>-7.4018379281537094E-2</v>
          </cell>
          <cell r="N44">
            <v>-1.4136447449293073E-2</v>
          </cell>
          <cell r="O44">
            <v>-6.121912769311616E-2</v>
          </cell>
          <cell r="P44">
            <v>9.0055248618784431E-2</v>
          </cell>
          <cell r="Q44">
            <v>8.1632653061224608E-2</v>
          </cell>
          <cell r="R44">
            <v>8.5599063353713992E-2</v>
          </cell>
          <cell r="S44">
            <v>8.3603179275831718E-2</v>
          </cell>
          <cell r="T44">
            <v>8.4987369180800978E-2</v>
          </cell>
          <cell r="U44">
            <v>5.8603491271820483E-2</v>
          </cell>
          <cell r="V44">
            <v>7.9065211307024749E-2</v>
          </cell>
          <cell r="W44">
            <v>4.3841865179929218E-2</v>
          </cell>
          <cell r="X44">
            <v>5.1829961354853266E-2</v>
          </cell>
          <cell r="Y44">
            <v>4.8052726183343344E-2</v>
          </cell>
          <cell r="Z44">
            <v>4.5368106492800833E-2</v>
          </cell>
          <cell r="AA44">
            <v>4.7230999501081145E-2</v>
          </cell>
          <cell r="AB44">
            <v>-1.2897526501766787</v>
          </cell>
          <cell r="AC44">
            <v>-0.24717935416936834</v>
          </cell>
          <cell r="AT44" t="e">
            <v>#DIV/0!</v>
          </cell>
          <cell r="AV44" t="e">
            <v>#DIV/0!</v>
          </cell>
        </row>
        <row r="45">
          <cell r="A45" t="str">
            <v>Foodservice/Away From Home</v>
          </cell>
          <cell r="I45">
            <v>0.1822429906542056</v>
          </cell>
          <cell r="J45">
            <v>0.14322033898305089</v>
          </cell>
          <cell r="K45">
            <v>0.16177777777777769</v>
          </cell>
          <cell r="L45">
            <v>6.0922541340295906E-2</v>
          </cell>
          <cell r="M45">
            <v>0.12768461312150628</v>
          </cell>
          <cell r="N45">
            <v>9.9999999999999978E-2</v>
          </cell>
          <cell r="O45">
            <v>0.12077721351291675</v>
          </cell>
          <cell r="P45">
            <v>0.13122529644268771</v>
          </cell>
          <cell r="Q45">
            <v>0.11860637509266123</v>
          </cell>
          <cell r="R45">
            <v>0.12471308339709268</v>
          </cell>
          <cell r="S45">
            <v>0.14438063986874483</v>
          </cell>
          <cell r="T45">
            <v>0.13096791025306562</v>
          </cell>
          <cell r="U45">
            <v>5.631536604987944E-2</v>
          </cell>
          <cell r="V45">
            <v>0.11268715524034671</v>
          </cell>
          <cell r="W45">
            <v>-6.9881201956669683E-4</v>
          </cell>
          <cell r="X45">
            <v>1.9880715705765217E-2</v>
          </cell>
          <cell r="Y45">
            <v>9.8639455782312153E-3</v>
          </cell>
          <cell r="Z45">
            <v>2.5089605734767026E-2</v>
          </cell>
          <cell r="AA45">
            <v>1.4763552479815404E-2</v>
          </cell>
          <cell r="AB45">
            <v>6.6626047220106619</v>
          </cell>
          <cell r="AC45">
            <v>1.5601983002832864</v>
          </cell>
          <cell r="AT45" t="e">
            <v>#DIV/0!</v>
          </cell>
          <cell r="AV45" t="e">
            <v>#DIV/0!</v>
          </cell>
        </row>
        <row r="46">
          <cell r="A46" t="str">
            <v>Other</v>
          </cell>
          <cell r="I46">
            <v>-0.6198410418462128</v>
          </cell>
          <cell r="J46">
            <v>-0.65483902156047569</v>
          </cell>
          <cell r="K46">
            <v>-0.6372558452804773</v>
          </cell>
          <cell r="L46">
            <v>-0.63559322033898313</v>
          </cell>
          <cell r="M46">
            <v>-0.63673658439753844</v>
          </cell>
          <cell r="N46">
            <v>-0.59902200488997559</v>
          </cell>
          <cell r="O46">
            <v>-0.63224151999067479</v>
          </cell>
          <cell r="P46">
            <v>-0.67254408060453408</v>
          </cell>
          <cell r="Q46">
            <v>-0.7591036414565826</v>
          </cell>
          <cell r="R46">
            <v>-0.71352785145888598</v>
          </cell>
          <cell r="S46">
            <v>-0.84302325581395354</v>
          </cell>
          <cell r="T46">
            <v>-0.75409836065573776</v>
          </cell>
          <cell r="U46">
            <v>-0.95731707317073178</v>
          </cell>
          <cell r="V46">
            <v>-0.78050713153724249</v>
          </cell>
          <cell r="W46">
            <v>-0.9076923076923078</v>
          </cell>
          <cell r="X46">
            <v>-0.82558139534883723</v>
          </cell>
          <cell r="Y46">
            <v>-0.875</v>
          </cell>
          <cell r="Z46">
            <v>-0.85185185185185186</v>
          </cell>
          <cell r="AA46">
            <v>-0.87037037037037035</v>
          </cell>
          <cell r="AB46">
            <v>896.85714285714289</v>
          </cell>
          <cell r="AC46">
            <v>21.815884476534293</v>
          </cell>
          <cell r="AT46" t="e">
            <v>#DIV/0!</v>
          </cell>
          <cell r="AV46" t="e">
            <v>#DIV/0!</v>
          </cell>
        </row>
        <row r="47">
          <cell r="A47" t="str">
            <v>Interdivsion</v>
          </cell>
          <cell r="I47">
            <v>-0.39252336448598124</v>
          </cell>
          <cell r="J47">
            <v>0.181372549019608</v>
          </cell>
          <cell r="K47">
            <v>-0.11244019138755972</v>
          </cell>
          <cell r="L47">
            <v>1.6111111111111109</v>
          </cell>
          <cell r="M47">
            <v>8.474576271186457E-2</v>
          </cell>
          <cell r="N47">
            <v>5.75</v>
          </cell>
          <cell r="O47">
            <v>0.2704918032786886</v>
          </cell>
          <cell r="P47">
            <v>0.32307692307692304</v>
          </cell>
          <cell r="Q47">
            <v>-0.31535269709543573</v>
          </cell>
          <cell r="R47">
            <v>-9.1644204851751981E-2</v>
          </cell>
          <cell r="S47">
            <v>0.22695035460992916</v>
          </cell>
          <cell r="T47">
            <v>-3.9062500000000555E-3</v>
          </cell>
          <cell r="U47">
            <v>1.8518518518518452E-2</v>
          </cell>
          <cell r="V47">
            <v>0</v>
          </cell>
          <cell r="W47">
            <v>5.2325581395348965E-2</v>
          </cell>
          <cell r="X47">
            <v>0.10909090909090913</v>
          </cell>
          <cell r="Y47">
            <v>8.0118694362017878E-2</v>
          </cell>
          <cell r="Z47">
            <v>-0.15606936416184977</v>
          </cell>
          <cell r="AA47">
            <v>1.3932210505100003E-16</v>
          </cell>
          <cell r="AB47">
            <v>-5.6363636363636367</v>
          </cell>
          <cell r="AC47">
            <v>-1</v>
          </cell>
          <cell r="AT47" t="e">
            <v>#DIV/0!</v>
          </cell>
          <cell r="AV47" t="e">
            <v>#DIV/0!</v>
          </cell>
        </row>
        <row r="48">
          <cell r="N48" t="str">
            <v xml:space="preserve"> </v>
          </cell>
        </row>
        <row r="49">
          <cell r="A49" t="str">
            <v>Total sales</v>
          </cell>
          <cell r="I49">
            <v>-5.321700959009041E-3</v>
          </cell>
          <cell r="J49">
            <v>-8.9526498113845054E-2</v>
          </cell>
          <cell r="K49">
            <v>-4.9611017002321171E-2</v>
          </cell>
          <cell r="L49">
            <v>-5.0706196717139461E-2</v>
          </cell>
          <cell r="M49">
            <v>-4.9929963165813052E-2</v>
          </cell>
          <cell r="N49">
            <v>-2.3864511162431938E-3</v>
          </cell>
          <cell r="O49">
            <v>-4.0706912618575279E-2</v>
          </cell>
          <cell r="P49">
            <v>9.1036103965224519E-3</v>
          </cell>
          <cell r="Q49">
            <v>7.4021507724220573E-2</v>
          </cell>
          <cell r="R49">
            <v>4.1814511027126085E-2</v>
          </cell>
          <cell r="S49">
            <v>-3.1164131090409636E-2</v>
          </cell>
          <cell r="T49">
            <v>2.0578507239141196E-2</v>
          </cell>
          <cell r="U49">
            <v>-4.8923528050003925E-2</v>
          </cell>
          <cell r="V49">
            <v>6.5570912170471746E-3</v>
          </cell>
          <cell r="W49" t="str">
            <v>--</v>
          </cell>
          <cell r="X49" t="str">
            <v>--</v>
          </cell>
          <cell r="Y49">
            <v>-0.11923117541451038</v>
          </cell>
          <cell r="Z49" t="str">
            <v>--</v>
          </cell>
          <cell r="AA49">
            <v>-0.11965909959489411</v>
          </cell>
          <cell r="AB49" t="str">
            <v>--</v>
          </cell>
          <cell r="AC49">
            <v>2.5773195876288658E-2</v>
          </cell>
          <cell r="AD49">
            <v>9.3611638203668565E-2</v>
          </cell>
          <cell r="AE49">
            <v>3.1339031339031341E-2</v>
          </cell>
          <cell r="AF49">
            <v>6.0851318944844128E-2</v>
          </cell>
          <cell r="AG49">
            <v>7.8678206136900075E-2</v>
          </cell>
          <cell r="AH49">
            <v>6.5769481224224005E-2</v>
          </cell>
          <cell r="AI49">
            <v>4.978540772532189E-2</v>
          </cell>
          <cell r="AJ49">
            <v>6.2727430254721883E-2</v>
          </cell>
          <cell r="AK49">
            <v>-1.3880855986119144E-2</v>
          </cell>
          <cell r="AL49">
            <v>5.9668508287292817E-2</v>
          </cell>
          <cell r="AM49">
            <v>2.3735518508053121E-2</v>
          </cell>
          <cell r="AN49">
            <v>0.16703136396790663</v>
          </cell>
          <cell r="AO49">
            <v>6.3747454175152748E-2</v>
          </cell>
          <cell r="AP49">
            <v>0.18969746524938674</v>
          </cell>
          <cell r="AQ49">
            <v>8.8863525191586495E-2</v>
          </cell>
          <cell r="AR49">
            <v>0.11964809384164223</v>
          </cell>
          <cell r="AS49">
            <v>9.4890510948905105E-2</v>
          </cell>
          <cell r="AT49">
            <v>0.10654154016008832</v>
          </cell>
          <cell r="AU49">
            <v>4.1875000000000002E-2</v>
          </cell>
          <cell r="AV49">
            <v>8.6731763354394031E-2</v>
          </cell>
          <cell r="AW49">
            <v>-1.5120274914089347E-2</v>
          </cell>
          <cell r="AX49">
            <v>6.4540281521413598E-2</v>
          </cell>
          <cell r="AY49">
            <v>9.5337873232058667E-2</v>
          </cell>
          <cell r="AZ49">
            <v>5.8571428571428573E-2</v>
          </cell>
          <cell r="BA49">
            <v>7.607882264903966E-2</v>
          </cell>
          <cell r="BB49">
            <v>4.1391721655668866E-2</v>
          </cell>
          <cell r="BD49">
            <v>4.5359385903698535E-2</v>
          </cell>
          <cell r="BE49">
            <v>6.1752707835138559E-2</v>
          </cell>
          <cell r="BF49">
            <v>9.0865614538498327E-3</v>
          </cell>
          <cell r="BG49">
            <v>2.6090868196131354E-2</v>
          </cell>
          <cell r="BH49">
            <v>1.7848864163189614E-2</v>
          </cell>
          <cell r="BI49">
            <v>5.7603686635944701E-2</v>
          </cell>
          <cell r="BK49">
            <v>-2.9372496662216287E-2</v>
          </cell>
          <cell r="BL49">
            <v>1.7620561738208796E-2</v>
          </cell>
          <cell r="BM49">
            <v>2.0379146919431212E-2</v>
          </cell>
          <cell r="BN49">
            <v>-1.2713722051731713E-2</v>
          </cell>
          <cell r="BO49">
            <v>1.7429193899782147E-2</v>
          </cell>
          <cell r="BP49">
            <v>2.5436726272349164E-2</v>
          </cell>
          <cell r="BQ49">
            <v>1.0803931779715725E-2</v>
          </cell>
        </row>
        <row r="51">
          <cell r="A51" t="str">
            <v>Operating Profit</v>
          </cell>
        </row>
        <row r="52">
          <cell r="A52" t="str">
            <v>US Soup, Sauces and Beverages</v>
          </cell>
          <cell r="W52" t="str">
            <v>--</v>
          </cell>
          <cell r="X52" t="str">
            <v>--</v>
          </cell>
          <cell r="Z52" t="str">
            <v>--</v>
          </cell>
          <cell r="AB52" t="str">
            <v>--</v>
          </cell>
          <cell r="AC52">
            <v>7.8125E-3</v>
          </cell>
          <cell r="AD52">
            <v>-0.10077519379844961</v>
          </cell>
          <cell r="AE52">
            <v>-0.26530612244897961</v>
          </cell>
          <cell r="AG52">
            <v>-0.18181818181818182</v>
          </cell>
          <cell r="AI52">
            <v>-0.24444444444444444</v>
          </cell>
          <cell r="AJ52">
            <v>-0.19379844961240311</v>
          </cell>
          <cell r="AK52">
            <v>5.1724137931034482E-2</v>
          </cell>
          <cell r="AL52">
            <v>0.17129629629629631</v>
          </cell>
          <cell r="AM52" t="e">
            <v>#DIV/0!</v>
          </cell>
          <cell r="AN52">
            <v>0.55555555555555558</v>
          </cell>
          <cell r="AP52">
            <v>0.57352941176470584</v>
          </cell>
          <cell r="AQ52">
            <v>0.23717948717948717</v>
          </cell>
          <cell r="AR52">
            <v>8.6065573770491802E-2</v>
          </cell>
          <cell r="AS52">
            <v>-2.766798418972332E-2</v>
          </cell>
          <cell r="AT52" t="e">
            <v>#DIV/0!</v>
          </cell>
          <cell r="AU52">
            <v>-0.16071428571428573</v>
          </cell>
          <cell r="AV52" t="e">
            <v>#DIV/0!</v>
          </cell>
          <cell r="AW52">
            <v>-0.27102803738317754</v>
          </cell>
          <cell r="AX52">
            <v>-5.4404145077720206E-2</v>
          </cell>
          <cell r="AY52">
            <v>3.3962264150943396E-2</v>
          </cell>
          <cell r="AZ52">
            <v>-0.12601626016260162</v>
          </cell>
          <cell r="BA52">
            <v>-4.3052837573385516E-2</v>
          </cell>
          <cell r="BB52">
            <v>6.3829787234042548E-2</v>
          </cell>
          <cell r="BD52">
            <v>0.32051282051282048</v>
          </cell>
          <cell r="BE52">
            <v>1.643835616438356E-2</v>
          </cell>
          <cell r="BF52">
            <v>2.1897810218978103E-2</v>
          </cell>
          <cell r="BG52">
            <v>0.12558139534883722</v>
          </cell>
          <cell r="BH52">
            <v>6.7484662576687116E-2</v>
          </cell>
          <cell r="BI52">
            <v>0.14000000000000001</v>
          </cell>
          <cell r="BK52">
            <v>0.10679611650485432</v>
          </cell>
          <cell r="BL52">
            <v>8.7601078167115903E-2</v>
          </cell>
          <cell r="BM52">
            <v>0.14999999999999991</v>
          </cell>
          <cell r="BN52">
            <v>0.13223140495867769</v>
          </cell>
          <cell r="BO52">
            <v>6.4327485380117011E-2</v>
          </cell>
          <cell r="BP52">
            <v>-2.0021929824561635E-2</v>
          </cell>
          <cell r="BQ52">
            <v>0.10250000000000004</v>
          </cell>
        </row>
        <row r="53">
          <cell r="A53" t="str">
            <v xml:space="preserve">Other </v>
          </cell>
          <cell r="W53" t="str">
            <v>--</v>
          </cell>
          <cell r="X53" t="str">
            <v>--</v>
          </cell>
          <cell r="Z53" t="str">
            <v>--</v>
          </cell>
          <cell r="AB53" t="str">
            <v>--</v>
          </cell>
          <cell r="AC53">
            <v>-4.5307443365695796E-2</v>
          </cell>
          <cell r="AD53">
            <v>-0.1111111111111111</v>
          </cell>
          <cell r="AE53">
            <v>-0.2696629213483146</v>
          </cell>
          <cell r="AG53">
            <v>-0.22222222222222221</v>
          </cell>
          <cell r="AI53">
            <v>-0.17741935483870969</v>
          </cell>
          <cell r="AJ53">
            <v>-0.2</v>
          </cell>
          <cell r="AK53">
            <v>-0.65625</v>
          </cell>
          <cell r="AL53">
            <v>-7.6923076923076927E-2</v>
          </cell>
          <cell r="AM53" t="e">
            <v>#DIV/0!</v>
          </cell>
          <cell r="AN53">
            <v>-0.5535714285714286</v>
          </cell>
          <cell r="AP53">
            <v>-1.1372549019607843</v>
          </cell>
          <cell r="AQ53">
            <v>-0.57627118644067798</v>
          </cell>
          <cell r="AR53">
            <v>0</v>
          </cell>
          <cell r="AS53">
            <v>0.05</v>
          </cell>
          <cell r="AT53" t="e">
            <v>#DIV/0!</v>
          </cell>
          <cell r="AU53">
            <v>-0.04</v>
          </cell>
          <cell r="AV53" t="e">
            <v>#DIV/0!</v>
          </cell>
          <cell r="AW53">
            <v>0.14285714285714285</v>
          </cell>
          <cell r="AX53">
            <v>0.01</v>
          </cell>
          <cell r="AY53">
            <v>-4.5454545454545456E-2</v>
          </cell>
          <cell r="AZ53">
            <v>0.1111111111111111</v>
          </cell>
          <cell r="BA53">
            <v>7.0588235294117646E-2</v>
          </cell>
          <cell r="BB53">
            <v>8.3333333333333329E-2</v>
          </cell>
          <cell r="BD53">
            <v>0.5</v>
          </cell>
          <cell r="BE53">
            <v>3.9603960396039604E-2</v>
          </cell>
          <cell r="BF53">
            <v>0.23809523809523808</v>
          </cell>
          <cell r="BG53">
            <v>-1.4285714285714285E-2</v>
          </cell>
          <cell r="BH53">
            <v>4.3956043956043959E-2</v>
          </cell>
          <cell r="BI53">
            <v>3.8461538461538464E-2</v>
          </cell>
          <cell r="BK53">
            <v>0</v>
          </cell>
          <cell r="BL53">
            <v>4.7619047619047616E-2</v>
          </cell>
          <cell r="BM53">
            <v>0</v>
          </cell>
          <cell r="BN53">
            <v>1.449275362318847E-2</v>
          </cell>
          <cell r="BO53">
            <v>-0.14814814814814814</v>
          </cell>
          <cell r="BP53">
            <v>-0.14058096742810966</v>
          </cell>
          <cell r="BQ53">
            <v>-1.1936621735115338E-2</v>
          </cell>
        </row>
        <row r="54">
          <cell r="A54" t="str">
            <v>Baking and Snacking</v>
          </cell>
          <cell r="W54" t="str">
            <v>--</v>
          </cell>
          <cell r="X54" t="str">
            <v>--</v>
          </cell>
          <cell r="Z54" t="str">
            <v>--</v>
          </cell>
          <cell r="AB54" t="str">
            <v>--</v>
          </cell>
          <cell r="AC54">
            <v>2.9126213592233011E-2</v>
          </cell>
          <cell r="AD54">
            <v>-0.17777777777777778</v>
          </cell>
          <cell r="AE54">
            <v>-0.10112359550561797</v>
          </cell>
          <cell r="AG54">
            <v>6.9767441860465115E-2</v>
          </cell>
          <cell r="AI54">
            <v>-5.8823529411764705E-2</v>
          </cell>
          <cell r="AJ54">
            <v>-7.582938388625593E-2</v>
          </cell>
          <cell r="AK54">
            <v>0</v>
          </cell>
          <cell r="AL54">
            <v>-0.4375</v>
          </cell>
          <cell r="AM54" t="e">
            <v>#DIV/0!</v>
          </cell>
          <cell r="AN54">
            <v>-0.47826086956521741</v>
          </cell>
          <cell r="AP54">
            <v>0.71875</v>
          </cell>
          <cell r="AQ54">
            <v>-0.17435897435897435</v>
          </cell>
          <cell r="AR54">
            <v>0.13513513513513514</v>
          </cell>
          <cell r="AS54">
            <v>-6.6666666666666666E-2</v>
          </cell>
          <cell r="AT54" t="e">
            <v>#DIV/0!</v>
          </cell>
          <cell r="AU54">
            <v>0.125</v>
          </cell>
          <cell r="AV54" t="e">
            <v>#DIV/0!</v>
          </cell>
          <cell r="AW54">
            <v>0</v>
          </cell>
          <cell r="AX54">
            <v>3.1055900621118012E-2</v>
          </cell>
          <cell r="AY54">
            <v>4.7619047619047616E-2</v>
          </cell>
          <cell r="AZ54">
            <v>7.1428571428571425E-2</v>
          </cell>
          <cell r="BA54">
            <v>5.9523809523809521E-2</v>
          </cell>
          <cell r="BB54">
            <v>0.25925925925925924</v>
          </cell>
          <cell r="BD54">
            <v>0.21818181818181825</v>
          </cell>
          <cell r="BE54">
            <v>0.14457831325301204</v>
          </cell>
          <cell r="BF54">
            <v>2.2727272727272728E-2</v>
          </cell>
          <cell r="BG54">
            <v>-0.1111111111111111</v>
          </cell>
          <cell r="BH54">
            <v>-4.49438202247191E-2</v>
          </cell>
          <cell r="BI54">
            <v>2.9411764705882353E-2</v>
          </cell>
          <cell r="BK54">
            <v>-7.4626865671641784E-2</v>
          </cell>
          <cell r="BL54">
            <v>-4.2105263157894736E-2</v>
          </cell>
          <cell r="BM54">
            <v>0.51111111111111107</v>
          </cell>
          <cell r="BN54">
            <v>0.35000000000000009</v>
          </cell>
          <cell r="BO54">
            <v>0.31428571428571428</v>
          </cell>
          <cell r="BP54">
            <v>5.5080645161290187E-2</v>
          </cell>
          <cell r="BQ54">
            <v>0.28249999999999997</v>
          </cell>
        </row>
        <row r="55">
          <cell r="A55" t="str">
            <v>International Soups and Sauces</v>
          </cell>
          <cell r="W55" t="str">
            <v>--</v>
          </cell>
          <cell r="X55" t="str">
            <v>--</v>
          </cell>
          <cell r="Z55" t="str">
            <v>--</v>
          </cell>
          <cell r="AB55" t="str">
            <v>--</v>
          </cell>
          <cell r="AC55" t="str">
            <v>NM</v>
          </cell>
          <cell r="AD55">
            <v>1.0714285714285714</v>
          </cell>
          <cell r="AE55">
            <v>0.52631578947368418</v>
          </cell>
          <cell r="AG55">
            <v>0.35714285714285715</v>
          </cell>
          <cell r="AI55">
            <v>3</v>
          </cell>
          <cell r="AJ55">
            <v>0.80392156862745101</v>
          </cell>
          <cell r="AK55">
            <v>0.44827586206896552</v>
          </cell>
          <cell r="AL55">
            <v>0.93103448275862066</v>
          </cell>
          <cell r="AM55" t="e">
            <v>#DIV/0!</v>
          </cell>
          <cell r="AN55">
            <v>2.1052631578947367</v>
          </cell>
          <cell r="AP55">
            <v>1.75</v>
          </cell>
          <cell r="AQ55">
            <v>1.1847826086956521</v>
          </cell>
          <cell r="AR55">
            <v>0.26190476190476192</v>
          </cell>
          <cell r="AS55">
            <v>0.16071428571428573</v>
          </cell>
          <cell r="AT55" t="e">
            <v>#DIV/0!</v>
          </cell>
          <cell r="AU55">
            <v>-3.3898305084745763E-2</v>
          </cell>
          <cell r="AV55" t="e">
            <v>#DIV/0!</v>
          </cell>
          <cell r="AW55">
            <v>-0.31818181818181818</v>
          </cell>
          <cell r="AX55">
            <v>1.9900497512437811E-2</v>
          </cell>
          <cell r="AY55">
            <v>1.8867924528301886E-2</v>
          </cell>
          <cell r="AZ55">
            <v>6.1538461538461542E-2</v>
          </cell>
          <cell r="BA55">
            <v>4.2372881355932202E-2</v>
          </cell>
          <cell r="BB55">
            <v>1.7543859649122806E-2</v>
          </cell>
          <cell r="BD55">
            <v>0.19999999999999996</v>
          </cell>
          <cell r="BE55">
            <v>5.8536585365853662E-2</v>
          </cell>
          <cell r="BF55">
            <v>1.8518518518518517E-2</v>
          </cell>
          <cell r="BG55">
            <v>0.17391304347826086</v>
          </cell>
          <cell r="BH55">
            <v>0.10569105691056911</v>
          </cell>
          <cell r="BI55">
            <v>0.20689655172413793</v>
          </cell>
          <cell r="BK55">
            <v>-0.86111111111111116</v>
          </cell>
          <cell r="BL55">
            <v>-2.7649769585253458E-2</v>
          </cell>
          <cell r="BM55">
            <v>-0.12727272727272732</v>
          </cell>
          <cell r="BN55">
            <v>-0.27160493827160492</v>
          </cell>
          <cell r="BO55">
            <v>-0.38571428571428568</v>
          </cell>
          <cell r="BP55">
            <v>-1.3560000000000003</v>
          </cell>
          <cell r="BQ55">
            <v>-0.29753554502369672</v>
          </cell>
        </row>
        <row r="56">
          <cell r="AV56" t="e">
            <v>#DIV/0!</v>
          </cell>
        </row>
        <row r="57">
          <cell r="A57" t="str">
            <v>Soup &amp; Sauces</v>
          </cell>
          <cell r="I57">
            <v>4.9865229110512131E-2</v>
          </cell>
          <cell r="J57">
            <v>-0.26548672566371684</v>
          </cell>
          <cell r="K57">
            <v>-0.11285061969993476</v>
          </cell>
          <cell r="L57">
            <v>2.0114942528735656E-2</v>
          </cell>
          <cell r="M57">
            <v>-8.0784080784080808E-2</v>
          </cell>
          <cell r="N57">
            <v>-0.21009841677364141</v>
          </cell>
          <cell r="O57">
            <v>-0.105081202765718</v>
          </cell>
          <cell r="P57">
            <v>-8.189987163029519E-2</v>
          </cell>
          <cell r="Q57">
            <v>0.39759036144578314</v>
          </cell>
          <cell r="R57">
            <v>0.12294117647058826</v>
          </cell>
          <cell r="S57">
            <v>-0.17907444668008049</v>
          </cell>
          <cell r="T57">
            <v>4.2110931610123879E-2</v>
          </cell>
          <cell r="U57">
            <v>-0.38732394366197187</v>
          </cell>
          <cell r="V57">
            <v>-2.9107896864612223E-2</v>
          </cell>
          <cell r="W57">
            <v>-8.9205816554809927E-2</v>
          </cell>
          <cell r="X57">
            <v>-6.0344827586206899E-2</v>
          </cell>
          <cell r="Y57">
            <v>-7.3860660031430034E-2</v>
          </cell>
          <cell r="Z57">
            <v>-9.8039215686274508E-3</v>
          </cell>
          <cell r="AA57">
            <v>-6.0355518809425357E-2</v>
          </cell>
          <cell r="AB57">
            <v>-2.195402298850575</v>
          </cell>
          <cell r="AC57">
            <v>0.38562705495537808</v>
          </cell>
          <cell r="AV57" t="e">
            <v>#DIV/0!</v>
          </cell>
        </row>
        <row r="58">
          <cell r="A58" t="str">
            <v>Biscuits &amp; Confectionary</v>
          </cell>
          <cell r="I58">
            <v>-1.6949152542372881E-2</v>
          </cell>
          <cell r="J58">
            <v>-6.1923583662714131E-2</v>
          </cell>
          <cell r="K58">
            <v>-4.2253521126760687E-2</v>
          </cell>
          <cell r="L58">
            <v>0.12121212121212113</v>
          </cell>
          <cell r="M58">
            <v>-5.1575931232092018E-3</v>
          </cell>
          <cell r="N58">
            <v>-0.24468085106382975</v>
          </cell>
          <cell r="O58">
            <v>-6.3663923776526701E-2</v>
          </cell>
          <cell r="P58">
            <v>-1.7241379310345072E-3</v>
          </cell>
          <cell r="Q58">
            <v>9.4101123595505654E-2</v>
          </cell>
          <cell r="R58">
            <v>5.108359133126953E-2</v>
          </cell>
          <cell r="S58">
            <v>-4.9549549549549453E-2</v>
          </cell>
          <cell r="T58">
            <v>2.5345622119815701E-2</v>
          </cell>
          <cell r="U58">
            <v>-0.18075117370892024</v>
          </cell>
          <cell r="V58">
            <v>-1.5263644773357924E-2</v>
          </cell>
          <cell r="W58">
            <v>-0.17962003454231432</v>
          </cell>
          <cell r="X58">
            <v>0.1681643132220795</v>
          </cell>
          <cell r="Y58">
            <v>1.9882179675994024E-2</v>
          </cell>
          <cell r="Z58">
            <v>0.10900473933649275</v>
          </cell>
          <cell r="AA58">
            <v>4.1011235955056242E-2</v>
          </cell>
          <cell r="AB58">
            <v>2.1432664756446989</v>
          </cell>
          <cell r="AC58">
            <v>3.0227703984819736</v>
          </cell>
          <cell r="AV58" t="e">
            <v>#DIV/0!</v>
          </cell>
        </row>
        <row r="59">
          <cell r="A59" t="str">
            <v>Foodservice/Away From Home</v>
          </cell>
          <cell r="I59">
            <v>8.3333333333333329E-2</v>
          </cell>
          <cell r="J59">
            <v>6.8750000000000089E-2</v>
          </cell>
          <cell r="K59">
            <v>7.5806451612903267E-2</v>
          </cell>
          <cell r="L59">
            <v>3.1496062992126012E-2</v>
          </cell>
          <cell r="M59">
            <v>6.2929061784897017E-2</v>
          </cell>
          <cell r="N59">
            <v>3.7037037037037035E-2</v>
          </cell>
          <cell r="O59">
            <v>5.6818181818181816E-2</v>
          </cell>
          <cell r="P59">
            <v>-0.11999999999999995</v>
          </cell>
          <cell r="Q59">
            <v>-3.5087719298245695E-2</v>
          </cell>
          <cell r="R59">
            <v>-7.6461769115442293E-2</v>
          </cell>
          <cell r="S59">
            <v>-3.8167938931297711E-2</v>
          </cell>
          <cell r="T59">
            <v>-6.5662002152852617E-2</v>
          </cell>
          <cell r="U59">
            <v>-0.33571428571428569</v>
          </cell>
          <cell r="V59">
            <v>-0.12820512820512819</v>
          </cell>
          <cell r="W59">
            <v>8.3916083916083864E-2</v>
          </cell>
          <cell r="X59">
            <v>0.10909090909090913</v>
          </cell>
          <cell r="Y59">
            <v>9.7402597402597282E-2</v>
          </cell>
          <cell r="Z59">
            <v>7.1428571428571452E-2</v>
          </cell>
          <cell r="AA59">
            <v>8.9861751152073704E-2</v>
          </cell>
          <cell r="AB59">
            <v>16.709677419354836</v>
          </cell>
          <cell r="AC59">
            <v>71.857142857142875</v>
          </cell>
          <cell r="AV59" t="e">
            <v>#DIV/0!</v>
          </cell>
        </row>
        <row r="60">
          <cell r="A60" t="str">
            <v>Other</v>
          </cell>
          <cell r="I60">
            <v>2.1</v>
          </cell>
          <cell r="J60">
            <v>-0.25999999999999995</v>
          </cell>
          <cell r="K60">
            <v>0.13333333333333344</v>
          </cell>
          <cell r="L60">
            <v>-1.1647058823529408</v>
          </cell>
          <cell r="M60">
            <v>-0.33617021276595782</v>
          </cell>
          <cell r="N60">
            <v>-0.58333333333333337</v>
          </cell>
          <cell r="O60">
            <v>-0.40461538461538482</v>
          </cell>
          <cell r="P60">
            <v>-0.61290322580645162</v>
          </cell>
          <cell r="Q60">
            <v>-0.86486486486486491</v>
          </cell>
          <cell r="R60">
            <v>-0.75</v>
          </cell>
          <cell r="S60">
            <v>0.9642857142857143</v>
          </cell>
          <cell r="T60">
            <v>-0.90384615384615385</v>
          </cell>
          <cell r="U60">
            <v>-0.93333333333333324</v>
          </cell>
          <cell r="V60">
            <v>-0.90956072351421191</v>
          </cell>
          <cell r="W60" t="str">
            <v>NM</v>
          </cell>
          <cell r="X60" t="str">
            <v>NM</v>
          </cell>
          <cell r="Y60">
            <v>-0.70588235294117652</v>
          </cell>
          <cell r="Z60" t="str">
            <v>NM</v>
          </cell>
          <cell r="AA60">
            <v>0.16666666666666685</v>
          </cell>
          <cell r="AB60" t="str">
            <v>NM</v>
          </cell>
          <cell r="AC60">
            <v>0.50427350427350448</v>
          </cell>
          <cell r="AV60" t="e">
            <v>#DIV/0!</v>
          </cell>
        </row>
        <row r="61">
          <cell r="A61" t="str">
            <v>Corporate expenses</v>
          </cell>
          <cell r="I61">
            <v>5.2631578947368418E-2</v>
          </cell>
          <cell r="J61">
            <v>0.58571428571428563</v>
          </cell>
          <cell r="K61">
            <v>0.19615384615384621</v>
          </cell>
          <cell r="L61">
            <v>2.1634615384615349E-2</v>
          </cell>
          <cell r="M61">
            <v>0.11858974358974368</v>
          </cell>
          <cell r="N61">
            <v>7.5</v>
          </cell>
          <cell r="O61">
            <v>0.42110655737704916</v>
          </cell>
          <cell r="P61">
            <v>9.9999999999999638E-3</v>
          </cell>
          <cell r="Q61">
            <v>1.5135135135135134</v>
          </cell>
          <cell r="R61">
            <v>0.54662379421221841</v>
          </cell>
          <cell r="S61">
            <v>-0.3741176470588235</v>
          </cell>
          <cell r="T61">
            <v>0.1728748806112701</v>
          </cell>
          <cell r="U61">
            <v>0.20588235294117646</v>
          </cell>
          <cell r="V61">
            <v>0.18096611391492426</v>
          </cell>
          <cell r="W61" t="str">
            <v>--</v>
          </cell>
          <cell r="X61" t="str">
            <v>--</v>
          </cell>
          <cell r="Z61" t="str">
            <v>--</v>
          </cell>
          <cell r="AB61" t="str">
            <v>--</v>
          </cell>
          <cell r="AC61">
            <v>0.50427350427350448</v>
          </cell>
          <cell r="AD61">
            <v>0.16981132075471697</v>
          </cell>
          <cell r="AE61">
            <v>6.7961165048543742E-2</v>
          </cell>
          <cell r="AG61">
            <v>0.3636363636363637</v>
          </cell>
          <cell r="AI61">
            <v>0.10576923076923055</v>
          </cell>
          <cell r="AJ61">
            <v>0.1607142857142857</v>
          </cell>
          <cell r="AK61">
            <v>-0.5161290322580645</v>
          </cell>
          <cell r="AL61">
            <v>-0.12121212121212122</v>
          </cell>
          <cell r="AN61">
            <v>0.24242424242424243</v>
          </cell>
          <cell r="AP61">
            <v>-4.3478260869565216E-2</v>
          </cell>
          <cell r="AQ61">
            <v>-9.7902097902097904E-2</v>
          </cell>
          <cell r="AR61">
            <v>0.8666666666666667</v>
          </cell>
          <cell r="AS61">
            <v>-6.8965517241379309E-2</v>
          </cell>
          <cell r="AU61">
            <v>-0.41463414634146339</v>
          </cell>
          <cell r="AV61" t="e">
            <v>#DIV/0!</v>
          </cell>
          <cell r="AW61">
            <v>-0.97727272727272729</v>
          </cell>
          <cell r="AX61">
            <v>-0.37984496124031009</v>
          </cell>
          <cell r="AY61">
            <v>-0.21428571428571427</v>
          </cell>
          <cell r="AZ61">
            <v>-0.18518518518518517</v>
          </cell>
          <cell r="BB61">
            <v>-0.16666666666666666</v>
          </cell>
          <cell r="BD61">
            <v>22</v>
          </cell>
          <cell r="BE61">
            <v>8.7499999999999994E-2</v>
          </cell>
          <cell r="BF61">
            <v>-0.18181818181818182</v>
          </cell>
          <cell r="BG61">
            <v>0.31818181818181818</v>
          </cell>
          <cell r="BI61">
            <v>0.39999999999999991</v>
          </cell>
          <cell r="BJ61">
            <v>0</v>
          </cell>
          <cell r="BK61">
            <v>0.30434782608695654</v>
          </cell>
          <cell r="BL61">
            <v>0.20689655172413793</v>
          </cell>
          <cell r="BM61">
            <v>0.44444444444444442</v>
          </cell>
          <cell r="BN61">
            <v>0.2068965517241379</v>
          </cell>
          <cell r="BO61">
            <v>0.1785714285714286</v>
          </cell>
          <cell r="BP61">
            <v>4.9166666666667025E-2</v>
          </cell>
          <cell r="BQ61">
            <v>0.19500000000000006</v>
          </cell>
        </row>
        <row r="62">
          <cell r="N62" t="str">
            <v xml:space="preserve"> </v>
          </cell>
          <cell r="AV62" t="e">
            <v>#DIV/0!</v>
          </cell>
        </row>
        <row r="63">
          <cell r="A63" t="str">
            <v>Total operating profit</v>
          </cell>
          <cell r="I63">
            <v>4.6487119437939164E-2</v>
          </cell>
          <cell r="J63">
            <v>-0.23485784919653896</v>
          </cell>
          <cell r="K63">
            <v>-0.10318939061814991</v>
          </cell>
          <cell r="L63">
            <v>2.0430879712747058E-2</v>
          </cell>
          <cell r="M63">
            <v>-7.4279956335544392E-2</v>
          </cell>
          <cell r="N63">
            <v>-0.2604849279161206</v>
          </cell>
          <cell r="O63">
            <v>-0.1122652229129069</v>
          </cell>
          <cell r="P63">
            <v>-8.0675842005147158E-2</v>
          </cell>
          <cell r="Q63">
            <v>0.27355950457727524</v>
          </cell>
          <cell r="R63">
            <v>8.0109990834097242E-2</v>
          </cell>
          <cell r="S63">
            <v>-0.14001196382701722</v>
          </cell>
          <cell r="T63">
            <v>2.3366351003228984E-2</v>
          </cell>
          <cell r="U63">
            <v>-0.39344262295081961</v>
          </cell>
          <cell r="V63">
            <v>-4.7464875690815866E-2</v>
          </cell>
          <cell r="W63" t="str">
            <v>--</v>
          </cell>
          <cell r="X63" t="str">
            <v>--</v>
          </cell>
          <cell r="Z63" t="str">
            <v>--</v>
          </cell>
          <cell r="AB63" t="str">
            <v>--</v>
          </cell>
          <cell r="AC63">
            <v>-4.4502410876610513E-2</v>
          </cell>
          <cell r="AD63">
            <v>-8.6896551724137933E-2</v>
          </cell>
          <cell r="AE63">
            <v>-0.22408172136492072</v>
          </cell>
          <cell r="AF63">
            <v>-1</v>
          </cell>
          <cell r="AG63">
            <v>-0.17229729729729734</v>
          </cell>
          <cell r="AH63">
            <v>-1</v>
          </cell>
          <cell r="AI63">
            <v>-0.18463611859838264</v>
          </cell>
          <cell r="AJ63">
            <v>-0.16942422236929183</v>
          </cell>
          <cell r="AK63">
            <v>-3.0211480362537764E-3</v>
          </cell>
          <cell r="AL63">
            <v>7.8431372549019607E-2</v>
          </cell>
          <cell r="AM63" t="e">
            <v>#DIV/0!</v>
          </cell>
          <cell r="AN63">
            <v>0.19897959183673469</v>
          </cell>
          <cell r="AO63" t="e">
            <v>#DIV/0!</v>
          </cell>
          <cell r="AP63">
            <v>0.28099173553719009</v>
          </cell>
          <cell r="AQ63">
            <v>0.10059760956175298</v>
          </cell>
          <cell r="AR63">
            <v>7.2727272727272724E-2</v>
          </cell>
          <cell r="AS63">
            <v>1.038961038961039E-2</v>
          </cell>
          <cell r="AT63" t="e">
            <v>#DIV/0!</v>
          </cell>
          <cell r="AU63">
            <v>-4.2553191489361701E-2</v>
          </cell>
          <cell r="AV63" t="e">
            <v>#DIV/0!</v>
          </cell>
          <cell r="AW63">
            <v>-6.4516129032258064E-3</v>
          </cell>
          <cell r="AX63">
            <v>1.5384615384615385E-2</v>
          </cell>
          <cell r="AY63">
            <v>4.8022598870056499E-2</v>
          </cell>
          <cell r="AZ63">
            <v>-3.0848329048843187E-2</v>
          </cell>
          <cell r="BA63">
            <v>6.7294751009421266E-3</v>
          </cell>
          <cell r="BB63">
            <v>0.10222222222222223</v>
          </cell>
          <cell r="BD63">
            <v>0.11038961038961038</v>
          </cell>
          <cell r="BE63">
            <v>4.0106951871657755E-2</v>
          </cell>
          <cell r="BF63">
            <v>4.5822102425876012E-2</v>
          </cell>
          <cell r="BG63">
            <v>6.8965517241379309E-2</v>
          </cell>
          <cell r="BH63">
            <v>5.7486631016042782E-2</v>
          </cell>
          <cell r="BI63">
            <v>0.10887096774193548</v>
          </cell>
          <cell r="BK63">
            <v>-0.1871345029239766</v>
          </cell>
          <cell r="BL63">
            <v>3.2562125107112254E-2</v>
          </cell>
          <cell r="BM63">
            <v>0.12886597938144329</v>
          </cell>
          <cell r="BN63">
            <v>4.7146401985111552E-2</v>
          </cell>
          <cell r="BO63">
            <v>-5.0909090909090904E-2</v>
          </cell>
          <cell r="BP63">
            <v>-3.9104520797573539E-2</v>
          </cell>
          <cell r="BQ63">
            <v>4.113234158434631E-2</v>
          </cell>
        </row>
        <row r="66">
          <cell r="A66" t="str">
            <v>Profit margins</v>
          </cell>
          <cell r="B66" t="str">
            <v>1Q98</v>
          </cell>
          <cell r="C66" t="str">
            <v>2Q98</v>
          </cell>
          <cell r="D66" t="str">
            <v>6 Mos.</v>
          </cell>
          <cell r="E66" t="str">
            <v>3Q98</v>
          </cell>
          <cell r="F66" t="str">
            <v>9 Mos.</v>
          </cell>
          <cell r="G66" t="str">
            <v>4Q98</v>
          </cell>
          <cell r="H66" t="str">
            <v>F1998</v>
          </cell>
          <cell r="I66" t="str">
            <v>1Q99</v>
          </cell>
          <cell r="J66" t="str">
            <v>2Q99</v>
          </cell>
          <cell r="K66" t="str">
            <v>6 Mos.</v>
          </cell>
          <cell r="L66" t="str">
            <v>3Q99</v>
          </cell>
          <cell r="M66" t="str">
            <v>9 Mos.</v>
          </cell>
          <cell r="N66" t="str">
            <v>4Q99</v>
          </cell>
          <cell r="O66" t="str">
            <v>F1999</v>
          </cell>
          <cell r="P66" t="str">
            <v>1Q00</v>
          </cell>
          <cell r="Q66" t="str">
            <v>2Q00</v>
          </cell>
          <cell r="R66" t="str">
            <v>6 Mos.</v>
          </cell>
          <cell r="S66" t="str">
            <v>3Q00</v>
          </cell>
          <cell r="T66" t="str">
            <v>9 Mos.</v>
          </cell>
          <cell r="U66" t="str">
            <v>4Q00</v>
          </cell>
          <cell r="V66" t="str">
            <v>F2000</v>
          </cell>
          <cell r="W66" t="str">
            <v>1Q01</v>
          </cell>
          <cell r="X66" t="str">
            <v>2Q01</v>
          </cell>
          <cell r="Y66" t="str">
            <v>6 Mos.</v>
          </cell>
          <cell r="Z66" t="str">
            <v>3Q01</v>
          </cell>
          <cell r="AA66" t="str">
            <v>9 Mos.</v>
          </cell>
          <cell r="AB66" t="str">
            <v>4Q01</v>
          </cell>
          <cell r="AC66" t="str">
            <v>F2001</v>
          </cell>
          <cell r="AD66" t="str">
            <v>1Q02</v>
          </cell>
          <cell r="AE66" t="str">
            <v>2Q02</v>
          </cell>
          <cell r="AF66" t="str">
            <v>6 Mos.</v>
          </cell>
          <cell r="AG66" t="str">
            <v>3Q02</v>
          </cell>
          <cell r="AH66" t="str">
            <v>9 Mos.</v>
          </cell>
          <cell r="AI66" t="str">
            <v>4Q02</v>
          </cell>
          <cell r="AJ66" t="str">
            <v>F2002</v>
          </cell>
          <cell r="AK66" t="str">
            <v>1Q03</v>
          </cell>
          <cell r="AL66" t="str">
            <v>2Q03</v>
          </cell>
          <cell r="AM66" t="str">
            <v>6 Mos.</v>
          </cell>
          <cell r="AN66" t="str">
            <v>3Q03</v>
          </cell>
          <cell r="AO66" t="str">
            <v>9 Mos.</v>
          </cell>
          <cell r="AP66" t="str">
            <v>4Q03</v>
          </cell>
          <cell r="AQ66" t="str">
            <v>F2003</v>
          </cell>
          <cell r="AR66" t="str">
            <v>1Q04</v>
          </cell>
          <cell r="AS66" t="str">
            <v>2Q04</v>
          </cell>
          <cell r="AT66" t="str">
            <v>6 Mos.</v>
          </cell>
          <cell r="AU66" t="str">
            <v>3Q04</v>
          </cell>
          <cell r="AV66" t="str">
            <v>9 Mos.</v>
          </cell>
          <cell r="AW66" t="str">
            <v>4Q04</v>
          </cell>
          <cell r="AX66" t="str">
            <v>F2004</v>
          </cell>
          <cell r="AY66" t="str">
            <v>1Q05</v>
          </cell>
          <cell r="AZ66" t="str">
            <v>2Q05</v>
          </cell>
          <cell r="BA66" t="str">
            <v>6 Mos.</v>
          </cell>
          <cell r="BB66" t="str">
            <v>3Q05</v>
          </cell>
          <cell r="BC66" t="str">
            <v>9 Mos.</v>
          </cell>
          <cell r="BD66" t="str">
            <v>4Q05</v>
          </cell>
          <cell r="BE66" t="str">
            <v>F2005</v>
          </cell>
          <cell r="BF66" t="str">
            <v>1Q06</v>
          </cell>
          <cell r="BG66" t="str">
            <v>2Q06</v>
          </cell>
          <cell r="BH66" t="str">
            <v>6 Mos.</v>
          </cell>
          <cell r="BI66" t="str">
            <v>3Q06</v>
          </cell>
          <cell r="BJ66" t="str">
            <v>9 Mos.</v>
          </cell>
          <cell r="BK66" t="str">
            <v>4Q06</v>
          </cell>
          <cell r="BL66" t="str">
            <v>F2006</v>
          </cell>
          <cell r="BM66" t="str">
            <v>1Q07</v>
          </cell>
          <cell r="BN66" t="str">
            <v>2Q07</v>
          </cell>
          <cell r="BO66" t="str">
            <v>3Q07</v>
          </cell>
          <cell r="BP66" t="str">
            <v>4Q07</v>
          </cell>
          <cell r="BQ66" t="str">
            <v>F2007</v>
          </cell>
        </row>
        <row r="67">
          <cell r="B67">
            <v>35736</v>
          </cell>
          <cell r="C67">
            <v>35827</v>
          </cell>
          <cell r="E67">
            <v>35918</v>
          </cell>
          <cell r="G67">
            <v>36009</v>
          </cell>
          <cell r="I67">
            <v>36100</v>
          </cell>
          <cell r="J67">
            <v>36191</v>
          </cell>
          <cell r="L67">
            <v>36282</v>
          </cell>
          <cell r="N67">
            <v>36372</v>
          </cell>
          <cell r="P67">
            <v>36464</v>
          </cell>
          <cell r="Q67">
            <v>36556</v>
          </cell>
          <cell r="S67">
            <v>36646</v>
          </cell>
          <cell r="U67">
            <v>36738</v>
          </cell>
          <cell r="W67">
            <v>36464</v>
          </cell>
          <cell r="X67">
            <v>36556</v>
          </cell>
          <cell r="Z67">
            <v>36646</v>
          </cell>
          <cell r="AB67">
            <v>36738</v>
          </cell>
          <cell r="AD67">
            <v>36464</v>
          </cell>
          <cell r="AE67">
            <v>36556</v>
          </cell>
          <cell r="AG67">
            <v>36646</v>
          </cell>
          <cell r="AI67">
            <v>36738</v>
          </cell>
          <cell r="AK67">
            <v>36464</v>
          </cell>
          <cell r="AL67">
            <v>36556</v>
          </cell>
          <cell r="AN67">
            <v>36646</v>
          </cell>
          <cell r="AP67">
            <v>36738</v>
          </cell>
        </row>
        <row r="68">
          <cell r="A68" t="str">
            <v>US Soup, Sauces and Beverages</v>
          </cell>
          <cell r="W68">
            <v>0.33333333333333331</v>
          </cell>
          <cell r="X68">
            <v>0.34507042253521125</v>
          </cell>
          <cell r="Z68">
            <v>0.2578125</v>
          </cell>
          <cell r="AB68">
            <v>0.22842639593908629</v>
          </cell>
          <cell r="AC68">
            <v>0.30568720379146919</v>
          </cell>
          <cell r="AD68">
            <v>0.28784119106699751</v>
          </cell>
          <cell r="AE68">
            <v>0.26600985221674878</v>
          </cell>
          <cell r="AG68">
            <v>0.20930232558139536</v>
          </cell>
          <cell r="AI68">
            <v>0.17435897435897435</v>
          </cell>
          <cell r="AJ68">
            <v>0.24722662440570523</v>
          </cell>
          <cell r="AK68">
            <v>0.29221556886227545</v>
          </cell>
          <cell r="AL68">
            <v>0.28236607142857145</v>
          </cell>
          <cell r="AN68">
            <v>0.25377643504531722</v>
          </cell>
          <cell r="AP68">
            <v>0.19419237749546278</v>
          </cell>
          <cell r="AQ68">
            <v>0.26222826086956524</v>
          </cell>
          <cell r="AR68">
            <v>0.29444444444444445</v>
          </cell>
          <cell r="AS68">
            <v>0.25894736842105265</v>
          </cell>
          <cell r="AT68">
            <v>0.16898608349900596</v>
          </cell>
          <cell r="AU68">
            <v>0.22135007849293564</v>
          </cell>
          <cell r="AV68">
            <v>0.14890710382513661</v>
          </cell>
          <cell r="AW68">
            <v>0.15264187866927592</v>
          </cell>
          <cell r="AX68">
            <v>0.24349566377585058</v>
          </cell>
          <cell r="AY68">
            <v>0.27565392354124746</v>
          </cell>
          <cell r="AZ68">
            <v>0.22489539748953974</v>
          </cell>
          <cell r="BB68">
            <v>0.23923444976076555</v>
          </cell>
          <cell r="BD68">
            <v>0.19769673704414586</v>
          </cell>
          <cell r="BE68">
            <v>0.2395093608779858</v>
          </cell>
          <cell r="BF68">
            <v>0.28865979381443296</v>
          </cell>
          <cell r="BG68">
            <v>0.23772102161100198</v>
          </cell>
          <cell r="BI68">
            <v>0.23983169705469845</v>
          </cell>
          <cell r="BK68">
            <v>0.20503597122302158</v>
          </cell>
          <cell r="BL68">
            <v>0.24777402517654282</v>
          </cell>
          <cell r="BM68">
            <v>0.30608365019011408</v>
          </cell>
          <cell r="BN68">
            <v>0.26653696498054474</v>
          </cell>
          <cell r="BO68">
            <v>0.2255266418835192</v>
          </cell>
          <cell r="BP68">
            <v>0.19507840329678161</v>
          </cell>
          <cell r="BQ68">
            <v>0.25716757041113664</v>
          </cell>
        </row>
        <row r="69">
          <cell r="A69" t="str">
            <v xml:space="preserve">Other </v>
          </cell>
          <cell r="W69">
            <v>0.24080267558528429</v>
          </cell>
          <cell r="X69">
            <v>0.28343949044585987</v>
          </cell>
          <cell r="Z69">
            <v>0.25899280575539568</v>
          </cell>
          <cell r="AB69">
            <v>0.22962962962962963</v>
          </cell>
          <cell r="AC69">
            <v>0.2540913006029285</v>
          </cell>
          <cell r="AD69">
            <v>0.20447284345047922</v>
          </cell>
          <cell r="AE69">
            <v>0.20376175548589343</v>
          </cell>
          <cell r="AG69">
            <v>0.20289855072463769</v>
          </cell>
          <cell r="AI69">
            <v>0.18613138686131386</v>
          </cell>
          <cell r="AJ69">
            <v>0.19966159052453469</v>
          </cell>
          <cell r="AK69">
            <v>0.11224489795918367</v>
          </cell>
          <cell r="AL69">
            <v>0.20905923344947736</v>
          </cell>
          <cell r="AN69">
            <v>0.1152073732718894</v>
          </cell>
          <cell r="AP69">
            <v>-4.1666666666666664E-2</v>
          </cell>
          <cell r="AQ69">
            <v>0.1152073732718894</v>
          </cell>
          <cell r="AR69">
            <v>0.10628019323671498</v>
          </cell>
          <cell r="AS69">
            <v>0.21283783783783783</v>
          </cell>
          <cell r="AT69">
            <v>0.10332103321033211</v>
          </cell>
          <cell r="AU69">
            <v>0.10480349344978165</v>
          </cell>
          <cell r="AV69">
            <v>9.2346089850249585E-2</v>
          </cell>
          <cell r="AW69">
            <v>-4.6783625730994149E-2</v>
          </cell>
          <cell r="AX69">
            <v>0.11184939091915837</v>
          </cell>
          <cell r="AY69">
            <v>9.0517241379310345E-2</v>
          </cell>
          <cell r="AZ69">
            <v>0.21084337349397592</v>
          </cell>
          <cell r="BB69">
            <v>0.10276679841897234</v>
          </cell>
          <cell r="BD69">
            <v>-6.3829787234042548E-2</v>
          </cell>
          <cell r="BE69">
            <v>0.1044776119402985</v>
          </cell>
          <cell r="BF69">
            <v>9.9236641221374045E-2</v>
          </cell>
          <cell r="BG69">
            <v>0.19658119658119658</v>
          </cell>
          <cell r="BI69">
            <v>9.9630996309963096E-2</v>
          </cell>
          <cell r="BK69">
            <v>-0.06</v>
          </cell>
          <cell r="BL69">
            <v>0.1014760147601476</v>
          </cell>
          <cell r="BM69">
            <v>9.5940959409594101E-2</v>
          </cell>
          <cell r="BN69">
            <v>0.19125683060109289</v>
          </cell>
          <cell r="BO69">
            <v>8.2142857142857142E-2</v>
          </cell>
          <cell r="BP69">
            <v>-4.9781712117696879E-2</v>
          </cell>
          <cell r="BQ69">
            <v>9.6682401257055059E-2</v>
          </cell>
        </row>
        <row r="70">
          <cell r="A70" t="str">
            <v>Baking and Snacking</v>
          </cell>
          <cell r="W70">
            <v>0.1226158038147139</v>
          </cell>
          <cell r="X70">
            <v>0.20941176470588235</v>
          </cell>
          <cell r="Z70">
            <v>0.12609970674486803</v>
          </cell>
          <cell r="AB70">
            <v>0.10828025477707007</v>
          </cell>
          <cell r="AC70">
            <v>0.14581893572909468</v>
          </cell>
          <cell r="AD70">
            <v>9.7625329815303433E-2</v>
          </cell>
          <cell r="AE70">
            <v>0.18691588785046728</v>
          </cell>
          <cell r="AG70">
            <v>0.12885154061624648</v>
          </cell>
          <cell r="AI70">
            <v>9.3294460641399415E-2</v>
          </cell>
          <cell r="AJ70">
            <v>0.12939615129396151</v>
          </cell>
          <cell r="AK70">
            <v>0.10850439882697947</v>
          </cell>
          <cell r="AL70">
            <v>0.13196480938416422</v>
          </cell>
          <cell r="AN70">
            <v>6.8965517241379309E-2</v>
          </cell>
          <cell r="AP70">
            <v>0.13819095477386933</v>
          </cell>
          <cell r="AQ70">
            <v>0.11274509803921569</v>
          </cell>
          <cell r="AR70">
            <v>0.10096153846153846</v>
          </cell>
          <cell r="AS70">
            <v>0.10579345088161209</v>
          </cell>
          <cell r="AT70">
            <v>0.13997627520759193</v>
          </cell>
          <cell r="AU70">
            <v>6.9408740359897178E-2</v>
          </cell>
          <cell r="AV70">
            <v>0.1394422310756972</v>
          </cell>
          <cell r="AW70">
            <v>0.13381995133819952</v>
          </cell>
          <cell r="AX70">
            <v>0.10291382517048978</v>
          </cell>
          <cell r="AY70">
            <v>9.7995545657015584E-2</v>
          </cell>
          <cell r="AZ70">
            <v>0.10392609699769054</v>
          </cell>
          <cell r="BB70">
            <v>8.076009501187649E-2</v>
          </cell>
          <cell r="BD70">
            <v>0.15261958997722094</v>
          </cell>
          <cell r="BE70">
            <v>0.10907003444316878</v>
          </cell>
          <cell r="BF70">
            <v>9.8253275109170299E-2</v>
          </cell>
          <cell r="BG70">
            <v>9.3240093240093247E-2</v>
          </cell>
          <cell r="BI70">
            <v>8.2938388625592413E-2</v>
          </cell>
          <cell r="BK70">
            <v>0.14155251141552511</v>
          </cell>
          <cell r="BL70">
            <v>0.10417859187178019</v>
          </cell>
          <cell r="BM70">
            <v>0.14049586776859505</v>
          </cell>
          <cell r="BN70">
            <v>0.11894273127753303</v>
          </cell>
          <cell r="BO70">
            <v>0.10430839002267574</v>
          </cell>
          <cell r="BP70">
            <v>0.14499933501795439</v>
          </cell>
          <cell r="BQ70">
            <v>0.12753942321352463</v>
          </cell>
        </row>
        <row r="71">
          <cell r="A71" t="str">
            <v>International Soups and Sauces</v>
          </cell>
          <cell r="W71">
            <v>9.9290780141843976E-2</v>
          </cell>
          <cell r="X71">
            <v>0.11585365853658537</v>
          </cell>
          <cell r="Z71">
            <v>0.1</v>
          </cell>
          <cell r="AB71">
            <v>2.1390374331550801E-2</v>
          </cell>
          <cell r="AC71">
            <v>8.0696202531645569E-2</v>
          </cell>
          <cell r="AD71">
            <v>0.12554112554112554</v>
          </cell>
          <cell r="AE71">
            <v>0.11553784860557768</v>
          </cell>
          <cell r="AG71">
            <v>8.5585585585585586E-2</v>
          </cell>
          <cell r="AI71">
            <v>7.407407407407407E-2</v>
          </cell>
          <cell r="AJ71">
            <v>0.1</v>
          </cell>
          <cell r="AK71">
            <v>0.12612612612612611</v>
          </cell>
          <cell r="AL71">
            <v>0.14213197969543148</v>
          </cell>
          <cell r="AN71">
            <v>0.1581769436997319</v>
          </cell>
          <cell r="AP71">
            <v>0.13017751479289941</v>
          </cell>
          <cell r="AQ71">
            <v>0.13977746870653684</v>
          </cell>
          <cell r="AR71">
            <v>0.13730569948186527</v>
          </cell>
          <cell r="AS71">
            <v>0.14223194748358861</v>
          </cell>
          <cell r="AT71" t="e">
            <v>#DIV/0!</v>
          </cell>
          <cell r="AU71">
            <v>0.13834951456310679</v>
          </cell>
          <cell r="AV71" t="e">
            <v>#DIV/0!</v>
          </cell>
          <cell r="AW71">
            <v>8.8235294117647065E-2</v>
          </cell>
          <cell r="AX71">
            <v>0.12852664576802508</v>
          </cell>
          <cell r="AY71">
            <v>0.12980769230769232</v>
          </cell>
          <cell r="AZ71">
            <v>0.13745019920318724</v>
          </cell>
          <cell r="BB71">
            <v>0.13333333333333333</v>
          </cell>
          <cell r="BD71">
            <v>0.10285714285714286</v>
          </cell>
          <cell r="BE71">
            <v>0.12742219612448621</v>
          </cell>
          <cell r="BF71">
            <v>0.13095238095238096</v>
          </cell>
          <cell r="BG71">
            <v>0.16770186335403728</v>
          </cell>
          <cell r="BI71">
            <v>0.16279069767441862</v>
          </cell>
          <cell r="BK71">
            <v>1.9230769230769232E-2</v>
          </cell>
          <cell r="BL71">
            <v>0.13245448838669177</v>
          </cell>
          <cell r="BM71">
            <v>0.13872832369942195</v>
          </cell>
          <cell r="BN71">
            <v>0.14603960396039603</v>
          </cell>
          <cell r="BO71">
            <v>0.12647058823529411</v>
          </cell>
          <cell r="BP71">
            <v>-6.8461538461538508E-3</v>
          </cell>
          <cell r="BQ71">
            <v>0.10979259259259259</v>
          </cell>
        </row>
        <row r="72">
          <cell r="A72" t="str">
            <v>Soup &amp; Sauces</v>
          </cell>
          <cell r="B72">
            <v>0.30534979423868314</v>
          </cell>
          <cell r="C72">
            <v>0.28597252349963848</v>
          </cell>
          <cell r="D72">
            <v>0.29503464203233254</v>
          </cell>
          <cell r="E72">
            <v>0.24185861795075456</v>
          </cell>
          <cell r="F72">
            <v>0.28017863086652617</v>
          </cell>
          <cell r="G72">
            <v>0.2845488859125776</v>
          </cell>
          <cell r="H72">
            <v>0.28098949508641136</v>
          </cell>
          <cell r="I72">
            <v>0.30229417608344716</v>
          </cell>
          <cell r="J72">
            <v>0.22718385860639712</v>
          </cell>
          <cell r="K72">
            <v>0.26488208851736145</v>
          </cell>
          <cell r="L72">
            <v>0.24599089289249654</v>
          </cell>
          <cell r="M72">
            <v>0.25954749006255973</v>
          </cell>
          <cell r="N72">
            <v>0.21840984382394699</v>
          </cell>
          <cell r="O72">
            <v>0.25168566764196465</v>
          </cell>
          <cell r="P72">
            <v>0.27794186227265666</v>
          </cell>
          <cell r="Q72">
            <v>0.29322548028311429</v>
          </cell>
          <cell r="R72">
            <v>0.28586403114705006</v>
          </cell>
          <cell r="S72">
            <v>0.21475944836298558</v>
          </cell>
          <cell r="T72">
            <v>0.26721162077821659</v>
          </cell>
          <cell r="U72">
            <v>0.14652157015157402</v>
          </cell>
          <cell r="V72">
            <v>0.24600500796722058</v>
          </cell>
          <cell r="W72">
            <v>0.25179744878237342</v>
          </cell>
          <cell r="X72">
            <v>0.27052900297830096</v>
          </cell>
          <cell r="Y72">
            <v>0.26156748159928989</v>
          </cell>
          <cell r="Z72">
            <v>0.20639623991008479</v>
          </cell>
          <cell r="AA72">
            <v>0.24690419291766244</v>
          </cell>
          <cell r="AB72">
            <v>0.11752433936022261</v>
          </cell>
          <cell r="AC72">
            <v>0.30568720379146919</v>
          </cell>
          <cell r="AE72" t="e">
            <v>#DIV/0!</v>
          </cell>
          <cell r="AF72" t="e">
            <v>#DIV/0!</v>
          </cell>
          <cell r="AG72" t="e">
            <v>#DIV/0!</v>
          </cell>
          <cell r="AH72" t="e">
            <v>#DIV/0!</v>
          </cell>
          <cell r="AI72" t="e">
            <v>#DIV/0!</v>
          </cell>
          <cell r="AJ72" t="e">
            <v>#DIV/0!</v>
          </cell>
          <cell r="AL72" t="e">
            <v>#DIV/0!</v>
          </cell>
          <cell r="AM72" t="e">
            <v>#DIV/0!</v>
          </cell>
          <cell r="AN72" t="e">
            <v>#DIV/0!</v>
          </cell>
          <cell r="AO72" t="e">
            <v>#DIV/0!</v>
          </cell>
          <cell r="AP72" t="e">
            <v>#DIV/0!</v>
          </cell>
          <cell r="AQ72" t="e">
            <v>#DIV/0!</v>
          </cell>
          <cell r="AT72" t="e">
            <v>#DIV/0!</v>
          </cell>
          <cell r="AU72" t="e">
            <v>#DIV/0!</v>
          </cell>
          <cell r="AV72" t="e">
            <v>#DIV/0!</v>
          </cell>
          <cell r="AW72" t="e">
            <v>#DIV/0!</v>
          </cell>
          <cell r="AX72" t="e">
            <v>#DIV/0!</v>
          </cell>
          <cell r="BD72" t="e">
            <v>#DIV/0!</v>
          </cell>
          <cell r="BE72" t="e">
            <v>#DIV/0!</v>
          </cell>
          <cell r="BK72" t="e">
            <v>#DIV/0!</v>
          </cell>
          <cell r="BL72" t="e">
            <v>#DIV/0!</v>
          </cell>
          <cell r="BP72" t="e">
            <v>#DIV/0!</v>
          </cell>
          <cell r="BQ72" t="e">
            <v>#DIV/0!</v>
          </cell>
        </row>
        <row r="73">
          <cell r="A73" t="str">
            <v>Biscuits &amp; Confectionary</v>
          </cell>
          <cell r="B73">
            <v>0.14450159196669116</v>
          </cell>
          <cell r="C73">
            <v>0.17733644859813086</v>
          </cell>
          <cell r="D73">
            <v>0.16130575152457255</v>
          </cell>
          <cell r="E73">
            <v>0.10978652619905739</v>
          </cell>
          <cell r="F73">
            <v>0.14578111946532998</v>
          </cell>
          <cell r="G73">
            <v>0.17332513829133375</v>
          </cell>
          <cell r="H73">
            <v>0.15166841828691538</v>
          </cell>
          <cell r="I73">
            <v>0.16022099447513813</v>
          </cell>
          <cell r="J73">
            <v>0.17506761740840915</v>
          </cell>
          <cell r="K73">
            <v>0.16807597242097044</v>
          </cell>
          <cell r="L73">
            <v>0.13070356196644098</v>
          </cell>
          <cell r="M73">
            <v>0.15662215806568025</v>
          </cell>
          <cell r="N73">
            <v>0.1327930174563591</v>
          </cell>
          <cell r="O73">
            <v>0.15127343968653792</v>
          </cell>
          <cell r="P73">
            <v>0.14673086670045618</v>
          </cell>
          <cell r="Q73">
            <v>0.17708570129574902</v>
          </cell>
          <cell r="R73">
            <v>0.16273217495506292</v>
          </cell>
          <cell r="S73">
            <v>0.11464276011953274</v>
          </cell>
          <cell r="T73">
            <v>0.14801263928155664</v>
          </cell>
          <cell r="U73">
            <v>0.10276796230859835</v>
          </cell>
          <cell r="V73">
            <v>0.13804953961872651</v>
          </cell>
          <cell r="W73">
            <v>0.11531925224569069</v>
          </cell>
          <cell r="X73">
            <v>0.19667170953101362</v>
          </cell>
          <cell r="Y73">
            <v>0.15835810656300023</v>
          </cell>
          <cell r="Z73">
            <v>0.12162162162162161</v>
          </cell>
          <cell r="AA73">
            <v>0.14713355566142608</v>
          </cell>
          <cell r="AB73">
            <v>-1.1148373983739825</v>
          </cell>
          <cell r="AC73">
            <v>0.2540913006029285</v>
          </cell>
          <cell r="AE73" t="e">
            <v>#DIV/0!</v>
          </cell>
          <cell r="AF73" t="e">
            <v>#DIV/0!</v>
          </cell>
          <cell r="AG73" t="e">
            <v>#DIV/0!</v>
          </cell>
          <cell r="AH73" t="e">
            <v>#DIV/0!</v>
          </cell>
          <cell r="AI73" t="e">
            <v>#DIV/0!</v>
          </cell>
          <cell r="AJ73" t="e">
            <v>#DIV/0!</v>
          </cell>
          <cell r="AL73" t="e">
            <v>#DIV/0!</v>
          </cell>
          <cell r="AM73" t="e">
            <v>#DIV/0!</v>
          </cell>
          <cell r="AN73" t="e">
            <v>#DIV/0!</v>
          </cell>
          <cell r="AO73" t="e">
            <v>#DIV/0!</v>
          </cell>
          <cell r="AP73" t="e">
            <v>#DIV/0!</v>
          </cell>
          <cell r="AQ73" t="e">
            <v>#DIV/0!</v>
          </cell>
          <cell r="AT73" t="e">
            <v>#DIV/0!</v>
          </cell>
          <cell r="AU73" t="e">
            <v>#DIV/0!</v>
          </cell>
          <cell r="AV73" t="e">
            <v>#DIV/0!</v>
          </cell>
          <cell r="AW73" t="e">
            <v>#DIV/0!</v>
          </cell>
          <cell r="AX73" t="e">
            <v>#DIV/0!</v>
          </cell>
          <cell r="BD73" t="e">
            <v>#DIV/0!</v>
          </cell>
          <cell r="BE73" t="e">
            <v>#DIV/0!</v>
          </cell>
          <cell r="BK73" t="e">
            <v>#DIV/0!</v>
          </cell>
          <cell r="BL73" t="e">
            <v>#DIV/0!</v>
          </cell>
          <cell r="BP73" t="e">
            <v>#DIV/0!</v>
          </cell>
          <cell r="BQ73" t="e">
            <v>#DIV/0!</v>
          </cell>
        </row>
        <row r="74">
          <cell r="A74" t="str">
            <v>Foodservice/Away From Home</v>
          </cell>
          <cell r="B74">
            <v>0.14018691588785046</v>
          </cell>
          <cell r="C74">
            <v>0.13559322033898305</v>
          </cell>
          <cell r="D74">
            <v>0.13777777777777778</v>
          </cell>
          <cell r="E74">
            <v>0.11053089643167971</v>
          </cell>
          <cell r="F74">
            <v>0.12856722565460432</v>
          </cell>
          <cell r="G74">
            <v>0.11946902654867257</v>
          </cell>
          <cell r="H74">
            <v>0.12629719584897331</v>
          </cell>
          <cell r="I74">
            <v>0.12845849802371542</v>
          </cell>
          <cell r="J74">
            <v>0.12676056338028169</v>
          </cell>
          <cell r="K74">
            <v>0.1275822494261668</v>
          </cell>
          <cell r="L74">
            <v>0.10746513535684987</v>
          </cell>
          <cell r="M74">
            <v>0.12118445082181062</v>
          </cell>
          <cell r="N74">
            <v>0.11263073209975866</v>
          </cell>
          <cell r="O74">
            <v>0.11908983451536645</v>
          </cell>
          <cell r="P74">
            <v>9.9930118798043338E-2</v>
          </cell>
          <cell r="Q74">
            <v>0.10934393638170974</v>
          </cell>
          <cell r="R74">
            <v>0.10476190476190476</v>
          </cell>
          <cell r="S74">
            <v>9.0322580645161285E-2</v>
          </cell>
          <cell r="T74">
            <v>0.10011534025374856</v>
          </cell>
          <cell r="U74">
            <v>7.0830159939070825E-2</v>
          </cell>
          <cell r="V74">
            <v>9.3307365439093501E-2</v>
          </cell>
          <cell r="W74">
            <v>0.10839160839160839</v>
          </cell>
          <cell r="X74">
            <v>0.11890838206627682</v>
          </cell>
          <cell r="Y74">
            <v>0.11384304479622769</v>
          </cell>
          <cell r="Z74">
            <v>9.4405594405594401E-2</v>
          </cell>
          <cell r="AA74">
            <v>0.10752443737213002</v>
          </cell>
          <cell r="AB74">
            <v>0.16370142132988766</v>
          </cell>
          <cell r="AC74">
            <v>0.14661134163208853</v>
          </cell>
          <cell r="AE74" t="e">
            <v>#DIV/0!</v>
          </cell>
          <cell r="AF74" t="e">
            <v>#DIV/0!</v>
          </cell>
          <cell r="AG74" t="e">
            <v>#DIV/0!</v>
          </cell>
          <cell r="AH74" t="e">
            <v>#DIV/0!</v>
          </cell>
          <cell r="AI74" t="e">
            <v>#DIV/0!</v>
          </cell>
          <cell r="AJ74" t="e">
            <v>#DIV/0!</v>
          </cell>
          <cell r="AL74" t="e">
            <v>#DIV/0!</v>
          </cell>
          <cell r="AM74" t="e">
            <v>#DIV/0!</v>
          </cell>
          <cell r="AN74" t="e">
            <v>#DIV/0!</v>
          </cell>
          <cell r="AO74" t="e">
            <v>#DIV/0!</v>
          </cell>
          <cell r="AP74" t="e">
            <v>#DIV/0!</v>
          </cell>
          <cell r="AQ74" t="e">
            <v>#DIV/0!</v>
          </cell>
          <cell r="AT74" t="e">
            <v>#DIV/0!</v>
          </cell>
          <cell r="AU74" t="e">
            <v>#DIV/0!</v>
          </cell>
          <cell r="AV74" t="e">
            <v>#DIV/0!</v>
          </cell>
          <cell r="AW74" t="e">
            <v>#DIV/0!</v>
          </cell>
          <cell r="AX74" t="e">
            <v>#DIV/0!</v>
          </cell>
          <cell r="BD74" t="e">
            <v>#DIV/0!</v>
          </cell>
          <cell r="BE74" t="e">
            <v>#DIV/0!</v>
          </cell>
          <cell r="BK74" t="e">
            <v>#DIV/0!</v>
          </cell>
          <cell r="BL74" t="e">
            <v>#DIV/0!</v>
          </cell>
          <cell r="BP74" t="e">
            <v>#DIV/0!</v>
          </cell>
          <cell r="BQ74" t="e">
            <v>#DIV/0!</v>
          </cell>
        </row>
        <row r="75">
          <cell r="A75" t="str">
            <v>Other</v>
          </cell>
          <cell r="B75">
            <v>9.5757923968208362E-3</v>
          </cell>
          <cell r="C75">
            <v>4.834187373102581E-2</v>
          </cell>
          <cell r="D75">
            <v>2.8865582603675548E-2</v>
          </cell>
          <cell r="E75">
            <v>3.601694915254243E-2</v>
          </cell>
          <cell r="F75">
            <v>3.1099053794746263E-2</v>
          </cell>
          <cell r="G75">
            <v>8.8019559902200492E-2</v>
          </cell>
          <cell r="H75">
            <v>3.7883203170532717E-2</v>
          </cell>
          <cell r="I75">
            <v>7.8085642317380355E-2</v>
          </cell>
          <cell r="J75">
            <v>0.10364145658263305</v>
          </cell>
          <cell r="K75">
            <v>9.0185676392572953E-2</v>
          </cell>
          <cell r="L75">
            <v>-1.6279069767441864E-2</v>
          </cell>
          <cell r="M75">
            <v>5.6830601092896171E-2</v>
          </cell>
          <cell r="N75">
            <v>9.1463414634146353E-2</v>
          </cell>
          <cell r="O75">
            <v>6.133122028526148E-2</v>
          </cell>
          <cell r="P75">
            <v>9.2307692307692299E-2</v>
          </cell>
          <cell r="Q75">
            <v>5.8139534883720929E-2</v>
          </cell>
          <cell r="R75">
            <v>7.8703703703703692E-2</v>
          </cell>
          <cell r="S75">
            <v>-0.20370370370370372</v>
          </cell>
          <cell r="T75">
            <v>2.2222222222222216E-2</v>
          </cell>
          <cell r="U75">
            <v>0.14285714285714288</v>
          </cell>
          <cell r="V75">
            <v>2.5270758122743677E-2</v>
          </cell>
          <cell r="W75">
            <v>0.25</v>
          </cell>
          <cell r="X75">
            <v>0.13333333333333333</v>
          </cell>
          <cell r="Y75">
            <v>0.18518518518518517</v>
          </cell>
          <cell r="Z75">
            <v>0.25</v>
          </cell>
          <cell r="AA75">
            <v>0.19999999999999998</v>
          </cell>
          <cell r="AB75">
            <v>8.0031821797931585E-2</v>
          </cell>
          <cell r="AC75">
            <v>8.0696202531645569E-2</v>
          </cell>
          <cell r="AE75" t="e">
            <v>#DIV/0!</v>
          </cell>
          <cell r="AF75" t="e">
            <v>#DIV/0!</v>
          </cell>
          <cell r="AG75" t="e">
            <v>#DIV/0!</v>
          </cell>
          <cell r="AH75" t="e">
            <v>#DIV/0!</v>
          </cell>
          <cell r="AI75" t="e">
            <v>#DIV/0!</v>
          </cell>
          <cell r="AJ75" t="e">
            <v>#DIV/0!</v>
          </cell>
          <cell r="AL75" t="e">
            <v>#DIV/0!</v>
          </cell>
          <cell r="AM75" t="e">
            <v>#DIV/0!</v>
          </cell>
          <cell r="AN75" t="e">
            <v>#DIV/0!</v>
          </cell>
          <cell r="AO75" t="e">
            <v>#DIV/0!</v>
          </cell>
          <cell r="AP75" t="e">
            <v>#DIV/0!</v>
          </cell>
          <cell r="AQ75" t="e">
            <v>#DIV/0!</v>
          </cell>
          <cell r="AT75" t="e">
            <v>#DIV/0!</v>
          </cell>
          <cell r="AU75" t="e">
            <v>#DIV/0!</v>
          </cell>
          <cell r="AV75" t="e">
            <v>#DIV/0!</v>
          </cell>
          <cell r="AW75" t="e">
            <v>#DIV/0!</v>
          </cell>
          <cell r="AX75" t="e">
            <v>#DIV/0!</v>
          </cell>
          <cell r="BD75" t="e">
            <v>#DIV/0!</v>
          </cell>
          <cell r="BE75" t="e">
            <v>#DIV/0!</v>
          </cell>
          <cell r="BK75" t="e">
            <v>#DIV/0!</v>
          </cell>
          <cell r="BL75" t="e">
            <v>#DIV/0!</v>
          </cell>
          <cell r="BP75" t="e">
            <v>#DIV/0!</v>
          </cell>
          <cell r="BQ75" t="e">
            <v>#DIV/0!</v>
          </cell>
        </row>
        <row r="76">
          <cell r="N76" t="str">
            <v xml:space="preserve"> </v>
          </cell>
          <cell r="AT76" t="e">
            <v>#DIV/0!</v>
          </cell>
          <cell r="AV76" t="e">
            <v>#DIV/0!</v>
          </cell>
        </row>
        <row r="77">
          <cell r="A77" t="str">
            <v>Total profit margin</v>
          </cell>
          <cell r="B77">
            <v>0.23547837404112876</v>
          </cell>
          <cell r="C77">
            <v>0.24124888793904661</v>
          </cell>
          <cell r="D77">
            <v>0.23851349938306463</v>
          </cell>
          <cell r="E77">
            <v>0.17718539254358054</v>
          </cell>
          <cell r="F77">
            <v>0.22065308421466104</v>
          </cell>
          <cell r="G77">
            <v>0.23494996150885294</v>
          </cell>
          <cell r="H77">
            <v>0.22342656089460233</v>
          </cell>
          <cell r="I77">
            <v>0.24774350217333452</v>
          </cell>
          <cell r="J77">
            <v>0.20274032425350724</v>
          </cell>
          <cell r="K77">
            <v>0.22506725199280442</v>
          </cell>
          <cell r="L77">
            <v>0.1904631056899671</v>
          </cell>
          <cell r="M77">
            <v>0.2149978157763355</v>
          </cell>
          <cell r="N77">
            <v>0.17416467320009257</v>
          </cell>
          <cell r="O77">
            <v>0.20676009328131667</v>
          </cell>
          <cell r="P77">
            <v>0.22570188451184006</v>
          </cell>
          <cell r="Q77">
            <v>0.24040660736975858</v>
          </cell>
          <cell r="R77">
            <v>0.23334037385151551</v>
          </cell>
          <cell r="S77">
            <v>0.16906474820143882</v>
          </cell>
          <cell r="T77">
            <v>0.21558511044867382</v>
          </cell>
          <cell r="U77">
            <v>0.11107505070993916</v>
          </cell>
          <cell r="V77">
            <v>0.19566326925158914</v>
          </cell>
          <cell r="W77">
            <v>0.22928526249209361</v>
          </cell>
          <cell r="X77">
            <v>0.26216524216524217</v>
          </cell>
          <cell r="Y77">
            <v>0.24658273381294965</v>
          </cell>
          <cell r="Z77">
            <v>0.18630999213217939</v>
          </cell>
          <cell r="AA77">
            <v>0.23028000868243978</v>
          </cell>
          <cell r="AB77">
            <v>0.12738197424892703</v>
          </cell>
          <cell r="AC77">
            <v>0.20946109859643042</v>
          </cell>
          <cell r="AD77">
            <v>0.19144013880855987</v>
          </cell>
          <cell r="AE77">
            <v>0.19723756906077347</v>
          </cell>
          <cell r="AF77">
            <v>0</v>
          </cell>
          <cell r="AG77">
            <v>0.14296134208606856</v>
          </cell>
          <cell r="AH77">
            <v>0</v>
          </cell>
          <cell r="AI77">
            <v>9.8937040065412915E-2</v>
          </cell>
          <cell r="AJ77">
            <v>0.16370454916028046</v>
          </cell>
          <cell r="AK77">
            <v>0.19354838709677419</v>
          </cell>
          <cell r="AL77">
            <v>0.20072992700729927</v>
          </cell>
          <cell r="AM77">
            <v>0</v>
          </cell>
          <cell r="AN77">
            <v>0.14687500000000001</v>
          </cell>
          <cell r="AO77">
            <v>0</v>
          </cell>
          <cell r="AP77">
            <v>0.10652920962199312</v>
          </cell>
          <cell r="AQ77">
            <v>0.16546870320455226</v>
          </cell>
          <cell r="AR77">
            <v>0.18543740178103718</v>
          </cell>
          <cell r="AS77">
            <v>0.18523809523809523</v>
          </cell>
          <cell r="AT77">
            <v>0.1853330007483163</v>
          </cell>
          <cell r="AU77">
            <v>0.13497300539892021</v>
          </cell>
          <cell r="AV77">
            <v>0.17054263565891473</v>
          </cell>
          <cell r="AW77">
            <v>0.10746685275645498</v>
          </cell>
          <cell r="AX77">
            <v>0.1578281052187368</v>
          </cell>
          <cell r="AY77">
            <v>0.17742706838833094</v>
          </cell>
          <cell r="AZ77">
            <v>0.16959064327485379</v>
          </cell>
          <cell r="BA77">
            <v>0.17338896615669913</v>
          </cell>
          <cell r="BB77">
            <v>0.14285714285714285</v>
          </cell>
          <cell r="BD77">
            <v>0.11415220293724966</v>
          </cell>
          <cell r="BE77">
            <v>0.15461049284578696</v>
          </cell>
          <cell r="BF77">
            <v>0.18388625592417063</v>
          </cell>
          <cell r="BG77">
            <v>0.17667689609820253</v>
          </cell>
          <cell r="BH77">
            <v>0.18014119790480529</v>
          </cell>
          <cell r="BI77">
            <v>0.14978213507625274</v>
          </cell>
          <cell r="BK77">
            <v>9.5598349381017883E-2</v>
          </cell>
          <cell r="BL77">
            <v>0.15688061450331989</v>
          </cell>
          <cell r="BM77">
            <v>0.20343706456107757</v>
          </cell>
          <cell r="BN77">
            <v>0.18738898756660746</v>
          </cell>
          <cell r="BO77">
            <v>0.13972162740899358</v>
          </cell>
          <cell r="BP77">
            <v>8.9581365076870437E-2</v>
          </cell>
          <cell r="BQ77">
            <v>0.16158769905005457</v>
          </cell>
        </row>
        <row r="78">
          <cell r="N78" t="str">
            <v xml:space="preserve"> </v>
          </cell>
        </row>
        <row r="79">
          <cell r="N79" t="str">
            <v xml:space="preserve"> </v>
          </cell>
        </row>
        <row r="80">
          <cell r="N80" t="str">
            <v xml:space="preserve"> </v>
          </cell>
        </row>
        <row r="81">
          <cell r="A81" t="str">
            <v>Campbell Soup</v>
          </cell>
        </row>
        <row r="82">
          <cell r="A82" t="str">
            <v>Quarterly Income Statement</v>
          </cell>
        </row>
        <row r="83">
          <cell r="A83" t="str">
            <v>($ Millions Except Per Share Data)</v>
          </cell>
        </row>
        <row r="85">
          <cell r="B85" t="str">
            <v>1Q98</v>
          </cell>
          <cell r="C85" t="str">
            <v>2Q98</v>
          </cell>
          <cell r="D85" t="str">
            <v>6 Mos.</v>
          </cell>
          <cell r="E85" t="str">
            <v>3Q98</v>
          </cell>
          <cell r="F85" t="str">
            <v>9 Mos.</v>
          </cell>
          <cell r="G85" t="str">
            <v>4Q98</v>
          </cell>
          <cell r="H85" t="str">
            <v>F1998</v>
          </cell>
          <cell r="I85" t="str">
            <v>1Q99</v>
          </cell>
          <cell r="J85" t="str">
            <v>2Q99</v>
          </cell>
          <cell r="K85" t="str">
            <v>6 Mos.</v>
          </cell>
          <cell r="L85" t="str">
            <v>3Q99</v>
          </cell>
          <cell r="M85" t="str">
            <v>9 Mos.</v>
          </cell>
          <cell r="N85" t="str">
            <v>4Q99</v>
          </cell>
          <cell r="O85" t="str">
            <v>F1999</v>
          </cell>
          <cell r="P85" t="str">
            <v>1Q00</v>
          </cell>
          <cell r="Q85" t="str">
            <v>2Q00</v>
          </cell>
          <cell r="R85" t="str">
            <v>6 Mos.</v>
          </cell>
          <cell r="S85" t="str">
            <v>3Q00</v>
          </cell>
          <cell r="T85" t="str">
            <v>9 Mos.</v>
          </cell>
          <cell r="U85" t="str">
            <v>4Q00</v>
          </cell>
          <cell r="V85" t="str">
            <v>F2000</v>
          </cell>
          <cell r="W85" t="str">
            <v>1Q01</v>
          </cell>
          <cell r="X85" t="str">
            <v>2Q01</v>
          </cell>
          <cell r="Y85" t="str">
            <v>6 Mos.</v>
          </cell>
          <cell r="Z85" t="str">
            <v>3Q01</v>
          </cell>
          <cell r="AA85" t="str">
            <v>9 Mos.</v>
          </cell>
          <cell r="AB85" t="str">
            <v>4Q01</v>
          </cell>
          <cell r="AC85" t="str">
            <v>F2001</v>
          </cell>
          <cell r="AD85" t="str">
            <v>1Q02</v>
          </cell>
          <cell r="AE85" t="str">
            <v>2Q02</v>
          </cell>
          <cell r="AF85" t="str">
            <v>6 Mos.</v>
          </cell>
          <cell r="AG85" t="str">
            <v>3Q02</v>
          </cell>
          <cell r="AH85" t="str">
            <v>9 Mos.</v>
          </cell>
          <cell r="AI85" t="str">
            <v>4Q02</v>
          </cell>
          <cell r="AJ85" t="str">
            <v>F2002</v>
          </cell>
          <cell r="AK85" t="str">
            <v>1Q03</v>
          </cell>
          <cell r="AL85" t="str">
            <v>2Q03</v>
          </cell>
          <cell r="AM85" t="str">
            <v>6 Mos.</v>
          </cell>
          <cell r="AN85" t="str">
            <v>3Q03</v>
          </cell>
          <cell r="AO85" t="str">
            <v>9 Mos.</v>
          </cell>
          <cell r="AP85" t="str">
            <v>4Q03</v>
          </cell>
          <cell r="AQ85" t="str">
            <v>F2003</v>
          </cell>
          <cell r="AR85" t="str">
            <v>1Q04</v>
          </cell>
          <cell r="AS85" t="str">
            <v>2Q04</v>
          </cell>
          <cell r="AT85" t="str">
            <v>6 Mos.</v>
          </cell>
          <cell r="AU85" t="str">
            <v>3Q04</v>
          </cell>
          <cell r="AV85" t="str">
            <v>9 Mos.</v>
          </cell>
          <cell r="AW85" t="str">
            <v>4Q04</v>
          </cell>
          <cell r="AX85" t="str">
            <v>F2004</v>
          </cell>
          <cell r="AY85" t="str">
            <v>1Q05</v>
          </cell>
          <cell r="AZ85" t="str">
            <v>2Q05</v>
          </cell>
          <cell r="BA85" t="str">
            <v>6 Mos.</v>
          </cell>
          <cell r="BB85" t="str">
            <v>3Q05</v>
          </cell>
          <cell r="BC85" t="str">
            <v>9 Mos.</v>
          </cell>
          <cell r="BD85" t="str">
            <v>4Q05</v>
          </cell>
          <cell r="BE85" t="str">
            <v>F2005</v>
          </cell>
          <cell r="BF85" t="str">
            <v>1Q06</v>
          </cell>
          <cell r="BG85" t="str">
            <v>2Q06</v>
          </cell>
          <cell r="BH85" t="str">
            <v>6 Mos.</v>
          </cell>
          <cell r="BI85" t="str">
            <v>3Q06</v>
          </cell>
          <cell r="BJ85" t="str">
            <v>9 Mos.</v>
          </cell>
          <cell r="BK85" t="str">
            <v>4Q06</v>
          </cell>
          <cell r="BL85" t="str">
            <v>F2006</v>
          </cell>
          <cell r="BM85" t="str">
            <v>1Q07</v>
          </cell>
          <cell r="BN85" t="str">
            <v>2Q07</v>
          </cell>
          <cell r="BO85" t="str">
            <v>3Q07</v>
          </cell>
          <cell r="BP85" t="str">
            <v>4Q07</v>
          </cell>
          <cell r="BQ85" t="str">
            <v>F2007</v>
          </cell>
        </row>
        <row r="86">
          <cell r="A86" t="str">
            <v>Net sales</v>
          </cell>
          <cell r="B86">
            <v>1813</v>
          </cell>
          <cell r="C86">
            <v>2012</v>
          </cell>
          <cell r="D86">
            <v>3825</v>
          </cell>
          <cell r="E86">
            <v>1572</v>
          </cell>
          <cell r="F86">
            <v>5397</v>
          </cell>
          <cell r="G86">
            <v>1299.1599999999999</v>
          </cell>
          <cell r="H86">
            <v>6696.16</v>
          </cell>
          <cell r="I86">
            <v>1804</v>
          </cell>
          <cell r="J86">
            <v>1831.9</v>
          </cell>
          <cell r="K86">
            <v>3635.9</v>
          </cell>
          <cell r="L86">
            <v>1492</v>
          </cell>
          <cell r="M86">
            <v>5127.8999999999996</v>
          </cell>
          <cell r="N86">
            <v>1295.9000000000001</v>
          </cell>
          <cell r="O86">
            <v>6423.7999999999993</v>
          </cell>
          <cell r="P86">
            <v>1820.0999999999997</v>
          </cell>
          <cell r="Q86">
            <v>1967.5</v>
          </cell>
          <cell r="R86">
            <v>3787.5999999999995</v>
          </cell>
          <cell r="S86">
            <v>1445.6000000000001</v>
          </cell>
          <cell r="T86">
            <v>5233.2</v>
          </cell>
          <cell r="U86">
            <v>1232.5</v>
          </cell>
          <cell r="V86">
            <v>6465.7</v>
          </cell>
          <cell r="W86">
            <v>1581</v>
          </cell>
          <cell r="X86">
            <v>1755</v>
          </cell>
          <cell r="Y86">
            <v>3336</v>
          </cell>
          <cell r="Z86">
            <v>1271</v>
          </cell>
          <cell r="AA86">
            <v>4607</v>
          </cell>
          <cell r="AB86">
            <v>1164</v>
          </cell>
          <cell r="AC86">
            <v>5771</v>
          </cell>
          <cell r="AD86">
            <v>1729</v>
          </cell>
          <cell r="AE86">
            <v>1810</v>
          </cell>
          <cell r="AF86">
            <v>3539</v>
          </cell>
          <cell r="AG86">
            <v>1371</v>
          </cell>
          <cell r="AH86">
            <v>4910</v>
          </cell>
          <cell r="AI86">
            <v>1223</v>
          </cell>
          <cell r="AJ86">
            <v>6133</v>
          </cell>
          <cell r="AK86">
            <v>1705</v>
          </cell>
          <cell r="AL86">
            <v>1918</v>
          </cell>
          <cell r="AM86">
            <v>3623</v>
          </cell>
          <cell r="AN86">
            <v>1600</v>
          </cell>
          <cell r="AO86">
            <v>5223</v>
          </cell>
          <cell r="AP86">
            <v>1455</v>
          </cell>
          <cell r="AQ86">
            <v>6678</v>
          </cell>
          <cell r="AR86">
            <v>1909</v>
          </cell>
          <cell r="AS86">
            <v>2100</v>
          </cell>
          <cell r="AT86">
            <v>4009</v>
          </cell>
          <cell r="AU86">
            <v>1667</v>
          </cell>
          <cell r="AV86">
            <v>5676</v>
          </cell>
          <cell r="AW86">
            <v>1433</v>
          </cell>
          <cell r="AX86">
            <v>7109</v>
          </cell>
          <cell r="AY86">
            <v>2091</v>
          </cell>
          <cell r="AZ86">
            <v>2223</v>
          </cell>
          <cell r="BA86">
            <v>4314</v>
          </cell>
          <cell r="BB86">
            <v>1736</v>
          </cell>
          <cell r="BC86">
            <v>6050</v>
          </cell>
          <cell r="BD86">
            <v>1498</v>
          </cell>
          <cell r="BE86">
            <v>7548</v>
          </cell>
          <cell r="BF86">
            <v>2110</v>
          </cell>
          <cell r="BG86">
            <v>2281</v>
          </cell>
          <cell r="BH86">
            <v>4391</v>
          </cell>
          <cell r="BI86">
            <v>1836</v>
          </cell>
          <cell r="BJ86">
            <v>6227</v>
          </cell>
          <cell r="BK86">
            <v>1454</v>
          </cell>
          <cell r="BL86">
            <v>7681</v>
          </cell>
          <cell r="BM86">
            <v>2153</v>
          </cell>
          <cell r="BN86">
            <v>2252</v>
          </cell>
          <cell r="BO86">
            <v>1868</v>
          </cell>
          <cell r="BP86">
            <v>1490.9849999999958</v>
          </cell>
          <cell r="BQ86">
            <v>7763.984999999996</v>
          </cell>
        </row>
        <row r="87">
          <cell r="A87" t="str">
            <v>Cost of products sold</v>
          </cell>
          <cell r="B87">
            <v>893</v>
          </cell>
          <cell r="C87">
            <v>955</v>
          </cell>
          <cell r="D87">
            <v>1848</v>
          </cell>
          <cell r="E87">
            <v>775</v>
          </cell>
          <cell r="F87">
            <v>2623</v>
          </cell>
          <cell r="G87">
            <v>609.79999999999995</v>
          </cell>
          <cell r="H87">
            <v>3232.9</v>
          </cell>
          <cell r="I87">
            <v>785.5</v>
          </cell>
          <cell r="J87">
            <v>806.5</v>
          </cell>
          <cell r="K87">
            <v>1592</v>
          </cell>
          <cell r="L87">
            <v>676.5</v>
          </cell>
          <cell r="M87">
            <v>2268.5</v>
          </cell>
          <cell r="N87">
            <v>574.1</v>
          </cell>
          <cell r="O87">
            <v>2842.6</v>
          </cell>
          <cell r="P87">
            <v>811.25</v>
          </cell>
          <cell r="Q87">
            <v>851.25</v>
          </cell>
          <cell r="R87">
            <v>1662.5</v>
          </cell>
          <cell r="S87">
            <v>659.75</v>
          </cell>
          <cell r="T87">
            <v>2322.25</v>
          </cell>
          <cell r="U87">
            <v>589.15</v>
          </cell>
          <cell r="V87">
            <v>2911.4</v>
          </cell>
          <cell r="W87">
            <v>809.40000000000009</v>
          </cell>
          <cell r="X87">
            <v>865.50000000000011</v>
          </cell>
          <cell r="Y87">
            <v>1674.9</v>
          </cell>
          <cell r="Z87">
            <v>668.4</v>
          </cell>
          <cell r="AA87">
            <v>2343.3000000000002</v>
          </cell>
          <cell r="AB87">
            <v>584</v>
          </cell>
          <cell r="AC87">
            <v>2904</v>
          </cell>
          <cell r="AD87">
            <v>910</v>
          </cell>
          <cell r="AE87">
            <v>941</v>
          </cell>
          <cell r="AF87">
            <v>1851</v>
          </cell>
          <cell r="AG87">
            <v>712.92000000000007</v>
          </cell>
          <cell r="AH87">
            <v>2563.92</v>
          </cell>
          <cell r="AI87">
            <v>626.07999999999993</v>
          </cell>
          <cell r="AJ87">
            <v>3182</v>
          </cell>
          <cell r="AK87">
            <v>916</v>
          </cell>
          <cell r="AL87">
            <v>1000</v>
          </cell>
          <cell r="AM87">
            <v>1916</v>
          </cell>
          <cell r="AN87">
            <v>865</v>
          </cell>
          <cell r="AO87">
            <v>2781</v>
          </cell>
          <cell r="AP87">
            <v>783</v>
          </cell>
          <cell r="AQ87">
            <v>3564</v>
          </cell>
          <cell r="AR87">
            <v>1045</v>
          </cell>
          <cell r="AS87">
            <v>1148</v>
          </cell>
          <cell r="AT87">
            <v>2193</v>
          </cell>
          <cell r="AU87">
            <v>931</v>
          </cell>
          <cell r="AV87">
            <v>3124</v>
          </cell>
          <cell r="AW87">
            <v>805.21082999999999</v>
          </cell>
          <cell r="AX87">
            <v>3929.21083</v>
          </cell>
          <cell r="AY87">
            <v>1177</v>
          </cell>
          <cell r="AZ87">
            <v>1253.25</v>
          </cell>
          <cell r="BA87">
            <v>2430.25</v>
          </cell>
          <cell r="BB87">
            <v>966.25</v>
          </cell>
          <cell r="BC87">
            <v>3396.5</v>
          </cell>
          <cell r="BD87">
            <v>820.5</v>
          </cell>
          <cell r="BE87">
            <v>4216</v>
          </cell>
          <cell r="BF87">
            <v>1152.708088379931</v>
          </cell>
          <cell r="BG87">
            <v>1262.25</v>
          </cell>
          <cell r="BH87">
            <v>2414.9580883799308</v>
          </cell>
          <cell r="BI87">
            <v>1017.25</v>
          </cell>
          <cell r="BJ87">
            <v>3432.2080883799308</v>
          </cell>
          <cell r="BK87">
            <v>843</v>
          </cell>
          <cell r="BL87">
            <v>4275.2080883799308</v>
          </cell>
          <cell r="BM87">
            <v>1162.7509192582663</v>
          </cell>
          <cell r="BN87">
            <v>1212.7509192582663</v>
          </cell>
          <cell r="BO87">
            <v>1020.7509192582663</v>
          </cell>
          <cell r="BP87">
            <v>951.57884222519988</v>
          </cell>
          <cell r="BQ87">
            <v>4347.8315999999986</v>
          </cell>
        </row>
        <row r="88">
          <cell r="A88" t="str">
            <v>Depreciation</v>
          </cell>
          <cell r="I88">
            <v>44.5</v>
          </cell>
          <cell r="J88">
            <v>49.5</v>
          </cell>
          <cell r="K88">
            <v>94</v>
          </cell>
          <cell r="L88">
            <v>53.5</v>
          </cell>
          <cell r="M88">
            <v>147.5</v>
          </cell>
          <cell r="N88">
            <v>49.5</v>
          </cell>
          <cell r="O88">
            <v>197</v>
          </cell>
          <cell r="P88">
            <v>47.5</v>
          </cell>
          <cell r="Q88">
            <v>46.5</v>
          </cell>
          <cell r="R88">
            <v>94</v>
          </cell>
          <cell r="S88">
            <v>54</v>
          </cell>
          <cell r="T88">
            <v>148</v>
          </cell>
          <cell r="U88">
            <v>48</v>
          </cell>
          <cell r="V88">
            <v>196</v>
          </cell>
          <cell r="W88">
            <v>47</v>
          </cell>
          <cell r="X88">
            <v>52</v>
          </cell>
          <cell r="Y88">
            <v>99</v>
          </cell>
          <cell r="Z88">
            <v>52</v>
          </cell>
          <cell r="AA88">
            <v>151</v>
          </cell>
          <cell r="AB88">
            <v>72</v>
          </cell>
          <cell r="AC88">
            <v>223</v>
          </cell>
          <cell r="AD88">
            <v>61</v>
          </cell>
          <cell r="AE88">
            <v>63</v>
          </cell>
          <cell r="AF88">
            <v>124</v>
          </cell>
          <cell r="AG88">
            <v>63</v>
          </cell>
          <cell r="AH88">
            <v>187</v>
          </cell>
          <cell r="AI88">
            <v>54</v>
          </cell>
          <cell r="AJ88">
            <v>241</v>
          </cell>
          <cell r="AK88">
            <v>55</v>
          </cell>
          <cell r="AL88">
            <v>56</v>
          </cell>
          <cell r="AM88">
            <v>111</v>
          </cell>
          <cell r="AN88">
            <v>55</v>
          </cell>
          <cell r="AO88">
            <v>166</v>
          </cell>
          <cell r="AP88">
            <v>75</v>
          </cell>
          <cell r="AQ88">
            <v>241</v>
          </cell>
          <cell r="AR88">
            <v>63</v>
          </cell>
          <cell r="AS88">
            <v>64</v>
          </cell>
          <cell r="AT88">
            <v>127</v>
          </cell>
          <cell r="AU88">
            <v>64</v>
          </cell>
          <cell r="AV88">
            <v>191</v>
          </cell>
          <cell r="AW88">
            <v>66.789170000000013</v>
          </cell>
          <cell r="AX88">
            <v>257.78917000000001</v>
          </cell>
          <cell r="AY88">
            <v>68</v>
          </cell>
          <cell r="AZ88">
            <v>68.75</v>
          </cell>
          <cell r="BA88">
            <v>136.75</v>
          </cell>
          <cell r="BB88">
            <v>68.75</v>
          </cell>
          <cell r="BC88">
            <v>205.5</v>
          </cell>
          <cell r="BD88">
            <v>69.5</v>
          </cell>
          <cell r="BE88">
            <v>275</v>
          </cell>
          <cell r="BF88">
            <v>75.291911620068888</v>
          </cell>
          <cell r="BG88">
            <v>71.75</v>
          </cell>
          <cell r="BH88">
            <v>147.0419116200689</v>
          </cell>
          <cell r="BI88">
            <v>71.75</v>
          </cell>
          <cell r="BJ88">
            <v>218.7919116200689</v>
          </cell>
          <cell r="BK88">
            <v>68.208088379931098</v>
          </cell>
          <cell r="BL88">
            <v>287</v>
          </cell>
          <cell r="BM88">
            <v>73.249080741733636</v>
          </cell>
          <cell r="BN88">
            <v>73.249080741733636</v>
          </cell>
          <cell r="BO88">
            <v>73.249080741733636</v>
          </cell>
          <cell r="BP88">
            <v>73.249080741733621</v>
          </cell>
          <cell r="BQ88">
            <v>292.99632296693454</v>
          </cell>
        </row>
        <row r="89">
          <cell r="N89" t="str">
            <v xml:space="preserve"> </v>
          </cell>
        </row>
        <row r="90">
          <cell r="A90" t="str">
            <v>Gross profit</v>
          </cell>
          <cell r="B90">
            <v>920</v>
          </cell>
          <cell r="C90">
            <v>1057</v>
          </cell>
          <cell r="D90">
            <v>1977</v>
          </cell>
          <cell r="E90">
            <v>797</v>
          </cell>
          <cell r="F90">
            <v>2774</v>
          </cell>
          <cell r="G90">
            <v>689.3599999999999</v>
          </cell>
          <cell r="H90">
            <v>3463.2599999999998</v>
          </cell>
          <cell r="I90">
            <v>974</v>
          </cell>
          <cell r="J90">
            <v>975.90000000000009</v>
          </cell>
          <cell r="K90">
            <v>1949.9</v>
          </cell>
          <cell r="L90">
            <v>762</v>
          </cell>
          <cell r="M90">
            <v>2711.8999999999996</v>
          </cell>
          <cell r="N90">
            <v>672.30000000000007</v>
          </cell>
          <cell r="O90">
            <v>3384.1999999999994</v>
          </cell>
          <cell r="P90">
            <v>961.34999999999968</v>
          </cell>
          <cell r="Q90">
            <v>1069.75</v>
          </cell>
          <cell r="R90">
            <v>2031.0999999999995</v>
          </cell>
          <cell r="S90">
            <v>731.85000000000014</v>
          </cell>
          <cell r="T90">
            <v>2762.95</v>
          </cell>
          <cell r="U90">
            <v>595.35</v>
          </cell>
          <cell r="V90">
            <v>3358.2999999999997</v>
          </cell>
          <cell r="W90">
            <v>724.59999999999991</v>
          </cell>
          <cell r="X90">
            <v>837.49999999999989</v>
          </cell>
          <cell r="Y90">
            <v>1562.1</v>
          </cell>
          <cell r="Z90">
            <v>550.6</v>
          </cell>
          <cell r="AA90">
            <v>2112.6999999999998</v>
          </cell>
          <cell r="AB90">
            <v>508</v>
          </cell>
          <cell r="AC90">
            <v>2644</v>
          </cell>
          <cell r="AD90">
            <v>758</v>
          </cell>
          <cell r="AE90">
            <v>806</v>
          </cell>
          <cell r="AF90">
            <v>1564</v>
          </cell>
          <cell r="AG90">
            <v>595.07999999999993</v>
          </cell>
          <cell r="AH90">
            <v>2159.08</v>
          </cell>
          <cell r="AI90">
            <v>542.92000000000007</v>
          </cell>
          <cell r="AJ90">
            <v>2710</v>
          </cell>
          <cell r="AK90">
            <v>734</v>
          </cell>
          <cell r="AL90">
            <v>862</v>
          </cell>
          <cell r="AM90">
            <v>1596</v>
          </cell>
          <cell r="AN90">
            <v>680</v>
          </cell>
          <cell r="AO90">
            <v>2276</v>
          </cell>
          <cell r="AP90">
            <v>597</v>
          </cell>
          <cell r="AQ90">
            <v>2873</v>
          </cell>
          <cell r="AR90">
            <v>801</v>
          </cell>
          <cell r="AS90">
            <v>888</v>
          </cell>
          <cell r="AT90">
            <v>1689</v>
          </cell>
          <cell r="AU90">
            <v>672</v>
          </cell>
          <cell r="AV90">
            <v>2361</v>
          </cell>
          <cell r="AW90">
            <v>561</v>
          </cell>
          <cell r="AX90">
            <v>2922</v>
          </cell>
          <cell r="AY90">
            <v>846</v>
          </cell>
          <cell r="AZ90">
            <v>901</v>
          </cell>
          <cell r="BA90">
            <v>1747</v>
          </cell>
          <cell r="BB90">
            <v>701</v>
          </cell>
          <cell r="BC90">
            <v>2448</v>
          </cell>
          <cell r="BD90">
            <v>609</v>
          </cell>
          <cell r="BE90">
            <v>3057</v>
          </cell>
          <cell r="BF90">
            <v>882.00000000000011</v>
          </cell>
          <cell r="BG90">
            <v>947</v>
          </cell>
          <cell r="BH90">
            <v>1829</v>
          </cell>
          <cell r="BI90">
            <v>747</v>
          </cell>
          <cell r="BJ90">
            <v>2576</v>
          </cell>
          <cell r="BK90">
            <v>542.79191162006896</v>
          </cell>
          <cell r="BL90">
            <v>3118.7919116200692</v>
          </cell>
          <cell r="BM90">
            <v>917</v>
          </cell>
          <cell r="BN90">
            <v>966</v>
          </cell>
          <cell r="BO90">
            <v>774</v>
          </cell>
          <cell r="BP90">
            <v>466.15707703306231</v>
          </cell>
          <cell r="BQ90">
            <v>3123.1570770330627</v>
          </cell>
        </row>
        <row r="91">
          <cell r="A91" t="str">
            <v>Marketing &amp; selling</v>
          </cell>
          <cell r="B91">
            <v>370</v>
          </cell>
          <cell r="C91">
            <v>459</v>
          </cell>
          <cell r="D91">
            <v>829</v>
          </cell>
          <cell r="E91">
            <v>397</v>
          </cell>
          <cell r="F91">
            <v>1226</v>
          </cell>
          <cell r="G91">
            <v>292</v>
          </cell>
          <cell r="H91">
            <v>1518</v>
          </cell>
          <cell r="I91">
            <v>420</v>
          </cell>
          <cell r="J91">
            <v>511</v>
          </cell>
          <cell r="K91">
            <v>931</v>
          </cell>
          <cell r="L91">
            <v>370</v>
          </cell>
          <cell r="M91">
            <v>1301</v>
          </cell>
          <cell r="N91">
            <v>333</v>
          </cell>
          <cell r="O91">
            <v>1634</v>
          </cell>
          <cell r="P91">
            <v>428</v>
          </cell>
          <cell r="Q91">
            <v>464</v>
          </cell>
          <cell r="R91">
            <v>892</v>
          </cell>
          <cell r="S91">
            <v>389</v>
          </cell>
          <cell r="T91">
            <v>1281</v>
          </cell>
          <cell r="U91">
            <v>-480</v>
          </cell>
          <cell r="V91">
            <v>801</v>
          </cell>
          <cell r="W91">
            <v>233.09999999999991</v>
          </cell>
          <cell r="X91">
            <v>245</v>
          </cell>
          <cell r="Y91">
            <v>478.09999999999991</v>
          </cell>
          <cell r="Z91">
            <v>209</v>
          </cell>
          <cell r="AA91">
            <v>687.09999999999991</v>
          </cell>
          <cell r="AB91">
            <v>202.90000000000009</v>
          </cell>
          <cell r="AC91">
            <v>890</v>
          </cell>
          <cell r="AD91">
            <v>278</v>
          </cell>
          <cell r="AE91">
            <v>313</v>
          </cell>
          <cell r="AF91">
            <v>591</v>
          </cell>
          <cell r="AG91">
            <v>246.78</v>
          </cell>
          <cell r="AH91">
            <v>837.78</v>
          </cell>
          <cell r="AI91">
            <v>235.49499999999989</v>
          </cell>
          <cell r="AJ91">
            <v>1073.2749999999999</v>
          </cell>
          <cell r="AK91">
            <v>273</v>
          </cell>
          <cell r="AL91">
            <v>329</v>
          </cell>
          <cell r="AM91">
            <v>602</v>
          </cell>
          <cell r="AN91">
            <v>272</v>
          </cell>
          <cell r="AO91">
            <v>887.91000000000008</v>
          </cell>
          <cell r="AP91">
            <v>254.02800000000002</v>
          </cell>
          <cell r="AQ91">
            <v>1141.9380000000001</v>
          </cell>
          <cell r="AR91">
            <v>293</v>
          </cell>
          <cell r="AS91">
            <v>340</v>
          </cell>
          <cell r="AT91">
            <v>633</v>
          </cell>
          <cell r="AU91">
            <v>275</v>
          </cell>
          <cell r="AV91">
            <v>908.16</v>
          </cell>
          <cell r="AW91">
            <v>244.84000000000003</v>
          </cell>
          <cell r="AX91">
            <v>1153</v>
          </cell>
          <cell r="AY91">
            <v>314</v>
          </cell>
          <cell r="AZ91">
            <v>365</v>
          </cell>
          <cell r="BA91">
            <v>679</v>
          </cell>
          <cell r="BB91">
            <v>275</v>
          </cell>
          <cell r="BC91">
            <v>954</v>
          </cell>
          <cell r="BD91">
            <v>231</v>
          </cell>
          <cell r="BE91">
            <v>1185</v>
          </cell>
          <cell r="BF91">
            <v>320</v>
          </cell>
          <cell r="BG91">
            <v>364</v>
          </cell>
          <cell r="BH91">
            <v>684</v>
          </cell>
          <cell r="BI91">
            <v>285</v>
          </cell>
          <cell r="BJ91">
            <v>969</v>
          </cell>
          <cell r="BK91">
            <v>234.96000000000004</v>
          </cell>
          <cell r="BL91">
            <v>1203.96</v>
          </cell>
          <cell r="BM91">
            <v>316</v>
          </cell>
          <cell r="BN91">
            <v>361</v>
          </cell>
        </row>
        <row r="92">
          <cell r="A92" t="str">
            <v>General &amp; admin.</v>
          </cell>
          <cell r="B92">
            <v>106</v>
          </cell>
          <cell r="C92">
            <v>96</v>
          </cell>
          <cell r="D92">
            <v>202</v>
          </cell>
          <cell r="E92">
            <v>104</v>
          </cell>
          <cell r="F92">
            <v>306</v>
          </cell>
          <cell r="G92">
            <v>92</v>
          </cell>
          <cell r="H92">
            <v>398</v>
          </cell>
          <cell r="I92">
            <v>78</v>
          </cell>
          <cell r="J92">
            <v>74</v>
          </cell>
          <cell r="K92">
            <v>152</v>
          </cell>
          <cell r="L92">
            <v>69</v>
          </cell>
          <cell r="M92">
            <v>221</v>
          </cell>
          <cell r="N92">
            <v>71</v>
          </cell>
          <cell r="O92">
            <v>292</v>
          </cell>
          <cell r="P92">
            <v>83</v>
          </cell>
          <cell r="Q92">
            <v>87</v>
          </cell>
          <cell r="R92">
            <v>170</v>
          </cell>
          <cell r="S92">
            <v>68</v>
          </cell>
          <cell r="T92">
            <v>238</v>
          </cell>
          <cell r="U92">
            <v>81</v>
          </cell>
          <cell r="V92">
            <v>319</v>
          </cell>
          <cell r="W92">
            <v>86</v>
          </cell>
          <cell r="X92">
            <v>85</v>
          </cell>
          <cell r="Y92">
            <v>171</v>
          </cell>
          <cell r="Z92">
            <v>75</v>
          </cell>
          <cell r="AA92">
            <v>246</v>
          </cell>
          <cell r="AB92">
            <v>157</v>
          </cell>
          <cell r="AC92">
            <v>403</v>
          </cell>
          <cell r="AD92">
            <v>113</v>
          </cell>
          <cell r="AE92">
            <v>92</v>
          </cell>
          <cell r="AF92">
            <v>205</v>
          </cell>
          <cell r="AG92">
            <v>94</v>
          </cell>
          <cell r="AH92">
            <v>299</v>
          </cell>
          <cell r="AI92">
            <v>154.84199999999998</v>
          </cell>
          <cell r="AJ92">
            <v>453.84199999999998</v>
          </cell>
          <cell r="AK92">
            <v>105</v>
          </cell>
          <cell r="AL92">
            <v>122</v>
          </cell>
          <cell r="AM92">
            <v>227</v>
          </cell>
          <cell r="AN92">
            <v>137</v>
          </cell>
          <cell r="AO92">
            <v>364</v>
          </cell>
          <cell r="AP92">
            <v>143.52799999999996</v>
          </cell>
          <cell r="AQ92">
            <v>507.52799999999996</v>
          </cell>
          <cell r="AR92">
            <v>123</v>
          </cell>
          <cell r="AS92">
            <v>136</v>
          </cell>
          <cell r="AT92">
            <v>259</v>
          </cell>
          <cell r="AU92">
            <v>139</v>
          </cell>
          <cell r="AV92">
            <v>398</v>
          </cell>
          <cell r="AW92">
            <v>144</v>
          </cell>
          <cell r="AX92">
            <v>542</v>
          </cell>
          <cell r="AY92">
            <v>129</v>
          </cell>
          <cell r="AZ92">
            <v>136</v>
          </cell>
          <cell r="BA92">
            <v>265</v>
          </cell>
          <cell r="BB92">
            <v>145</v>
          </cell>
          <cell r="BC92">
            <v>410</v>
          </cell>
          <cell r="BD92">
            <v>161</v>
          </cell>
          <cell r="BE92">
            <v>571</v>
          </cell>
          <cell r="BF92">
            <v>138</v>
          </cell>
          <cell r="BG92">
            <v>156</v>
          </cell>
          <cell r="BH92">
            <v>294</v>
          </cell>
          <cell r="BI92">
            <v>160</v>
          </cell>
          <cell r="BJ92">
            <v>454</v>
          </cell>
          <cell r="BK92">
            <v>134.13</v>
          </cell>
          <cell r="BL92">
            <v>588.13</v>
          </cell>
          <cell r="BM92">
            <v>135</v>
          </cell>
          <cell r="BN92">
            <v>155</v>
          </cell>
        </row>
        <row r="93">
          <cell r="A93" t="str">
            <v>Amortization</v>
          </cell>
          <cell r="I93">
            <v>14.5</v>
          </cell>
          <cell r="J93">
            <v>14.5</v>
          </cell>
          <cell r="K93">
            <v>29</v>
          </cell>
          <cell r="L93">
            <v>14.5</v>
          </cell>
          <cell r="M93">
            <v>43.5</v>
          </cell>
          <cell r="N93">
            <v>14.5</v>
          </cell>
          <cell r="O93">
            <v>58</v>
          </cell>
          <cell r="P93">
            <v>14.5</v>
          </cell>
          <cell r="Q93">
            <v>14.5</v>
          </cell>
          <cell r="R93">
            <v>29</v>
          </cell>
          <cell r="S93">
            <v>10</v>
          </cell>
          <cell r="T93">
            <v>39</v>
          </cell>
          <cell r="U93">
            <v>16</v>
          </cell>
          <cell r="V93">
            <v>55</v>
          </cell>
          <cell r="W93">
            <v>15</v>
          </cell>
          <cell r="X93">
            <v>14.5</v>
          </cell>
          <cell r="Y93">
            <v>29.5</v>
          </cell>
          <cell r="Z93">
            <v>14.5</v>
          </cell>
          <cell r="AA93">
            <v>44</v>
          </cell>
          <cell r="AB93">
            <v>-1</v>
          </cell>
          <cell r="AC93">
            <v>43</v>
          </cell>
          <cell r="AD93">
            <v>18</v>
          </cell>
          <cell r="AE93">
            <v>18</v>
          </cell>
          <cell r="AF93">
            <v>36</v>
          </cell>
          <cell r="AG93">
            <v>11</v>
          </cell>
          <cell r="AH93">
            <v>47</v>
          </cell>
          <cell r="AI93">
            <v>34</v>
          </cell>
          <cell r="AJ93">
            <v>81</v>
          </cell>
          <cell r="AK93">
            <v>1</v>
          </cell>
          <cell r="AL93">
            <v>6.4</v>
          </cell>
          <cell r="AM93">
            <v>7.4</v>
          </cell>
          <cell r="AN93">
            <v>6.4</v>
          </cell>
          <cell r="AO93">
            <v>13.8</v>
          </cell>
          <cell r="AP93">
            <v>20.2</v>
          </cell>
          <cell r="AQ93">
            <v>34</v>
          </cell>
          <cell r="AR93">
            <v>0</v>
          </cell>
          <cell r="AS93">
            <v>0</v>
          </cell>
          <cell r="AT93">
            <v>0</v>
          </cell>
          <cell r="AU93">
            <v>0</v>
          </cell>
          <cell r="AV93">
            <v>0</v>
          </cell>
          <cell r="AW93">
            <v>2.2108300000000001</v>
          </cell>
          <cell r="AX93">
            <v>2.2108300000000001</v>
          </cell>
          <cell r="AY93">
            <v>10</v>
          </cell>
          <cell r="AZ93">
            <v>0</v>
          </cell>
          <cell r="BA93">
            <v>10</v>
          </cell>
          <cell r="BB93">
            <v>0</v>
          </cell>
          <cell r="BC93">
            <v>10</v>
          </cell>
          <cell r="BD93">
            <v>-8</v>
          </cell>
          <cell r="BE93">
            <v>2</v>
          </cell>
          <cell r="BF93">
            <v>1</v>
          </cell>
          <cell r="BG93">
            <v>0</v>
          </cell>
          <cell r="BH93">
            <v>1</v>
          </cell>
          <cell r="BI93">
            <v>0</v>
          </cell>
          <cell r="BJ93">
            <v>1</v>
          </cell>
          <cell r="BK93">
            <v>1</v>
          </cell>
          <cell r="BL93">
            <v>2</v>
          </cell>
          <cell r="BM93">
            <v>0</v>
          </cell>
          <cell r="BN93">
            <v>0</v>
          </cell>
        </row>
        <row r="94">
          <cell r="A94" t="str">
            <v>R&amp;D</v>
          </cell>
          <cell r="B94">
            <v>17</v>
          </cell>
          <cell r="C94">
            <v>16</v>
          </cell>
          <cell r="D94">
            <v>33</v>
          </cell>
          <cell r="E94">
            <v>18</v>
          </cell>
          <cell r="F94">
            <v>51</v>
          </cell>
          <cell r="G94">
            <v>20</v>
          </cell>
          <cell r="H94">
            <v>71</v>
          </cell>
          <cell r="I94">
            <v>16</v>
          </cell>
          <cell r="J94">
            <v>17</v>
          </cell>
          <cell r="K94">
            <v>33</v>
          </cell>
          <cell r="L94">
            <v>15</v>
          </cell>
          <cell r="M94">
            <v>48</v>
          </cell>
          <cell r="N94">
            <v>18</v>
          </cell>
          <cell r="O94">
            <v>66</v>
          </cell>
          <cell r="P94">
            <v>16</v>
          </cell>
          <cell r="Q94">
            <v>15</v>
          </cell>
          <cell r="R94">
            <v>31</v>
          </cell>
          <cell r="S94">
            <v>14</v>
          </cell>
          <cell r="T94">
            <v>45</v>
          </cell>
          <cell r="U94">
            <v>19</v>
          </cell>
          <cell r="V94">
            <v>64</v>
          </cell>
          <cell r="W94">
            <v>14</v>
          </cell>
          <cell r="X94">
            <v>15</v>
          </cell>
          <cell r="Y94">
            <v>29</v>
          </cell>
          <cell r="Z94">
            <v>15</v>
          </cell>
          <cell r="AA94">
            <v>44</v>
          </cell>
          <cell r="AB94">
            <v>20</v>
          </cell>
          <cell r="AC94">
            <v>64</v>
          </cell>
          <cell r="AD94">
            <v>18</v>
          </cell>
          <cell r="AE94">
            <v>17</v>
          </cell>
          <cell r="AF94">
            <v>35</v>
          </cell>
          <cell r="AG94">
            <v>17</v>
          </cell>
          <cell r="AH94">
            <v>52</v>
          </cell>
          <cell r="AI94">
            <v>26.882999999999996</v>
          </cell>
          <cell r="AJ94">
            <v>78.882999999999996</v>
          </cell>
          <cell r="AK94">
            <v>19</v>
          </cell>
          <cell r="AL94">
            <v>20</v>
          </cell>
          <cell r="AM94">
            <v>39</v>
          </cell>
          <cell r="AN94">
            <v>23</v>
          </cell>
          <cell r="AO94">
            <v>62</v>
          </cell>
          <cell r="AP94">
            <v>26</v>
          </cell>
          <cell r="AQ94">
            <v>88</v>
          </cell>
          <cell r="AR94">
            <v>21</v>
          </cell>
          <cell r="AS94">
            <v>21</v>
          </cell>
          <cell r="AT94">
            <v>42</v>
          </cell>
          <cell r="AU94">
            <v>21</v>
          </cell>
          <cell r="AV94">
            <v>63</v>
          </cell>
          <cell r="AW94">
            <v>30</v>
          </cell>
          <cell r="AX94">
            <v>93</v>
          </cell>
          <cell r="AY94">
            <v>20</v>
          </cell>
          <cell r="AZ94">
            <v>25</v>
          </cell>
          <cell r="BA94">
            <v>45</v>
          </cell>
          <cell r="BB94">
            <v>24</v>
          </cell>
          <cell r="BC94">
            <v>69</v>
          </cell>
          <cell r="BD94">
            <v>26</v>
          </cell>
          <cell r="BE94">
            <v>95</v>
          </cell>
          <cell r="BF94">
            <v>24</v>
          </cell>
          <cell r="BG94">
            <v>24</v>
          </cell>
          <cell r="BH94">
            <v>48</v>
          </cell>
          <cell r="BI94">
            <v>25</v>
          </cell>
          <cell r="BJ94">
            <v>73</v>
          </cell>
          <cell r="BK94">
            <v>24.090000000000003</v>
          </cell>
          <cell r="BL94">
            <v>97.09</v>
          </cell>
          <cell r="BM94">
            <v>26</v>
          </cell>
          <cell r="BN94">
            <v>25</v>
          </cell>
        </row>
        <row r="95">
          <cell r="A95" t="str">
            <v>Other</v>
          </cell>
          <cell r="B95">
            <v>0</v>
          </cell>
          <cell r="C95">
            <v>0</v>
          </cell>
          <cell r="D95">
            <v>0</v>
          </cell>
          <cell r="E95">
            <v>0</v>
          </cell>
          <cell r="F95">
            <v>0</v>
          </cell>
          <cell r="G95">
            <v>0</v>
          </cell>
          <cell r="H95">
            <v>0</v>
          </cell>
          <cell r="I95">
            <v>-1.5</v>
          </cell>
          <cell r="J95">
            <v>-11.5</v>
          </cell>
          <cell r="K95">
            <v>-13</v>
          </cell>
          <cell r="L95">
            <v>9.5</v>
          </cell>
          <cell r="M95">
            <v>-3.5</v>
          </cell>
          <cell r="N95">
            <v>9.5</v>
          </cell>
          <cell r="O95">
            <v>6</v>
          </cell>
          <cell r="P95">
            <v>6.5</v>
          </cell>
          <cell r="Q95">
            <v>14.5</v>
          </cell>
          <cell r="R95">
            <v>21</v>
          </cell>
          <cell r="S95">
            <v>5</v>
          </cell>
          <cell r="T95">
            <v>26</v>
          </cell>
          <cell r="U95">
            <v>8</v>
          </cell>
          <cell r="V95">
            <v>34</v>
          </cell>
          <cell r="W95">
            <v>14</v>
          </cell>
          <cell r="X95">
            <v>17.5</v>
          </cell>
          <cell r="Y95">
            <v>31.5</v>
          </cell>
          <cell r="Z95">
            <v>9.5</v>
          </cell>
          <cell r="AA95">
            <v>41</v>
          </cell>
          <cell r="AB95">
            <v>47</v>
          </cell>
          <cell r="AC95">
            <v>88</v>
          </cell>
          <cell r="AD95">
            <v>17</v>
          </cell>
          <cell r="AE95">
            <v>13</v>
          </cell>
          <cell r="AF95">
            <v>30</v>
          </cell>
          <cell r="AG95">
            <v>31</v>
          </cell>
          <cell r="AH95">
            <v>61</v>
          </cell>
          <cell r="AI95">
            <v>39</v>
          </cell>
          <cell r="AJ95">
            <v>100</v>
          </cell>
          <cell r="AK95">
            <v>6</v>
          </cell>
          <cell r="AL95">
            <v>6</v>
          </cell>
          <cell r="AM95">
            <v>12</v>
          </cell>
          <cell r="AN95">
            <v>11</v>
          </cell>
          <cell r="AO95">
            <v>23</v>
          </cell>
          <cell r="AP95">
            <v>5</v>
          </cell>
          <cell r="AQ95">
            <v>28</v>
          </cell>
          <cell r="AR95">
            <v>10</v>
          </cell>
          <cell r="AS95">
            <v>2</v>
          </cell>
          <cell r="AT95">
            <v>12</v>
          </cell>
          <cell r="AU95">
            <v>12</v>
          </cell>
          <cell r="AV95">
            <v>24</v>
          </cell>
          <cell r="AW95">
            <v>-11</v>
          </cell>
          <cell r="AX95">
            <v>13</v>
          </cell>
          <cell r="AY95">
            <v>2</v>
          </cell>
          <cell r="AZ95">
            <v>-2</v>
          </cell>
          <cell r="BA95">
            <v>0</v>
          </cell>
          <cell r="BB95">
            <v>-2</v>
          </cell>
          <cell r="BC95">
            <v>-2</v>
          </cell>
          <cell r="BD95">
            <v>-2</v>
          </cell>
          <cell r="BE95">
            <v>-4</v>
          </cell>
          <cell r="BF95">
            <v>-1</v>
          </cell>
          <cell r="BG95">
            <v>0</v>
          </cell>
          <cell r="BH95">
            <v>-1</v>
          </cell>
          <cell r="BI95">
            <v>2</v>
          </cell>
          <cell r="BJ95">
            <v>1</v>
          </cell>
          <cell r="BK95">
            <v>-19.320291769761269</v>
          </cell>
          <cell r="BL95">
            <v>-18.320291769761269</v>
          </cell>
          <cell r="BM95">
            <v>2</v>
          </cell>
          <cell r="BN95">
            <v>3</v>
          </cell>
        </row>
        <row r="96">
          <cell r="A96" t="str">
            <v>Total SG&amp;A</v>
          </cell>
          <cell r="B96">
            <v>493</v>
          </cell>
          <cell r="C96">
            <v>571</v>
          </cell>
          <cell r="D96">
            <v>1064</v>
          </cell>
          <cell r="E96">
            <v>519</v>
          </cell>
          <cell r="F96">
            <v>1583</v>
          </cell>
          <cell r="G96">
            <v>384</v>
          </cell>
          <cell r="H96">
            <v>1987</v>
          </cell>
          <cell r="I96">
            <v>527</v>
          </cell>
          <cell r="J96">
            <v>605</v>
          </cell>
          <cell r="K96">
            <v>1132</v>
          </cell>
          <cell r="L96">
            <v>478</v>
          </cell>
          <cell r="M96">
            <v>1610</v>
          </cell>
          <cell r="N96">
            <v>446</v>
          </cell>
          <cell r="O96">
            <v>2056</v>
          </cell>
          <cell r="P96">
            <v>550.54999999999973</v>
          </cell>
          <cell r="Q96">
            <v>596.75</v>
          </cell>
          <cell r="R96">
            <v>1147.2999999999997</v>
          </cell>
          <cell r="S96">
            <v>487.45000000000016</v>
          </cell>
          <cell r="T96">
            <v>1629</v>
          </cell>
          <cell r="U96">
            <v>-356</v>
          </cell>
          <cell r="V96">
            <v>1273</v>
          </cell>
          <cell r="W96">
            <v>362.09999999999991</v>
          </cell>
          <cell r="X96">
            <v>377.39999999999986</v>
          </cell>
          <cell r="Y96">
            <v>739.49999999999989</v>
          </cell>
          <cell r="Z96">
            <v>313.8</v>
          </cell>
          <cell r="AA96">
            <v>1051.7999999999997</v>
          </cell>
          <cell r="AB96">
            <v>359.6</v>
          </cell>
          <cell r="AC96">
            <v>1488</v>
          </cell>
          <cell r="AD96">
            <v>427</v>
          </cell>
          <cell r="AE96">
            <v>449</v>
          </cell>
          <cell r="AF96">
            <v>1564</v>
          </cell>
          <cell r="AG96">
            <v>399.07999999999993</v>
          </cell>
          <cell r="AH96">
            <v>2159.08</v>
          </cell>
          <cell r="AI96">
            <v>430.92000000000007</v>
          </cell>
          <cell r="AJ96">
            <v>1706</v>
          </cell>
          <cell r="AK96">
            <v>404</v>
          </cell>
          <cell r="AL96">
            <v>477</v>
          </cell>
          <cell r="AM96">
            <v>1596</v>
          </cell>
          <cell r="AN96">
            <v>445</v>
          </cell>
          <cell r="AO96">
            <v>2276</v>
          </cell>
          <cell r="AP96">
            <v>442</v>
          </cell>
          <cell r="AQ96">
            <v>1768</v>
          </cell>
          <cell r="AR96">
            <v>447</v>
          </cell>
          <cell r="AS96">
            <v>499</v>
          </cell>
          <cell r="AT96">
            <v>946</v>
          </cell>
          <cell r="AU96">
            <v>447</v>
          </cell>
          <cell r="AV96">
            <v>1393</v>
          </cell>
          <cell r="AW96">
            <v>407</v>
          </cell>
          <cell r="AX96">
            <v>1800</v>
          </cell>
          <cell r="AY96">
            <v>475</v>
          </cell>
          <cell r="AZ96">
            <v>524</v>
          </cell>
          <cell r="BA96">
            <v>999</v>
          </cell>
          <cell r="BB96">
            <v>453</v>
          </cell>
          <cell r="BC96">
            <v>1452</v>
          </cell>
          <cell r="BD96">
            <v>438</v>
          </cell>
          <cell r="BE96">
            <v>1890</v>
          </cell>
          <cell r="BF96">
            <v>494.00000000000011</v>
          </cell>
          <cell r="BG96">
            <v>544</v>
          </cell>
          <cell r="BH96">
            <v>1038</v>
          </cell>
          <cell r="BI96">
            <v>472</v>
          </cell>
          <cell r="BJ96">
            <v>1510</v>
          </cell>
          <cell r="BK96">
            <v>403.79191162006896</v>
          </cell>
          <cell r="BL96">
            <v>1913.7919116200692</v>
          </cell>
          <cell r="BM96">
            <v>479</v>
          </cell>
          <cell r="BN96">
            <v>544</v>
          </cell>
          <cell r="BO96">
            <v>513</v>
          </cell>
          <cell r="BP96">
            <v>332.59260542392502</v>
          </cell>
          <cell r="BQ96">
            <v>1868.5926054239253</v>
          </cell>
        </row>
        <row r="97">
          <cell r="A97" t="str">
            <v>Impact of Options expense</v>
          </cell>
          <cell r="N97" t="str">
            <v xml:space="preserve"> </v>
          </cell>
          <cell r="BF97">
            <v>10.23305084745763</v>
          </cell>
          <cell r="BG97">
            <v>10.23305084745763</v>
          </cell>
          <cell r="BH97">
            <v>20.46610169491526</v>
          </cell>
          <cell r="BI97">
            <v>10.23305084745763</v>
          </cell>
          <cell r="BJ97">
            <v>30.699152542372889</v>
          </cell>
          <cell r="BK97">
            <v>10.23305084745763</v>
          </cell>
          <cell r="BL97">
            <v>40.932203389830519</v>
          </cell>
        </row>
        <row r="98">
          <cell r="A98" t="str">
            <v>Operating profit</v>
          </cell>
          <cell r="B98">
            <v>427</v>
          </cell>
          <cell r="C98">
            <v>486</v>
          </cell>
          <cell r="D98">
            <v>946</v>
          </cell>
          <cell r="E98">
            <v>278</v>
          </cell>
          <cell r="F98">
            <v>1242</v>
          </cell>
          <cell r="G98">
            <v>305.3599999999999</v>
          </cell>
          <cell r="H98">
            <v>1547.2599999999998</v>
          </cell>
          <cell r="I98">
            <v>447</v>
          </cell>
          <cell r="J98">
            <v>370.90000000000009</v>
          </cell>
          <cell r="K98">
            <v>817.90000000000009</v>
          </cell>
          <cell r="L98">
            <v>284</v>
          </cell>
          <cell r="M98">
            <v>1101.8999999999996</v>
          </cell>
          <cell r="N98">
            <v>226.30000000000007</v>
          </cell>
          <cell r="O98">
            <v>1328.1999999999994</v>
          </cell>
          <cell r="P98">
            <v>410.8</v>
          </cell>
          <cell r="Q98">
            <v>473</v>
          </cell>
          <cell r="R98">
            <v>883.79999999999973</v>
          </cell>
          <cell r="S98">
            <v>244.39999999999998</v>
          </cell>
          <cell r="T98">
            <v>1128.1999999999998</v>
          </cell>
          <cell r="U98">
            <v>957.09999999999968</v>
          </cell>
          <cell r="V98">
            <v>2085.2999999999997</v>
          </cell>
          <cell r="W98">
            <v>362.5</v>
          </cell>
          <cell r="X98">
            <v>460.1</v>
          </cell>
          <cell r="Y98">
            <v>822.6</v>
          </cell>
          <cell r="Z98">
            <v>236.8</v>
          </cell>
          <cell r="AA98">
            <v>1060.9000000000001</v>
          </cell>
          <cell r="AB98">
            <v>148.39999999999998</v>
          </cell>
          <cell r="AC98">
            <v>1156</v>
          </cell>
          <cell r="AD98">
            <v>331</v>
          </cell>
          <cell r="AE98">
            <v>357</v>
          </cell>
          <cell r="AF98">
            <v>0</v>
          </cell>
          <cell r="AG98">
            <v>196</v>
          </cell>
          <cell r="AH98">
            <v>0</v>
          </cell>
          <cell r="AI98">
            <v>121</v>
          </cell>
          <cell r="AJ98">
            <v>1004</v>
          </cell>
          <cell r="AK98">
            <v>330</v>
          </cell>
          <cell r="AL98">
            <v>385</v>
          </cell>
          <cell r="AM98">
            <v>0</v>
          </cell>
          <cell r="AN98">
            <v>235</v>
          </cell>
          <cell r="AO98">
            <v>0</v>
          </cell>
          <cell r="AP98">
            <v>155</v>
          </cell>
          <cell r="AQ98">
            <v>1105</v>
          </cell>
          <cell r="AR98">
            <v>354</v>
          </cell>
          <cell r="AS98">
            <v>389</v>
          </cell>
          <cell r="AT98">
            <v>743</v>
          </cell>
          <cell r="AU98">
            <v>225</v>
          </cell>
          <cell r="AV98">
            <v>968</v>
          </cell>
          <cell r="AW98">
            <v>154</v>
          </cell>
          <cell r="AX98">
            <v>1122</v>
          </cell>
          <cell r="AY98">
            <v>371</v>
          </cell>
          <cell r="AZ98">
            <v>377</v>
          </cell>
          <cell r="BA98">
            <v>748</v>
          </cell>
          <cell r="BB98">
            <v>248</v>
          </cell>
          <cell r="BC98">
            <v>996</v>
          </cell>
          <cell r="BD98">
            <v>171</v>
          </cell>
          <cell r="BE98">
            <v>1167</v>
          </cell>
          <cell r="BF98">
            <v>388</v>
          </cell>
          <cell r="BG98">
            <v>403</v>
          </cell>
          <cell r="BH98">
            <v>791</v>
          </cell>
          <cell r="BI98">
            <v>275</v>
          </cell>
          <cell r="BJ98">
            <v>1066</v>
          </cell>
          <cell r="BK98">
            <v>139</v>
          </cell>
          <cell r="BL98">
            <v>1205</v>
          </cell>
          <cell r="BM98">
            <v>438</v>
          </cell>
          <cell r="BN98">
            <v>422</v>
          </cell>
          <cell r="BO98">
            <v>261</v>
          </cell>
          <cell r="BP98">
            <v>133.56447160913729</v>
          </cell>
          <cell r="BQ98">
            <v>1254.5644716091374</v>
          </cell>
        </row>
        <row r="99">
          <cell r="A99" t="str">
            <v>Interest expense, net</v>
          </cell>
          <cell r="B99">
            <v>43</v>
          </cell>
          <cell r="C99">
            <v>43</v>
          </cell>
          <cell r="D99">
            <v>86</v>
          </cell>
          <cell r="E99">
            <v>44.7</v>
          </cell>
          <cell r="F99">
            <v>130.69999999999999</v>
          </cell>
          <cell r="G99">
            <v>44.1</v>
          </cell>
          <cell r="H99">
            <v>174.79999999999998</v>
          </cell>
          <cell r="I99">
            <v>44</v>
          </cell>
          <cell r="J99">
            <v>42</v>
          </cell>
          <cell r="K99">
            <v>86</v>
          </cell>
          <cell r="L99">
            <v>43</v>
          </cell>
          <cell r="M99">
            <v>129</v>
          </cell>
          <cell r="N99">
            <v>43.6</v>
          </cell>
          <cell r="O99">
            <v>172.6</v>
          </cell>
          <cell r="P99">
            <v>46</v>
          </cell>
          <cell r="Q99">
            <v>50</v>
          </cell>
          <cell r="R99">
            <v>96</v>
          </cell>
          <cell r="S99">
            <v>44</v>
          </cell>
          <cell r="T99">
            <v>140</v>
          </cell>
          <cell r="U99">
            <v>48</v>
          </cell>
          <cell r="V99">
            <v>188</v>
          </cell>
          <cell r="W99">
            <v>52</v>
          </cell>
          <cell r="X99">
            <v>49</v>
          </cell>
          <cell r="Y99">
            <v>101</v>
          </cell>
          <cell r="Z99">
            <v>52</v>
          </cell>
          <cell r="AA99">
            <v>153</v>
          </cell>
          <cell r="AB99">
            <v>54</v>
          </cell>
          <cell r="AC99">
            <v>207</v>
          </cell>
          <cell r="AD99">
            <v>53</v>
          </cell>
          <cell r="AE99">
            <v>45</v>
          </cell>
          <cell r="AF99">
            <v>98</v>
          </cell>
          <cell r="AG99">
            <v>44</v>
          </cell>
          <cell r="AH99">
            <v>142</v>
          </cell>
          <cell r="AI99">
            <v>44</v>
          </cell>
          <cell r="AJ99">
            <v>186</v>
          </cell>
          <cell r="AK99">
            <v>45</v>
          </cell>
          <cell r="AL99">
            <v>46</v>
          </cell>
          <cell r="AM99">
            <v>91</v>
          </cell>
          <cell r="AN99">
            <v>45</v>
          </cell>
          <cell r="AO99">
            <v>136</v>
          </cell>
          <cell r="AP99">
            <v>45</v>
          </cell>
          <cell r="AQ99">
            <v>181</v>
          </cell>
          <cell r="AR99">
            <v>43</v>
          </cell>
          <cell r="AS99">
            <v>42</v>
          </cell>
          <cell r="AT99">
            <v>85</v>
          </cell>
          <cell r="AU99">
            <v>39.6</v>
          </cell>
          <cell r="AV99">
            <v>124.6</v>
          </cell>
          <cell r="AW99">
            <v>43.400000000000006</v>
          </cell>
          <cell r="AX99">
            <v>168</v>
          </cell>
          <cell r="AY99">
            <v>44</v>
          </cell>
          <cell r="AZ99">
            <v>45</v>
          </cell>
          <cell r="BA99">
            <v>89</v>
          </cell>
          <cell r="BB99">
            <v>45</v>
          </cell>
          <cell r="BC99">
            <v>134</v>
          </cell>
          <cell r="BD99">
            <v>46</v>
          </cell>
          <cell r="BE99">
            <v>180</v>
          </cell>
          <cell r="BF99">
            <v>47</v>
          </cell>
          <cell r="BG99">
            <v>43</v>
          </cell>
          <cell r="BH99">
            <v>90</v>
          </cell>
          <cell r="BI99">
            <v>41</v>
          </cell>
          <cell r="BJ99">
            <v>131</v>
          </cell>
          <cell r="BK99">
            <v>41</v>
          </cell>
          <cell r="BL99">
            <v>172</v>
          </cell>
          <cell r="BM99">
            <v>41</v>
          </cell>
          <cell r="BN99">
            <v>39</v>
          </cell>
          <cell r="BO99">
            <v>31</v>
          </cell>
          <cell r="BP99">
            <v>44.91712499999997</v>
          </cell>
          <cell r="BQ99">
            <v>155.91712499999997</v>
          </cell>
        </row>
        <row r="100">
          <cell r="N100" t="str">
            <v xml:space="preserve"> </v>
          </cell>
        </row>
        <row r="101">
          <cell r="A101" t="str">
            <v>Pretax income</v>
          </cell>
          <cell r="B101">
            <v>384</v>
          </cell>
          <cell r="C101">
            <v>443</v>
          </cell>
          <cell r="D101">
            <v>860</v>
          </cell>
          <cell r="E101">
            <v>233.3</v>
          </cell>
          <cell r="F101">
            <v>1111.3</v>
          </cell>
          <cell r="G101">
            <v>261.25999999999988</v>
          </cell>
          <cell r="H101">
            <v>1372.4599999999998</v>
          </cell>
          <cell r="I101">
            <v>403</v>
          </cell>
          <cell r="J101">
            <v>328.90000000000009</v>
          </cell>
          <cell r="K101">
            <v>731.90000000000009</v>
          </cell>
          <cell r="L101">
            <v>241</v>
          </cell>
          <cell r="M101">
            <v>972.89999999999964</v>
          </cell>
          <cell r="N101">
            <v>182.70000000000007</v>
          </cell>
          <cell r="O101">
            <v>1155.5999999999995</v>
          </cell>
          <cell r="P101">
            <v>364.8</v>
          </cell>
          <cell r="Q101">
            <v>423</v>
          </cell>
          <cell r="R101">
            <v>787.79999999999973</v>
          </cell>
          <cell r="S101">
            <v>200.39999999999998</v>
          </cell>
          <cell r="T101">
            <v>988.19999999999982</v>
          </cell>
          <cell r="U101">
            <v>909.09999999999968</v>
          </cell>
          <cell r="V101">
            <v>1897.2999999999997</v>
          </cell>
          <cell r="W101">
            <v>310.5</v>
          </cell>
          <cell r="X101">
            <v>411.1</v>
          </cell>
          <cell r="Y101">
            <v>721.6</v>
          </cell>
          <cell r="Z101">
            <v>184.8</v>
          </cell>
          <cell r="AA101">
            <v>907.90000000000009</v>
          </cell>
          <cell r="AB101">
            <v>94.399999999999977</v>
          </cell>
          <cell r="AC101">
            <v>949</v>
          </cell>
          <cell r="AD101">
            <v>278</v>
          </cell>
          <cell r="AE101">
            <v>312</v>
          </cell>
          <cell r="AF101">
            <v>-98</v>
          </cell>
          <cell r="AG101">
            <v>152</v>
          </cell>
          <cell r="AH101">
            <v>-142</v>
          </cell>
          <cell r="AI101">
            <v>77</v>
          </cell>
          <cell r="AJ101">
            <v>818</v>
          </cell>
          <cell r="AK101">
            <v>285</v>
          </cell>
          <cell r="AL101">
            <v>339</v>
          </cell>
          <cell r="AM101">
            <v>-91</v>
          </cell>
          <cell r="AN101">
            <v>190</v>
          </cell>
          <cell r="AO101">
            <v>-136</v>
          </cell>
          <cell r="AP101">
            <v>110</v>
          </cell>
          <cell r="AQ101">
            <v>924</v>
          </cell>
          <cell r="AR101">
            <v>311</v>
          </cell>
          <cell r="AS101">
            <v>347</v>
          </cell>
          <cell r="AT101">
            <v>658</v>
          </cell>
          <cell r="AU101">
            <v>185.4</v>
          </cell>
          <cell r="AV101">
            <v>843.4</v>
          </cell>
          <cell r="AW101">
            <v>110.6</v>
          </cell>
          <cell r="AX101">
            <v>954</v>
          </cell>
          <cell r="AY101">
            <v>327</v>
          </cell>
          <cell r="AZ101">
            <v>332</v>
          </cell>
          <cell r="BA101">
            <v>659</v>
          </cell>
          <cell r="BB101">
            <v>203</v>
          </cell>
          <cell r="BC101">
            <v>862</v>
          </cell>
          <cell r="BD101">
            <v>125</v>
          </cell>
          <cell r="BE101">
            <v>987</v>
          </cell>
          <cell r="BF101">
            <v>341</v>
          </cell>
          <cell r="BG101">
            <v>360</v>
          </cell>
          <cell r="BH101">
            <v>701</v>
          </cell>
          <cell r="BI101">
            <v>234</v>
          </cell>
          <cell r="BJ101">
            <v>935</v>
          </cell>
          <cell r="BK101">
            <v>98</v>
          </cell>
          <cell r="BL101">
            <v>1033</v>
          </cell>
          <cell r="BM101">
            <v>397</v>
          </cell>
          <cell r="BN101">
            <v>383</v>
          </cell>
          <cell r="BO101">
            <v>230</v>
          </cell>
          <cell r="BP101">
            <v>88.647346609137315</v>
          </cell>
          <cell r="BQ101">
            <v>1098.6473466091375</v>
          </cell>
        </row>
        <row r="102">
          <cell r="A102" t="str">
            <v>Income taxes</v>
          </cell>
          <cell r="B102">
            <v>132</v>
          </cell>
          <cell r="C102">
            <v>152</v>
          </cell>
          <cell r="D102">
            <v>284</v>
          </cell>
          <cell r="E102">
            <v>76</v>
          </cell>
          <cell r="F102">
            <v>360</v>
          </cell>
          <cell r="G102">
            <v>88.6</v>
          </cell>
          <cell r="H102">
            <v>448.6</v>
          </cell>
          <cell r="I102">
            <v>139</v>
          </cell>
          <cell r="J102">
            <v>110</v>
          </cell>
          <cell r="K102">
            <v>249</v>
          </cell>
          <cell r="L102">
            <v>78.5</v>
          </cell>
          <cell r="M102">
            <v>327.5</v>
          </cell>
          <cell r="N102">
            <v>61.6</v>
          </cell>
          <cell r="O102">
            <v>389.1</v>
          </cell>
          <cell r="P102">
            <v>129.50399999999999</v>
          </cell>
          <cell r="Q102">
            <v>142</v>
          </cell>
          <cell r="R102">
            <v>271.50400000000002</v>
          </cell>
          <cell r="S102">
            <v>61</v>
          </cell>
          <cell r="T102">
            <v>332.50400000000002</v>
          </cell>
          <cell r="U102">
            <v>30</v>
          </cell>
          <cell r="V102">
            <v>362.50400000000002</v>
          </cell>
          <cell r="W102">
            <v>107</v>
          </cell>
          <cell r="X102">
            <v>140</v>
          </cell>
          <cell r="Y102">
            <v>247</v>
          </cell>
          <cell r="Z102">
            <v>63</v>
          </cell>
          <cell r="AA102">
            <v>310</v>
          </cell>
          <cell r="AB102">
            <v>32.100000000000023</v>
          </cell>
          <cell r="AC102">
            <v>342.1</v>
          </cell>
          <cell r="AD102">
            <v>94</v>
          </cell>
          <cell r="AE102">
            <v>104</v>
          </cell>
          <cell r="AF102">
            <v>198</v>
          </cell>
          <cell r="AG102">
            <v>52</v>
          </cell>
          <cell r="AH102">
            <v>250</v>
          </cell>
          <cell r="AI102">
            <v>27</v>
          </cell>
          <cell r="AJ102">
            <v>279</v>
          </cell>
          <cell r="AK102">
            <v>93</v>
          </cell>
          <cell r="AL102">
            <v>108</v>
          </cell>
          <cell r="AM102">
            <v>201</v>
          </cell>
          <cell r="AN102">
            <v>61.18</v>
          </cell>
          <cell r="AO102">
            <v>262.18</v>
          </cell>
          <cell r="AP102">
            <v>35.348000000000013</v>
          </cell>
          <cell r="AQ102">
            <v>297.52800000000002</v>
          </cell>
          <cell r="AR102">
            <v>100</v>
          </cell>
          <cell r="AS102">
            <v>112</v>
          </cell>
          <cell r="AT102">
            <v>212</v>
          </cell>
          <cell r="AU102">
            <v>55</v>
          </cell>
          <cell r="AV102">
            <v>267</v>
          </cell>
          <cell r="AW102">
            <v>36.199999999999989</v>
          </cell>
          <cell r="AX102">
            <v>303.2</v>
          </cell>
          <cell r="AY102">
            <v>103</v>
          </cell>
          <cell r="AZ102">
            <v>105.374626865672</v>
          </cell>
          <cell r="BA102">
            <v>208.37462686567198</v>
          </cell>
          <cell r="BB102">
            <v>64.8</v>
          </cell>
          <cell r="BC102">
            <v>273.174626865672</v>
          </cell>
          <cell r="BD102">
            <v>35.700000000000003</v>
          </cell>
          <cell r="BE102">
            <v>309.81632653061223</v>
          </cell>
          <cell r="BF102">
            <v>99</v>
          </cell>
          <cell r="BG102">
            <v>106</v>
          </cell>
          <cell r="BH102">
            <v>205</v>
          </cell>
          <cell r="BI102">
            <v>68</v>
          </cell>
          <cell r="BJ102">
            <v>273</v>
          </cell>
          <cell r="BK102">
            <v>24</v>
          </cell>
          <cell r="BL102">
            <v>297</v>
          </cell>
          <cell r="BM102">
            <v>128</v>
          </cell>
          <cell r="BN102">
            <v>113</v>
          </cell>
          <cell r="BO102">
            <v>53</v>
          </cell>
          <cell r="BP102">
            <v>24.607730516649838</v>
          </cell>
          <cell r="BQ102">
            <v>318.60773051664984</v>
          </cell>
        </row>
        <row r="104">
          <cell r="N104" t="str">
            <v xml:space="preserve"> </v>
          </cell>
          <cell r="BA104">
            <v>0</v>
          </cell>
          <cell r="BH104">
            <v>0</v>
          </cell>
        </row>
        <row r="105">
          <cell r="A105" t="str">
            <v>Net income - cont. ops.</v>
          </cell>
          <cell r="B105">
            <v>252</v>
          </cell>
          <cell r="C105">
            <v>291</v>
          </cell>
          <cell r="D105">
            <v>576</v>
          </cell>
          <cell r="E105">
            <v>157.30000000000001</v>
          </cell>
          <cell r="F105">
            <v>751.3</v>
          </cell>
          <cell r="G105">
            <v>172.65999999999988</v>
          </cell>
          <cell r="H105">
            <v>923.85999999999979</v>
          </cell>
          <cell r="I105">
            <v>264</v>
          </cell>
          <cell r="J105">
            <v>218.90000000000009</v>
          </cell>
          <cell r="K105">
            <v>482.90000000000009</v>
          </cell>
          <cell r="L105">
            <v>162.5</v>
          </cell>
          <cell r="M105">
            <v>645.39999999999964</v>
          </cell>
          <cell r="N105">
            <v>121.10000000000008</v>
          </cell>
          <cell r="O105">
            <v>766.49999999999943</v>
          </cell>
          <cell r="P105">
            <v>234.69600000000003</v>
          </cell>
          <cell r="Q105">
            <v>281</v>
          </cell>
          <cell r="R105">
            <v>516.29599999999971</v>
          </cell>
          <cell r="S105">
            <v>139.39999999999998</v>
          </cell>
          <cell r="T105">
            <v>655.6959999999998</v>
          </cell>
          <cell r="U105">
            <v>879.09999999999968</v>
          </cell>
          <cell r="V105">
            <v>1534.7959999999998</v>
          </cell>
          <cell r="W105">
            <v>203.5</v>
          </cell>
          <cell r="X105">
            <v>271.10000000000002</v>
          </cell>
          <cell r="Y105">
            <v>474.6</v>
          </cell>
          <cell r="Z105">
            <v>121.80000000000001</v>
          </cell>
          <cell r="AA105">
            <v>597.90000000000009</v>
          </cell>
          <cell r="AB105">
            <v>62.299999999999955</v>
          </cell>
          <cell r="AC105">
            <v>606.9</v>
          </cell>
          <cell r="AD105">
            <v>184</v>
          </cell>
          <cell r="AE105">
            <v>208</v>
          </cell>
          <cell r="AF105">
            <v>-296</v>
          </cell>
          <cell r="AG105">
            <v>100</v>
          </cell>
          <cell r="AH105">
            <v>-392</v>
          </cell>
          <cell r="AI105">
            <v>50</v>
          </cell>
          <cell r="AJ105">
            <v>539</v>
          </cell>
          <cell r="AK105">
            <v>192</v>
          </cell>
          <cell r="AL105">
            <v>231</v>
          </cell>
          <cell r="AM105">
            <v>-292</v>
          </cell>
          <cell r="AN105">
            <v>128.82</v>
          </cell>
          <cell r="AO105">
            <v>-398.18</v>
          </cell>
          <cell r="AP105">
            <v>74.651999999999987</v>
          </cell>
          <cell r="AQ105">
            <v>626.47199999999998</v>
          </cell>
          <cell r="AR105">
            <v>211</v>
          </cell>
          <cell r="AS105">
            <v>235</v>
          </cell>
          <cell r="AT105">
            <v>446</v>
          </cell>
          <cell r="AU105">
            <v>130.4</v>
          </cell>
          <cell r="AV105">
            <v>576.4</v>
          </cell>
          <cell r="AW105">
            <v>74.400000000000006</v>
          </cell>
          <cell r="AX105">
            <v>650.79999999999995</v>
          </cell>
          <cell r="AY105">
            <v>224</v>
          </cell>
          <cell r="AZ105">
            <v>226.62537313432802</v>
          </cell>
          <cell r="BA105">
            <v>450.62537313432802</v>
          </cell>
          <cell r="BB105">
            <v>138.19999999999999</v>
          </cell>
          <cell r="BC105">
            <v>588.82537313432795</v>
          </cell>
          <cell r="BD105">
            <v>89.3</v>
          </cell>
          <cell r="BE105">
            <v>677.18367346938771</v>
          </cell>
          <cell r="BF105">
            <v>242</v>
          </cell>
          <cell r="BG105">
            <v>254</v>
          </cell>
          <cell r="BH105">
            <v>496</v>
          </cell>
          <cell r="BI105">
            <v>166</v>
          </cell>
          <cell r="BJ105">
            <v>662</v>
          </cell>
          <cell r="BK105">
            <v>74</v>
          </cell>
          <cell r="BL105">
            <v>736</v>
          </cell>
          <cell r="BM105">
            <v>269</v>
          </cell>
          <cell r="BN105">
            <v>270</v>
          </cell>
          <cell r="BO105">
            <v>177</v>
          </cell>
          <cell r="BP105">
            <v>64.039616092487478</v>
          </cell>
          <cell r="BQ105">
            <v>780.03961609248768</v>
          </cell>
        </row>
        <row r="106">
          <cell r="A106" t="str">
            <v>Loss (inc.) from disc'd ops</v>
          </cell>
          <cell r="B106">
            <v>-15</v>
          </cell>
          <cell r="C106">
            <v>-19.899999999999999</v>
          </cell>
          <cell r="D106">
            <v>-34.9</v>
          </cell>
          <cell r="E106">
            <v>54.4</v>
          </cell>
          <cell r="F106">
            <v>19.5</v>
          </cell>
          <cell r="H106">
            <v>19.5</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-21</v>
          </cell>
          <cell r="BL106">
            <v>-21</v>
          </cell>
          <cell r="BM106">
            <v>-22</v>
          </cell>
          <cell r="BN106">
            <v>1</v>
          </cell>
          <cell r="BO106">
            <v>0</v>
          </cell>
          <cell r="BP106">
            <v>0</v>
          </cell>
          <cell r="BQ106">
            <v>0</v>
          </cell>
        </row>
        <row r="107">
          <cell r="A107" t="str">
            <v xml:space="preserve">Extraordinary items </v>
          </cell>
          <cell r="B107">
            <v>0</v>
          </cell>
          <cell r="C107">
            <v>11</v>
          </cell>
          <cell r="D107">
            <v>11</v>
          </cell>
          <cell r="E107">
            <v>190.8</v>
          </cell>
          <cell r="F107">
            <v>201.8</v>
          </cell>
          <cell r="G107">
            <v>-9</v>
          </cell>
          <cell r="H107">
            <v>192.8</v>
          </cell>
          <cell r="I107">
            <v>0</v>
          </cell>
          <cell r="J107">
            <v>0</v>
          </cell>
          <cell r="K107">
            <v>0</v>
          </cell>
          <cell r="L107">
            <v>0</v>
          </cell>
          <cell r="M107">
            <v>0</v>
          </cell>
          <cell r="N107">
            <v>42</v>
          </cell>
          <cell r="O107">
            <v>42</v>
          </cell>
          <cell r="P107">
            <v>0</v>
          </cell>
          <cell r="Q107">
            <v>0</v>
          </cell>
          <cell r="R107">
            <v>0</v>
          </cell>
          <cell r="S107">
            <v>0</v>
          </cell>
          <cell r="T107">
            <v>0</v>
          </cell>
          <cell r="U107">
            <v>0</v>
          </cell>
          <cell r="V107">
            <v>0</v>
          </cell>
          <cell r="W107">
            <v>0</v>
          </cell>
          <cell r="X107">
            <v>0</v>
          </cell>
          <cell r="Y107">
            <v>0</v>
          </cell>
          <cell r="Z107">
            <v>0</v>
          </cell>
          <cell r="AA107">
            <v>0</v>
          </cell>
          <cell r="AB107">
            <v>11</v>
          </cell>
          <cell r="AC107">
            <v>11</v>
          </cell>
          <cell r="AD107">
            <v>11.56</v>
          </cell>
          <cell r="AE107">
            <v>5</v>
          </cell>
          <cell r="AF107">
            <v>16.560000000000002</v>
          </cell>
          <cell r="AG107">
            <v>5</v>
          </cell>
          <cell r="AH107">
            <v>21.560000000000002</v>
          </cell>
          <cell r="AI107">
            <v>-4.5600000000000023</v>
          </cell>
          <cell r="AJ107">
            <v>13</v>
          </cell>
          <cell r="AK107">
            <v>31</v>
          </cell>
          <cell r="AL107">
            <v>0</v>
          </cell>
          <cell r="AM107">
            <v>31</v>
          </cell>
          <cell r="AN107">
            <v>0</v>
          </cell>
          <cell r="AO107">
            <v>31</v>
          </cell>
          <cell r="AP107">
            <v>0.47200000000000131</v>
          </cell>
          <cell r="AQ107">
            <v>31.472000000000001</v>
          </cell>
          <cell r="AR107">
            <v>0</v>
          </cell>
          <cell r="AS107">
            <v>0</v>
          </cell>
          <cell r="AT107">
            <v>0</v>
          </cell>
          <cell r="AU107">
            <v>-10</v>
          </cell>
          <cell r="AV107">
            <v>-10</v>
          </cell>
          <cell r="AW107">
            <v>12.36</v>
          </cell>
          <cell r="AX107">
            <v>3.8</v>
          </cell>
          <cell r="AY107">
            <v>0</v>
          </cell>
          <cell r="AZ107">
            <v>0</v>
          </cell>
          <cell r="BA107">
            <v>0</v>
          </cell>
          <cell r="BB107">
            <v>0</v>
          </cell>
          <cell r="BC107">
            <v>0</v>
          </cell>
          <cell r="BD107">
            <v>0</v>
          </cell>
          <cell r="BE107">
            <v>0</v>
          </cell>
          <cell r="BF107">
            <v>0</v>
          </cell>
          <cell r="BG107">
            <v>0</v>
          </cell>
          <cell r="BH107">
            <v>0</v>
          </cell>
          <cell r="BI107">
            <v>0</v>
          </cell>
          <cell r="BJ107">
            <v>0</v>
          </cell>
          <cell r="BK107">
            <v>42.025396000000001</v>
          </cell>
          <cell r="BL107">
            <v>42.025396000000001</v>
          </cell>
          <cell r="BM107">
            <v>0</v>
          </cell>
          <cell r="BN107">
            <v>-14</v>
          </cell>
          <cell r="BO107">
            <v>-41</v>
          </cell>
          <cell r="BP107">
            <v>0</v>
          </cell>
          <cell r="BQ107">
            <v>-55</v>
          </cell>
        </row>
        <row r="108">
          <cell r="N108" t="str">
            <v xml:space="preserve"> </v>
          </cell>
        </row>
        <row r="109">
          <cell r="A109" t="str">
            <v>Net income</v>
          </cell>
          <cell r="B109">
            <v>267</v>
          </cell>
          <cell r="C109">
            <v>299.89999999999998</v>
          </cell>
          <cell r="D109">
            <v>599.9</v>
          </cell>
          <cell r="E109">
            <v>-87.9</v>
          </cell>
          <cell r="F109">
            <v>530</v>
          </cell>
          <cell r="G109">
            <v>181.65999999999988</v>
          </cell>
          <cell r="H109">
            <v>711.55999999999972</v>
          </cell>
          <cell r="I109">
            <v>264</v>
          </cell>
          <cell r="J109">
            <v>218.90000000000009</v>
          </cell>
          <cell r="K109">
            <v>482.90000000000009</v>
          </cell>
          <cell r="L109">
            <v>162.5</v>
          </cell>
          <cell r="M109">
            <v>645.39999999999964</v>
          </cell>
          <cell r="N109">
            <v>79.10000000000008</v>
          </cell>
          <cell r="O109">
            <v>724.49999999999943</v>
          </cell>
          <cell r="P109">
            <v>234.69600000000003</v>
          </cell>
          <cell r="Q109">
            <v>281</v>
          </cell>
          <cell r="R109">
            <v>516.29599999999971</v>
          </cell>
          <cell r="S109">
            <v>139.39999999999998</v>
          </cell>
          <cell r="T109">
            <v>655.6959999999998</v>
          </cell>
          <cell r="U109">
            <v>879.09999999999968</v>
          </cell>
          <cell r="V109">
            <v>1534.7959999999998</v>
          </cell>
          <cell r="W109">
            <v>203.5</v>
          </cell>
          <cell r="X109">
            <v>271.10000000000002</v>
          </cell>
          <cell r="Y109">
            <v>474.6</v>
          </cell>
          <cell r="Z109">
            <v>121.80000000000001</v>
          </cell>
          <cell r="AA109">
            <v>597.90000000000009</v>
          </cell>
          <cell r="AB109">
            <v>51.299999999999955</v>
          </cell>
          <cell r="AC109">
            <v>595.9</v>
          </cell>
          <cell r="AD109">
            <v>172.44</v>
          </cell>
          <cell r="AE109">
            <v>203</v>
          </cell>
          <cell r="AF109">
            <v>-312.56</v>
          </cell>
          <cell r="AG109">
            <v>95</v>
          </cell>
          <cell r="AH109">
            <v>-413.56</v>
          </cell>
          <cell r="AI109">
            <v>54.56</v>
          </cell>
          <cell r="AJ109">
            <v>526</v>
          </cell>
          <cell r="AK109">
            <v>161</v>
          </cell>
          <cell r="AL109">
            <v>231</v>
          </cell>
          <cell r="AM109">
            <v>-323</v>
          </cell>
          <cell r="AN109">
            <v>128.82</v>
          </cell>
          <cell r="AO109">
            <v>-429.18</v>
          </cell>
          <cell r="AP109">
            <v>74.179999999999978</v>
          </cell>
          <cell r="AQ109">
            <v>595</v>
          </cell>
          <cell r="AR109">
            <v>211</v>
          </cell>
          <cell r="AS109">
            <v>235</v>
          </cell>
          <cell r="AT109">
            <v>446</v>
          </cell>
          <cell r="AU109">
            <v>140.4</v>
          </cell>
          <cell r="AV109">
            <v>586.4</v>
          </cell>
          <cell r="AW109">
            <v>62.040000000000006</v>
          </cell>
          <cell r="AX109">
            <v>647</v>
          </cell>
          <cell r="AY109">
            <v>224</v>
          </cell>
          <cell r="AZ109">
            <v>226.62537313432802</v>
          </cell>
          <cell r="BA109">
            <v>450.62537313432802</v>
          </cell>
          <cell r="BB109">
            <v>138.19999999999999</v>
          </cell>
          <cell r="BC109">
            <v>588.82537313432795</v>
          </cell>
          <cell r="BD109">
            <v>89.3</v>
          </cell>
          <cell r="BE109">
            <v>677.18367346938771</v>
          </cell>
          <cell r="BF109">
            <v>242</v>
          </cell>
          <cell r="BG109">
            <v>254</v>
          </cell>
          <cell r="BH109">
            <v>496</v>
          </cell>
          <cell r="BI109">
            <v>166</v>
          </cell>
          <cell r="BJ109">
            <v>662</v>
          </cell>
          <cell r="BK109">
            <v>52.974603999999999</v>
          </cell>
          <cell r="BL109">
            <v>714.974604</v>
          </cell>
          <cell r="BM109">
            <v>291</v>
          </cell>
          <cell r="BN109">
            <v>283</v>
          </cell>
          <cell r="BO109">
            <v>218</v>
          </cell>
          <cell r="BP109">
            <v>64.039616092487478</v>
          </cell>
          <cell r="BQ109">
            <v>835.03961609248768</v>
          </cell>
        </row>
        <row r="110">
          <cell r="N110" t="str">
            <v xml:space="preserve"> </v>
          </cell>
        </row>
        <row r="111">
          <cell r="A111" t="str">
            <v>Avg. shares (basic)</v>
          </cell>
          <cell r="B111">
            <v>458</v>
          </cell>
          <cell r="C111">
            <v>457</v>
          </cell>
          <cell r="D111">
            <v>457.5</v>
          </cell>
          <cell r="E111">
            <v>453</v>
          </cell>
          <cell r="F111">
            <v>456</v>
          </cell>
          <cell r="G111">
            <v>450</v>
          </cell>
          <cell r="H111">
            <v>454.5</v>
          </cell>
          <cell r="I111">
            <v>448</v>
          </cell>
          <cell r="J111">
            <v>444</v>
          </cell>
          <cell r="K111">
            <v>446</v>
          </cell>
          <cell r="L111">
            <v>438</v>
          </cell>
          <cell r="M111">
            <v>443.33333333333331</v>
          </cell>
          <cell r="N111">
            <v>433</v>
          </cell>
          <cell r="O111">
            <v>441</v>
          </cell>
          <cell r="P111">
            <v>429</v>
          </cell>
          <cell r="Q111">
            <v>427</v>
          </cell>
          <cell r="R111">
            <v>428</v>
          </cell>
          <cell r="S111">
            <v>423</v>
          </cell>
          <cell r="T111">
            <v>426.33333333333331</v>
          </cell>
          <cell r="U111">
            <v>422</v>
          </cell>
          <cell r="V111">
            <v>425</v>
          </cell>
          <cell r="W111">
            <v>421</v>
          </cell>
          <cell r="X111">
            <v>415</v>
          </cell>
          <cell r="Y111">
            <v>428</v>
          </cell>
          <cell r="Z111">
            <v>410</v>
          </cell>
          <cell r="AA111">
            <v>415.33333333333331</v>
          </cell>
          <cell r="AB111">
            <v>410</v>
          </cell>
          <cell r="AC111">
            <v>414</v>
          </cell>
          <cell r="AD111">
            <v>410</v>
          </cell>
          <cell r="AE111">
            <v>410</v>
          </cell>
          <cell r="AF111">
            <v>428</v>
          </cell>
          <cell r="AG111">
            <v>410</v>
          </cell>
          <cell r="AH111">
            <v>410</v>
          </cell>
          <cell r="AI111">
            <v>411</v>
          </cell>
          <cell r="AJ111">
            <v>410.25</v>
          </cell>
          <cell r="AK111">
            <v>410</v>
          </cell>
          <cell r="AL111">
            <v>411</v>
          </cell>
          <cell r="AM111">
            <v>428</v>
          </cell>
          <cell r="AN111">
            <v>410</v>
          </cell>
          <cell r="AO111">
            <v>410.33333333333331</v>
          </cell>
          <cell r="AP111">
            <v>411</v>
          </cell>
          <cell r="AQ111">
            <v>410.5</v>
          </cell>
          <cell r="AR111">
            <v>411</v>
          </cell>
          <cell r="AS111">
            <v>411</v>
          </cell>
          <cell r="AT111">
            <v>411</v>
          </cell>
          <cell r="AU111">
            <v>411</v>
          </cell>
          <cell r="AV111">
            <v>411</v>
          </cell>
          <cell r="AW111">
            <v>409</v>
          </cell>
          <cell r="AX111">
            <v>410.5</v>
          </cell>
          <cell r="AY111">
            <v>409</v>
          </cell>
          <cell r="AZ111">
            <v>409</v>
          </cell>
          <cell r="BA111">
            <v>409</v>
          </cell>
          <cell r="BB111">
            <v>409</v>
          </cell>
          <cell r="BC111">
            <v>409</v>
          </cell>
          <cell r="BD111">
            <v>408.5</v>
          </cell>
          <cell r="BE111">
            <v>409</v>
          </cell>
          <cell r="BF111">
            <v>409</v>
          </cell>
          <cell r="BG111">
            <v>408</v>
          </cell>
          <cell r="BH111">
            <v>408.5</v>
          </cell>
          <cell r="BI111">
            <v>406</v>
          </cell>
          <cell r="BJ111">
            <v>407.66666666666669</v>
          </cell>
          <cell r="BK111">
            <v>406</v>
          </cell>
          <cell r="BL111">
            <v>405.92106919451436</v>
          </cell>
          <cell r="BM111">
            <v>395</v>
          </cell>
          <cell r="BN111">
            <v>384</v>
          </cell>
          <cell r="BO111">
            <v>384</v>
          </cell>
          <cell r="BP111">
            <v>385</v>
          </cell>
          <cell r="BQ111">
            <v>387</v>
          </cell>
          <cell r="BR111">
            <v>397</v>
          </cell>
        </row>
        <row r="112">
          <cell r="A112" t="str">
            <v>Avg. shares (diluted)</v>
          </cell>
          <cell r="B112">
            <v>464</v>
          </cell>
          <cell r="C112">
            <v>462</v>
          </cell>
          <cell r="D112">
            <v>463</v>
          </cell>
          <cell r="E112">
            <v>453</v>
          </cell>
          <cell r="F112">
            <v>459.66666666666669</v>
          </cell>
          <cell r="G112">
            <v>456</v>
          </cell>
          <cell r="H112">
            <v>458.75</v>
          </cell>
          <cell r="I112">
            <v>454</v>
          </cell>
          <cell r="J112">
            <v>449</v>
          </cell>
          <cell r="K112">
            <v>451</v>
          </cell>
          <cell r="L112">
            <v>443</v>
          </cell>
          <cell r="M112">
            <v>448.66666666666669</v>
          </cell>
          <cell r="N112">
            <v>438</v>
          </cell>
          <cell r="O112">
            <v>445</v>
          </cell>
          <cell r="P112">
            <v>433</v>
          </cell>
          <cell r="Q112">
            <v>431</v>
          </cell>
          <cell r="R112">
            <v>432</v>
          </cell>
          <cell r="S112">
            <v>432</v>
          </cell>
          <cell r="T112">
            <v>432</v>
          </cell>
          <cell r="U112">
            <v>430.3</v>
          </cell>
          <cell r="V112">
            <v>432</v>
          </cell>
          <cell r="W112">
            <v>431</v>
          </cell>
          <cell r="X112">
            <v>419</v>
          </cell>
          <cell r="Y112">
            <v>432</v>
          </cell>
          <cell r="Z112">
            <v>411</v>
          </cell>
          <cell r="AA112">
            <v>420.33333333333331</v>
          </cell>
          <cell r="AB112">
            <v>411</v>
          </cell>
          <cell r="AC112">
            <v>418</v>
          </cell>
          <cell r="AD112">
            <v>411</v>
          </cell>
          <cell r="AE112">
            <v>411</v>
          </cell>
          <cell r="AF112">
            <v>432</v>
          </cell>
          <cell r="AG112">
            <v>411</v>
          </cell>
          <cell r="AH112">
            <v>411</v>
          </cell>
          <cell r="AI112">
            <v>411</v>
          </cell>
          <cell r="AJ112">
            <v>411</v>
          </cell>
          <cell r="AK112">
            <v>411</v>
          </cell>
          <cell r="AL112">
            <v>411</v>
          </cell>
          <cell r="AM112">
            <v>432</v>
          </cell>
          <cell r="AN112">
            <v>411</v>
          </cell>
          <cell r="AO112">
            <v>411</v>
          </cell>
          <cell r="AP112">
            <v>411</v>
          </cell>
          <cell r="AQ112">
            <v>411</v>
          </cell>
          <cell r="AR112">
            <v>412</v>
          </cell>
          <cell r="AS112">
            <v>412</v>
          </cell>
          <cell r="AT112">
            <v>412</v>
          </cell>
          <cell r="AU112">
            <v>413</v>
          </cell>
          <cell r="AV112">
            <v>412.33333333333331</v>
          </cell>
          <cell r="AW112">
            <v>412</v>
          </cell>
          <cell r="AX112">
            <v>412</v>
          </cell>
          <cell r="AY112">
            <v>412.3</v>
          </cell>
          <cell r="AZ112">
            <v>414</v>
          </cell>
          <cell r="BA112">
            <v>413.15</v>
          </cell>
          <cell r="BB112">
            <v>414</v>
          </cell>
          <cell r="BC112">
            <v>413.43333333333334</v>
          </cell>
          <cell r="BD112">
            <v>411.70000000000005</v>
          </cell>
          <cell r="BE112">
            <v>413</v>
          </cell>
          <cell r="BF112">
            <v>414</v>
          </cell>
          <cell r="BG112">
            <v>414</v>
          </cell>
          <cell r="BH112">
            <v>414</v>
          </cell>
          <cell r="BI112">
            <v>413</v>
          </cell>
          <cell r="BJ112">
            <v>413.66666666666669</v>
          </cell>
          <cell r="BK112">
            <v>416</v>
          </cell>
          <cell r="BL112">
            <v>414</v>
          </cell>
          <cell r="BM112">
            <v>405</v>
          </cell>
          <cell r="BN112">
            <v>395</v>
          </cell>
          <cell r="BO112">
            <v>395</v>
          </cell>
          <cell r="BP112">
            <v>393</v>
          </cell>
          <cell r="BQ112">
            <v>397</v>
          </cell>
        </row>
        <row r="113">
          <cell r="N113" t="str">
            <v xml:space="preserve"> </v>
          </cell>
        </row>
        <row r="114">
          <cell r="A114" t="str">
            <v>EPS - cont. ops. (diluted)</v>
          </cell>
          <cell r="B114">
            <v>0.5431034482758621</v>
          </cell>
          <cell r="C114">
            <v>0.62987012987012991</v>
          </cell>
          <cell r="D114">
            <v>1.244060475161987</v>
          </cell>
          <cell r="E114">
            <v>0.34724061810154527</v>
          </cell>
          <cell r="F114">
            <v>1.6344452501812907</v>
          </cell>
          <cell r="G114">
            <v>0.37864035087719272</v>
          </cell>
          <cell r="H114">
            <v>2.013863760217983</v>
          </cell>
          <cell r="I114">
            <v>0.58149779735682816</v>
          </cell>
          <cell r="J114">
            <v>0.48752783964365276</v>
          </cell>
          <cell r="K114">
            <v>1.0707317073170735</v>
          </cell>
          <cell r="L114">
            <v>0.36681715575620766</v>
          </cell>
          <cell r="M114">
            <v>1.4384843982169382</v>
          </cell>
          <cell r="N114">
            <v>0.27648401826484037</v>
          </cell>
          <cell r="O114">
            <v>1.7224719101123582</v>
          </cell>
          <cell r="P114">
            <v>0.54202309468822174</v>
          </cell>
          <cell r="Q114">
            <v>0.65197215777262185</v>
          </cell>
          <cell r="R114">
            <v>1.195129629629629</v>
          </cell>
          <cell r="S114">
            <v>0.32268518518518513</v>
          </cell>
          <cell r="T114">
            <v>1.5178148148148143</v>
          </cell>
          <cell r="U114">
            <v>2.0429932605159182</v>
          </cell>
          <cell r="V114">
            <v>3.5527685185185183</v>
          </cell>
          <cell r="W114">
            <v>0.47215777262180975</v>
          </cell>
          <cell r="X114">
            <v>0.64701670644391418</v>
          </cell>
          <cell r="Y114">
            <v>1.0986111111111112</v>
          </cell>
          <cell r="Z114">
            <v>0.2963503649635037</v>
          </cell>
          <cell r="AA114">
            <v>1.4224425059476609</v>
          </cell>
          <cell r="AB114">
            <v>0.15158150851581498</v>
          </cell>
          <cell r="AC114">
            <v>1.451913875598086</v>
          </cell>
          <cell r="AD114">
            <v>0.44768856447688565</v>
          </cell>
          <cell r="AE114">
            <v>0.5060827250608273</v>
          </cell>
          <cell r="AF114">
            <v>-0.68518518518518523</v>
          </cell>
          <cell r="AG114">
            <v>0.24330900243309003</v>
          </cell>
          <cell r="AH114">
            <v>-0.95377128953771284</v>
          </cell>
          <cell r="AI114">
            <v>0.12165450121654502</v>
          </cell>
          <cell r="AJ114">
            <v>1.3114355231143553</v>
          </cell>
          <cell r="AK114">
            <v>0.46715328467153283</v>
          </cell>
          <cell r="AL114">
            <v>0.56204379562043794</v>
          </cell>
          <cell r="AM114">
            <v>-0.67592592592592593</v>
          </cell>
          <cell r="AN114">
            <v>0.31343065693430655</v>
          </cell>
          <cell r="AO114">
            <v>-0.96880778588807792</v>
          </cell>
          <cell r="AP114">
            <v>0.18163503649635032</v>
          </cell>
          <cell r="AQ114">
            <v>1.5242627737226278</v>
          </cell>
          <cell r="AR114">
            <v>0.51213592233009708</v>
          </cell>
          <cell r="AS114">
            <v>0.57038834951456308</v>
          </cell>
          <cell r="AT114">
            <v>1.0825242718446602</v>
          </cell>
          <cell r="AU114">
            <v>0.31573849878934623</v>
          </cell>
          <cell r="AV114">
            <v>1.3982627706340063</v>
          </cell>
          <cell r="AW114">
            <v>0.18134887985143044</v>
          </cell>
          <cell r="AX114">
            <v>1.5796116504854367</v>
          </cell>
          <cell r="AY114">
            <v>0.54329371816638372</v>
          </cell>
          <cell r="AZ114">
            <v>0.54740428293315946</v>
          </cell>
          <cell r="BA114">
            <v>1.0906980010995433</v>
          </cell>
          <cell r="BB114">
            <v>0.33381642512077292</v>
          </cell>
          <cell r="BC114">
            <v>1.4245144262203162</v>
          </cell>
          <cell r="BD114">
            <v>0.2169055137235851</v>
          </cell>
          <cell r="BE114">
            <v>1.6396699115481543</v>
          </cell>
          <cell r="BF114">
            <v>0.58454106280193241</v>
          </cell>
          <cell r="BG114">
            <v>0.61352657004830913</v>
          </cell>
          <cell r="BH114">
            <v>1.1980676328502415</v>
          </cell>
          <cell r="BI114">
            <v>0.40193704600484259</v>
          </cell>
          <cell r="BJ114">
            <v>1.6000046788550841</v>
          </cell>
          <cell r="BK114">
            <v>0.17788461538461539</v>
          </cell>
          <cell r="BL114">
            <v>1.7777777777777777</v>
          </cell>
          <cell r="BM114">
            <v>0.66419753086419753</v>
          </cell>
          <cell r="BN114">
            <v>0.68354430379746833</v>
          </cell>
          <cell r="BO114">
            <v>0.44810126582278481</v>
          </cell>
          <cell r="BP114">
            <v>0.16295067708012081</v>
          </cell>
          <cell r="BQ114">
            <v>1.9648353050188607</v>
          </cell>
        </row>
        <row r="115">
          <cell r="A115" t="str">
            <v>Extra. items per share</v>
          </cell>
          <cell r="B115">
            <v>0</v>
          </cell>
          <cell r="C115">
            <v>2.3809523809523808E-2</v>
          </cell>
          <cell r="D115">
            <v>2.3758099352051837E-2</v>
          </cell>
          <cell r="E115">
            <v>0.42119205298013246</v>
          </cell>
          <cell r="F115">
            <v>0.43901377810007253</v>
          </cell>
          <cell r="G115">
            <v>-1.9736842105263157E-2</v>
          </cell>
          <cell r="H115">
            <v>0.46277929155313352</v>
          </cell>
          <cell r="I115">
            <v>0</v>
          </cell>
          <cell r="J115">
            <v>0</v>
          </cell>
          <cell r="K115">
            <v>0</v>
          </cell>
          <cell r="L115">
            <v>0</v>
          </cell>
          <cell r="M115">
            <v>0</v>
          </cell>
          <cell r="N115">
            <v>9.5890410958904104E-2</v>
          </cell>
          <cell r="O115">
            <v>9.4382022471910118E-2</v>
          </cell>
          <cell r="P115">
            <v>0</v>
          </cell>
          <cell r="Q115">
            <v>0</v>
          </cell>
          <cell r="R115">
            <v>0</v>
          </cell>
          <cell r="S115">
            <v>0</v>
          </cell>
          <cell r="T115">
            <v>0</v>
          </cell>
          <cell r="U115">
            <v>0</v>
          </cell>
          <cell r="V115">
            <v>0</v>
          </cell>
          <cell r="W115">
            <v>0</v>
          </cell>
          <cell r="X115">
            <v>0</v>
          </cell>
          <cell r="Y115">
            <v>0</v>
          </cell>
          <cell r="Z115">
            <v>0</v>
          </cell>
          <cell r="AA115">
            <v>0</v>
          </cell>
          <cell r="AB115">
            <v>2.6763990267639901E-2</v>
          </cell>
          <cell r="AC115">
            <v>2.6315789473684209E-2</v>
          </cell>
          <cell r="AD115">
            <v>2.812652068126521E-2</v>
          </cell>
          <cell r="AE115">
            <v>1.2165450121654502E-2</v>
          </cell>
          <cell r="AF115">
            <v>3.8333333333333337E-2</v>
          </cell>
          <cell r="AG115">
            <v>1.2165450121654502E-2</v>
          </cell>
          <cell r="AH115">
            <v>5.2457420924574213E-2</v>
          </cell>
          <cell r="AI115">
            <v>-1.1094890510948911E-2</v>
          </cell>
          <cell r="AJ115">
            <v>3.1630170316301706E-2</v>
          </cell>
          <cell r="AK115">
            <v>7.5425790754257913E-2</v>
          </cell>
          <cell r="AL115">
            <v>0</v>
          </cell>
          <cell r="AM115">
            <v>7.1759259259259259E-2</v>
          </cell>
          <cell r="AN115">
            <v>0</v>
          </cell>
          <cell r="AO115">
            <v>7.5425790754257913E-2</v>
          </cell>
          <cell r="AP115">
            <v>1.148418491484188E-3</v>
          </cell>
          <cell r="AQ115">
            <v>7.6574209245742098E-2</v>
          </cell>
          <cell r="AR115">
            <v>0</v>
          </cell>
          <cell r="AS115">
            <v>0</v>
          </cell>
          <cell r="AT115">
            <v>0</v>
          </cell>
          <cell r="AU115">
            <v>-2.4213075060532687E-2</v>
          </cell>
          <cell r="AV115">
            <v>-2.425222312045271E-2</v>
          </cell>
          <cell r="AW115">
            <v>0.03</v>
          </cell>
          <cell r="AX115">
            <v>9.2233009708737861E-3</v>
          </cell>
          <cell r="AY115">
            <v>0</v>
          </cell>
          <cell r="AZ115">
            <v>0</v>
          </cell>
          <cell r="BA115">
            <v>0</v>
          </cell>
          <cell r="BB115">
            <v>0</v>
          </cell>
          <cell r="BC115">
            <v>0</v>
          </cell>
          <cell r="BD115">
            <v>0</v>
          </cell>
          <cell r="BE115">
            <v>0</v>
          </cell>
          <cell r="BF115">
            <v>0</v>
          </cell>
          <cell r="BG115">
            <v>0</v>
          </cell>
          <cell r="BH115">
            <v>0</v>
          </cell>
          <cell r="BI115">
            <v>0</v>
          </cell>
          <cell r="BJ115">
            <v>0</v>
          </cell>
          <cell r="BK115">
            <v>-5.0480769230769232E-2</v>
          </cell>
          <cell r="BL115">
            <v>-5.0724637681159424E-2</v>
          </cell>
          <cell r="BM115">
            <v>0</v>
          </cell>
          <cell r="BN115">
            <v>-3.5443037974683546E-2</v>
          </cell>
          <cell r="BO115">
            <v>-0.10379746835443038</v>
          </cell>
          <cell r="BP115">
            <v>0</v>
          </cell>
          <cell r="BQ115">
            <v>0</v>
          </cell>
        </row>
        <row r="116">
          <cell r="A116" t="str">
            <v>EPS - reported</v>
          </cell>
          <cell r="B116">
            <v>0.5431034482758621</v>
          </cell>
          <cell r="C116">
            <v>0.60606060606060608</v>
          </cell>
          <cell r="D116">
            <v>1.2203023758099352</v>
          </cell>
          <cell r="E116">
            <v>-7.3951434878587186E-2</v>
          </cell>
          <cell r="F116">
            <v>1.1954314720812182</v>
          </cell>
          <cell r="G116">
            <v>0.39837719298245589</v>
          </cell>
          <cell r="H116">
            <v>1.5510844686648495</v>
          </cell>
          <cell r="I116">
            <v>0.58149779735682816</v>
          </cell>
          <cell r="J116">
            <v>0.48752783964365276</v>
          </cell>
          <cell r="K116">
            <v>1.0707317073170735</v>
          </cell>
          <cell r="L116">
            <v>0.36681715575620766</v>
          </cell>
          <cell r="M116">
            <v>1.4384843982169382</v>
          </cell>
          <cell r="N116">
            <v>0.18059360730593627</v>
          </cell>
          <cell r="O116">
            <v>1.6280898876404482</v>
          </cell>
          <cell r="P116">
            <v>0.54202309468822174</v>
          </cell>
          <cell r="Q116">
            <v>0.65197215777262185</v>
          </cell>
          <cell r="R116">
            <v>1.195129629629629</v>
          </cell>
          <cell r="S116">
            <v>0.32268518518518513</v>
          </cell>
          <cell r="T116">
            <v>1.5178148148148143</v>
          </cell>
          <cell r="U116">
            <v>2.0429932605159182</v>
          </cell>
          <cell r="V116">
            <v>3.5527685185185183</v>
          </cell>
          <cell r="W116">
            <v>0.47215777262180975</v>
          </cell>
          <cell r="X116">
            <v>0.64701670644391418</v>
          </cell>
          <cell r="Y116">
            <v>1.0986111111111112</v>
          </cell>
          <cell r="Z116">
            <v>0.2963503649635037</v>
          </cell>
          <cell r="AA116">
            <v>1.4224425059476609</v>
          </cell>
          <cell r="AB116">
            <v>0.12481751824817508</v>
          </cell>
          <cell r="AC116">
            <v>1.4255980861244018</v>
          </cell>
          <cell r="AD116">
            <v>0.41956204379562045</v>
          </cell>
          <cell r="AE116">
            <v>0.49391727493917281</v>
          </cell>
          <cell r="AF116">
            <v>-0.72351851851851856</v>
          </cell>
          <cell r="AG116">
            <v>0.23114355231143552</v>
          </cell>
          <cell r="AH116">
            <v>-1.0062287104622871</v>
          </cell>
          <cell r="AI116">
            <v>0.13274939172749392</v>
          </cell>
          <cell r="AJ116">
            <v>1.2798053527980535</v>
          </cell>
          <cell r="AK116">
            <v>0.3917274939172749</v>
          </cell>
          <cell r="AL116">
            <v>0.56204379562043794</v>
          </cell>
          <cell r="AM116">
            <v>-0.74768518518518523</v>
          </cell>
          <cell r="AN116">
            <v>0.31343065693430655</v>
          </cell>
          <cell r="AO116">
            <v>-1.0442335766423358</v>
          </cell>
          <cell r="AP116">
            <v>0.18048661800486612</v>
          </cell>
          <cell r="AQ116">
            <v>1.4476885644768855</v>
          </cell>
          <cell r="AR116">
            <v>0.51213592233009708</v>
          </cell>
          <cell r="AS116">
            <v>0.57038834951456308</v>
          </cell>
          <cell r="AT116">
            <v>1.0825242718446602</v>
          </cell>
          <cell r="AU116">
            <v>0.3399515738498789</v>
          </cell>
          <cell r="AV116">
            <v>1.422514993754459</v>
          </cell>
          <cell r="AW116">
            <v>0.15134887985143045</v>
          </cell>
          <cell r="AX116">
            <v>1.570388349514563</v>
          </cell>
          <cell r="AY116">
            <v>0.54329371816638372</v>
          </cell>
          <cell r="AZ116">
            <v>0.54740428293315946</v>
          </cell>
          <cell r="BA116">
            <v>1.0906980010995433</v>
          </cell>
          <cell r="BB116">
            <v>0.33381642512077292</v>
          </cell>
          <cell r="BC116">
            <v>1.4245144262203162</v>
          </cell>
          <cell r="BD116">
            <v>0.21515548532783813</v>
          </cell>
          <cell r="BE116">
            <v>1.6396699115481543</v>
          </cell>
          <cell r="BF116">
            <v>0.58454106280193241</v>
          </cell>
          <cell r="BG116">
            <v>0.61352657004830913</v>
          </cell>
          <cell r="BH116">
            <v>1.1980676328502415</v>
          </cell>
          <cell r="BI116">
            <v>0.40193704600484259</v>
          </cell>
          <cell r="BJ116">
            <v>1.6000046788550841</v>
          </cell>
          <cell r="BK116">
            <v>0.22836538461538464</v>
          </cell>
          <cell r="BL116">
            <v>1.8285024154589371</v>
          </cell>
          <cell r="BM116">
            <v>0.66419753086419753</v>
          </cell>
          <cell r="BN116">
            <v>0.71898734177215184</v>
          </cell>
          <cell r="BO116">
            <v>0.55189873417721524</v>
          </cell>
          <cell r="BP116">
            <v>0.16295067708012081</v>
          </cell>
          <cell r="BQ116">
            <v>1.9648353050188607</v>
          </cell>
        </row>
        <row r="117">
          <cell r="N117" t="str">
            <v xml:space="preserve"> </v>
          </cell>
        </row>
        <row r="118">
          <cell r="A118" t="str">
            <v>JV earnings per share</v>
          </cell>
          <cell r="B118">
            <v>0</v>
          </cell>
          <cell r="C118">
            <v>0</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T118">
            <v>0</v>
          </cell>
          <cell r="AV118">
            <v>0</v>
          </cell>
          <cell r="AW118">
            <v>0</v>
          </cell>
        </row>
        <row r="120">
          <cell r="A120" t="str">
            <v>Dividends per share</v>
          </cell>
          <cell r="B120">
            <v>0.193</v>
          </cell>
          <cell r="C120">
            <v>0.21</v>
          </cell>
          <cell r="D120">
            <v>0.40300000000000002</v>
          </cell>
          <cell r="E120">
            <v>0.21</v>
          </cell>
          <cell r="F120">
            <v>0.61299999999999999</v>
          </cell>
          <cell r="G120">
            <v>0.21</v>
          </cell>
          <cell r="H120">
            <v>0.82299999999999995</v>
          </cell>
          <cell r="I120">
            <v>0.21</v>
          </cell>
          <cell r="J120">
            <v>0.22500000000000001</v>
          </cell>
          <cell r="K120">
            <v>0.435</v>
          </cell>
          <cell r="L120">
            <v>0.22500000000000001</v>
          </cell>
          <cell r="M120">
            <v>0.66</v>
          </cell>
          <cell r="N120">
            <v>0.22499999999999998</v>
          </cell>
          <cell r="O120">
            <v>0.88500000000000001</v>
          </cell>
          <cell r="P120">
            <v>0.22500000000000001</v>
          </cell>
          <cell r="Q120">
            <v>0.22500000000000001</v>
          </cell>
          <cell r="R120">
            <v>0.45</v>
          </cell>
          <cell r="S120">
            <v>0.22500000000000001</v>
          </cell>
          <cell r="T120">
            <v>0.67500000000000004</v>
          </cell>
          <cell r="U120">
            <v>0.22499999999999998</v>
          </cell>
          <cell r="V120">
            <v>0.9</v>
          </cell>
          <cell r="W120">
            <v>0.22500000000000001</v>
          </cell>
          <cell r="X120">
            <v>0.22500000000000001</v>
          </cell>
          <cell r="Y120">
            <v>0.45</v>
          </cell>
          <cell r="Z120">
            <v>0.22500000000000001</v>
          </cell>
          <cell r="AA120">
            <v>0.67500000000000004</v>
          </cell>
          <cell r="AB120">
            <v>0.22499999999999998</v>
          </cell>
          <cell r="AC120">
            <v>0.9</v>
          </cell>
          <cell r="AD120">
            <v>0.1575</v>
          </cell>
          <cell r="AE120">
            <v>0.1575</v>
          </cell>
          <cell r="AF120">
            <v>0.315</v>
          </cell>
          <cell r="AG120">
            <v>0.1575</v>
          </cell>
          <cell r="AH120">
            <v>0.47250000000000003</v>
          </cell>
          <cell r="AI120">
            <v>0.15749999999999997</v>
          </cell>
          <cell r="AJ120">
            <v>0.63</v>
          </cell>
          <cell r="AK120">
            <v>0.1575</v>
          </cell>
          <cell r="AL120">
            <v>0.1575</v>
          </cell>
          <cell r="AM120">
            <v>0.315</v>
          </cell>
          <cell r="AN120">
            <v>0.1575</v>
          </cell>
          <cell r="AO120">
            <v>0.47250000000000003</v>
          </cell>
          <cell r="AP120">
            <v>0.1575</v>
          </cell>
          <cell r="AQ120">
            <v>0.63</v>
          </cell>
          <cell r="AR120">
            <v>0.1575</v>
          </cell>
          <cell r="AS120">
            <v>0.1575</v>
          </cell>
          <cell r="AT120">
            <v>0.315</v>
          </cell>
          <cell r="AU120">
            <v>0.1575</v>
          </cell>
          <cell r="AV120">
            <v>0.47250000000000003</v>
          </cell>
          <cell r="AW120">
            <v>0.1575</v>
          </cell>
          <cell r="AX120">
            <v>0.63</v>
          </cell>
          <cell r="AY120">
            <v>0.17</v>
          </cell>
          <cell r="AZ120">
            <v>0.1699425</v>
          </cell>
          <cell r="BA120">
            <v>0.33994250000000004</v>
          </cell>
          <cell r="BB120">
            <v>0.1699425</v>
          </cell>
          <cell r="BC120">
            <v>0.50988500000000003</v>
          </cell>
          <cell r="BD120">
            <v>0.16988499999999995</v>
          </cell>
          <cell r="BE120">
            <v>0.67976999999999999</v>
          </cell>
          <cell r="BF120">
            <v>0.18</v>
          </cell>
          <cell r="BG120">
            <v>0.18</v>
          </cell>
          <cell r="BH120">
            <v>0.36</v>
          </cell>
          <cell r="BI120">
            <v>0.18</v>
          </cell>
          <cell r="BJ120">
            <v>0.54</v>
          </cell>
          <cell r="BK120">
            <v>0.17999999999999994</v>
          </cell>
          <cell r="BL120">
            <v>0.72</v>
          </cell>
          <cell r="BM120">
            <v>0.18359999999999999</v>
          </cell>
          <cell r="BN120">
            <v>0.18359999999999999</v>
          </cell>
          <cell r="BO120">
            <v>0</v>
          </cell>
          <cell r="BP120">
            <v>0.18359999999999999</v>
          </cell>
          <cell r="BQ120">
            <v>0.73439999999999994</v>
          </cell>
        </row>
        <row r="121">
          <cell r="N121" t="str">
            <v xml:space="preserve"> </v>
          </cell>
        </row>
        <row r="122">
          <cell r="A122" t="str">
            <v>Y-O-Y</v>
          </cell>
        </row>
        <row r="123">
          <cell r="A123" t="str">
            <v>% Change</v>
          </cell>
          <cell r="B123" t="str">
            <v>1Q98</v>
          </cell>
          <cell r="C123" t="str">
            <v>2Q98</v>
          </cell>
          <cell r="D123" t="str">
            <v>6 Mos.</v>
          </cell>
          <cell r="E123" t="str">
            <v>3Q98</v>
          </cell>
          <cell r="F123" t="str">
            <v>9 Mos.</v>
          </cell>
          <cell r="G123" t="str">
            <v>4Q98</v>
          </cell>
          <cell r="H123" t="str">
            <v>F1998</v>
          </cell>
          <cell r="I123" t="str">
            <v>1Q99</v>
          </cell>
          <cell r="J123" t="str">
            <v>2Q99</v>
          </cell>
          <cell r="K123" t="str">
            <v>6 Mos.</v>
          </cell>
          <cell r="L123" t="str">
            <v>3Q99</v>
          </cell>
          <cell r="M123" t="str">
            <v>9 Mos.</v>
          </cell>
          <cell r="N123" t="str">
            <v>4Q99</v>
          </cell>
          <cell r="O123" t="str">
            <v>F1999</v>
          </cell>
          <cell r="P123" t="str">
            <v>1Q00</v>
          </cell>
          <cell r="Q123" t="str">
            <v>2Q00</v>
          </cell>
          <cell r="R123" t="str">
            <v>6 Mos.</v>
          </cell>
          <cell r="S123" t="str">
            <v>3Q00</v>
          </cell>
          <cell r="T123" t="str">
            <v>9 Mos.</v>
          </cell>
          <cell r="U123" t="str">
            <v>4Q00</v>
          </cell>
          <cell r="V123" t="str">
            <v>F2000</v>
          </cell>
          <cell r="W123" t="str">
            <v>1Q01</v>
          </cell>
          <cell r="X123" t="str">
            <v>2Q01</v>
          </cell>
          <cell r="Y123" t="str">
            <v>6 Mos.</v>
          </cell>
          <cell r="Z123" t="str">
            <v>3Q01</v>
          </cell>
          <cell r="AA123" t="str">
            <v>9 Mos.</v>
          </cell>
          <cell r="AB123" t="str">
            <v>4Q01</v>
          </cell>
          <cell r="AC123" t="str">
            <v>F2001</v>
          </cell>
          <cell r="AD123" t="str">
            <v>1Q02</v>
          </cell>
          <cell r="AE123" t="str">
            <v>2Q02</v>
          </cell>
          <cell r="AF123" t="str">
            <v>6 Mos.</v>
          </cell>
          <cell r="AG123" t="str">
            <v>3Q02</v>
          </cell>
          <cell r="AH123" t="str">
            <v>9 Mos.</v>
          </cell>
          <cell r="AI123" t="str">
            <v>4Q02</v>
          </cell>
          <cell r="AJ123" t="str">
            <v>F2002</v>
          </cell>
          <cell r="AK123" t="str">
            <v>1Q03</v>
          </cell>
          <cell r="AL123" t="str">
            <v>2Q03</v>
          </cell>
          <cell r="AM123" t="str">
            <v>6 Mos.</v>
          </cell>
          <cell r="AN123" t="str">
            <v>3Q03</v>
          </cell>
          <cell r="AO123" t="str">
            <v>9 Mos.</v>
          </cell>
          <cell r="AP123" t="str">
            <v>4Q03</v>
          </cell>
          <cell r="AQ123" t="str">
            <v>F2003</v>
          </cell>
          <cell r="AR123" t="str">
            <v>1Q04</v>
          </cell>
          <cell r="AS123" t="str">
            <v>2Q04</v>
          </cell>
          <cell r="AT123" t="str">
            <v>6 Mos.</v>
          </cell>
          <cell r="AU123" t="str">
            <v>3Q04</v>
          </cell>
          <cell r="AV123" t="str">
            <v>9 Mos.</v>
          </cell>
          <cell r="AW123" t="str">
            <v>4Q04</v>
          </cell>
          <cell r="AX123" t="str">
            <v>F2004</v>
          </cell>
          <cell r="AY123" t="str">
            <v>1Q05</v>
          </cell>
          <cell r="AZ123" t="str">
            <v>2Q05</v>
          </cell>
          <cell r="BA123" t="str">
            <v>6 Mos.</v>
          </cell>
          <cell r="BB123" t="str">
            <v>3Q05</v>
          </cell>
          <cell r="BC123" t="str">
            <v>9 Mos.</v>
          </cell>
          <cell r="BD123" t="str">
            <v>4Q05</v>
          </cell>
          <cell r="BE123" t="str">
            <v>F2005</v>
          </cell>
          <cell r="BF123" t="str">
            <v>1Q06</v>
          </cell>
          <cell r="BG123" t="str">
            <v>2Q06</v>
          </cell>
          <cell r="BH123" t="str">
            <v>6 Mos.</v>
          </cell>
          <cell r="BI123" t="str">
            <v>3Q06</v>
          </cell>
          <cell r="BJ123" t="str">
            <v>9 Mos.</v>
          </cell>
          <cell r="BK123" t="str">
            <v>4Q06</v>
          </cell>
          <cell r="BL123" t="str">
            <v>F2006</v>
          </cell>
          <cell r="BM123" t="str">
            <v>1Q07</v>
          </cell>
          <cell r="BN123" t="str">
            <v>2Q07</v>
          </cell>
          <cell r="BO123" t="str">
            <v>3Q07</v>
          </cell>
          <cell r="BP123" t="str">
            <v>4Q07</v>
          </cell>
          <cell r="BQ123" t="str">
            <v>F2007</v>
          </cell>
        </row>
        <row r="124">
          <cell r="A124" t="str">
            <v>Net sales</v>
          </cell>
          <cell r="I124">
            <v>-4.9641478212906782E-3</v>
          </cell>
          <cell r="J124">
            <v>-8.95129224652087E-2</v>
          </cell>
          <cell r="K124">
            <v>-4.9437908496732005E-2</v>
          </cell>
          <cell r="L124">
            <v>-5.0890585241730277E-2</v>
          </cell>
          <cell r="M124">
            <v>-4.986103390772658E-2</v>
          </cell>
          <cell r="N124">
            <v>-2.5093137103973061E-3</v>
          </cell>
          <cell r="O124">
            <v>-4.0674057967551643E-2</v>
          </cell>
          <cell r="P124">
            <v>8.9246119733922841E-3</v>
          </cell>
          <cell r="Q124">
            <v>7.4021507724220698E-2</v>
          </cell>
          <cell r="R124">
            <v>4.1722819659506409E-2</v>
          </cell>
          <cell r="S124">
            <v>-3.1099195710455673E-2</v>
          </cell>
          <cell r="T124">
            <v>2.0534721815948086E-2</v>
          </cell>
          <cell r="U124">
            <v>-4.8923528050003925E-2</v>
          </cell>
          <cell r="V124">
            <v>6.5226190105545862E-3</v>
          </cell>
          <cell r="W124">
            <v>-0.13136640843909661</v>
          </cell>
          <cell r="X124">
            <v>-0.10800508259212198</v>
          </cell>
          <cell r="Y124">
            <v>-0.11923117541451038</v>
          </cell>
          <cell r="Z124">
            <v>-0.12078029883785288</v>
          </cell>
          <cell r="AA124">
            <v>-0.11965909959489411</v>
          </cell>
          <cell r="AB124">
            <v>-5.5578093306288032E-2</v>
          </cell>
          <cell r="AC124">
            <v>-0.10744389625253258</v>
          </cell>
          <cell r="AD124">
            <v>9.3611638203668565E-2</v>
          </cell>
          <cell r="AE124">
            <v>3.1339031339031341E-2</v>
          </cell>
          <cell r="AF124">
            <v>6.0851318944844128E-2</v>
          </cell>
          <cell r="AG124">
            <v>7.8678206136900075E-2</v>
          </cell>
          <cell r="AH124">
            <v>6.5769481224224005E-2</v>
          </cell>
          <cell r="AI124">
            <v>5.0687285223367698E-2</v>
          </cell>
          <cell r="AJ124">
            <v>6.2727430254721883E-2</v>
          </cell>
          <cell r="AK124">
            <v>-1.3880855986119144E-2</v>
          </cell>
          <cell r="AL124">
            <v>5.9668508287292817E-2</v>
          </cell>
          <cell r="AM124">
            <v>2.3735518508053121E-2</v>
          </cell>
          <cell r="AN124">
            <v>0.16703136396790663</v>
          </cell>
          <cell r="AO124">
            <v>6.3747454175152748E-2</v>
          </cell>
          <cell r="AP124">
            <v>0.18969746524938674</v>
          </cell>
          <cell r="AQ124">
            <v>8.8863525191586495E-2</v>
          </cell>
          <cell r="AR124">
            <v>0.11964809384164223</v>
          </cell>
          <cell r="AS124">
            <v>9.4890510948905105E-2</v>
          </cell>
          <cell r="AT124">
            <v>0.10654154016008832</v>
          </cell>
          <cell r="AU124">
            <v>4.1875000000000002E-2</v>
          </cell>
          <cell r="AV124">
            <v>8.6731763354394031E-2</v>
          </cell>
          <cell r="AW124">
            <v>-1.5120274914089347E-2</v>
          </cell>
          <cell r="AX124">
            <v>6.4540281521413598E-2</v>
          </cell>
          <cell r="AY124">
            <v>9.5337873232058667E-2</v>
          </cell>
          <cell r="AZ124">
            <v>5.8571428571428573E-2</v>
          </cell>
          <cell r="BA124">
            <v>7.607882264903966E-2</v>
          </cell>
          <cell r="BB124">
            <v>4.1391721655668866E-2</v>
          </cell>
          <cell r="BD124">
            <v>4.5359385903698535E-2</v>
          </cell>
          <cell r="BE124">
            <v>6.1752707835138559E-2</v>
          </cell>
          <cell r="BF124">
            <v>9.0865614538498327E-3</v>
          </cell>
          <cell r="BG124">
            <v>2.6090868196131354E-2</v>
          </cell>
          <cell r="BH124">
            <v>1.7848864163189614E-2</v>
          </cell>
          <cell r="BI124">
            <v>5.7603686635944701E-2</v>
          </cell>
          <cell r="BK124">
            <v>-2.9372496662216287E-2</v>
          </cell>
          <cell r="BL124">
            <v>1.7620561738208796E-2</v>
          </cell>
          <cell r="BM124">
            <v>2.0379146919431278E-2</v>
          </cell>
          <cell r="BN124">
            <v>-1.2713722051731697E-2</v>
          </cell>
          <cell r="BO124">
            <v>1.7429193899782137E-2</v>
          </cell>
          <cell r="BP124">
            <v>2.5436726272349247E-2</v>
          </cell>
          <cell r="BQ124">
            <v>1.0803931779715666E-2</v>
          </cell>
        </row>
        <row r="125">
          <cell r="A125" t="str">
            <v>Cost of products sold</v>
          </cell>
          <cell r="I125">
            <v>-0.12038073908174692</v>
          </cell>
          <cell r="J125">
            <v>-0.15549738219895287</v>
          </cell>
          <cell r="K125">
            <v>-0.13852813852813853</v>
          </cell>
          <cell r="L125">
            <v>-0.1270967741935484</v>
          </cell>
          <cell r="M125">
            <v>-0.13515059092642012</v>
          </cell>
          <cell r="N125">
            <v>-5.8543784847490871E-2</v>
          </cell>
          <cell r="O125">
            <v>-0.12072752018311737</v>
          </cell>
          <cell r="P125">
            <v>3.278166772756206E-2</v>
          </cell>
          <cell r="Q125">
            <v>5.5486670799752016E-2</v>
          </cell>
          <cell r="R125">
            <v>4.4283919597989947E-2</v>
          </cell>
          <cell r="S125">
            <v>-2.4759793052475981E-2</v>
          </cell>
          <cell r="T125">
            <v>2.3694070972007934E-2</v>
          </cell>
          <cell r="U125">
            <v>2.6214945131510108E-2</v>
          </cell>
          <cell r="V125">
            <v>2.420319425877724E-2</v>
          </cell>
          <cell r="W125">
            <v>-2.2804314329736937E-3</v>
          </cell>
          <cell r="X125">
            <v>1.6740088105727007E-2</v>
          </cell>
          <cell r="Y125">
            <v>7.4586466165414084E-3</v>
          </cell>
          <cell r="Z125">
            <v>1.3111026904130319E-2</v>
          </cell>
          <cell r="AA125">
            <v>9.0644848745829176E-3</v>
          </cell>
          <cell r="AB125">
            <v>-8.7414071119408937E-3</v>
          </cell>
          <cell r="AC125">
            <v>-2.5417324998282926E-3</v>
          </cell>
          <cell r="AD125">
            <v>0.12428959723251778</v>
          </cell>
          <cell r="AE125">
            <v>8.7232813402657275E-2</v>
          </cell>
          <cell r="AF125">
            <v>0.10514060540927811</v>
          </cell>
          <cell r="AG125">
            <v>6.6606822262118642E-2</v>
          </cell>
          <cell r="AH125">
            <v>9.4149276661118886E-2</v>
          </cell>
          <cell r="AI125">
            <v>7.2054794520547819E-2</v>
          </cell>
          <cell r="AJ125">
            <v>9.5730027548209362E-2</v>
          </cell>
          <cell r="AK125">
            <v>6.5934065934065934E-3</v>
          </cell>
          <cell r="AL125">
            <v>6.2699256110520726E-2</v>
          </cell>
          <cell r="AM125">
            <v>3.5116153430578063E-2</v>
          </cell>
          <cell r="AN125">
            <v>0.21331986758682589</v>
          </cell>
          <cell r="AO125">
            <v>8.4667228306655407E-2</v>
          </cell>
          <cell r="AP125">
            <v>0.25063889598773337</v>
          </cell>
          <cell r="AQ125">
            <v>0.12005028284098052</v>
          </cell>
          <cell r="AR125">
            <v>0.1408296943231441</v>
          </cell>
          <cell r="AS125">
            <v>0.14799999999999999</v>
          </cell>
          <cell r="AT125">
            <v>0.14457202505219208</v>
          </cell>
          <cell r="AU125">
            <v>7.6300578034682084E-2</v>
          </cell>
          <cell r="AV125">
            <v>0.12333692916217188</v>
          </cell>
          <cell r="AW125">
            <v>2.8366321839080444E-2</v>
          </cell>
          <cell r="AX125">
            <v>0.10247217452300786</v>
          </cell>
          <cell r="AY125">
            <v>0.12631578947368421</v>
          </cell>
          <cell r="AZ125">
            <v>9.1681184668989543E-2</v>
          </cell>
          <cell r="BA125">
            <v>0.10818513451892385</v>
          </cell>
          <cell r="BB125">
            <v>3.7862513426423203E-2</v>
          </cell>
          <cell r="BD125">
            <v>1.8987784851328952E-2</v>
          </cell>
          <cell r="BE125">
            <v>7.2989000185566533E-2</v>
          </cell>
          <cell r="BF125">
            <v>-2.0638837400228514E-2</v>
          </cell>
          <cell r="BG125">
            <v>7.1813285457809697E-3</v>
          </cell>
          <cell r="BH125">
            <v>-6.2923203868199508E-3</v>
          </cell>
          <cell r="BI125">
            <v>5.2781371280724451E-2</v>
          </cell>
          <cell r="BK125">
            <v>2.7422303473491772E-2</v>
          </cell>
          <cell r="BL125">
            <v>1.4043664226738807E-2</v>
          </cell>
          <cell r="BM125">
            <v>8.7123799855086791E-3</v>
          </cell>
          <cell r="BN125">
            <v>-3.9214958004938544E-2</v>
          </cell>
          <cell r="BO125">
            <v>3.4415524780204688E-3</v>
          </cell>
          <cell r="BP125">
            <v>0.12880052458505323</v>
          </cell>
          <cell r="BQ125">
            <v>1.698712907506407E-2</v>
          </cell>
        </row>
        <row r="126">
          <cell r="A126" t="str">
            <v>Depreciation</v>
          </cell>
          <cell r="P126">
            <v>6.741573033707865E-2</v>
          </cell>
          <cell r="Q126">
            <v>-6.0606060606060608E-2</v>
          </cell>
          <cell r="R126">
            <v>0</v>
          </cell>
          <cell r="S126">
            <v>9.3457943925233638E-3</v>
          </cell>
          <cell r="T126">
            <v>3.3898305084745762E-3</v>
          </cell>
          <cell r="U126">
            <v>-3.0303030303030304E-2</v>
          </cell>
          <cell r="V126">
            <v>-5.076142131979695E-3</v>
          </cell>
          <cell r="W126">
            <v>-1.0526315789473684E-2</v>
          </cell>
          <cell r="X126">
            <v>0.11827956989247312</v>
          </cell>
          <cell r="Y126">
            <v>5.3191489361702128E-2</v>
          </cell>
          <cell r="Z126">
            <v>-3.7037037037037035E-2</v>
          </cell>
          <cell r="AA126">
            <v>2.0270270270270271E-2</v>
          </cell>
          <cell r="AB126">
            <v>0.5</v>
          </cell>
          <cell r="AC126">
            <v>0.13775510204081631</v>
          </cell>
          <cell r="AD126">
            <v>0.2978723404255319</v>
          </cell>
          <cell r="AE126">
            <v>0.21153846153846154</v>
          </cell>
          <cell r="AF126">
            <v>0.25252525252525254</v>
          </cell>
          <cell r="AG126">
            <v>0.21153846153846154</v>
          </cell>
          <cell r="AH126">
            <v>0.23841059602649006</v>
          </cell>
          <cell r="AI126">
            <v>-0.25</v>
          </cell>
          <cell r="AJ126">
            <v>8.0717488789237665E-2</v>
          </cell>
          <cell r="AK126">
            <v>-9.8360655737704916E-2</v>
          </cell>
          <cell r="AL126">
            <v>-0.1111111111111111</v>
          </cell>
          <cell r="AM126">
            <v>-0.10483870967741936</v>
          </cell>
          <cell r="AN126">
            <v>-0.12698412698412698</v>
          </cell>
          <cell r="AO126">
            <v>-0.11229946524064172</v>
          </cell>
          <cell r="AP126">
            <v>0.3888888888888889</v>
          </cell>
          <cell r="AQ126">
            <v>0</v>
          </cell>
          <cell r="AR126">
            <v>0.14545454545454545</v>
          </cell>
          <cell r="AS126">
            <v>0.14285714285714285</v>
          </cell>
          <cell r="AT126">
            <v>0.14414414414414414</v>
          </cell>
          <cell r="AU126">
            <v>0.16363636363636364</v>
          </cell>
          <cell r="AV126">
            <v>0.15060240963855423</v>
          </cell>
          <cell r="AW126">
            <v>-0.10947773333333316</v>
          </cell>
          <cell r="AX126">
            <v>6.9664605809128685E-2</v>
          </cell>
          <cell r="AY126">
            <v>7.9365079365079361E-2</v>
          </cell>
          <cell r="AZ126">
            <v>7.421875E-2</v>
          </cell>
          <cell r="BA126">
            <v>7.6771653543307089E-2</v>
          </cell>
          <cell r="BB126">
            <v>7.421875E-2</v>
          </cell>
          <cell r="BD126">
            <v>4.0587867763590815E-2</v>
          </cell>
          <cell r="BE126">
            <v>6.6763200331495645E-2</v>
          </cell>
          <cell r="BF126">
            <v>0.10723399441277776</v>
          </cell>
          <cell r="BG126">
            <v>4.363636363636364E-2</v>
          </cell>
          <cell r="BH126">
            <v>7.5260779671436212E-2</v>
          </cell>
          <cell r="BI126">
            <v>4.363636363636364E-2</v>
          </cell>
          <cell r="BK126">
            <v>-1.8588656403869089E-2</v>
          </cell>
          <cell r="BL126">
            <v>4.363636363636364E-2</v>
          </cell>
          <cell r="BM126">
            <v>-2.7132142541998364E-2</v>
          </cell>
          <cell r="BN126">
            <v>2.0893111383047187E-2</v>
          </cell>
          <cell r="BO126">
            <v>2.0893111383047187E-2</v>
          </cell>
          <cell r="BP126">
            <v>7.3906078905529582E-2</v>
          </cell>
          <cell r="BQ126">
            <v>2.0893111383047187E-2</v>
          </cell>
        </row>
        <row r="127">
          <cell r="N127" t="str">
            <v xml:space="preserve"> </v>
          </cell>
        </row>
        <row r="128">
          <cell r="A128" t="str">
            <v>Gross profit</v>
          </cell>
          <cell r="I128">
            <v>5.8695652173913045E-2</v>
          </cell>
          <cell r="J128">
            <v>-7.672658467360445E-2</v>
          </cell>
          <cell r="K128">
            <v>-1.3707637835103646E-2</v>
          </cell>
          <cell r="L128">
            <v>-4.3914680050188205E-2</v>
          </cell>
          <cell r="M128">
            <v>-2.2386445565969849E-2</v>
          </cell>
          <cell r="N128">
            <v>-2.4747591969362649E-2</v>
          </cell>
          <cell r="O128">
            <v>-2.2828202329597088E-2</v>
          </cell>
          <cell r="P128">
            <v>-1.2987679671458233E-2</v>
          </cell>
          <cell r="Q128">
            <v>9.6167640127062096E-2</v>
          </cell>
          <cell r="R128">
            <v>4.1643161187752888E-2</v>
          </cell>
          <cell r="S128">
            <v>-3.9566929133858092E-2</v>
          </cell>
          <cell r="T128">
            <v>1.8824440429219436E-2</v>
          </cell>
          <cell r="U128">
            <v>-0.11445783132530125</v>
          </cell>
          <cell r="V128">
            <v>-7.6532119851071573E-3</v>
          </cell>
          <cell r="W128">
            <v>-0.24626826858064166</v>
          </cell>
          <cell r="X128">
            <v>-0.21710680065435861</v>
          </cell>
          <cell r="Y128">
            <v>-0.23090935946039076</v>
          </cell>
          <cell r="Z128">
            <v>-0.24766003962560645</v>
          </cell>
          <cell r="AA128">
            <v>-0.23534627843428221</v>
          </cell>
          <cell r="AB128">
            <v>-0.14672041656168644</v>
          </cell>
          <cell r="AC128">
            <v>-0.21269690021737181</v>
          </cell>
          <cell r="AD128">
            <v>4.6094396908639382E-2</v>
          </cell>
          <cell r="AE128">
            <v>-3.7611940298507333E-2</v>
          </cell>
          <cell r="AF128">
            <v>1.2163113757122407E-3</v>
          </cell>
          <cell r="AG128">
            <v>8.0784598619687439E-2</v>
          </cell>
          <cell r="AH128">
            <v>2.1952951199886456E-2</v>
          </cell>
          <cell r="AI128">
            <v>6.8740157480315103E-2</v>
          </cell>
          <cell r="AJ128">
            <v>2.4962178517397883E-2</v>
          </cell>
          <cell r="AK128">
            <v>-3.1662269129287601E-2</v>
          </cell>
          <cell r="AL128">
            <v>6.9478908188585611E-2</v>
          </cell>
          <cell r="AM128">
            <v>2.0460358056265986E-2</v>
          </cell>
          <cell r="AN128">
            <v>0.14270350205014465</v>
          </cell>
          <cell r="AO128">
            <v>5.4152694666246767E-2</v>
          </cell>
          <cell r="AP128">
            <v>9.960951889781168E-2</v>
          </cell>
          <cell r="AQ128">
            <v>6.0147601476014757E-2</v>
          </cell>
          <cell r="AR128">
            <v>9.128065395095368E-2</v>
          </cell>
          <cell r="AS128">
            <v>3.0162412993039442E-2</v>
          </cell>
          <cell r="AT128">
            <v>5.827067669172932E-2</v>
          </cell>
          <cell r="AU128">
            <v>-1.1764705882352941E-2</v>
          </cell>
          <cell r="AV128">
            <v>3.7346221441124781E-2</v>
          </cell>
          <cell r="AW128">
            <v>-6.030150753768844E-2</v>
          </cell>
          <cell r="AX128">
            <v>1.7055342847198052E-2</v>
          </cell>
          <cell r="AY128">
            <v>5.6179775280898875E-2</v>
          </cell>
          <cell r="AZ128">
            <v>1.4639639639639639E-2</v>
          </cell>
          <cell r="BA128">
            <v>3.4339846062759027E-2</v>
          </cell>
          <cell r="BB128">
            <v>4.3154761904761904E-2</v>
          </cell>
          <cell r="BD128">
            <v>8.5561497326203204E-2</v>
          </cell>
          <cell r="BE128">
            <v>4.6201232032854207E-2</v>
          </cell>
          <cell r="BF128">
            <v>4.255319148936184E-2</v>
          </cell>
          <cell r="BG128">
            <v>5.1054384017758046E-2</v>
          </cell>
          <cell r="BH128">
            <v>4.6937607326846022E-2</v>
          </cell>
          <cell r="BI128">
            <v>6.5620542082738945E-2</v>
          </cell>
          <cell r="BK128">
            <v>-0.10871607287344999</v>
          </cell>
          <cell r="BL128">
            <v>2.0213252083764864E-2</v>
          </cell>
          <cell r="BM128">
            <v>3.9682539682539548E-2</v>
          </cell>
          <cell r="BN128">
            <v>2.0063357972544878E-2</v>
          </cell>
          <cell r="BO128">
            <v>3.614457831325301E-2</v>
          </cell>
          <cell r="BP128">
            <v>-0.14118639748752879</v>
          </cell>
          <cell r="BQ128">
            <v>1.3996334275235493E-3</v>
          </cell>
        </row>
        <row r="129">
          <cell r="A129" t="str">
            <v>Marketing &amp; selling</v>
          </cell>
          <cell r="I129">
            <v>0.13513513513513514</v>
          </cell>
          <cell r="J129">
            <v>0.11328976034858387</v>
          </cell>
          <cell r="K129">
            <v>0.12303980699638119</v>
          </cell>
          <cell r="L129">
            <v>-6.8010075566750636E-2</v>
          </cell>
          <cell r="M129">
            <v>6.1174551386623165E-2</v>
          </cell>
          <cell r="N129">
            <v>0.1404109589041096</v>
          </cell>
          <cell r="O129">
            <v>7.6416337285902497E-2</v>
          </cell>
          <cell r="P129">
            <v>1.9047619047619049E-2</v>
          </cell>
          <cell r="Q129">
            <v>-9.1976516634050876E-2</v>
          </cell>
          <cell r="R129">
            <v>-4.1890440386680987E-2</v>
          </cell>
          <cell r="S129">
            <v>5.1351351351351354E-2</v>
          </cell>
          <cell r="T129">
            <v>-1.5372790161414296E-2</v>
          </cell>
          <cell r="U129">
            <v>-2.4414414414414414</v>
          </cell>
          <cell r="V129">
            <v>-0.50979192166462672</v>
          </cell>
          <cell r="W129">
            <v>-0.45537383177570112</v>
          </cell>
          <cell r="X129">
            <v>-0.47198275862068967</v>
          </cell>
          <cell r="Y129">
            <v>-0.46401345291479829</v>
          </cell>
          <cell r="Z129">
            <v>-0.46272493573264784</v>
          </cell>
          <cell r="AA129">
            <v>-0.46362217017954732</v>
          </cell>
          <cell r="AB129">
            <v>-1.4227083333333335</v>
          </cell>
          <cell r="AC129">
            <v>0.1111111111111111</v>
          </cell>
          <cell r="AD129">
            <v>0.19262119262119309</v>
          </cell>
          <cell r="AE129">
            <v>0.27755102040816326</v>
          </cell>
          <cell r="AF129">
            <v>0.23614306630412071</v>
          </cell>
          <cell r="AG129">
            <v>0.18076555023923446</v>
          </cell>
          <cell r="AH129">
            <v>0.21929850094600506</v>
          </cell>
          <cell r="AI129">
            <v>0.16064563824544004</v>
          </cell>
          <cell r="AJ129">
            <v>0.20592696629213467</v>
          </cell>
          <cell r="AK129">
            <v>-1.7985611510791366E-2</v>
          </cell>
          <cell r="AL129">
            <v>5.1118210862619806E-2</v>
          </cell>
          <cell r="AM129">
            <v>1.8612521150592216E-2</v>
          </cell>
          <cell r="AN129">
            <v>0.10219628819191182</v>
          </cell>
          <cell r="AO129">
            <v>5.9836711308458197E-2</v>
          </cell>
          <cell r="AP129">
            <v>7.8698061529969374E-2</v>
          </cell>
          <cell r="AQ129">
            <v>6.3975216044350469E-2</v>
          </cell>
          <cell r="AR129">
            <v>7.3260073260073263E-2</v>
          </cell>
          <cell r="AS129">
            <v>3.3434650455927049E-2</v>
          </cell>
          <cell r="AT129">
            <v>5.1495016611295678E-2</v>
          </cell>
          <cell r="AU129">
            <v>1.1029411764705883E-2</v>
          </cell>
          <cell r="AV129">
            <v>2.2806365510017777E-2</v>
          </cell>
          <cell r="AW129">
            <v>-3.6169241186010941E-2</v>
          </cell>
          <cell r="AX129">
            <v>9.6870408025653727E-3</v>
          </cell>
          <cell r="AY129">
            <v>7.1672354948805458E-2</v>
          </cell>
          <cell r="AZ129">
            <v>7.3529411764705885E-2</v>
          </cell>
          <cell r="BA129">
            <v>7.266982622432859E-2</v>
          </cell>
          <cell r="BB129">
            <v>0</v>
          </cell>
          <cell r="BD129">
            <v>-5.6526711321679586E-2</v>
          </cell>
          <cell r="BE129">
            <v>2.7753686036426712E-2</v>
          </cell>
          <cell r="BF129">
            <v>1.9108280254777069E-2</v>
          </cell>
          <cell r="BG129">
            <v>-2.7397260273972603E-3</v>
          </cell>
          <cell r="BH129">
            <v>7.3637702503681884E-3</v>
          </cell>
          <cell r="BI129">
            <v>0.15818181818181817</v>
          </cell>
          <cell r="BK129">
            <v>1.71428571428573E-2</v>
          </cell>
          <cell r="BL129">
            <v>1.6000000000000032E-2</v>
          </cell>
          <cell r="BM129">
            <v>-1.2500000000000001E-2</v>
          </cell>
          <cell r="BN129">
            <v>-8.241758241758242E-3</v>
          </cell>
          <cell r="BO129">
            <v>-1</v>
          </cell>
          <cell r="BP129">
            <v>-1</v>
          </cell>
          <cell r="BQ129">
            <v>-1</v>
          </cell>
        </row>
        <row r="130">
          <cell r="A130" t="str">
            <v>General &amp; admin.</v>
          </cell>
          <cell r="I130">
            <v>-0.26415094339622641</v>
          </cell>
          <cell r="J130">
            <v>-0.22916666666666666</v>
          </cell>
          <cell r="K130">
            <v>-0.24752475247524752</v>
          </cell>
          <cell r="L130">
            <v>-0.33653846153846156</v>
          </cell>
          <cell r="M130">
            <v>-0.27777777777777779</v>
          </cell>
          <cell r="N130">
            <v>-0.22826086956521738</v>
          </cell>
          <cell r="O130">
            <v>-0.26633165829145727</v>
          </cell>
          <cell r="P130">
            <v>6.4102564102564097E-2</v>
          </cell>
          <cell r="Q130">
            <v>0.17567567567567569</v>
          </cell>
          <cell r="R130">
            <v>0.11842105263157894</v>
          </cell>
          <cell r="S130">
            <v>-1.4492753623188406E-2</v>
          </cell>
          <cell r="T130">
            <v>7.6923076923076927E-2</v>
          </cell>
          <cell r="U130">
            <v>0.14084507042253522</v>
          </cell>
          <cell r="V130">
            <v>9.2465753424657529E-2</v>
          </cell>
          <cell r="W130">
            <v>3.614457831325301E-2</v>
          </cell>
          <cell r="X130">
            <v>-2.2988505747126436E-2</v>
          </cell>
          <cell r="Y130">
            <v>5.8823529411764705E-3</v>
          </cell>
          <cell r="Z130">
            <v>0.10294117647058823</v>
          </cell>
          <cell r="AA130">
            <v>3.3613445378151259E-2</v>
          </cell>
          <cell r="AB130">
            <v>0.93827160493827155</v>
          </cell>
          <cell r="AC130">
            <v>0.26332288401253917</v>
          </cell>
          <cell r="AD130">
            <v>0.31395348837209303</v>
          </cell>
          <cell r="AE130">
            <v>8.2352941176470587E-2</v>
          </cell>
          <cell r="AF130">
            <v>0.19883040935672514</v>
          </cell>
          <cell r="AG130">
            <v>0.25333333333333335</v>
          </cell>
          <cell r="AH130">
            <v>0.21544715447154472</v>
          </cell>
          <cell r="AI130">
            <v>-1.3745222929936404E-2</v>
          </cell>
          <cell r="AJ130">
            <v>0.12615880893300244</v>
          </cell>
          <cell r="AK130">
            <v>-7.0796460176991149E-2</v>
          </cell>
          <cell r="AL130">
            <v>0.32608695652173914</v>
          </cell>
          <cell r="AM130">
            <v>0.10731707317073171</v>
          </cell>
          <cell r="AN130">
            <v>0.45744680851063829</v>
          </cell>
          <cell r="AO130">
            <v>0.21739130434782608</v>
          </cell>
          <cell r="AP130">
            <v>-7.3068030637682427E-2</v>
          </cell>
          <cell r="AQ130">
            <v>0.11829226911568338</v>
          </cell>
          <cell r="AR130">
            <v>0.17142857142857143</v>
          </cell>
          <cell r="AS130">
            <v>0.11475409836065574</v>
          </cell>
          <cell r="AT130">
            <v>0.14096916299559473</v>
          </cell>
          <cell r="AU130">
            <v>1.4598540145985401E-2</v>
          </cell>
          <cell r="AV130">
            <v>9.3406593406593408E-2</v>
          </cell>
          <cell r="AW130">
            <v>3.2885569366258634E-3</v>
          </cell>
          <cell r="AX130">
            <v>6.7921375766460249E-2</v>
          </cell>
          <cell r="AY130">
            <v>4.878048780487805E-2</v>
          </cell>
          <cell r="AZ130">
            <v>0</v>
          </cell>
          <cell r="BA130">
            <v>2.3166023166023165E-2</v>
          </cell>
          <cell r="BB130">
            <v>4.3165467625899283E-2</v>
          </cell>
          <cell r="BD130">
            <v>0.11805555555555555</v>
          </cell>
          <cell r="BE130">
            <v>5.350553505535055E-2</v>
          </cell>
          <cell r="BF130">
            <v>6.9767441860465115E-2</v>
          </cell>
          <cell r="BG130">
            <v>0.14705882352941177</v>
          </cell>
          <cell r="BH130">
            <v>0.10943396226415095</v>
          </cell>
          <cell r="BI130">
            <v>-0.13793103448275862</v>
          </cell>
          <cell r="BK130">
            <v>-0.16689440993788823</v>
          </cell>
          <cell r="BL130">
            <v>2.9999999999999992E-2</v>
          </cell>
          <cell r="BM130">
            <v>-2.1739130434782608E-2</v>
          </cell>
          <cell r="BN130">
            <v>-6.41025641025641E-3</v>
          </cell>
          <cell r="BO130">
            <v>-1</v>
          </cell>
          <cell r="BP130">
            <v>-1</v>
          </cell>
          <cell r="BQ130">
            <v>-1</v>
          </cell>
        </row>
        <row r="131">
          <cell r="A131" t="str">
            <v>Amortization</v>
          </cell>
          <cell r="P131">
            <v>0</v>
          </cell>
          <cell r="Q131">
            <v>0</v>
          </cell>
          <cell r="R131">
            <v>0</v>
          </cell>
          <cell r="S131">
            <v>-0.31034482758620691</v>
          </cell>
          <cell r="T131">
            <v>-0.10344827586206896</v>
          </cell>
          <cell r="U131">
            <v>0.10344827586206896</v>
          </cell>
          <cell r="V131">
            <v>-5.1724137931034482E-2</v>
          </cell>
          <cell r="W131">
            <v>3.4482758620689655E-2</v>
          </cell>
          <cell r="X131">
            <v>0</v>
          </cell>
          <cell r="Y131">
            <v>1.7241379310344827E-2</v>
          </cell>
          <cell r="Z131">
            <v>0.45</v>
          </cell>
          <cell r="AA131">
            <v>0.12820512820512819</v>
          </cell>
          <cell r="AB131">
            <v>-1.0625</v>
          </cell>
          <cell r="AC131">
            <v>-0.21818181818181817</v>
          </cell>
          <cell r="AD131">
            <v>0.2</v>
          </cell>
          <cell r="AE131">
            <v>0.2413793103448276</v>
          </cell>
          <cell r="AF131">
            <v>0.22033898305084745</v>
          </cell>
          <cell r="AG131">
            <v>-0.2413793103448276</v>
          </cell>
          <cell r="AH131">
            <v>6.8181818181818177E-2</v>
          </cell>
          <cell r="AI131">
            <v>-35</v>
          </cell>
          <cell r="AJ131">
            <v>0.88372093023255816</v>
          </cell>
          <cell r="AK131">
            <v>-0.94444444444444442</v>
          </cell>
          <cell r="AL131">
            <v>-0.64444444444444438</v>
          </cell>
          <cell r="AM131">
            <v>-0.79444444444444451</v>
          </cell>
          <cell r="AN131">
            <v>-0.41818181818181815</v>
          </cell>
          <cell r="AO131">
            <v>-0.70638297872340428</v>
          </cell>
          <cell r="AP131">
            <v>-0.40588235294117647</v>
          </cell>
          <cell r="AQ131">
            <v>-0.58024691358024694</v>
          </cell>
          <cell r="AR131">
            <v>-1</v>
          </cell>
          <cell r="AS131">
            <v>-1</v>
          </cell>
          <cell r="AT131">
            <v>-1</v>
          </cell>
          <cell r="AU131">
            <v>-1</v>
          </cell>
          <cell r="AV131">
            <v>-1</v>
          </cell>
          <cell r="AW131">
            <v>-0.89055297029702962</v>
          </cell>
          <cell r="AX131">
            <v>-0.93497558823529403</v>
          </cell>
          <cell r="AY131" t="e">
            <v>#DIV/0!</v>
          </cell>
          <cell r="AZ131" t="str">
            <v>NA</v>
          </cell>
          <cell r="BA131" t="e">
            <v>#DIV/0!</v>
          </cell>
          <cell r="BB131" t="str">
            <v>NA</v>
          </cell>
          <cell r="BD131">
            <v>-4.6185504991338089</v>
          </cell>
          <cell r="BE131">
            <v>-9.5362375216547668E-2</v>
          </cell>
          <cell r="BF131">
            <v>-0.9</v>
          </cell>
          <cell r="BG131" t="str">
            <v>NA</v>
          </cell>
          <cell r="BH131">
            <v>-0.9</v>
          </cell>
          <cell r="BI131" t="e">
            <v>#DIV/0!</v>
          </cell>
          <cell r="BK131">
            <v>-1.125</v>
          </cell>
          <cell r="BL131">
            <v>0</v>
          </cell>
          <cell r="BM131" t="str">
            <v>NA</v>
          </cell>
          <cell r="BN131" t="str">
            <v>NA</v>
          </cell>
          <cell r="BO131" t="str">
            <v>NA</v>
          </cell>
          <cell r="BP131" t="str">
            <v>NA</v>
          </cell>
          <cell r="BQ131" t="str">
            <v>NA</v>
          </cell>
        </row>
        <row r="132">
          <cell r="A132" t="str">
            <v>R&amp;D</v>
          </cell>
          <cell r="I132">
            <v>-5.8823529411764705E-2</v>
          </cell>
          <cell r="J132">
            <v>6.25E-2</v>
          </cell>
          <cell r="K132">
            <v>0</v>
          </cell>
          <cell r="L132">
            <v>-0.16666666666666666</v>
          </cell>
          <cell r="M132">
            <v>-5.8823529411764705E-2</v>
          </cell>
          <cell r="N132">
            <v>-0.1</v>
          </cell>
          <cell r="O132">
            <v>-7.0422535211267609E-2</v>
          </cell>
          <cell r="P132">
            <v>0</v>
          </cell>
          <cell r="Q132">
            <v>-0.11764705882352941</v>
          </cell>
          <cell r="R132">
            <v>-6.0606060606060608E-2</v>
          </cell>
          <cell r="S132">
            <v>-6.6666666666666666E-2</v>
          </cell>
          <cell r="T132">
            <v>-6.25E-2</v>
          </cell>
          <cell r="U132">
            <v>5.5555555555555552E-2</v>
          </cell>
          <cell r="V132">
            <v>-3.0303030303030304E-2</v>
          </cell>
          <cell r="W132">
            <v>-0.125</v>
          </cell>
          <cell r="X132">
            <v>0</v>
          </cell>
          <cell r="Y132">
            <v>-6.4516129032258063E-2</v>
          </cell>
          <cell r="Z132">
            <v>7.1428571428571425E-2</v>
          </cell>
          <cell r="AA132">
            <v>-2.2222222222222223E-2</v>
          </cell>
          <cell r="AB132">
            <v>5.2631578947368418E-2</v>
          </cell>
          <cell r="AC132">
            <v>0</v>
          </cell>
          <cell r="AD132">
            <v>0.2857142857142857</v>
          </cell>
          <cell r="AE132">
            <v>0.13333333333333333</v>
          </cell>
          <cell r="AF132">
            <v>0.20689655172413793</v>
          </cell>
          <cell r="AG132">
            <v>0.13333333333333333</v>
          </cell>
          <cell r="AH132">
            <v>0.18181818181818182</v>
          </cell>
          <cell r="AI132">
            <v>0.34414999999999979</v>
          </cell>
          <cell r="AJ132">
            <v>0.23254687499999993</v>
          </cell>
          <cell r="AK132">
            <v>5.5555555555555552E-2</v>
          </cell>
          <cell r="AL132">
            <v>0.17647058823529413</v>
          </cell>
          <cell r="AM132">
            <v>0.11428571428571428</v>
          </cell>
          <cell r="AN132">
            <v>0.35294117647058826</v>
          </cell>
          <cell r="AO132">
            <v>0.19230769230769232</v>
          </cell>
          <cell r="AP132">
            <v>-3.2846036528661075E-2</v>
          </cell>
          <cell r="AQ132">
            <v>0.11557623315543279</v>
          </cell>
          <cell r="AR132">
            <v>0.10526315789473684</v>
          </cell>
          <cell r="AS132">
            <v>0.05</v>
          </cell>
          <cell r="AT132">
            <v>7.6923076923076927E-2</v>
          </cell>
          <cell r="AU132">
            <v>-8.6956521739130432E-2</v>
          </cell>
          <cell r="AV132">
            <v>1.6129032258064516E-2</v>
          </cell>
          <cell r="AW132">
            <v>0.15384615384615385</v>
          </cell>
          <cell r="AX132">
            <v>5.6818181818181816E-2</v>
          </cell>
          <cell r="AY132">
            <v>-4.7619047619047616E-2</v>
          </cell>
          <cell r="AZ132">
            <v>0.19047619047619047</v>
          </cell>
          <cell r="BA132">
            <v>7.1428571428571425E-2</v>
          </cell>
          <cell r="BB132">
            <v>0.14285714285714285</v>
          </cell>
          <cell r="BD132">
            <v>-0.13333333333333333</v>
          </cell>
          <cell r="BE132">
            <v>2.1505376344086023E-2</v>
          </cell>
          <cell r="BF132">
            <v>0.2</v>
          </cell>
          <cell r="BG132">
            <v>-0.04</v>
          </cell>
          <cell r="BH132">
            <v>6.6666666666666666E-2</v>
          </cell>
          <cell r="BI132">
            <v>8.3333333333333329E-2</v>
          </cell>
          <cell r="BK132">
            <v>-7.3461538461538328E-2</v>
          </cell>
          <cell r="BL132">
            <v>2.2000000000000037E-2</v>
          </cell>
          <cell r="BM132">
            <v>8.3333333333333329E-2</v>
          </cell>
          <cell r="BN132">
            <v>4.1666666666666664E-2</v>
          </cell>
          <cell r="BO132">
            <v>-1</v>
          </cell>
          <cell r="BP132">
            <v>-1</v>
          </cell>
          <cell r="BQ132">
            <v>-1</v>
          </cell>
        </row>
        <row r="133">
          <cell r="A133" t="str">
            <v>Other</v>
          </cell>
          <cell r="P133">
            <v>-5.333333333333333</v>
          </cell>
          <cell r="Q133">
            <v>-2.2608695652173911</v>
          </cell>
          <cell r="R133">
            <v>-2.6153846153846154</v>
          </cell>
          <cell r="S133">
            <v>-0.47368421052631576</v>
          </cell>
          <cell r="T133">
            <v>-8.4285714285714288</v>
          </cell>
          <cell r="U133">
            <v>-0.15789473684210525</v>
          </cell>
          <cell r="V133">
            <v>4.666666666666667</v>
          </cell>
          <cell r="W133">
            <v>1.1538461538461537</v>
          </cell>
          <cell r="X133">
            <v>0.20689655172413793</v>
          </cell>
          <cell r="Y133">
            <v>0.5</v>
          </cell>
          <cell r="Z133">
            <v>0.9</v>
          </cell>
          <cell r="AA133">
            <v>0.57692307692307687</v>
          </cell>
          <cell r="AB133">
            <v>4.875</v>
          </cell>
          <cell r="AC133">
            <v>1.588235294117647</v>
          </cell>
          <cell r="AD133">
            <v>0.21428571428571427</v>
          </cell>
          <cell r="AE133">
            <v>-0.25714285714285712</v>
          </cell>
          <cell r="AF133">
            <v>-4.7619047619047616E-2</v>
          </cell>
          <cell r="AG133">
            <v>2.263157894736842</v>
          </cell>
          <cell r="AH133">
            <v>0.48780487804878048</v>
          </cell>
          <cell r="AI133">
            <v>-0.1702127659574468</v>
          </cell>
          <cell r="AJ133">
            <v>0.13636363636363635</v>
          </cell>
          <cell r="AK133">
            <v>-0.6470588235294118</v>
          </cell>
          <cell r="AL133">
            <v>-0.53846153846153844</v>
          </cell>
          <cell r="AM133">
            <v>-0.6</v>
          </cell>
          <cell r="AN133">
            <v>-0.64516129032258063</v>
          </cell>
          <cell r="AO133">
            <v>-0.62295081967213117</v>
          </cell>
          <cell r="AP133">
            <v>-0.87179487179487181</v>
          </cell>
          <cell r="AQ133">
            <v>-0.72</v>
          </cell>
          <cell r="AR133">
            <v>0.66666666666666663</v>
          </cell>
          <cell r="AS133">
            <v>-0.66666666666666663</v>
          </cell>
          <cell r="AT133">
            <v>0</v>
          </cell>
          <cell r="AU133">
            <v>9.0909090909090912E-2</v>
          </cell>
          <cell r="AV133">
            <v>4.3478260869565216E-2</v>
          </cell>
          <cell r="AW133">
            <v>-3.2</v>
          </cell>
          <cell r="AX133">
            <v>-0.5357142857142857</v>
          </cell>
          <cell r="AY133">
            <v>-0.8</v>
          </cell>
          <cell r="AZ133">
            <v>-2</v>
          </cell>
          <cell r="BA133">
            <v>-1</v>
          </cell>
          <cell r="BB133">
            <v>-1.1666666666666667</v>
          </cell>
          <cell r="BD133">
            <v>-0.81818181818181823</v>
          </cell>
          <cell r="BE133">
            <v>-1.3076923076923077</v>
          </cell>
          <cell r="BF133">
            <v>-1.5</v>
          </cell>
          <cell r="BG133">
            <v>-1</v>
          </cell>
          <cell r="BH133" t="e">
            <v>#DIV/0!</v>
          </cell>
          <cell r="BI133">
            <v>-1.7449778330301911</v>
          </cell>
          <cell r="BK133">
            <v>8.6601458848806345</v>
          </cell>
          <cell r="BL133">
            <v>3.5800729424403173</v>
          </cell>
          <cell r="BM133">
            <v>-3</v>
          </cell>
          <cell r="BN133" t="e">
            <v>#DIV/0!</v>
          </cell>
          <cell r="BO133">
            <v>-1</v>
          </cell>
          <cell r="BP133">
            <v>-1</v>
          </cell>
          <cell r="BQ133">
            <v>-1</v>
          </cell>
        </row>
        <row r="134">
          <cell r="A134" t="str">
            <v>Impact of Options expense</v>
          </cell>
          <cell r="N134" t="str">
            <v xml:space="preserve"> </v>
          </cell>
          <cell r="BF134" t="str">
            <v>NA</v>
          </cell>
          <cell r="BG134" t="str">
            <v>NA</v>
          </cell>
          <cell r="BI134" t="str">
            <v>NA</v>
          </cell>
          <cell r="BK134" t="str">
            <v>NA</v>
          </cell>
          <cell r="BL134" t="str">
            <v>NA</v>
          </cell>
          <cell r="BM134" t="str">
            <v>NA</v>
          </cell>
          <cell r="BN134" t="str">
            <v>NA</v>
          </cell>
          <cell r="BO134" t="str">
            <v>NA</v>
          </cell>
          <cell r="BP134" t="str">
            <v>NA</v>
          </cell>
          <cell r="BQ134" t="str">
            <v>NA</v>
          </cell>
        </row>
        <row r="135">
          <cell r="A135" t="str">
            <v>Operating profit</v>
          </cell>
          <cell r="I135">
            <v>4.6838407494145202E-2</v>
          </cell>
          <cell r="J135">
            <v>-0.23683127572016441</v>
          </cell>
          <cell r="K135">
            <v>-0.13541226215644811</v>
          </cell>
          <cell r="L135">
            <v>2.1582733812949641E-2</v>
          </cell>
          <cell r="M135">
            <v>-0.11280193236715005</v>
          </cell>
          <cell r="N135">
            <v>-0.25890751899397385</v>
          </cell>
          <cell r="O135">
            <v>-0.14157930793790341</v>
          </cell>
          <cell r="P135">
            <v>-8.0984340044742698E-2</v>
          </cell>
          <cell r="Q135">
            <v>0.27527635481261764</v>
          </cell>
          <cell r="R135">
            <v>8.0572197090108363E-2</v>
          </cell>
          <cell r="S135">
            <v>-0.13943661971830995</v>
          </cell>
          <cell r="T135">
            <v>2.3867864597513559E-2</v>
          </cell>
          <cell r="U135">
            <v>3.2293415819708327</v>
          </cell>
          <cell r="V135">
            <v>0.57001957536515635</v>
          </cell>
          <cell r="W135">
            <v>-0.11757546251217139</v>
          </cell>
          <cell r="X135">
            <v>-2.7272727272727226E-2</v>
          </cell>
          <cell r="Y135">
            <v>-6.9246435845213533E-2</v>
          </cell>
          <cell r="Z135">
            <v>-3.1096563011456493E-2</v>
          </cell>
          <cell r="AA135">
            <v>-5.96525438751992E-2</v>
          </cell>
          <cell r="AB135">
            <v>-0.84494828126632537</v>
          </cell>
          <cell r="AC135">
            <v>-0.44564331271279906</v>
          </cell>
          <cell r="AD135">
            <v>-8.6896551724137933E-2</v>
          </cell>
          <cell r="AE135">
            <v>-0.22408172136492072</v>
          </cell>
          <cell r="AF135">
            <v>-1</v>
          </cell>
          <cell r="AG135">
            <v>-0.17229729729729734</v>
          </cell>
          <cell r="AH135">
            <v>-1</v>
          </cell>
          <cell r="AI135">
            <v>-0.18463611859838264</v>
          </cell>
          <cell r="AJ135">
            <v>-0.13148788927335639</v>
          </cell>
          <cell r="AK135">
            <v>-3.0211480362537764E-3</v>
          </cell>
          <cell r="AL135">
            <v>7.8431372549019607E-2</v>
          </cell>
          <cell r="AM135" t="e">
            <v>#DIV/0!</v>
          </cell>
          <cell r="AN135">
            <v>0.19897959183673469</v>
          </cell>
          <cell r="AO135" t="e">
            <v>#DIV/0!</v>
          </cell>
          <cell r="AP135">
            <v>0.28099173553719009</v>
          </cell>
          <cell r="AQ135">
            <v>0.10059760956175298</v>
          </cell>
          <cell r="AR135">
            <v>7.2727272727272724E-2</v>
          </cell>
          <cell r="AS135">
            <v>1.038961038961039E-2</v>
          </cell>
          <cell r="AT135" t="e">
            <v>#DIV/0!</v>
          </cell>
          <cell r="AU135">
            <v>-4.2553191489361701E-2</v>
          </cell>
          <cell r="AV135" t="e">
            <v>#DIV/0!</v>
          </cell>
          <cell r="AW135">
            <v>-6.4516129032258064E-3</v>
          </cell>
          <cell r="AX135">
            <v>1.5384615384615385E-2</v>
          </cell>
          <cell r="AY135">
            <v>4.8022598870056499E-2</v>
          </cell>
          <cell r="AZ135">
            <v>-3.0848329048843187E-2</v>
          </cell>
          <cell r="BA135">
            <v>6.7294751009421266E-3</v>
          </cell>
          <cell r="BB135">
            <v>0.10222222222222223</v>
          </cell>
          <cell r="BD135">
            <v>0.11038961038961038</v>
          </cell>
          <cell r="BE135">
            <v>4.0106951871657755E-2</v>
          </cell>
          <cell r="BF135">
            <v>4.5822102425876012E-2</v>
          </cell>
          <cell r="BG135">
            <v>6.8965517241379309E-2</v>
          </cell>
          <cell r="BH135">
            <v>5.7486631016042782E-2</v>
          </cell>
          <cell r="BI135">
            <v>0.10887096774193548</v>
          </cell>
          <cell r="BK135">
            <v>-0.1871345029239766</v>
          </cell>
          <cell r="BL135">
            <v>3.2562125107112254E-2</v>
          </cell>
          <cell r="BM135">
            <v>0.12886597938144329</v>
          </cell>
          <cell r="BN135">
            <v>4.7146401985111663E-2</v>
          </cell>
          <cell r="BO135">
            <v>-5.0909090909090911E-2</v>
          </cell>
          <cell r="BP135">
            <v>-3.9104520797573483E-2</v>
          </cell>
          <cell r="BQ135">
            <v>4.1132341584346387E-2</v>
          </cell>
        </row>
        <row r="136">
          <cell r="A136" t="str">
            <v>Interest expense, net</v>
          </cell>
          <cell r="I136">
            <v>2.3255813953488372E-2</v>
          </cell>
          <cell r="J136">
            <v>-2.3255813953488372E-2</v>
          </cell>
          <cell r="K136">
            <v>0</v>
          </cell>
          <cell r="L136">
            <v>-3.8031319910514602E-2</v>
          </cell>
          <cell r="M136">
            <v>-1.3006885998469692E-2</v>
          </cell>
          <cell r="N136">
            <v>-1.1337868480725623E-2</v>
          </cell>
          <cell r="O136">
            <v>-1.2585812356979342E-2</v>
          </cell>
          <cell r="P136">
            <v>4.5454545454545456E-2</v>
          </cell>
          <cell r="Q136">
            <v>0.19047619047619047</v>
          </cell>
          <cell r="R136">
            <v>0.11627906976744186</v>
          </cell>
          <cell r="S136">
            <v>2.3255813953488372E-2</v>
          </cell>
          <cell r="T136">
            <v>8.5271317829457363E-2</v>
          </cell>
          <cell r="U136">
            <v>0.10091743119266051</v>
          </cell>
          <cell r="V136">
            <v>8.9223638470451949E-2</v>
          </cell>
          <cell r="W136">
            <v>0.13043478260869565</v>
          </cell>
          <cell r="X136">
            <v>-0.02</v>
          </cell>
          <cell r="Y136">
            <v>5.2083333333333336E-2</v>
          </cell>
          <cell r="Z136">
            <v>0.18181818181818182</v>
          </cell>
          <cell r="AA136">
            <v>9.285714285714286E-2</v>
          </cell>
          <cell r="AB136">
            <v>0.125</v>
          </cell>
          <cell r="AC136">
            <v>0.10106382978723404</v>
          </cell>
          <cell r="AD136">
            <v>1.9230769230769232E-2</v>
          </cell>
          <cell r="AE136">
            <v>-8.1632653061224483E-2</v>
          </cell>
          <cell r="AF136">
            <v>-2.9702970297029702E-2</v>
          </cell>
          <cell r="AG136">
            <v>-0.15384615384615385</v>
          </cell>
          <cell r="AH136">
            <v>-7.1895424836601302E-2</v>
          </cell>
          <cell r="AI136">
            <v>-0.18518518518518517</v>
          </cell>
          <cell r="AJ136">
            <v>-0.10144927536231885</v>
          </cell>
          <cell r="AK136">
            <v>-0.15094339622641509</v>
          </cell>
          <cell r="AL136">
            <v>2.2222222222222223E-2</v>
          </cell>
          <cell r="AM136">
            <v>-7.1428571428571425E-2</v>
          </cell>
          <cell r="AN136">
            <v>2.2727272727272728E-2</v>
          </cell>
          <cell r="AO136">
            <v>-4.2253521126760563E-2</v>
          </cell>
          <cell r="AP136">
            <v>2.2727272727272728E-2</v>
          </cell>
          <cell r="AQ136">
            <v>-2.6881720430107527E-2</v>
          </cell>
          <cell r="AR136">
            <v>-4.4444444444444446E-2</v>
          </cell>
          <cell r="AS136">
            <v>-8.6956521739130432E-2</v>
          </cell>
          <cell r="AT136">
            <v>-6.5934065934065936E-2</v>
          </cell>
          <cell r="AU136">
            <v>-0.11999999999999997</v>
          </cell>
          <cell r="AV136">
            <v>-8.3823529411764741E-2</v>
          </cell>
          <cell r="AW136">
            <v>-3.5555555555555431E-2</v>
          </cell>
          <cell r="AX136">
            <v>-7.18232044198895E-2</v>
          </cell>
          <cell r="AY136">
            <v>2.3255813953488372E-2</v>
          </cell>
          <cell r="AZ136">
            <v>7.1428571428571425E-2</v>
          </cell>
          <cell r="BA136">
            <v>4.7058823529411764E-2</v>
          </cell>
          <cell r="BB136">
            <v>0.13636363636363633</v>
          </cell>
          <cell r="BD136">
            <v>5.9907834101382347E-2</v>
          </cell>
          <cell r="BE136">
            <v>7.1428571428571425E-2</v>
          </cell>
          <cell r="BF136">
            <v>6.8181818181818177E-2</v>
          </cell>
          <cell r="BG136">
            <v>-4.4444444444444446E-2</v>
          </cell>
          <cell r="BH136">
            <v>1.1235955056179775E-2</v>
          </cell>
          <cell r="BI136">
            <v>-8.8888888888888892E-2</v>
          </cell>
          <cell r="BK136">
            <v>-0.10869565217391304</v>
          </cell>
          <cell r="BL136">
            <v>-4.4444444444444446E-2</v>
          </cell>
          <cell r="BM136">
            <v>-0.1276595744680851</v>
          </cell>
          <cell r="BN136">
            <v>-9.3023255813953487E-2</v>
          </cell>
          <cell r="BO136">
            <v>-0.24390243902439024</v>
          </cell>
          <cell r="BP136">
            <v>9.5539634146340743E-2</v>
          </cell>
          <cell r="BQ136">
            <v>-9.3505087209302493E-2</v>
          </cell>
        </row>
        <row r="137">
          <cell r="N137" t="str">
            <v xml:space="preserve"> </v>
          </cell>
        </row>
        <row r="138">
          <cell r="A138" t="str">
            <v>Pretax income</v>
          </cell>
          <cell r="I138">
            <v>4.9479166666666664E-2</v>
          </cell>
          <cell r="J138">
            <v>-0.25756207674943549</v>
          </cell>
          <cell r="K138">
            <v>-0.14895348837209291</v>
          </cell>
          <cell r="L138">
            <v>3.3004714959279847E-2</v>
          </cell>
          <cell r="M138">
            <v>-0.12453882839917244</v>
          </cell>
          <cell r="N138">
            <v>-0.30069662405266723</v>
          </cell>
          <cell r="O138">
            <v>-0.15800824796351107</v>
          </cell>
          <cell r="P138">
            <v>-9.4789081885856052E-2</v>
          </cell>
          <cell r="Q138">
            <v>0.28610519914867705</v>
          </cell>
          <cell r="R138">
            <v>7.6376554174066982E-2</v>
          </cell>
          <cell r="S138">
            <v>-0.16846473029045653</v>
          </cell>
          <cell r="T138">
            <v>1.5726179463459951E-2</v>
          </cell>
          <cell r="U138">
            <v>3.9759168035030066</v>
          </cell>
          <cell r="V138">
            <v>0.64183108341986905</v>
          </cell>
          <cell r="W138">
            <v>-0.14884868421052636</v>
          </cell>
          <cell r="X138">
            <v>-2.8132387706855739E-2</v>
          </cell>
          <cell r="Y138">
            <v>-8.4031480071083686E-2</v>
          </cell>
          <cell r="Z138">
            <v>-7.7844311377245345E-2</v>
          </cell>
          <cell r="AA138">
            <v>-8.1258854482897935E-2</v>
          </cell>
          <cell r="AB138">
            <v>-0.89616103838961614</v>
          </cell>
          <cell r="AC138">
            <v>-0.49981552732830858</v>
          </cell>
          <cell r="AD138">
            <v>-0.10466988727858294</v>
          </cell>
          <cell r="AE138">
            <v>-0.24106056920457314</v>
          </cell>
          <cell r="AF138">
            <v>-1.1358093126385809</v>
          </cell>
          <cell r="AG138">
            <v>-0.17748917748917753</v>
          </cell>
          <cell r="AH138">
            <v>-1.1564048904064324</v>
          </cell>
          <cell r="AI138">
            <v>-0.1843220338983049</v>
          </cell>
          <cell r="AJ138">
            <v>-0.1380400421496312</v>
          </cell>
          <cell r="AK138">
            <v>2.5179856115107913E-2</v>
          </cell>
          <cell r="AL138">
            <v>8.6538461538461536E-2</v>
          </cell>
          <cell r="AM138">
            <v>-7.1428571428571425E-2</v>
          </cell>
          <cell r="AN138">
            <v>0.25</v>
          </cell>
          <cell r="AO138">
            <v>-4.2253521126760563E-2</v>
          </cell>
          <cell r="AP138">
            <v>0.42857142857142855</v>
          </cell>
          <cell r="AQ138">
            <v>0.1295843520782396</v>
          </cell>
          <cell r="AR138">
            <v>9.1228070175438603E-2</v>
          </cell>
          <cell r="AS138">
            <v>2.359882005899705E-2</v>
          </cell>
          <cell r="AT138">
            <v>-8.2307692307692299</v>
          </cell>
          <cell r="AU138">
            <v>-2.4210526315789443E-2</v>
          </cell>
          <cell r="AV138">
            <v>-7.2014705882352938</v>
          </cell>
          <cell r="AW138">
            <v>5.4545454545454029E-3</v>
          </cell>
          <cell r="AX138">
            <v>3.2467532467532464E-2</v>
          </cell>
          <cell r="AY138">
            <v>5.1446945337620578E-2</v>
          </cell>
          <cell r="AZ138">
            <v>-4.3227665706051875E-2</v>
          </cell>
          <cell r="BA138">
            <v>1.5197568389057751E-3</v>
          </cell>
          <cell r="BB138">
            <v>9.4929881337648292E-2</v>
          </cell>
          <cell r="BD138">
            <v>0.13019891500904165</v>
          </cell>
          <cell r="BE138">
            <v>3.4591194968553458E-2</v>
          </cell>
          <cell r="BF138">
            <v>4.2813455657492352E-2</v>
          </cell>
          <cell r="BG138">
            <v>8.4337349397590355E-2</v>
          </cell>
          <cell r="BH138">
            <v>6.3732928679817905E-2</v>
          </cell>
          <cell r="BI138">
            <v>0.15270935960591134</v>
          </cell>
          <cell r="BK138">
            <v>-0.216</v>
          </cell>
          <cell r="BL138">
            <v>4.6605876393110438E-2</v>
          </cell>
          <cell r="BM138">
            <v>0.16422287390029325</v>
          </cell>
          <cell r="BN138">
            <v>6.3888888888888884E-2</v>
          </cell>
          <cell r="BO138">
            <v>-1.7094017094017096E-2</v>
          </cell>
          <cell r="BP138">
            <v>-9.5435238682272286E-2</v>
          </cell>
          <cell r="BQ138">
            <v>6.3550190328303446E-2</v>
          </cell>
        </row>
        <row r="139">
          <cell r="A139" t="str">
            <v>Income taxes</v>
          </cell>
          <cell r="I139">
            <v>5.3030303030303032E-2</v>
          </cell>
          <cell r="J139">
            <v>-0.27631578947368424</v>
          </cell>
          <cell r="K139">
            <v>-0.12323943661971831</v>
          </cell>
          <cell r="L139">
            <v>3.2894736842105261E-2</v>
          </cell>
          <cell r="M139">
            <v>-9.0277777777777776E-2</v>
          </cell>
          <cell r="N139">
            <v>-0.30474040632054172</v>
          </cell>
          <cell r="O139">
            <v>-0.1326348640213999</v>
          </cell>
          <cell r="P139">
            <v>-6.8316546762589997E-2</v>
          </cell>
          <cell r="Q139">
            <v>0.29090909090909089</v>
          </cell>
          <cell r="R139">
            <v>9.0377510040160716E-2</v>
          </cell>
          <cell r="S139">
            <v>-0.22292993630573249</v>
          </cell>
          <cell r="T139">
            <v>1.5279389312977157E-2</v>
          </cell>
          <cell r="U139">
            <v>-0.51298701298701299</v>
          </cell>
          <cell r="V139">
            <v>-6.8352608583911595E-2</v>
          </cell>
          <cell r="W139">
            <v>-0.17377069434148745</v>
          </cell>
          <cell r="X139">
            <v>-1.4084507042253521E-2</v>
          </cell>
          <cell r="Y139">
            <v>-9.0252813954858929E-2</v>
          </cell>
          <cell r="Z139">
            <v>3.2786885245901641E-2</v>
          </cell>
          <cell r="AA139">
            <v>-6.7680388807352748E-2</v>
          </cell>
          <cell r="AB139">
            <v>7.0000000000000756E-2</v>
          </cell>
          <cell r="AC139">
            <v>-5.6286275461787993E-2</v>
          </cell>
          <cell r="AD139">
            <v>-0.12149532710280374</v>
          </cell>
          <cell r="AE139">
            <v>-0.25714285714285712</v>
          </cell>
          <cell r="AF139">
            <v>-0.19838056680161945</v>
          </cell>
          <cell r="AG139">
            <v>-0.17460317460317459</v>
          </cell>
          <cell r="AH139">
            <v>-0.19354838709677419</v>
          </cell>
          <cell r="AI139">
            <v>-0.1588785046728978</v>
          </cell>
          <cell r="AJ139">
            <v>-0.18444899152294655</v>
          </cell>
          <cell r="AK139">
            <v>-1.0638297872340425E-2</v>
          </cell>
          <cell r="AL139">
            <v>3.8461538461538464E-2</v>
          </cell>
          <cell r="AM139">
            <v>1.5151515151515152E-2</v>
          </cell>
          <cell r="AN139">
            <v>0.17653846153846153</v>
          </cell>
          <cell r="AO139">
            <v>4.8720000000000027E-2</v>
          </cell>
          <cell r="AP139">
            <v>0.30918518518518567</v>
          </cell>
          <cell r="AQ139">
            <v>6.6408602150537704E-2</v>
          </cell>
          <cell r="AR139">
            <v>7.5268817204301078E-2</v>
          </cell>
          <cell r="AS139">
            <v>3.7037037037037035E-2</v>
          </cell>
          <cell r="AT139">
            <v>5.4726368159203981E-2</v>
          </cell>
          <cell r="AU139">
            <v>-0.10101340307289963</v>
          </cell>
          <cell r="AV139">
            <v>1.8384316118697053E-2</v>
          </cell>
          <cell r="AW139">
            <v>2.4103202444267714E-2</v>
          </cell>
          <cell r="AX139">
            <v>1.9063751983006534E-2</v>
          </cell>
          <cell r="AY139">
            <v>0.03</v>
          </cell>
          <cell r="AZ139">
            <v>-5.915511727078572E-2</v>
          </cell>
          <cell r="BA139">
            <v>-1.710081667135856E-2</v>
          </cell>
          <cell r="BB139">
            <v>0.17818181818181814</v>
          </cell>
          <cell r="BD139">
            <v>-1.3812154696132209E-2</v>
          </cell>
          <cell r="BE139">
            <v>2.1821657422863593E-2</v>
          </cell>
          <cell r="BF139">
            <v>-3.8834951456310676E-2</v>
          </cell>
          <cell r="BG139">
            <v>5.9347601308729226E-3</v>
          </cell>
          <cell r="BH139">
            <v>-1.6194998961401509E-2</v>
          </cell>
          <cell r="BI139">
            <v>4.9382716049382762E-2</v>
          </cell>
          <cell r="BK139">
            <v>-0.32773109243697485</v>
          </cell>
          <cell r="BL139">
            <v>-4.1367498847243216E-2</v>
          </cell>
          <cell r="BM139">
            <v>0.29292929292929293</v>
          </cell>
          <cell r="BN139">
            <v>6.6037735849056603E-2</v>
          </cell>
          <cell r="BO139">
            <v>-0.22058823529411764</v>
          </cell>
          <cell r="BP139">
            <v>2.5322104860409905E-2</v>
          </cell>
          <cell r="BQ139">
            <v>7.2753301402861403E-2</v>
          </cell>
        </row>
        <row r="140">
          <cell r="A140" t="str">
            <v>Earnings (losses) from JVs</v>
          </cell>
          <cell r="I140" t="str">
            <v>NM</v>
          </cell>
          <cell r="J140" t="str">
            <v>NM</v>
          </cell>
          <cell r="K140" t="str">
            <v>NM</v>
          </cell>
          <cell r="L140" t="str">
            <v>NM</v>
          </cell>
          <cell r="M140" t="str">
            <v>NM</v>
          </cell>
          <cell r="N140" t="str">
            <v>NM</v>
          </cell>
          <cell r="O140" t="str">
            <v>NM</v>
          </cell>
          <cell r="P140" t="str">
            <v>NM</v>
          </cell>
          <cell r="Q140" t="str">
            <v>NM</v>
          </cell>
          <cell r="R140" t="str">
            <v>NM</v>
          </cell>
          <cell r="S140" t="str">
            <v>NM</v>
          </cell>
          <cell r="T140" t="str">
            <v>NM</v>
          </cell>
          <cell r="U140" t="str">
            <v>NM</v>
          </cell>
          <cell r="V140" t="str">
            <v>NM</v>
          </cell>
          <cell r="W140" t="str">
            <v>NM</v>
          </cell>
          <cell r="X140" t="str">
            <v>NM</v>
          </cell>
          <cell r="Y140" t="str">
            <v>NM</v>
          </cell>
          <cell r="Z140" t="str">
            <v>NM</v>
          </cell>
          <cell r="AA140" t="str">
            <v>NM</v>
          </cell>
          <cell r="AB140" t="str">
            <v>NM</v>
          </cell>
          <cell r="AC140" t="str">
            <v>NM</v>
          </cell>
          <cell r="AD140" t="str">
            <v>NM</v>
          </cell>
          <cell r="AE140" t="str">
            <v>NM</v>
          </cell>
          <cell r="AF140" t="str">
            <v>NM</v>
          </cell>
          <cell r="AG140" t="str">
            <v>NM</v>
          </cell>
          <cell r="AH140" t="str">
            <v>NM</v>
          </cell>
          <cell r="AI140" t="str">
            <v>NM</v>
          </cell>
          <cell r="AJ140" t="str">
            <v>NM</v>
          </cell>
          <cell r="AK140" t="str">
            <v>NM</v>
          </cell>
          <cell r="AL140" t="str">
            <v>NM</v>
          </cell>
          <cell r="AM140" t="str">
            <v>NM</v>
          </cell>
          <cell r="AN140" t="str">
            <v>NM</v>
          </cell>
          <cell r="AO140" t="str">
            <v>NM</v>
          </cell>
          <cell r="AP140" t="str">
            <v>NM</v>
          </cell>
          <cell r="AQ140" t="str">
            <v>NM</v>
          </cell>
          <cell r="AR140" t="str">
            <v>NM</v>
          </cell>
          <cell r="AS140" t="str">
            <v>NM</v>
          </cell>
          <cell r="AT140" t="str">
            <v>NM</v>
          </cell>
          <cell r="AU140" t="str">
            <v>NM</v>
          </cell>
          <cell r="AV140" t="str">
            <v>NM</v>
          </cell>
          <cell r="AW140" t="str">
            <v>NM</v>
          </cell>
          <cell r="AX140" t="str">
            <v>NM</v>
          </cell>
          <cell r="AY140" t="str">
            <v>NM</v>
          </cell>
          <cell r="AZ140" t="str">
            <v>NM</v>
          </cell>
          <cell r="BA140" t="str">
            <v>NM</v>
          </cell>
          <cell r="BB140" t="str">
            <v>NM</v>
          </cell>
          <cell r="BD140" t="str">
            <v>NM</v>
          </cell>
          <cell r="BE140" t="str">
            <v>NM</v>
          </cell>
          <cell r="BF140" t="str">
            <v>NM</v>
          </cell>
          <cell r="BG140" t="str">
            <v>NM</v>
          </cell>
          <cell r="BH140" t="str">
            <v>NM</v>
          </cell>
          <cell r="BI140" t="str">
            <v>NM</v>
          </cell>
          <cell r="BK140" t="str">
            <v>NM</v>
          </cell>
          <cell r="BL140" t="str">
            <v>NM</v>
          </cell>
          <cell r="BM140" t="str">
            <v>NM</v>
          </cell>
          <cell r="BN140" t="str">
            <v>NM</v>
          </cell>
          <cell r="BO140" t="str">
            <v>NM</v>
          </cell>
          <cell r="BP140" t="str">
            <v>NM</v>
          </cell>
          <cell r="BQ140" t="str">
            <v>NM</v>
          </cell>
        </row>
        <row r="141">
          <cell r="N141" t="str">
            <v xml:space="preserve"> </v>
          </cell>
        </row>
        <row r="142">
          <cell r="A142" t="str">
            <v>Net income - cont. ops.</v>
          </cell>
          <cell r="I142">
            <v>4.7619047619047616E-2</v>
          </cell>
          <cell r="J142">
            <v>-0.24776632302405466</v>
          </cell>
          <cell r="K142">
            <v>-0.16163194444444429</v>
          </cell>
          <cell r="L142">
            <v>3.3057851239669346E-2</v>
          </cell>
          <cell r="M142">
            <v>-0.14095567682683391</v>
          </cell>
          <cell r="N142">
            <v>-0.29862156840032339</v>
          </cell>
          <cell r="O142">
            <v>-0.17032883770268265</v>
          </cell>
          <cell r="P142">
            <v>-0.1109999999999999</v>
          </cell>
          <cell r="Q142">
            <v>0.28369118318867009</v>
          </cell>
          <cell r="R142">
            <v>6.9157175398632448E-2</v>
          </cell>
          <cell r="S142">
            <v>-0.1421538461538463</v>
          </cell>
          <cell r="T142">
            <v>1.5952897427951918E-2</v>
          </cell>
          <cell r="U142" t="str">
            <v>NM</v>
          </cell>
          <cell r="V142">
            <v>1.0023431180691467</v>
          </cell>
          <cell r="W142">
            <v>-0.13292088488938891</v>
          </cell>
          <cell r="X142">
            <v>-3.5231316725978568E-2</v>
          </cell>
          <cell r="Y142">
            <v>-8.0759874180701977E-2</v>
          </cell>
          <cell r="Z142">
            <v>-0.12625538020086061</v>
          </cell>
          <cell r="AA142">
            <v>-8.8144505990580588E-2</v>
          </cell>
          <cell r="AB142">
            <v>-0.92913206688658856</v>
          </cell>
          <cell r="AC142">
            <v>-0.60457285528500204</v>
          </cell>
          <cell r="AD142">
            <v>-9.5823095823095825E-2</v>
          </cell>
          <cell r="AE142">
            <v>-0.23275544079675403</v>
          </cell>
          <cell r="AF142">
            <v>-1.6236831015592077</v>
          </cell>
          <cell r="AG142">
            <v>-0.17898193760262734</v>
          </cell>
          <cell r="AH142">
            <v>-1.6556280314433851</v>
          </cell>
          <cell r="AI142">
            <v>-0.19743178170144404</v>
          </cell>
          <cell r="AJ142">
            <v>-0.11188004613610146</v>
          </cell>
          <cell r="AK142">
            <v>4.3478260869565216E-2</v>
          </cell>
          <cell r="AL142">
            <v>0.11057692307692307</v>
          </cell>
          <cell r="AM142">
            <v>-1.3513513513513514E-2</v>
          </cell>
          <cell r="AN142">
            <v>0.28819999999999996</v>
          </cell>
          <cell r="AO142">
            <v>1.5765306122448999E-2</v>
          </cell>
          <cell r="AP142">
            <v>0.49303999999999976</v>
          </cell>
          <cell r="AQ142">
            <v>0.16228571428571426</v>
          </cell>
          <cell r="AR142">
            <v>9.8958333333333329E-2</v>
          </cell>
          <cell r="AS142">
            <v>1.7316017316017316E-2</v>
          </cell>
          <cell r="AT142">
            <v>-2.5273972602739727</v>
          </cell>
          <cell r="AU142">
            <v>1.2265176214873564E-2</v>
          </cell>
          <cell r="AV142">
            <v>-2.4475865186599024</v>
          </cell>
          <cell r="AW142">
            <v>-3.3756630766755232E-3</v>
          </cell>
          <cell r="AX142">
            <v>3.8833339718295432E-2</v>
          </cell>
          <cell r="AY142">
            <v>6.1611374407582936E-2</v>
          </cell>
          <cell r="AZ142">
            <v>-3.5636710066689295E-2</v>
          </cell>
          <cell r="BA142">
            <v>1.0370791781004519E-2</v>
          </cell>
          <cell r="BB142">
            <v>5.9815950920245269E-2</v>
          </cell>
          <cell r="BD142">
            <v>0.20026881720430095</v>
          </cell>
          <cell r="BE142">
            <v>4.0540371034707687E-2</v>
          </cell>
          <cell r="BF142">
            <v>8.0357142857142863E-2</v>
          </cell>
          <cell r="BG142">
            <v>0.12079241828515901</v>
          </cell>
          <cell r="BH142">
            <v>0.10069256986145375</v>
          </cell>
          <cell r="BI142">
            <v>0.20115774240231557</v>
          </cell>
          <cell r="BK142">
            <v>-0.17133258678611418</v>
          </cell>
          <cell r="BL142">
            <v>8.6854318606473455E-2</v>
          </cell>
          <cell r="BM142">
            <v>0.1115702479338843</v>
          </cell>
          <cell r="BN142">
            <v>6.2992125984251968E-2</v>
          </cell>
          <cell r="BO142">
            <v>6.6265060240963861E-2</v>
          </cell>
          <cell r="BP142">
            <v>-0.13459978253395299</v>
          </cell>
          <cell r="BQ142">
            <v>5.9836434908271299E-2</v>
          </cell>
        </row>
        <row r="143">
          <cell r="A143" t="str">
            <v>Extraordinary items</v>
          </cell>
          <cell r="I143" t="str">
            <v>NM</v>
          </cell>
          <cell r="J143" t="str">
            <v>NM</v>
          </cell>
          <cell r="K143" t="str">
            <v>NM</v>
          </cell>
          <cell r="L143" t="str">
            <v>NM</v>
          </cell>
          <cell r="M143" t="str">
            <v>NM</v>
          </cell>
          <cell r="N143" t="str">
            <v>NM</v>
          </cell>
          <cell r="O143" t="str">
            <v>NM</v>
          </cell>
          <cell r="P143" t="str">
            <v>NM</v>
          </cell>
          <cell r="Q143" t="str">
            <v>NM</v>
          </cell>
          <cell r="R143" t="str">
            <v>NM</v>
          </cell>
          <cell r="S143" t="str">
            <v>NM</v>
          </cell>
          <cell r="T143" t="str">
            <v>NM</v>
          </cell>
          <cell r="U143" t="str">
            <v>NM</v>
          </cell>
          <cell r="V143" t="str">
            <v>NM</v>
          </cell>
          <cell r="W143" t="str">
            <v>NM</v>
          </cell>
          <cell r="X143" t="str">
            <v>NM</v>
          </cell>
          <cell r="Y143" t="str">
            <v>NM</v>
          </cell>
          <cell r="Z143" t="str">
            <v>NM</v>
          </cell>
          <cell r="AA143" t="str">
            <v>NM</v>
          </cell>
          <cell r="AB143" t="str">
            <v>NM</v>
          </cell>
          <cell r="AC143" t="str">
            <v>NM</v>
          </cell>
          <cell r="AD143" t="str">
            <v>NM</v>
          </cell>
          <cell r="AE143" t="str">
            <v>NM</v>
          </cell>
          <cell r="AF143" t="str">
            <v>NM</v>
          </cell>
          <cell r="AG143" t="str">
            <v>NM</v>
          </cell>
          <cell r="AH143" t="str">
            <v>NM</v>
          </cell>
          <cell r="AI143" t="str">
            <v>NM</v>
          </cell>
          <cell r="AJ143" t="str">
            <v>NM</v>
          </cell>
          <cell r="AK143" t="str">
            <v>NM</v>
          </cell>
          <cell r="AL143" t="str">
            <v>NM</v>
          </cell>
          <cell r="AM143" t="str">
            <v>NM</v>
          </cell>
          <cell r="AN143" t="str">
            <v>NM</v>
          </cell>
          <cell r="AO143" t="str">
            <v>NM</v>
          </cell>
          <cell r="AP143" t="str">
            <v>NM</v>
          </cell>
          <cell r="AQ143" t="str">
            <v>NM</v>
          </cell>
          <cell r="AR143" t="str">
            <v>NM</v>
          </cell>
          <cell r="AS143" t="str">
            <v>NM</v>
          </cell>
          <cell r="AT143" t="str">
            <v>NM</v>
          </cell>
          <cell r="AU143" t="str">
            <v>NM</v>
          </cell>
          <cell r="AV143" t="str">
            <v>NM</v>
          </cell>
          <cell r="AW143" t="str">
            <v>NM</v>
          </cell>
          <cell r="AX143" t="str">
            <v>NM</v>
          </cell>
          <cell r="AY143" t="str">
            <v>NM</v>
          </cell>
          <cell r="AZ143" t="str">
            <v>NM</v>
          </cell>
          <cell r="BA143" t="str">
            <v>NM</v>
          </cell>
          <cell r="BB143" t="str">
            <v>NM</v>
          </cell>
          <cell r="BD143" t="str">
            <v>NM</v>
          </cell>
          <cell r="BE143" t="str">
            <v>NM</v>
          </cell>
          <cell r="BF143" t="str">
            <v>NM</v>
          </cell>
          <cell r="BG143" t="str">
            <v>NM</v>
          </cell>
          <cell r="BH143" t="str">
            <v>NM</v>
          </cell>
          <cell r="BI143" t="str">
            <v>NM</v>
          </cell>
          <cell r="BK143" t="str">
            <v>NM</v>
          </cell>
          <cell r="BL143" t="str">
            <v>NM</v>
          </cell>
          <cell r="BM143" t="str">
            <v>NM</v>
          </cell>
          <cell r="BN143" t="str">
            <v>NM</v>
          </cell>
          <cell r="BO143" t="str">
            <v>NM</v>
          </cell>
          <cell r="BP143" t="str">
            <v>NM</v>
          </cell>
          <cell r="BQ143" t="str">
            <v>NM</v>
          </cell>
        </row>
        <row r="144">
          <cell r="N144" t="str">
            <v xml:space="preserve"> </v>
          </cell>
        </row>
        <row r="145">
          <cell r="A145" t="str">
            <v>Net income</v>
          </cell>
          <cell r="I145">
            <v>-1.1235955056179775E-2</v>
          </cell>
          <cell r="J145">
            <v>-0.27009003001000298</v>
          </cell>
          <cell r="K145">
            <v>-0.19503250541756942</v>
          </cell>
          <cell r="L145">
            <v>-2.8486916951080774</v>
          </cell>
          <cell r="M145">
            <v>0.21773584905660309</v>
          </cell>
          <cell r="N145">
            <v>-0.56457117692392311</v>
          </cell>
          <cell r="O145">
            <v>1.818539546910973E-2</v>
          </cell>
          <cell r="P145">
            <v>-0.1109999999999999</v>
          </cell>
          <cell r="Q145">
            <v>0.28369118318867009</v>
          </cell>
          <cell r="R145">
            <v>6.9157175398632448E-2</v>
          </cell>
          <cell r="S145">
            <v>-0.1421538461538463</v>
          </cell>
          <cell r="T145">
            <v>1.5952897427951918E-2</v>
          </cell>
          <cell r="U145" t="str">
            <v>NM</v>
          </cell>
          <cell r="V145">
            <v>1.1184209799861988</v>
          </cell>
          <cell r="W145">
            <v>-0.13292088488938891</v>
          </cell>
          <cell r="X145">
            <v>-3.5231316725978568E-2</v>
          </cell>
          <cell r="Y145">
            <v>-8.0759874180701977E-2</v>
          </cell>
          <cell r="Z145">
            <v>-0.12625538020086061</v>
          </cell>
          <cell r="AA145">
            <v>-8.8144505990580588E-2</v>
          </cell>
          <cell r="AB145">
            <v>-0.94164486406552161</v>
          </cell>
          <cell r="AC145">
            <v>-0.61173993156093709</v>
          </cell>
          <cell r="AD145">
            <v>-0.15262899262899263</v>
          </cell>
          <cell r="AE145">
            <v>-0.25119881962375512</v>
          </cell>
          <cell r="AF145">
            <v>-1.6585756426464393</v>
          </cell>
          <cell r="AG145">
            <v>-0.22003284072249596</v>
          </cell>
          <cell r="AH145">
            <v>-1.6916875731727712</v>
          </cell>
          <cell r="AI145">
            <v>6.354775828460138E-2</v>
          </cell>
          <cell r="AJ145">
            <v>-0.11730156066454099</v>
          </cell>
          <cell r="AK145">
            <v>-6.6341916028763617E-2</v>
          </cell>
          <cell r="AL145">
            <v>0.13793103448275862</v>
          </cell>
          <cell r="AM145">
            <v>3.3401586895316089E-2</v>
          </cell>
          <cell r="AN145">
            <v>0.35599999999999993</v>
          </cell>
          <cell r="AO145">
            <v>3.776961021375376E-2</v>
          </cell>
          <cell r="AP145">
            <v>0.35960410557184708</v>
          </cell>
          <cell r="AQ145">
            <v>0.13117870722433461</v>
          </cell>
          <cell r="AR145">
            <v>0.3105590062111801</v>
          </cell>
          <cell r="AS145">
            <v>1.7316017316017316E-2</v>
          </cell>
          <cell r="AT145">
            <v>-2.3808049535603715</v>
          </cell>
          <cell r="AU145">
            <v>8.9892873777363866E-2</v>
          </cell>
          <cell r="AV145">
            <v>-2.3663264830607202</v>
          </cell>
          <cell r="AW145">
            <v>-0.16365597196009674</v>
          </cell>
          <cell r="AX145">
            <v>8.7394957983193272E-2</v>
          </cell>
          <cell r="AY145">
            <v>6.1611374407582936E-2</v>
          </cell>
          <cell r="AZ145">
            <v>-3.5636710066689295E-2</v>
          </cell>
          <cell r="BA145">
            <v>1.0370791781004519E-2</v>
          </cell>
          <cell r="BB145">
            <v>-1.5669515669515792E-2</v>
          </cell>
          <cell r="BD145">
            <v>0.43939393939393923</v>
          </cell>
          <cell r="BE145">
            <v>4.6651736428729079E-2</v>
          </cell>
          <cell r="BF145">
            <v>8.0357142857142863E-2</v>
          </cell>
          <cell r="BG145">
            <v>0.12079241828515901</v>
          </cell>
          <cell r="BH145">
            <v>0.10069256986145375</v>
          </cell>
          <cell r="BI145">
            <v>0.20115774240231557</v>
          </cell>
          <cell r="BK145">
            <v>-0.40677935050391933</v>
          </cell>
          <cell r="BL145">
            <v>5.5806027243686399E-2</v>
          </cell>
          <cell r="BM145">
            <v>0.2024793388429752</v>
          </cell>
          <cell r="BN145">
            <v>0.1141732283464567</v>
          </cell>
          <cell r="BO145">
            <v>0.31325301204819278</v>
          </cell>
          <cell r="BP145">
            <v>0.20887389913263871</v>
          </cell>
          <cell r="BQ145">
            <v>0.16792905848791195</v>
          </cell>
        </row>
        <row r="146">
          <cell r="N146" t="str">
            <v xml:space="preserve"> </v>
          </cell>
        </row>
        <row r="147">
          <cell r="A147" t="str">
            <v>Avg. shares (basic)</v>
          </cell>
          <cell r="I147">
            <v>-2.1834061135371178E-2</v>
          </cell>
          <cell r="J147">
            <v>-2.8446389496717725E-2</v>
          </cell>
          <cell r="K147">
            <v>-2.5136612021857924E-2</v>
          </cell>
          <cell r="L147">
            <v>-3.3112582781456956E-2</v>
          </cell>
          <cell r="M147">
            <v>-2.7777777777777818E-2</v>
          </cell>
          <cell r="N147">
            <v>-3.7777777777777778E-2</v>
          </cell>
          <cell r="O147">
            <v>-2.9702970297029702E-2</v>
          </cell>
          <cell r="P147">
            <v>-4.2410714285714288E-2</v>
          </cell>
          <cell r="Q147">
            <v>-3.8288288288288286E-2</v>
          </cell>
          <cell r="R147">
            <v>-4.0358744394618833E-2</v>
          </cell>
          <cell r="S147">
            <v>-3.4246575342465752E-2</v>
          </cell>
          <cell r="T147">
            <v>-3.8345864661654135E-2</v>
          </cell>
          <cell r="U147">
            <v>-2.5404157043879907E-2</v>
          </cell>
          <cell r="V147">
            <v>-3.6281179138321996E-2</v>
          </cell>
          <cell r="W147">
            <v>-1.8648018648018648E-2</v>
          </cell>
          <cell r="X147">
            <v>-2.8103044496487119E-2</v>
          </cell>
          <cell r="Y147">
            <v>0</v>
          </cell>
          <cell r="Z147">
            <v>-3.0732860520094562E-2</v>
          </cell>
          <cell r="AA147">
            <v>-2.5801407349491792E-2</v>
          </cell>
          <cell r="AB147">
            <v>-2.843601895734597E-2</v>
          </cell>
          <cell r="AC147">
            <v>-2.5882352941176471E-2</v>
          </cell>
          <cell r="AD147">
            <v>-2.6128266033254157E-2</v>
          </cell>
          <cell r="AE147">
            <v>-1.2048192771084338E-2</v>
          </cell>
          <cell r="AF147">
            <v>0</v>
          </cell>
          <cell r="AG147">
            <v>0</v>
          </cell>
          <cell r="AH147">
            <v>-1.2841091492776841E-2</v>
          </cell>
          <cell r="AI147">
            <v>2.4390243902439024E-3</v>
          </cell>
          <cell r="AJ147">
            <v>-9.057971014492754E-3</v>
          </cell>
          <cell r="AK147">
            <v>0</v>
          </cell>
          <cell r="AL147">
            <v>2.4390243902439024E-3</v>
          </cell>
          <cell r="AM147">
            <v>0</v>
          </cell>
          <cell r="AN147">
            <v>0</v>
          </cell>
          <cell r="AO147">
            <v>8.1300813008125463E-4</v>
          </cell>
          <cell r="AP147">
            <v>0</v>
          </cell>
          <cell r="AQ147">
            <v>6.0938452163315055E-4</v>
          </cell>
          <cell r="AR147">
            <v>2.4390243902439024E-3</v>
          </cell>
          <cell r="AS147">
            <v>0</v>
          </cell>
          <cell r="AT147">
            <v>-3.9719626168224297E-2</v>
          </cell>
          <cell r="AU147">
            <v>2.4390243902439024E-3</v>
          </cell>
          <cell r="AV147">
            <v>1.6246953696182429E-3</v>
          </cell>
          <cell r="AW147">
            <v>-4.8661800486618006E-3</v>
          </cell>
          <cell r="AX147">
            <v>0</v>
          </cell>
          <cell r="AY147">
            <v>-4.8661800486618006E-3</v>
          </cell>
          <cell r="AZ147">
            <v>-4.8661800486618006E-3</v>
          </cell>
          <cell r="BA147">
            <v>-4.8661800486618006E-3</v>
          </cell>
          <cell r="BB147">
            <v>-4.8661800486618006E-3</v>
          </cell>
          <cell r="BD147">
            <v>-1.2224938875305623E-3</v>
          </cell>
          <cell r="BE147">
            <v>-3.6540803897685747E-3</v>
          </cell>
          <cell r="BF147">
            <v>0</v>
          </cell>
          <cell r="BG147">
            <v>-2.4449877750611247E-3</v>
          </cell>
          <cell r="BH147">
            <v>-1.2224938875305623E-3</v>
          </cell>
          <cell r="BI147">
            <v>-7.3349633251833741E-3</v>
          </cell>
          <cell r="BK147">
            <v>-6.1199510403916772E-3</v>
          </cell>
          <cell r="BL147">
            <v>-7.5279481796714925E-3</v>
          </cell>
          <cell r="BM147">
            <v>-3.4229828850855744E-2</v>
          </cell>
          <cell r="BN147">
            <v>-5.8823529411764705E-2</v>
          </cell>
          <cell r="BO147">
            <v>-5.4187192118226604E-2</v>
          </cell>
          <cell r="BP147">
            <v>-5.1724137931034482E-2</v>
          </cell>
          <cell r="BQ147">
            <v>-4.6612680716623563E-2</v>
          </cell>
        </row>
        <row r="148">
          <cell r="A148" t="str">
            <v>Avg. shares (diluted)</v>
          </cell>
          <cell r="I148">
            <v>-2.1551724137931036E-2</v>
          </cell>
          <cell r="J148">
            <v>-2.813852813852814E-2</v>
          </cell>
          <cell r="K148">
            <v>-2.591792656587473E-2</v>
          </cell>
          <cell r="L148">
            <v>-2.2075055187637971E-2</v>
          </cell>
          <cell r="M148">
            <v>-2.3930384336475707E-2</v>
          </cell>
          <cell r="N148">
            <v>-3.9473684210526314E-2</v>
          </cell>
          <cell r="O148">
            <v>-2.9972752043596729E-2</v>
          </cell>
          <cell r="P148">
            <v>-4.6255506607929514E-2</v>
          </cell>
          <cell r="Q148">
            <v>-4.0089086859688199E-2</v>
          </cell>
          <cell r="R148">
            <v>-4.2128603104212861E-2</v>
          </cell>
          <cell r="S148">
            <v>-2.4830699774266364E-2</v>
          </cell>
          <cell r="T148">
            <v>-3.7147102526003013E-2</v>
          </cell>
          <cell r="U148">
            <v>-1.7579908675799061E-2</v>
          </cell>
          <cell r="V148">
            <v>-2.9213483146067417E-2</v>
          </cell>
          <cell r="W148">
            <v>-4.6189376443418013E-3</v>
          </cell>
          <cell r="X148">
            <v>-2.7842227378190254E-2</v>
          </cell>
          <cell r="Y148">
            <v>0</v>
          </cell>
          <cell r="Z148">
            <v>-4.8611111111111112E-2</v>
          </cell>
          <cell r="AA148">
            <v>-2.7006172839506216E-2</v>
          </cell>
          <cell r="AB148">
            <v>-4.4852428538229169E-2</v>
          </cell>
          <cell r="AC148">
            <v>-3.2407407407407406E-2</v>
          </cell>
          <cell r="AD148">
            <v>-4.6403712296983757E-2</v>
          </cell>
          <cell r="AE148">
            <v>-1.9093078758949882E-2</v>
          </cell>
          <cell r="AF148">
            <v>0</v>
          </cell>
          <cell r="AG148">
            <v>0</v>
          </cell>
          <cell r="AH148">
            <v>-2.2204599524187109E-2</v>
          </cell>
          <cell r="AI148">
            <v>0</v>
          </cell>
          <cell r="AJ148">
            <v>-1.6746411483253589E-2</v>
          </cell>
          <cell r="AK148">
            <v>0</v>
          </cell>
          <cell r="AL148">
            <v>0</v>
          </cell>
          <cell r="AM148">
            <v>0</v>
          </cell>
          <cell r="AN148">
            <v>0</v>
          </cell>
          <cell r="AO148">
            <v>0</v>
          </cell>
          <cell r="AP148">
            <v>0</v>
          </cell>
          <cell r="AQ148">
            <v>0</v>
          </cell>
          <cell r="AR148">
            <v>2.4330900243309003E-3</v>
          </cell>
          <cell r="AS148">
            <v>2.4330900243309003E-3</v>
          </cell>
          <cell r="AT148">
            <v>-4.6296296296296294E-2</v>
          </cell>
          <cell r="AU148">
            <v>4.8661800486618006E-3</v>
          </cell>
          <cell r="AV148">
            <v>3.244120032441154E-3</v>
          </cell>
          <cell r="AW148">
            <v>2.4330900243309003E-3</v>
          </cell>
          <cell r="AX148">
            <v>2.4330900243309003E-3</v>
          </cell>
          <cell r="AY148">
            <v>7.2815533980585281E-4</v>
          </cell>
          <cell r="AZ148">
            <v>4.8543689320388345E-3</v>
          </cell>
          <cell r="BA148">
            <v>2.7912621359222748E-3</v>
          </cell>
          <cell r="BB148">
            <v>2.4213075060532689E-3</v>
          </cell>
          <cell r="BD148">
            <v>-7.2815533980571489E-4</v>
          </cell>
          <cell r="BE148">
            <v>2.4271844660194173E-3</v>
          </cell>
          <cell r="BF148">
            <v>4.1232112539412776E-3</v>
          </cell>
          <cell r="BG148">
            <v>0</v>
          </cell>
          <cell r="BH148">
            <v>2.0573641534552167E-3</v>
          </cell>
          <cell r="BI148">
            <v>-2.4154589371980675E-3</v>
          </cell>
          <cell r="BK148">
            <v>1.044449842118036E-2</v>
          </cell>
          <cell r="BL148">
            <v>2.4213075060532689E-3</v>
          </cell>
          <cell r="BM148">
            <v>-2.1739130434782608E-2</v>
          </cell>
          <cell r="BN148">
            <v>-4.5893719806763288E-2</v>
          </cell>
          <cell r="BO148">
            <v>-4.3583535108958835E-2</v>
          </cell>
          <cell r="BP148">
            <v>-5.5288461538461536E-2</v>
          </cell>
          <cell r="BQ148">
            <v>-4.1062801932367152E-2</v>
          </cell>
        </row>
        <row r="149">
          <cell r="N149" t="str">
            <v xml:space="preserve"> </v>
          </cell>
        </row>
        <row r="150">
          <cell r="A150" t="str">
            <v>EPS - cont. ops. (diluted)</v>
          </cell>
          <cell r="I150">
            <v>7.0694357037969252E-2</v>
          </cell>
          <cell r="J150">
            <v>-0.22598672881316989</v>
          </cell>
          <cell r="K150">
            <v>-0.13932503387533851</v>
          </cell>
          <cell r="L150">
            <v>5.6377441561106544E-2</v>
          </cell>
          <cell r="M150">
            <v>-0.11989441184561966</v>
          </cell>
          <cell r="N150">
            <v>-0.26979779723869285</v>
          </cell>
          <cell r="O150">
            <v>-0.14469293100248456</v>
          </cell>
          <cell r="P150">
            <v>-6.788452655889135E-2</v>
          </cell>
          <cell r="Q150">
            <v>0.33730241589724574</v>
          </cell>
          <cell r="R150">
            <v>0.1161802919092204</v>
          </cell>
          <cell r="S150">
            <v>-0.12031054131054142</v>
          </cell>
          <cell r="T150">
            <v>5.5148611063289582E-2</v>
          </cell>
          <cell r="U150" t="str">
            <v>NM</v>
          </cell>
          <cell r="V150">
            <v>1.0625988137517832</v>
          </cell>
          <cell r="W150">
            <v>-0.12889731590975728</v>
          </cell>
          <cell r="X150">
            <v>-7.6007100450996672E-3</v>
          </cell>
          <cell r="Y150">
            <v>-8.0759874180701977E-2</v>
          </cell>
          <cell r="Z150">
            <v>-8.1611494517692826E-2</v>
          </cell>
          <cell r="AA150">
            <v>-6.2835273405069253E-2</v>
          </cell>
          <cell r="AB150">
            <v>-0.92580420530729701</v>
          </cell>
          <cell r="AC150">
            <v>-0.59132888393091121</v>
          </cell>
          <cell r="AD150">
            <v>-5.1824219707431368E-2</v>
          </cell>
          <cell r="AE150">
            <v>-0.21782124013099741</v>
          </cell>
          <cell r="AF150">
            <v>-1.6236831015592079</v>
          </cell>
          <cell r="AG150">
            <v>-0.17898193760262737</v>
          </cell>
          <cell r="AH150">
            <v>-1.6705165836578333</v>
          </cell>
          <cell r="AI150">
            <v>-0.19743178170144401</v>
          </cell>
          <cell r="AJ150">
            <v>-9.6753915535013113E-2</v>
          </cell>
          <cell r="AK150">
            <v>4.3478260869565161E-2</v>
          </cell>
          <cell r="AL150">
            <v>0.11057692307692293</v>
          </cell>
          <cell r="AM150">
            <v>-1.3513513513513573E-2</v>
          </cell>
          <cell r="AN150">
            <v>0.2881999999999999</v>
          </cell>
          <cell r="AO150">
            <v>1.5765306122449103E-2</v>
          </cell>
          <cell r="AP150">
            <v>0.49303999999999959</v>
          </cell>
          <cell r="AQ150">
            <v>0.16228571428571423</v>
          </cell>
          <cell r="AR150">
            <v>9.6290958737864099E-2</v>
          </cell>
          <cell r="AS150">
            <v>1.484680368175512E-2</v>
          </cell>
          <cell r="AT150">
            <v>-2.6015427583455244</v>
          </cell>
          <cell r="AU150">
            <v>7.363165676302668E-3</v>
          </cell>
          <cell r="AV150">
            <v>-2.4432819296061496</v>
          </cell>
          <cell r="AW150">
            <v>-1.5754484951785556E-3</v>
          </cell>
          <cell r="AX150">
            <v>3.631189957334803E-2</v>
          </cell>
          <cell r="AY150">
            <v>6.0838918884123676E-2</v>
          </cell>
          <cell r="AZ150">
            <v>-4.0295469921439536E-2</v>
          </cell>
          <cell r="BA150">
            <v>7.5506198498023567E-3</v>
          </cell>
          <cell r="BB150">
            <v>5.7256009009809983E-2</v>
          </cell>
          <cell r="BD150">
            <v>0.1960675682214543</v>
          </cell>
          <cell r="BE150">
            <v>3.8020902823969971E-2</v>
          </cell>
          <cell r="BF150">
            <v>7.5920893719806801E-2</v>
          </cell>
          <cell r="BG150">
            <v>0.12079241828515891</v>
          </cell>
          <cell r="BH150">
            <v>9.8441210713192714E-2</v>
          </cell>
          <cell r="BI150">
            <v>0.20406611465994823</v>
          </cell>
          <cell r="BK150">
            <v>-0.17989813937462298</v>
          </cell>
          <cell r="BL150">
            <v>8.4229066629163032E-2</v>
          </cell>
          <cell r="BM150">
            <v>0.13627180899908165</v>
          </cell>
          <cell r="BN150">
            <v>0.1141233928037477</v>
          </cell>
          <cell r="BO150">
            <v>0.11485435412536228</v>
          </cell>
          <cell r="BP150">
            <v>-8.3952950468510049E-2</v>
          </cell>
          <cell r="BQ150">
            <v>0.10521985907310921</v>
          </cell>
        </row>
        <row r="151">
          <cell r="A151" t="str">
            <v>Extra. items per share</v>
          </cell>
          <cell r="I151" t="str">
            <v>NM</v>
          </cell>
          <cell r="J151" t="str">
            <v>NM</v>
          </cell>
          <cell r="K151" t="str">
            <v>NM</v>
          </cell>
          <cell r="L151" t="str">
            <v>NM</v>
          </cell>
          <cell r="M151" t="str">
            <v>NM</v>
          </cell>
          <cell r="N151" t="str">
            <v>NM</v>
          </cell>
          <cell r="O151" t="str">
            <v>NM</v>
          </cell>
          <cell r="P151" t="str">
            <v>NM</v>
          </cell>
          <cell r="Q151" t="str">
            <v>NM</v>
          </cell>
          <cell r="R151" t="str">
            <v>NM</v>
          </cell>
          <cell r="S151" t="str">
            <v>NM</v>
          </cell>
          <cell r="T151" t="str">
            <v>NM</v>
          </cell>
          <cell r="U151" t="str">
            <v>NM</v>
          </cell>
          <cell r="V151" t="str">
            <v>NM</v>
          </cell>
          <cell r="W151" t="str">
            <v>NM</v>
          </cell>
          <cell r="X151" t="str">
            <v>NM</v>
          </cell>
          <cell r="Y151" t="str">
            <v>NM</v>
          </cell>
          <cell r="Z151" t="str">
            <v>NM</v>
          </cell>
          <cell r="AA151" t="str">
            <v>NM</v>
          </cell>
          <cell r="AB151" t="str">
            <v>NM</v>
          </cell>
          <cell r="AC151" t="str">
            <v>NM</v>
          </cell>
          <cell r="AD151" t="str">
            <v>NM</v>
          </cell>
          <cell r="AE151" t="str">
            <v>NM</v>
          </cell>
          <cell r="AF151" t="str">
            <v>NM</v>
          </cell>
          <cell r="AG151" t="str">
            <v>NM</v>
          </cell>
          <cell r="AH151" t="str">
            <v>NM</v>
          </cell>
          <cell r="AI151" t="str">
            <v>NM</v>
          </cell>
          <cell r="AJ151" t="str">
            <v>NM</v>
          </cell>
          <cell r="AK151" t="str">
            <v>NM</v>
          </cell>
          <cell r="AL151" t="str">
            <v>NM</v>
          </cell>
          <cell r="AM151" t="str">
            <v>NM</v>
          </cell>
          <cell r="AN151" t="str">
            <v>NM</v>
          </cell>
          <cell r="AO151" t="str">
            <v>NM</v>
          </cell>
          <cell r="AP151" t="str">
            <v>NM</v>
          </cell>
          <cell r="AQ151" t="str">
            <v>NM</v>
          </cell>
          <cell r="AR151" t="str">
            <v>NM</v>
          </cell>
          <cell r="AS151" t="str">
            <v>NM</v>
          </cell>
          <cell r="AT151" t="str">
            <v>NM</v>
          </cell>
          <cell r="AU151" t="str">
            <v>NM</v>
          </cell>
          <cell r="AV151" t="str">
            <v>NM</v>
          </cell>
          <cell r="AW151" t="str">
            <v>NM</v>
          </cell>
          <cell r="AX151" t="str">
            <v>NM</v>
          </cell>
          <cell r="AY151" t="str">
            <v>NM</v>
          </cell>
          <cell r="AZ151" t="str">
            <v>NM</v>
          </cell>
          <cell r="BA151" t="str">
            <v>NM</v>
          </cell>
          <cell r="BB151" t="str">
            <v>NM</v>
          </cell>
          <cell r="BD151" t="str">
            <v>NM</v>
          </cell>
          <cell r="BE151" t="str">
            <v>NM</v>
          </cell>
          <cell r="BF151" t="str">
            <v>NM</v>
          </cell>
          <cell r="BG151" t="str">
            <v>NM</v>
          </cell>
          <cell r="BH151" t="str">
            <v>NM</v>
          </cell>
          <cell r="BI151" t="str">
            <v>NM</v>
          </cell>
          <cell r="BK151" t="str">
            <v>NM</v>
          </cell>
          <cell r="BL151" t="str">
            <v>NM</v>
          </cell>
          <cell r="BM151" t="str">
            <v>NM</v>
          </cell>
          <cell r="BN151" t="str">
            <v>NM</v>
          </cell>
          <cell r="BO151" t="str">
            <v>NM</v>
          </cell>
          <cell r="BP151" t="str">
            <v>NM</v>
          </cell>
          <cell r="BQ151" t="str">
            <v>NM</v>
          </cell>
        </row>
        <row r="152">
          <cell r="A152" t="str">
            <v>EPS - reported</v>
          </cell>
          <cell r="I152">
            <v>7.0694357037969252E-2</v>
          </cell>
          <cell r="J152">
            <v>-0.19557906458797297</v>
          </cell>
          <cell r="K152">
            <v>-0.12256853011007961</v>
          </cell>
          <cell r="L152">
            <v>-5.9602439270914056</v>
          </cell>
          <cell r="M152">
            <v>0.20331815901799077</v>
          </cell>
          <cell r="N152">
            <v>-0.54667684172901576</v>
          </cell>
          <cell r="O152">
            <v>4.9646180160570992E-2</v>
          </cell>
          <cell r="P152">
            <v>-6.788452655889135E-2</v>
          </cell>
          <cell r="Q152">
            <v>0.33730241589724574</v>
          </cell>
          <cell r="R152">
            <v>0.1161802919092204</v>
          </cell>
          <cell r="S152">
            <v>-0.12031054131054142</v>
          </cell>
          <cell r="T152">
            <v>5.5148611063289582E-2</v>
          </cell>
          <cell r="U152" t="str">
            <v>NM</v>
          </cell>
          <cell r="V152">
            <v>1.1821697594765244</v>
          </cell>
          <cell r="W152">
            <v>-0.12889731590975728</v>
          </cell>
          <cell r="X152">
            <v>-7.6007100450996672E-3</v>
          </cell>
          <cell r="Y152">
            <v>-8.0759874180701977E-2</v>
          </cell>
          <cell r="Z152">
            <v>-8.1611494517692826E-2</v>
          </cell>
          <cell r="AA152">
            <v>-6.2835273405069253E-2</v>
          </cell>
          <cell r="AB152">
            <v>-0.93890458639268604</v>
          </cell>
          <cell r="AC152">
            <v>-0.59873600582374364</v>
          </cell>
          <cell r="AD152">
            <v>-0.11139439373016012</v>
          </cell>
          <cell r="AE152">
            <v>-0.23662361416630995</v>
          </cell>
          <cell r="AF152">
            <v>-1.6585756426464391</v>
          </cell>
          <cell r="AG152">
            <v>-0.22003284072249604</v>
          </cell>
          <cell r="AH152">
            <v>-1.7073949957590144</v>
          </cell>
          <cell r="AI152">
            <v>6.3547758284601283E-2</v>
          </cell>
          <cell r="AJ152">
            <v>-0.10226776729386401</v>
          </cell>
          <cell r="AK152">
            <v>-6.6341916028763742E-2</v>
          </cell>
          <cell r="AL152">
            <v>0.13793103448275842</v>
          </cell>
          <cell r="AM152">
            <v>3.3401586895316103E-2</v>
          </cell>
          <cell r="AN152">
            <v>0.35599999999999993</v>
          </cell>
          <cell r="AO152">
            <v>3.7769610213753808E-2</v>
          </cell>
          <cell r="AP152">
            <v>0.35960410557184702</v>
          </cell>
          <cell r="AQ152">
            <v>0.13117870722433453</v>
          </cell>
          <cell r="AR152">
            <v>0.30737803774950262</v>
          </cell>
          <cell r="AS152">
            <v>1.484680368175512E-2</v>
          </cell>
          <cell r="AT152">
            <v>-2.4478343202380595</v>
          </cell>
          <cell r="AU152">
            <v>8.4614942185221503E-2</v>
          </cell>
          <cell r="AV152">
            <v>-2.3622574733983002</v>
          </cell>
          <cell r="AW152">
            <v>-0.1614398811143444</v>
          </cell>
          <cell r="AX152">
            <v>8.4755649832748609E-2</v>
          </cell>
          <cell r="AY152">
            <v>6.0838918884123676E-2</v>
          </cell>
          <cell r="AZ152">
            <v>-4.0295469921439536E-2</v>
          </cell>
          <cell r="BA152">
            <v>7.5506198498023567E-3</v>
          </cell>
          <cell r="BB152">
            <v>-1.8047125535048211E-2</v>
          </cell>
          <cell r="BD152">
            <v>0.42158624192688154</v>
          </cell>
          <cell r="BE152">
            <v>4.4117470723090642E-2</v>
          </cell>
          <cell r="BF152">
            <v>7.5920893719806801E-2</v>
          </cell>
          <cell r="BG152">
            <v>0.12079241828515891</v>
          </cell>
          <cell r="BH152">
            <v>9.8441210713192714E-2</v>
          </cell>
          <cell r="BI152">
            <v>0.20406611465994823</v>
          </cell>
          <cell r="BK152">
            <v>6.1396990494656634E-2</v>
          </cell>
          <cell r="BL152">
            <v>0.11516495032374513</v>
          </cell>
          <cell r="BM152">
            <v>0.13627180899908165</v>
          </cell>
          <cell r="BN152">
            <v>0.17189275391209011</v>
          </cell>
          <cell r="BO152">
            <v>0.37309745310355369</v>
          </cell>
          <cell r="BP152">
            <v>-0.28644756141757627</v>
          </cell>
          <cell r="BQ152">
            <v>7.4559862982573819E-2</v>
          </cell>
        </row>
        <row r="153">
          <cell r="N153" t="str">
            <v xml:space="preserve"> </v>
          </cell>
        </row>
        <row r="154">
          <cell r="A154" t="str">
            <v>Dividends per share</v>
          </cell>
          <cell r="I154">
            <v>8.8082901554404083E-2</v>
          </cell>
          <cell r="J154">
            <v>7.1428571428571494E-2</v>
          </cell>
          <cell r="K154">
            <v>7.9404466501240625E-2</v>
          </cell>
          <cell r="L154">
            <v>7.1428571428571494E-2</v>
          </cell>
          <cell r="M154">
            <v>7.6672104404567773E-2</v>
          </cell>
          <cell r="N154">
            <v>7.1428571428571369E-2</v>
          </cell>
          <cell r="O154">
            <v>7.5334143377885854E-2</v>
          </cell>
          <cell r="P154">
            <v>7.1428571428571494E-2</v>
          </cell>
          <cell r="Q154">
            <v>0</v>
          </cell>
          <cell r="R154">
            <v>3.4482758620689689E-2</v>
          </cell>
          <cell r="S154">
            <v>0</v>
          </cell>
          <cell r="T154">
            <v>2.2727272727272745E-2</v>
          </cell>
          <cell r="U154">
            <v>0</v>
          </cell>
          <cell r="V154">
            <v>1.6949152542372895E-2</v>
          </cell>
          <cell r="W154">
            <v>0</v>
          </cell>
          <cell r="X154">
            <v>0</v>
          </cell>
          <cell r="Y154">
            <v>0</v>
          </cell>
          <cell r="Z154">
            <v>0</v>
          </cell>
          <cell r="AA154">
            <v>0</v>
          </cell>
          <cell r="AB154">
            <v>0</v>
          </cell>
          <cell r="AC154">
            <v>0</v>
          </cell>
          <cell r="AD154">
            <v>-0.3</v>
          </cell>
          <cell r="AE154">
            <v>-0.3</v>
          </cell>
          <cell r="AF154">
            <v>-0.3</v>
          </cell>
          <cell r="AG154">
            <v>-0.3</v>
          </cell>
          <cell r="AH154">
            <v>-0.3</v>
          </cell>
          <cell r="AI154">
            <v>-0.30000000000000004</v>
          </cell>
          <cell r="AJ154">
            <v>-0.3</v>
          </cell>
          <cell r="AK154">
            <v>0</v>
          </cell>
          <cell r="AL154">
            <v>0</v>
          </cell>
          <cell r="AM154">
            <v>0</v>
          </cell>
          <cell r="AN154">
            <v>0</v>
          </cell>
          <cell r="AO154">
            <v>0</v>
          </cell>
          <cell r="AP154">
            <v>1.7622587692462806E-16</v>
          </cell>
          <cell r="AQ154">
            <v>0</v>
          </cell>
          <cell r="AR154">
            <v>0</v>
          </cell>
          <cell r="AS154">
            <v>0</v>
          </cell>
          <cell r="AT154">
            <v>0</v>
          </cell>
          <cell r="AU154">
            <v>0</v>
          </cell>
          <cell r="AV154">
            <v>0</v>
          </cell>
          <cell r="AW154">
            <v>0</v>
          </cell>
          <cell r="AX154">
            <v>0</v>
          </cell>
          <cell r="AY154">
            <v>7.936507936507943E-2</v>
          </cell>
          <cell r="AZ154">
            <v>7.8999999999999973E-2</v>
          </cell>
          <cell r="BA154">
            <v>7.9182539682539785E-2</v>
          </cell>
          <cell r="BB154">
            <v>7.8999999999999973E-2</v>
          </cell>
          <cell r="BD154">
            <v>7.8634920634920322E-2</v>
          </cell>
          <cell r="BE154">
            <v>7.8999999999999973E-2</v>
          </cell>
          <cell r="BF154">
            <v>5.8823529411764594E-2</v>
          </cell>
          <cell r="BG154">
            <v>5.9181782073348323E-2</v>
          </cell>
          <cell r="BH154">
            <v>5.9002625444008763E-2</v>
          </cell>
          <cell r="BI154">
            <v>5.9181782073348323E-2</v>
          </cell>
          <cell r="BK154">
            <v>5.9540277246372474E-2</v>
          </cell>
          <cell r="BL154">
            <v>5.9181782073348323E-2</v>
          </cell>
          <cell r="BM154">
            <v>1.9999999999999955E-2</v>
          </cell>
          <cell r="BN154">
            <v>1.9999999999999955E-2</v>
          </cell>
          <cell r="BO154">
            <v>-1</v>
          </cell>
          <cell r="BP154">
            <v>2.0000000000000271E-2</v>
          </cell>
          <cell r="BQ154">
            <v>1.9999999999999955E-2</v>
          </cell>
        </row>
        <row r="156">
          <cell r="A156" t="str">
            <v>Margins</v>
          </cell>
          <cell r="B156" t="str">
            <v>1Q98</v>
          </cell>
          <cell r="C156" t="str">
            <v>2Q98</v>
          </cell>
          <cell r="D156" t="str">
            <v>6 Mos.</v>
          </cell>
          <cell r="E156" t="str">
            <v>3Q98</v>
          </cell>
          <cell r="F156" t="str">
            <v>9 Mos.</v>
          </cell>
          <cell r="G156" t="str">
            <v>4Q98</v>
          </cell>
          <cell r="H156" t="str">
            <v>F1998</v>
          </cell>
          <cell r="I156" t="str">
            <v>1Q99</v>
          </cell>
          <cell r="J156" t="str">
            <v>2Q99</v>
          </cell>
          <cell r="K156" t="str">
            <v>6 Mos.</v>
          </cell>
          <cell r="L156" t="str">
            <v>3Q99</v>
          </cell>
          <cell r="M156" t="str">
            <v>9 Mos.</v>
          </cell>
          <cell r="N156" t="str">
            <v>4Q99</v>
          </cell>
          <cell r="O156" t="str">
            <v>F1999</v>
          </cell>
          <cell r="P156" t="str">
            <v>1Q00</v>
          </cell>
          <cell r="Q156" t="str">
            <v>2Q00</v>
          </cell>
          <cell r="R156" t="str">
            <v>6 Mos.</v>
          </cell>
          <cell r="S156" t="str">
            <v>3Q00</v>
          </cell>
          <cell r="T156" t="str">
            <v>9 Mos.</v>
          </cell>
          <cell r="U156" t="str">
            <v>4Q00</v>
          </cell>
          <cell r="V156" t="str">
            <v>F2000</v>
          </cell>
          <cell r="W156" t="str">
            <v>1Q01</v>
          </cell>
          <cell r="X156" t="str">
            <v>2Q01</v>
          </cell>
          <cell r="Y156" t="str">
            <v>6 Mos.</v>
          </cell>
          <cell r="Z156" t="str">
            <v>3Q01</v>
          </cell>
          <cell r="AA156" t="str">
            <v>9 Mos.</v>
          </cell>
          <cell r="AB156" t="str">
            <v>4Q01</v>
          </cell>
          <cell r="AC156" t="str">
            <v>F2001</v>
          </cell>
          <cell r="AD156" t="str">
            <v>1Q02</v>
          </cell>
          <cell r="AE156" t="str">
            <v>2Q02</v>
          </cell>
          <cell r="AF156" t="str">
            <v>6 Mos.</v>
          </cell>
          <cell r="AG156" t="str">
            <v>3Q02</v>
          </cell>
          <cell r="AH156" t="str">
            <v>9 Mos.</v>
          </cell>
          <cell r="AI156" t="str">
            <v>4Q02</v>
          </cell>
          <cell r="AJ156" t="str">
            <v>F2002</v>
          </cell>
          <cell r="AK156" t="str">
            <v>1Q03</v>
          </cell>
          <cell r="AL156" t="str">
            <v>2Q03</v>
          </cell>
          <cell r="AM156" t="str">
            <v>6 Mos.</v>
          </cell>
          <cell r="AN156" t="str">
            <v>3Q03</v>
          </cell>
          <cell r="AO156" t="str">
            <v>9 Mos.</v>
          </cell>
          <cell r="AP156" t="str">
            <v>4Q03</v>
          </cell>
          <cell r="AQ156" t="str">
            <v>F2003</v>
          </cell>
          <cell r="AR156" t="str">
            <v>1Q04</v>
          </cell>
          <cell r="AS156" t="str">
            <v>2Q04</v>
          </cell>
          <cell r="AT156" t="str">
            <v>6 Mos.</v>
          </cell>
          <cell r="AU156" t="str">
            <v>3Q04</v>
          </cell>
          <cell r="AV156" t="str">
            <v>9 Mos.</v>
          </cell>
          <cell r="AW156" t="str">
            <v>4Q04</v>
          </cell>
          <cell r="AX156" t="str">
            <v>F2004</v>
          </cell>
          <cell r="AY156" t="str">
            <v>1Q05</v>
          </cell>
          <cell r="AZ156" t="str">
            <v>2Q05</v>
          </cell>
          <cell r="BA156" t="str">
            <v>6 Mos.</v>
          </cell>
          <cell r="BB156" t="str">
            <v>3Q05</v>
          </cell>
          <cell r="BC156" t="str">
            <v>9 Mos.</v>
          </cell>
          <cell r="BD156" t="str">
            <v>4Q05</v>
          </cell>
          <cell r="BE156" t="str">
            <v>F2005</v>
          </cell>
          <cell r="BF156" t="str">
            <v>1Q06</v>
          </cell>
          <cell r="BG156" t="str">
            <v>2Q06</v>
          </cell>
          <cell r="BH156" t="str">
            <v>6 Mos.</v>
          </cell>
          <cell r="BI156" t="str">
            <v>3Q06</v>
          </cell>
          <cell r="BJ156" t="str">
            <v>9 Mos.</v>
          </cell>
          <cell r="BK156" t="str">
            <v>4Q06</v>
          </cell>
          <cell r="BL156" t="str">
            <v>F2006</v>
          </cell>
          <cell r="BM156" t="str">
            <v>1Q07</v>
          </cell>
          <cell r="BN156" t="str">
            <v>2Q07</v>
          </cell>
          <cell r="BO156" t="str">
            <v>3Q07</v>
          </cell>
          <cell r="BP156" t="str">
            <v>4Q07</v>
          </cell>
          <cell r="BQ156" t="str">
            <v>F2007</v>
          </cell>
        </row>
        <row r="157">
          <cell r="A157" t="str">
            <v>Cost of products sold</v>
          </cell>
          <cell r="B157">
            <v>0.49255377826806396</v>
          </cell>
          <cell r="C157">
            <v>0.47465208747514909</v>
          </cell>
          <cell r="D157">
            <v>0.4831372549019608</v>
          </cell>
          <cell r="E157">
            <v>0.49300254452926207</v>
          </cell>
          <cell r="F157">
            <v>0.48601074671113581</v>
          </cell>
          <cell r="G157">
            <v>0.46938021490809451</v>
          </cell>
          <cell r="H157">
            <v>0.48279909679577554</v>
          </cell>
          <cell r="I157">
            <v>0.43542128603104213</v>
          </cell>
          <cell r="J157">
            <v>0.4402532889349855</v>
          </cell>
          <cell r="K157">
            <v>0.4378558266178938</v>
          </cell>
          <cell r="L157">
            <v>0.45341823056300268</v>
          </cell>
          <cell r="M157">
            <v>0.44238382183739938</v>
          </cell>
          <cell r="N157">
            <v>0.44301257813102862</v>
          </cell>
          <cell r="O157">
            <v>0.44251066347022017</v>
          </cell>
          <cell r="P157">
            <v>0.44571726828196262</v>
          </cell>
          <cell r="Q157">
            <v>0.43265565438373571</v>
          </cell>
          <cell r="R157">
            <v>0.4389323054176788</v>
          </cell>
          <cell r="S157">
            <v>0.45638489208633087</v>
          </cell>
          <cell r="T157">
            <v>0.44375334403424294</v>
          </cell>
          <cell r="U157">
            <v>0.47801217038539551</v>
          </cell>
          <cell r="V157">
            <v>0.45028380531110324</v>
          </cell>
          <cell r="W157">
            <v>0.51195445920303606</v>
          </cell>
          <cell r="X157">
            <v>0.49316239316239324</v>
          </cell>
          <cell r="Y157">
            <v>0.50206834532374101</v>
          </cell>
          <cell r="Z157">
            <v>0.52588512981904012</v>
          </cell>
          <cell r="AA157">
            <v>0.50863902756674628</v>
          </cell>
          <cell r="AB157">
            <v>0.50171821305841924</v>
          </cell>
          <cell r="AC157">
            <v>0.50320568359036566</v>
          </cell>
          <cell r="AD157">
            <v>0.52631578947368418</v>
          </cell>
          <cell r="AE157">
            <v>0.51988950276243096</v>
          </cell>
          <cell r="AF157">
            <v>0.52302910426674198</v>
          </cell>
          <cell r="AG157">
            <v>0.52</v>
          </cell>
          <cell r="AH157">
            <v>0.5221832993890021</v>
          </cell>
          <cell r="AI157">
            <v>0.51192150449713814</v>
          </cell>
          <cell r="AJ157">
            <v>0.51883254524702427</v>
          </cell>
          <cell r="AK157">
            <v>0.53724340175953078</v>
          </cell>
          <cell r="AL157">
            <v>0.52137643378519294</v>
          </cell>
          <cell r="AM157">
            <v>0.52884349986199286</v>
          </cell>
          <cell r="AN157">
            <v>0.54062500000000002</v>
          </cell>
          <cell r="AO157">
            <v>0.53245261344055139</v>
          </cell>
          <cell r="AP157">
            <v>0.53814432989690719</v>
          </cell>
          <cell r="AQ157">
            <v>0.53369272237196763</v>
          </cell>
          <cell r="AR157">
            <v>0.5474070193818753</v>
          </cell>
          <cell r="AS157">
            <v>0.54666666666666663</v>
          </cell>
          <cell r="AT157">
            <v>0.54701920678473437</v>
          </cell>
          <cell r="AU157">
            <v>0.55848830233953206</v>
          </cell>
          <cell r="AV157">
            <v>0.55038759689922478</v>
          </cell>
          <cell r="AW157">
            <v>0.56190567341242148</v>
          </cell>
          <cell r="AX157">
            <v>0.55270935855957237</v>
          </cell>
          <cell r="AY157">
            <v>0.56288857006217119</v>
          </cell>
          <cell r="AZ157">
            <v>0.56376518218623484</v>
          </cell>
          <cell r="BB157">
            <v>0.55659562211981561</v>
          </cell>
          <cell r="BD157">
            <v>0.54773030707610149</v>
          </cell>
          <cell r="BE157">
            <v>0.55855855855855852</v>
          </cell>
          <cell r="BF157">
            <v>0.5463071508909626</v>
          </cell>
          <cell r="BG157">
            <v>0.55337571240683914</v>
          </cell>
          <cell r="BI157">
            <v>0.55405773420479298</v>
          </cell>
          <cell r="BJ157">
            <v>0.54718611782722126</v>
          </cell>
          <cell r="BK157">
            <v>0.57977991746905089</v>
          </cell>
          <cell r="BL157">
            <v>0.55659524650174863</v>
          </cell>
          <cell r="BM157">
            <v>0.54006080783012833</v>
          </cell>
          <cell r="BN157">
            <v>0.53852172258359965</v>
          </cell>
          <cell r="BO157">
            <v>1</v>
          </cell>
          <cell r="BP157">
            <v>0.63822160667290584</v>
          </cell>
          <cell r="BQ157">
            <v>0.56000000000000005</v>
          </cell>
        </row>
        <row r="158">
          <cell r="A158" t="str">
            <v>Gross profit</v>
          </cell>
          <cell r="B158">
            <v>0.50744622173193599</v>
          </cell>
          <cell r="C158">
            <v>0.52534791252485091</v>
          </cell>
          <cell r="D158">
            <v>0.5168627450980392</v>
          </cell>
          <cell r="E158">
            <v>0.50699745547073793</v>
          </cell>
          <cell r="F158">
            <v>0.51398925328886413</v>
          </cell>
          <cell r="G158">
            <v>0.53061978509190555</v>
          </cell>
          <cell r="H158">
            <v>0.51720090320422452</v>
          </cell>
          <cell r="I158">
            <v>0.53991130820399114</v>
          </cell>
          <cell r="J158">
            <v>0.53272558545772153</v>
          </cell>
          <cell r="K158">
            <v>0.53629087708682854</v>
          </cell>
          <cell r="L158">
            <v>0.51072386058981234</v>
          </cell>
          <cell r="M158">
            <v>0.52885196669201817</v>
          </cell>
          <cell r="N158">
            <v>0.51879003009491476</v>
          </cell>
          <cell r="O158">
            <v>0.52682213020330637</v>
          </cell>
          <cell r="P158">
            <v>0.52818526454590398</v>
          </cell>
          <cell r="Q158">
            <v>0.54371029224904699</v>
          </cell>
          <cell r="R158">
            <v>0.53624986799028407</v>
          </cell>
          <cell r="S158">
            <v>0.50626037631433318</v>
          </cell>
          <cell r="T158">
            <v>0.52796568065428418</v>
          </cell>
          <cell r="U158">
            <v>0.48304259634888441</v>
          </cell>
          <cell r="V158">
            <v>0.51940238489258705</v>
          </cell>
          <cell r="W158">
            <v>0.45831752055660968</v>
          </cell>
          <cell r="X158">
            <v>0.47720797720797714</v>
          </cell>
          <cell r="Y158">
            <v>0.4682553956834532</v>
          </cell>
          <cell r="Z158">
            <v>0.43320220298977186</v>
          </cell>
          <cell r="AA158">
            <v>0.45858476231821138</v>
          </cell>
          <cell r="AB158">
            <v>0.43642611683848798</v>
          </cell>
          <cell r="AC158">
            <v>0.45815283313117311</v>
          </cell>
          <cell r="AD158">
            <v>0.4384037015615963</v>
          </cell>
          <cell r="AE158">
            <v>0.4453038674033149</v>
          </cell>
          <cell r="AF158">
            <v>0.44193274936422716</v>
          </cell>
          <cell r="AG158">
            <v>0.43404814004376363</v>
          </cell>
          <cell r="AH158">
            <v>0.43973116089613035</v>
          </cell>
          <cell r="AI158">
            <v>0.44392477514309081</v>
          </cell>
          <cell r="AJ158">
            <v>0.44187184086091635</v>
          </cell>
          <cell r="AK158">
            <v>0.43049853372434016</v>
          </cell>
          <cell r="AL158">
            <v>0.44942648592283629</v>
          </cell>
          <cell r="AM158">
            <v>0.44051890698316315</v>
          </cell>
          <cell r="AN158">
            <v>0.42499999999999999</v>
          </cell>
          <cell r="AO158">
            <v>0.4357648860807965</v>
          </cell>
          <cell r="AP158">
            <v>0.41030927835051545</v>
          </cell>
          <cell r="AQ158">
            <v>0.43021862833183588</v>
          </cell>
          <cell r="AR158">
            <v>0.41959140911471976</v>
          </cell>
          <cell r="AS158">
            <v>0.42285714285714288</v>
          </cell>
          <cell r="AT158">
            <v>0.42130207034173112</v>
          </cell>
          <cell r="AU158">
            <v>0.40311937612477505</v>
          </cell>
          <cell r="AV158">
            <v>0.41596194503171247</v>
          </cell>
          <cell r="AW158">
            <v>0.39148639218422887</v>
          </cell>
          <cell r="AX158">
            <v>0.41102827401884934</v>
          </cell>
          <cell r="AY158">
            <v>0.40459110473457677</v>
          </cell>
          <cell r="AZ158">
            <v>0.40530814215024741</v>
          </cell>
          <cell r="BA158">
            <v>0.40496059341678259</v>
          </cell>
          <cell r="BB158">
            <v>0.40380184331797236</v>
          </cell>
          <cell r="BD158">
            <v>0.40654205607476634</v>
          </cell>
          <cell r="BE158">
            <v>0.40500794912559618</v>
          </cell>
          <cell r="BF158">
            <v>0.41800947867298582</v>
          </cell>
          <cell r="BG158">
            <v>0.41516878562034193</v>
          </cell>
          <cell r="BH158">
            <v>0.41653381917558641</v>
          </cell>
          <cell r="BI158">
            <v>0.40686274509803921</v>
          </cell>
          <cell r="BK158">
            <v>0.37330943027515057</v>
          </cell>
          <cell r="BL158">
            <v>0.40603982705638186</v>
          </cell>
          <cell r="BM158">
            <v>0.42591732466326054</v>
          </cell>
          <cell r="BN158">
            <v>0.4289520426287744</v>
          </cell>
          <cell r="BO158">
            <v>0.75826529802435139</v>
          </cell>
          <cell r="BP158">
            <v>0.31265041367489521</v>
          </cell>
          <cell r="BQ158">
            <v>0.40226212145348866</v>
          </cell>
        </row>
        <row r="159">
          <cell r="A159" t="str">
            <v>Impact of Options expense</v>
          </cell>
        </row>
        <row r="160">
          <cell r="A160" t="str">
            <v>Marketing &amp; selling</v>
          </cell>
          <cell r="B160">
            <v>0.20408163265306123</v>
          </cell>
          <cell r="C160">
            <v>0.22813121272365805</v>
          </cell>
          <cell r="D160">
            <v>0.21673202614379086</v>
          </cell>
          <cell r="E160">
            <v>0.25254452926208654</v>
          </cell>
          <cell r="F160">
            <v>0.22716323883639059</v>
          </cell>
          <cell r="G160">
            <v>0.22476061455094062</v>
          </cell>
          <cell r="H160">
            <v>0.22669709206470576</v>
          </cell>
          <cell r="I160">
            <v>0.2328159645232816</v>
          </cell>
          <cell r="J160">
            <v>0.27894535727932745</v>
          </cell>
          <cell r="K160">
            <v>0.25605764735003711</v>
          </cell>
          <cell r="L160">
            <v>0.24798927613941019</v>
          </cell>
          <cell r="M160">
            <v>0.2537100957506972</v>
          </cell>
          <cell r="N160">
            <v>0.25696427193456284</v>
          </cell>
          <cell r="O160">
            <v>0.25436657430181514</v>
          </cell>
          <cell r="P160">
            <v>0.23515191472995994</v>
          </cell>
          <cell r="Q160">
            <v>0.23583227445997459</v>
          </cell>
          <cell r="R160">
            <v>0.23550533319252301</v>
          </cell>
          <cell r="S160">
            <v>0.26909241837299391</v>
          </cell>
          <cell r="T160">
            <v>0.2447833065810594</v>
          </cell>
          <cell r="U160">
            <v>-0.38945233265720081</v>
          </cell>
          <cell r="V160">
            <v>0.12388449819818427</v>
          </cell>
          <cell r="W160">
            <v>0.14743833017077793</v>
          </cell>
          <cell r="X160">
            <v>0.1396011396011396</v>
          </cell>
          <cell r="Y160">
            <v>0.14331534772182253</v>
          </cell>
          <cell r="Z160">
            <v>0.16443745082612116</v>
          </cell>
          <cell r="AA160">
            <v>0.14914260907314952</v>
          </cell>
          <cell r="AB160">
            <v>0.17431271477663238</v>
          </cell>
          <cell r="AC160">
            <v>0.15421937272569744</v>
          </cell>
          <cell r="AD160">
            <v>0.1607865818392134</v>
          </cell>
          <cell r="AE160">
            <v>0.17292817679558012</v>
          </cell>
          <cell r="AF160">
            <v>0.16699632664594519</v>
          </cell>
          <cell r="AG160">
            <v>0.18</v>
          </cell>
          <cell r="AH160">
            <v>0.17062729124236253</v>
          </cell>
          <cell r="AI160">
            <v>0.19255519215044961</v>
          </cell>
          <cell r="AJ160">
            <v>0.17499999999999999</v>
          </cell>
          <cell r="AK160">
            <v>0.16011730205278593</v>
          </cell>
          <cell r="AL160">
            <v>0.17153284671532848</v>
          </cell>
          <cell r="AM160">
            <v>0.16616064035329836</v>
          </cell>
          <cell r="AN160">
            <v>0.17</v>
          </cell>
          <cell r="AO160">
            <v>0.17</v>
          </cell>
          <cell r="AP160">
            <v>0.17458969072164951</v>
          </cell>
          <cell r="AQ160">
            <v>0.17100000000000001</v>
          </cell>
          <cell r="AR160">
            <v>0.15348349921424831</v>
          </cell>
          <cell r="AS160">
            <v>0.16190476190476191</v>
          </cell>
          <cell r="AT160">
            <v>0.15789473684210525</v>
          </cell>
          <cell r="AU160">
            <v>0.16496700659868027</v>
          </cell>
          <cell r="AV160">
            <v>0.16</v>
          </cell>
          <cell r="AW160">
            <v>0.17085833914863924</v>
          </cell>
          <cell r="AX160">
            <v>0.16218877479251653</v>
          </cell>
          <cell r="AY160">
            <v>0.15016738402678145</v>
          </cell>
          <cell r="AZ160">
            <v>0.16419253261358524</v>
          </cell>
          <cell r="BA160">
            <v>0.1573945294390357</v>
          </cell>
          <cell r="BB160">
            <v>0.15841013824884792</v>
          </cell>
          <cell r="BD160">
            <v>0.1542056074766355</v>
          </cell>
          <cell r="BE160">
            <v>0.15699523052464229</v>
          </cell>
          <cell r="BF160">
            <v>0.15165876777251186</v>
          </cell>
          <cell r="BG160">
            <v>0.1595791319596668</v>
          </cell>
          <cell r="BH160">
            <v>0.155773172398087</v>
          </cell>
          <cell r="BI160">
            <v>0.15522875816993464</v>
          </cell>
          <cell r="BK160">
            <v>0.16159559834938103</v>
          </cell>
          <cell r="BL160">
            <v>0.15674521546673612</v>
          </cell>
          <cell r="BM160">
            <v>0.14677194612169067</v>
          </cell>
          <cell r="BN160">
            <v>0.1603019538188277</v>
          </cell>
          <cell r="BO160">
            <v>0</v>
          </cell>
          <cell r="BP160">
            <v>0</v>
          </cell>
          <cell r="BQ160">
            <v>0</v>
          </cell>
        </row>
        <row r="161">
          <cell r="A161" t="str">
            <v>General &amp; admin.</v>
          </cell>
          <cell r="B161">
            <v>5.8466629895201322E-2</v>
          </cell>
          <cell r="C161">
            <v>4.7713717693836977E-2</v>
          </cell>
          <cell r="D161">
            <v>5.2810457516339872E-2</v>
          </cell>
          <cell r="E161">
            <v>6.6157760814249358E-2</v>
          </cell>
          <cell r="F161">
            <v>5.669816564758199E-2</v>
          </cell>
          <cell r="G161">
            <v>7.081498814618678E-2</v>
          </cell>
          <cell r="H161">
            <v>5.9437050488638267E-2</v>
          </cell>
          <cell r="I161">
            <v>4.3237250554323724E-2</v>
          </cell>
          <cell r="J161">
            <v>4.0395218079589498E-2</v>
          </cell>
          <cell r="K161">
            <v>4.1805330179597901E-2</v>
          </cell>
          <cell r="L161">
            <v>4.6246648793565687E-2</v>
          </cell>
          <cell r="M161">
            <v>4.3097564305076157E-2</v>
          </cell>
          <cell r="N161">
            <v>5.4788178100162045E-2</v>
          </cell>
          <cell r="O161">
            <v>4.5455960646346404E-2</v>
          </cell>
          <cell r="P161">
            <v>4.560189000604363E-2</v>
          </cell>
          <cell r="Q161">
            <v>4.4218551461245238E-2</v>
          </cell>
          <cell r="R161">
            <v>4.4883303411131066E-2</v>
          </cell>
          <cell r="S161">
            <v>4.7039291643608185E-2</v>
          </cell>
          <cell r="T161">
            <v>4.5478865703584809E-2</v>
          </cell>
          <cell r="U161">
            <v>6.5720081135902636E-2</v>
          </cell>
          <cell r="V161">
            <v>4.9337272066442922E-2</v>
          </cell>
          <cell r="W161">
            <v>5.4395951929158762E-2</v>
          </cell>
          <cell r="X161">
            <v>4.843304843304843E-2</v>
          </cell>
          <cell r="Y161">
            <v>5.1258992805755396E-2</v>
          </cell>
          <cell r="Z161">
            <v>5.9008654602675056E-2</v>
          </cell>
          <cell r="AA161">
            <v>5.3397004558280878E-2</v>
          </cell>
          <cell r="AB161">
            <v>0.13487972508591065</v>
          </cell>
          <cell r="AC161">
            <v>6.9831918211748403E-2</v>
          </cell>
          <cell r="AD161">
            <v>6.5355696934644297E-2</v>
          </cell>
          <cell r="AE161">
            <v>5.0828729281767959E-2</v>
          </cell>
          <cell r="AF161">
            <v>5.7925967787510593E-2</v>
          </cell>
          <cell r="AG161">
            <v>6.8563092633114511E-2</v>
          </cell>
          <cell r="AH161">
            <v>6.0896130346232182E-2</v>
          </cell>
          <cell r="AI161">
            <v>0.12660834014717906</v>
          </cell>
          <cell r="AJ161">
            <v>7.3999999999999996E-2</v>
          </cell>
          <cell r="AK161">
            <v>6.1583577712609971E-2</v>
          </cell>
          <cell r="AL161">
            <v>6.3607924921793541E-2</v>
          </cell>
          <cell r="AM161">
            <v>6.2655258073419817E-2</v>
          </cell>
          <cell r="AN161">
            <v>8.5625000000000007E-2</v>
          </cell>
          <cell r="AO161">
            <v>6.9691748037526327E-2</v>
          </cell>
          <cell r="AP161">
            <v>9.8644673539518876E-2</v>
          </cell>
          <cell r="AQ161">
            <v>7.5999999999999998E-2</v>
          </cell>
          <cell r="AR161">
            <v>6.4431639601885804E-2</v>
          </cell>
          <cell r="AS161">
            <v>6.4761904761904757E-2</v>
          </cell>
          <cell r="AT161">
            <v>6.4604639560987775E-2</v>
          </cell>
          <cell r="AU161">
            <v>8.3383323335332937E-2</v>
          </cell>
          <cell r="AV161">
            <v>7.0119802677942211E-2</v>
          </cell>
          <cell r="AW161">
            <v>0.10048848569434753</v>
          </cell>
          <cell r="AX161">
            <v>7.624138416092277E-2</v>
          </cell>
          <cell r="AY161">
            <v>6.1692969870875178E-2</v>
          </cell>
          <cell r="AZ161">
            <v>6.1178587494376969E-2</v>
          </cell>
          <cell r="BA161">
            <v>6.1427909133055167E-2</v>
          </cell>
          <cell r="BB161">
            <v>8.3525345622119815E-2</v>
          </cell>
          <cell r="BD161">
            <v>0.10747663551401869</v>
          </cell>
          <cell r="BE161">
            <v>7.5649178590355068E-2</v>
          </cell>
          <cell r="BF161">
            <v>6.540284360189573E-2</v>
          </cell>
          <cell r="BG161">
            <v>6.8391056554142918E-2</v>
          </cell>
          <cell r="BH161">
            <v>6.6955135504440905E-2</v>
          </cell>
          <cell r="BI161">
            <v>8.714596949891068E-2</v>
          </cell>
          <cell r="BK161">
            <v>9.2248968363136175E-2</v>
          </cell>
          <cell r="BL161">
            <v>7.6569457101939853E-2</v>
          </cell>
          <cell r="BM161">
            <v>6.2703204830469109E-2</v>
          </cell>
          <cell r="BN161">
            <v>6.8827708703374776E-2</v>
          </cell>
          <cell r="BO161">
            <v>0</v>
          </cell>
          <cell r="BP161">
            <v>0</v>
          </cell>
          <cell r="BQ161">
            <v>0</v>
          </cell>
        </row>
        <row r="162">
          <cell r="A162" t="str">
            <v>Amortization</v>
          </cell>
          <cell r="B162">
            <v>0</v>
          </cell>
          <cell r="C162">
            <v>0</v>
          </cell>
          <cell r="D162">
            <v>0</v>
          </cell>
          <cell r="E162">
            <v>0</v>
          </cell>
          <cell r="F162">
            <v>0</v>
          </cell>
          <cell r="G162">
            <v>0</v>
          </cell>
          <cell r="H162">
            <v>0</v>
          </cell>
          <cell r="I162">
            <v>8.0376940133037693E-3</v>
          </cell>
          <cell r="J162">
            <v>7.9152792182979412E-3</v>
          </cell>
          <cell r="K162">
            <v>7.9760169421601249E-3</v>
          </cell>
          <cell r="L162">
            <v>9.7184986595174258E-3</v>
          </cell>
          <cell r="M162">
            <v>8.4830047387819581E-3</v>
          </cell>
          <cell r="N162">
            <v>1.1189134964117602E-2</v>
          </cell>
          <cell r="O162">
            <v>9.0289236900277098E-3</v>
          </cell>
          <cell r="P162">
            <v>7.9665952420196699E-3</v>
          </cell>
          <cell r="Q162">
            <v>7.3697585768742061E-3</v>
          </cell>
          <cell r="R162">
            <v>7.6565635230752991E-3</v>
          </cell>
          <cell r="S162">
            <v>6.9175428887659094E-3</v>
          </cell>
          <cell r="T162">
            <v>7.4524191699151575E-3</v>
          </cell>
          <cell r="U162">
            <v>1.2981744421906694E-2</v>
          </cell>
          <cell r="V162">
            <v>8.5064262183522279E-3</v>
          </cell>
          <cell r="W162">
            <v>9.4876660341555973E-3</v>
          </cell>
          <cell r="X162">
            <v>8.2621082621082628E-3</v>
          </cell>
          <cell r="Y162">
            <v>8.8429256594724226E-3</v>
          </cell>
          <cell r="Z162">
            <v>1.1408339889850511E-2</v>
          </cell>
          <cell r="AA162">
            <v>9.5506837421315393E-3</v>
          </cell>
          <cell r="AB162">
            <v>-8.5910652920962198E-4</v>
          </cell>
          <cell r="AC162">
            <v>7.4510483451741463E-3</v>
          </cell>
          <cell r="AD162">
            <v>1.0410641989589358E-2</v>
          </cell>
          <cell r="AE162">
            <v>9.9447513812154689E-3</v>
          </cell>
          <cell r="AF162">
            <v>1.0172365074879909E-2</v>
          </cell>
          <cell r="AG162">
            <v>8.023340627279359E-3</v>
          </cell>
          <cell r="AH162">
            <v>9.5723014256619138E-3</v>
          </cell>
          <cell r="AI162">
            <v>2.7800490596892886E-2</v>
          </cell>
          <cell r="AJ162">
            <v>1.3207239523887167E-2</v>
          </cell>
          <cell r="AK162">
            <v>5.8651026392961877E-4</v>
          </cell>
          <cell r="AL162">
            <v>3.336809176225235E-3</v>
          </cell>
          <cell r="AM162">
            <v>2.0425062103229369E-3</v>
          </cell>
          <cell r="AN162">
            <v>4.0000000000000001E-3</v>
          </cell>
          <cell r="AO162">
            <v>2.6421596783457782E-3</v>
          </cell>
          <cell r="AP162">
            <v>1.3883161512027491E-2</v>
          </cell>
          <cell r="AQ162">
            <v>5.0913447139862237E-3</v>
          </cell>
          <cell r="AR162">
            <v>0</v>
          </cell>
          <cell r="AS162">
            <v>0</v>
          </cell>
          <cell r="AT162">
            <v>0</v>
          </cell>
          <cell r="AU162">
            <v>0</v>
          </cell>
          <cell r="AV162">
            <v>0</v>
          </cell>
          <cell r="AW162">
            <v>1.542798325191905E-3</v>
          </cell>
          <cell r="AX162">
            <v>3.1099029399352937E-4</v>
          </cell>
          <cell r="AY162">
            <v>4.7824007651841227E-3</v>
          </cell>
          <cell r="AZ162">
            <v>0</v>
          </cell>
          <cell r="BA162">
            <v>2.3180343069077423E-3</v>
          </cell>
          <cell r="BB162">
            <v>0</v>
          </cell>
          <cell r="BD162">
            <v>-5.3404539385847796E-3</v>
          </cell>
          <cell r="BE162">
            <v>2.6497085320614734E-4</v>
          </cell>
          <cell r="BF162">
            <v>4.7393364928909954E-4</v>
          </cell>
          <cell r="BG162">
            <v>0</v>
          </cell>
          <cell r="BH162">
            <v>2.2773855613755409E-4</v>
          </cell>
          <cell r="BI162">
            <v>0</v>
          </cell>
          <cell r="BK162">
            <v>6.8775790921595599E-4</v>
          </cell>
          <cell r="BL162">
            <v>2.6038276266111181E-4</v>
          </cell>
          <cell r="BM162">
            <v>0</v>
          </cell>
          <cell r="BN162">
            <v>0</v>
          </cell>
          <cell r="BO162">
            <v>0</v>
          </cell>
          <cell r="BP162">
            <v>0</v>
          </cell>
          <cell r="BQ162">
            <v>0</v>
          </cell>
        </row>
        <row r="163">
          <cell r="A163" t="str">
            <v>R&amp;D</v>
          </cell>
          <cell r="B163">
            <v>9.3767236624379482E-3</v>
          </cell>
          <cell r="C163">
            <v>7.9522862823061622E-3</v>
          </cell>
          <cell r="D163">
            <v>8.6274509803921564E-3</v>
          </cell>
          <cell r="E163">
            <v>1.1450381679389313E-2</v>
          </cell>
          <cell r="F163">
            <v>9.4496942745969977E-3</v>
          </cell>
          <cell r="G163">
            <v>1.5394562640475385E-2</v>
          </cell>
          <cell r="H163">
            <v>1.0603091921339992E-2</v>
          </cell>
          <cell r="I163">
            <v>8.869179600886918E-3</v>
          </cell>
          <cell r="J163">
            <v>9.279982531797586E-3</v>
          </cell>
          <cell r="K163">
            <v>9.0761572100442802E-3</v>
          </cell>
          <cell r="L163">
            <v>1.0053619302949061E-2</v>
          </cell>
          <cell r="M163">
            <v>9.3605569531387128E-3</v>
          </cell>
          <cell r="N163">
            <v>1.3889960645111504E-2</v>
          </cell>
          <cell r="O163">
            <v>1.0274292474859118E-2</v>
          </cell>
          <cell r="P163">
            <v>8.7907257842975671E-3</v>
          </cell>
          <cell r="Q163">
            <v>7.6238881829733167E-3</v>
          </cell>
          <cell r="R163">
            <v>8.1846023867356652E-3</v>
          </cell>
          <cell r="S163">
            <v>9.6845600442722734E-3</v>
          </cell>
          <cell r="T163">
            <v>8.5989451960559512E-3</v>
          </cell>
          <cell r="U163">
            <v>1.5415821501014199E-2</v>
          </cell>
          <cell r="V163">
            <v>9.8983868722644103E-3</v>
          </cell>
          <cell r="W163">
            <v>8.8551549652118918E-3</v>
          </cell>
          <cell r="X163">
            <v>8.5470085470085479E-3</v>
          </cell>
          <cell r="Y163">
            <v>8.6930455635491604E-3</v>
          </cell>
          <cell r="Z163">
            <v>1.1801730920535013E-2</v>
          </cell>
          <cell r="AA163">
            <v>9.5506837421315393E-3</v>
          </cell>
          <cell r="AB163">
            <v>1.7182130584192441E-2</v>
          </cell>
          <cell r="AC163">
            <v>1.1089932420724312E-2</v>
          </cell>
          <cell r="AD163">
            <v>1.0410641989589358E-2</v>
          </cell>
          <cell r="AE163">
            <v>9.3922651933701657E-3</v>
          </cell>
          <cell r="AF163">
            <v>9.8897993783554679E-3</v>
          </cell>
          <cell r="AG163">
            <v>1.2399708242159009E-2</v>
          </cell>
          <cell r="AH163">
            <v>1.0590631364562118E-2</v>
          </cell>
          <cell r="AI163">
            <v>2.1981193785772686E-2</v>
          </cell>
          <cell r="AJ163">
            <v>1.2862057720528289E-2</v>
          </cell>
          <cell r="AK163">
            <v>1.1143695014662757E-2</v>
          </cell>
          <cell r="AL163">
            <v>1.0427528675703858E-2</v>
          </cell>
          <cell r="AM163">
            <v>1.076455975710737E-2</v>
          </cell>
          <cell r="AN163">
            <v>1.4375000000000001E-2</v>
          </cell>
          <cell r="AO163">
            <v>1.1870572467930308E-2</v>
          </cell>
          <cell r="AP163">
            <v>1.7869415807560136E-2</v>
          </cell>
          <cell r="AQ163">
            <v>1.3177598083258461E-2</v>
          </cell>
          <cell r="AR163">
            <v>1.1000523834468309E-2</v>
          </cell>
          <cell r="AS163">
            <v>0.01</v>
          </cell>
          <cell r="AT163">
            <v>1.0476428036916938E-2</v>
          </cell>
          <cell r="AU163">
            <v>1.259748050389922E-2</v>
          </cell>
          <cell r="AV163">
            <v>1.1099365750528542E-2</v>
          </cell>
          <cell r="AW163">
            <v>2.09351011863224E-2</v>
          </cell>
          <cell r="AX163">
            <v>1.3082008721339147E-2</v>
          </cell>
          <cell r="AY163">
            <v>9.5648015303682454E-3</v>
          </cell>
          <cell r="AZ163">
            <v>1.1246063877642825E-2</v>
          </cell>
          <cell r="BA163">
            <v>1.0431154381084841E-2</v>
          </cell>
          <cell r="BB163">
            <v>1.3824884792626729E-2</v>
          </cell>
          <cell r="BD163">
            <v>1.7356475300400534E-2</v>
          </cell>
          <cell r="BE163">
            <v>1.2586115527291998E-2</v>
          </cell>
          <cell r="BF163">
            <v>1.1374407582938388E-2</v>
          </cell>
          <cell r="BG163">
            <v>1.052170100832968E-2</v>
          </cell>
          <cell r="BH163">
            <v>1.0931450694602596E-2</v>
          </cell>
          <cell r="BI163">
            <v>1.3616557734204794E-2</v>
          </cell>
          <cell r="BK163">
            <v>1.6568088033012383E-2</v>
          </cell>
          <cell r="BL163">
            <v>1.2640281213383675E-2</v>
          </cell>
          <cell r="BM163">
            <v>1.2076172782164421E-2</v>
          </cell>
          <cell r="BN163">
            <v>1.1101243339253997E-2</v>
          </cell>
          <cell r="BO163">
            <v>0</v>
          </cell>
          <cell r="BP163">
            <v>0</v>
          </cell>
          <cell r="BQ163">
            <v>0</v>
          </cell>
        </row>
        <row r="164">
          <cell r="A164" t="str">
            <v>Other</v>
          </cell>
          <cell r="B164">
            <v>0</v>
          </cell>
          <cell r="C164">
            <v>0</v>
          </cell>
          <cell r="D164">
            <v>0</v>
          </cell>
          <cell r="E164">
            <v>0</v>
          </cell>
          <cell r="F164">
            <v>0</v>
          </cell>
          <cell r="G164">
            <v>0</v>
          </cell>
          <cell r="H164">
            <v>0</v>
          </cell>
          <cell r="I164">
            <v>-8.3148558758314856E-4</v>
          </cell>
          <cell r="J164">
            <v>-6.2776352420983676E-3</v>
          </cell>
          <cell r="K164">
            <v>-3.5754558706235042E-3</v>
          </cell>
          <cell r="L164">
            <v>6.3672922252010723E-3</v>
          </cell>
          <cell r="M164">
            <v>-6.8254061116636441E-4</v>
          </cell>
          <cell r="N164">
            <v>7.3308125626977381E-3</v>
          </cell>
          <cell r="O164">
            <v>9.3402658862355627E-4</v>
          </cell>
          <cell r="P164">
            <v>3.5712323498708867E-3</v>
          </cell>
          <cell r="Q164">
            <v>7.3697585768742061E-3</v>
          </cell>
          <cell r="R164">
            <v>5.5444080684338374E-3</v>
          </cell>
          <cell r="S164">
            <v>3.4587714443829547E-3</v>
          </cell>
          <cell r="T164">
            <v>4.9682794466101047E-3</v>
          </cell>
          <cell r="U164">
            <v>6.4908722109533468E-3</v>
          </cell>
          <cell r="V164">
            <v>5.2585180258904679E-3</v>
          </cell>
          <cell r="W164">
            <v>8.8551549652118918E-3</v>
          </cell>
          <cell r="X164">
            <v>9.9715099715099714E-3</v>
          </cell>
          <cell r="Y164">
            <v>9.4424460431654679E-3</v>
          </cell>
          <cell r="Z164">
            <v>7.4744295830055079E-3</v>
          </cell>
          <cell r="AA164">
            <v>8.8995007597134791E-3</v>
          </cell>
          <cell r="AB164">
            <v>4.0378006872852236E-2</v>
          </cell>
          <cell r="AC164">
            <v>1.5248657078495927E-2</v>
          </cell>
          <cell r="AD164">
            <v>9.8322729901677269E-3</v>
          </cell>
          <cell r="AE164">
            <v>7.1823204419889505E-3</v>
          </cell>
          <cell r="AF164">
            <v>8.4769708957332587E-3</v>
          </cell>
          <cell r="AG164">
            <v>2.2611232676878191E-2</v>
          </cell>
          <cell r="AH164">
            <v>1.2423625254582484E-2</v>
          </cell>
          <cell r="AI164">
            <v>3.188879803761243E-2</v>
          </cell>
          <cell r="AJ164">
            <v>1.6305233980107615E-2</v>
          </cell>
          <cell r="AK164">
            <v>3.5190615835777126E-3</v>
          </cell>
          <cell r="AL164">
            <v>3.1282586027111575E-3</v>
          </cell>
          <cell r="AM164">
            <v>3.3121722329561135E-3</v>
          </cell>
          <cell r="AN164">
            <v>6.875E-3</v>
          </cell>
          <cell r="AO164">
            <v>4.4035994639096306E-3</v>
          </cell>
          <cell r="AP164">
            <v>3.4364261168384879E-3</v>
          </cell>
          <cell r="AQ164">
            <v>4.1928721174004195E-3</v>
          </cell>
          <cell r="AR164">
            <v>5.2383446830801469E-3</v>
          </cell>
          <cell r="AS164">
            <v>9.5238095238095238E-4</v>
          </cell>
          <cell r="AT164">
            <v>2.9932651534048389E-3</v>
          </cell>
          <cell r="AU164">
            <v>7.1985602879424118E-3</v>
          </cell>
          <cell r="AV164">
            <v>4.2283298097251587E-3</v>
          </cell>
          <cell r="AW164">
            <v>-7.6762037683182132E-3</v>
          </cell>
          <cell r="AX164">
            <v>1.8286678857785904E-3</v>
          </cell>
          <cell r="AY164">
            <v>9.5648015303682454E-4</v>
          </cell>
          <cell r="AZ164">
            <v>-8.9968511021142603E-4</v>
          </cell>
          <cell r="BA164">
            <v>0</v>
          </cell>
          <cell r="BB164">
            <v>-1.152073732718894E-3</v>
          </cell>
          <cell r="BD164">
            <v>-1.3351134846461949E-3</v>
          </cell>
          <cell r="BE164">
            <v>-5.2994170641229468E-4</v>
          </cell>
          <cell r="BF164">
            <v>-4.7393364928909954E-4</v>
          </cell>
          <cell r="BG164">
            <v>0</v>
          </cell>
          <cell r="BH164">
            <v>-2.2773855613755409E-4</v>
          </cell>
          <cell r="BI164">
            <v>1.0893246187363835E-3</v>
          </cell>
          <cell r="BK164">
            <v>-1.3287683473013252E-2</v>
          </cell>
          <cell r="BL164">
            <v>-2.3851440918840343E-3</v>
          </cell>
          <cell r="BM164">
            <v>9.2893636785880169E-4</v>
          </cell>
          <cell r="BN164">
            <v>1.3321492007104796E-3</v>
          </cell>
          <cell r="BO164">
            <v>0</v>
          </cell>
          <cell r="BP164">
            <v>0</v>
          </cell>
          <cell r="BQ164">
            <v>0</v>
          </cell>
        </row>
        <row r="165">
          <cell r="A165" t="str">
            <v>Total SG&amp;A</v>
          </cell>
          <cell r="W165">
            <v>0.22903225806451608</v>
          </cell>
          <cell r="X165">
            <v>0.21504273504273497</v>
          </cell>
          <cell r="Y165">
            <v>0.22167266187050355</v>
          </cell>
          <cell r="Z165">
            <v>0.24689221085759244</v>
          </cell>
          <cell r="AA165">
            <v>0.2283047536357716</v>
          </cell>
          <cell r="AB165">
            <v>0.30893470790378008</v>
          </cell>
          <cell r="AC165">
            <v>0.25784092878184023</v>
          </cell>
          <cell r="AD165">
            <v>0.24696356275303644</v>
          </cell>
          <cell r="AE165">
            <v>0.24806629834254143</v>
          </cell>
          <cell r="AF165">
            <v>0.44193274936422716</v>
          </cell>
          <cell r="AG165">
            <v>0.29108679795769504</v>
          </cell>
          <cell r="AH165">
            <v>0.43973116089613035</v>
          </cell>
          <cell r="AI165">
            <v>0.35234668847097306</v>
          </cell>
          <cell r="AJ165">
            <v>0.27816729170063592</v>
          </cell>
          <cell r="AK165">
            <v>0.23695014662756597</v>
          </cell>
          <cell r="AL165">
            <v>0.24869655891553702</v>
          </cell>
          <cell r="AM165">
            <v>0.44051890698316315</v>
          </cell>
          <cell r="AN165">
            <v>0.27812500000000001</v>
          </cell>
          <cell r="AO165">
            <v>0.4357648860807965</v>
          </cell>
          <cell r="AP165">
            <v>0.30378006872852231</v>
          </cell>
          <cell r="AQ165">
            <v>0.26474992512728363</v>
          </cell>
          <cell r="AR165">
            <v>0.23415400733368255</v>
          </cell>
          <cell r="AS165">
            <v>0.23761904761904762</v>
          </cell>
          <cell r="AT165">
            <v>0.23596906959341482</v>
          </cell>
          <cell r="AU165">
            <v>0.26814637072585484</v>
          </cell>
          <cell r="AV165">
            <v>0.24541930937279774</v>
          </cell>
          <cell r="AW165">
            <v>0.28401953942777391</v>
          </cell>
          <cell r="AX165">
            <v>0.25320016880011254</v>
          </cell>
          <cell r="AY165">
            <v>0.22716403634624582</v>
          </cell>
          <cell r="AZ165">
            <v>0.23571749887539362</v>
          </cell>
          <cell r="BA165">
            <v>0.23157162726008346</v>
          </cell>
          <cell r="BB165">
            <v>0.26094470046082952</v>
          </cell>
          <cell r="BD165">
            <v>0.2923898531375167</v>
          </cell>
          <cell r="BE165">
            <v>0.25039745627980919</v>
          </cell>
          <cell r="BF165">
            <v>0.23412322274881522</v>
          </cell>
          <cell r="BG165">
            <v>0.2384918895221394</v>
          </cell>
          <cell r="BH165">
            <v>0.23639262127078114</v>
          </cell>
          <cell r="BI165">
            <v>0.2570806100217865</v>
          </cell>
          <cell r="BK165">
            <v>0.27771108089413271</v>
          </cell>
          <cell r="BL165">
            <v>0.249159212553062</v>
          </cell>
          <cell r="BM165">
            <v>0.222480260102183</v>
          </cell>
          <cell r="BN165">
            <v>0.24156305506216696</v>
          </cell>
          <cell r="BO165">
            <v>0.50257118589986083</v>
          </cell>
          <cell r="BP165">
            <v>0.22306904859802476</v>
          </cell>
          <cell r="BQ165">
            <v>0.24067442240343409</v>
          </cell>
        </row>
        <row r="166">
          <cell r="A166" t="str">
            <v>Operating profit</v>
          </cell>
          <cell r="B166">
            <v>0.23552123552123552</v>
          </cell>
          <cell r="C166">
            <v>0.2415506958250497</v>
          </cell>
          <cell r="D166">
            <v>0.2473202614379085</v>
          </cell>
          <cell r="E166">
            <v>0.17684478371501272</v>
          </cell>
          <cell r="F166">
            <v>0.23012784880489159</v>
          </cell>
          <cell r="G166">
            <v>0.23504418239477812</v>
          </cell>
          <cell r="H166">
            <v>0.23106676065088047</v>
          </cell>
          <cell r="I166">
            <v>0.24778270509977826</v>
          </cell>
          <cell r="J166">
            <v>0.2024673835908074</v>
          </cell>
          <cell r="K166">
            <v>0.22495118127561267</v>
          </cell>
          <cell r="L166">
            <v>0.19034852546916889</v>
          </cell>
          <cell r="M166">
            <v>0.21488328555549049</v>
          </cell>
          <cell r="N166">
            <v>0.17462767188826303</v>
          </cell>
          <cell r="O166">
            <v>0.20676235250163447</v>
          </cell>
          <cell r="P166">
            <v>0.22570188451184006</v>
          </cell>
          <cell r="Q166">
            <v>0.24040660736975858</v>
          </cell>
          <cell r="R166">
            <v>0.23334037385151543</v>
          </cell>
          <cell r="S166">
            <v>0.16906474820143882</v>
          </cell>
          <cell r="T166">
            <v>0.21558511044867382</v>
          </cell>
          <cell r="U166">
            <v>0.77655172413793072</v>
          </cell>
          <cell r="V166">
            <v>0.3225172835114527</v>
          </cell>
          <cell r="W166">
            <v>0.22928526249209361</v>
          </cell>
          <cell r="X166">
            <v>0.26216524216524217</v>
          </cell>
          <cell r="Y166">
            <v>0.24658273381294965</v>
          </cell>
          <cell r="Z166">
            <v>0.18630999213217939</v>
          </cell>
          <cell r="AA166">
            <v>0.23028000868243978</v>
          </cell>
          <cell r="AB166">
            <v>0.12749140893470789</v>
          </cell>
          <cell r="AC166">
            <v>0.20031190434933288</v>
          </cell>
          <cell r="AD166">
            <v>0.19144013880855987</v>
          </cell>
          <cell r="AE166">
            <v>0.19723756906077347</v>
          </cell>
          <cell r="AF166">
            <v>0</v>
          </cell>
          <cell r="AG166">
            <v>0.14296134208606856</v>
          </cell>
          <cell r="AH166">
            <v>0</v>
          </cell>
          <cell r="AI166">
            <v>9.8937040065412915E-2</v>
          </cell>
          <cell r="AJ166">
            <v>0.16370454916028046</v>
          </cell>
          <cell r="AK166">
            <v>0.19354838709677419</v>
          </cell>
          <cell r="AL166">
            <v>0.20072992700729927</v>
          </cell>
          <cell r="AM166">
            <v>0</v>
          </cell>
          <cell r="AN166">
            <v>0.14687500000000001</v>
          </cell>
          <cell r="AO166">
            <v>0</v>
          </cell>
          <cell r="AP166">
            <v>0.10652920962199312</v>
          </cell>
          <cell r="AQ166">
            <v>0.16546870320455226</v>
          </cell>
          <cell r="AR166">
            <v>0.18543740178103718</v>
          </cell>
          <cell r="AS166">
            <v>0.18523809523809523</v>
          </cell>
          <cell r="AT166">
            <v>0.1853330007483163</v>
          </cell>
          <cell r="AU166">
            <v>0.13497300539892021</v>
          </cell>
          <cell r="AV166">
            <v>0.17054263565891473</v>
          </cell>
          <cell r="AW166">
            <v>0.10746685275645498</v>
          </cell>
          <cell r="AX166">
            <v>0.1578281052187368</v>
          </cell>
          <cell r="AY166">
            <v>0.17742706838833094</v>
          </cell>
          <cell r="AZ166">
            <v>0.16959064327485379</v>
          </cell>
          <cell r="BA166">
            <v>0.17338896615669913</v>
          </cell>
          <cell r="BB166">
            <v>0.14285714285714285</v>
          </cell>
          <cell r="BD166">
            <v>0.11415220293724966</v>
          </cell>
          <cell r="BE166">
            <v>0.15461049284578696</v>
          </cell>
          <cell r="BF166">
            <v>0.18388625592417063</v>
          </cell>
          <cell r="BG166">
            <v>0.17667689609820253</v>
          </cell>
          <cell r="BH166">
            <v>0.18014119790480529</v>
          </cell>
          <cell r="BI166">
            <v>0.14978213507625274</v>
          </cell>
          <cell r="BK166">
            <v>9.5598349381017883E-2</v>
          </cell>
          <cell r="BL166">
            <v>0.15688061450331989</v>
          </cell>
          <cell r="BM166">
            <v>0.20343706456107757</v>
          </cell>
          <cell r="BN166">
            <v>0.18738898756660746</v>
          </cell>
          <cell r="BO166">
            <v>0.25569411212449061</v>
          </cell>
          <cell r="BP166">
            <v>8.9581365076870437E-2</v>
          </cell>
          <cell r="BQ166">
            <v>0.16158769905005457</v>
          </cell>
        </row>
        <row r="168">
          <cell r="A168" t="str">
            <v>Interest expense, net</v>
          </cell>
          <cell r="B168">
            <v>2.3717595146166576E-2</v>
          </cell>
          <cell r="C168">
            <v>2.1371769383697812E-2</v>
          </cell>
          <cell r="D168">
            <v>2.2483660130718956E-2</v>
          </cell>
          <cell r="E168">
            <v>2.8435114503816795E-2</v>
          </cell>
          <cell r="F168">
            <v>2.4217157680192697E-2</v>
          </cell>
          <cell r="G168">
            <v>3.394501062224823E-2</v>
          </cell>
          <cell r="H168">
            <v>2.6104513631693388E-2</v>
          </cell>
          <cell r="I168">
            <v>2.4390243902439025E-2</v>
          </cell>
          <cell r="J168">
            <v>2.2927015666794039E-2</v>
          </cell>
          <cell r="K168">
            <v>2.3653015759509337E-2</v>
          </cell>
          <cell r="L168">
            <v>2.8820375335120642E-2</v>
          </cell>
          <cell r="M168">
            <v>2.5156496811560288E-2</v>
          </cell>
          <cell r="N168">
            <v>3.3644571340381201E-2</v>
          </cell>
          <cell r="O168">
            <v>2.6868831532737635E-2</v>
          </cell>
          <cell r="P168">
            <v>2.5273336629855508E-2</v>
          </cell>
          <cell r="Q168">
            <v>2.5412960609911054E-2</v>
          </cell>
          <cell r="R168">
            <v>2.5345865455697544E-2</v>
          </cell>
          <cell r="S168">
            <v>3.0437188710570003E-2</v>
          </cell>
          <cell r="T168">
            <v>2.6752273943285179E-2</v>
          </cell>
          <cell r="U168">
            <v>3.8945233265720081E-2</v>
          </cell>
          <cell r="V168">
            <v>2.9076511437276707E-2</v>
          </cell>
          <cell r="W168">
            <v>3.2890575585072739E-2</v>
          </cell>
          <cell r="X168">
            <v>2.792022792022792E-2</v>
          </cell>
          <cell r="Y168">
            <v>3.02757793764988E-2</v>
          </cell>
          <cell r="Z168">
            <v>4.0912667191188044E-2</v>
          </cell>
          <cell r="AA168">
            <v>3.3210332103321034E-2</v>
          </cell>
          <cell r="AB168">
            <v>4.6391752577319589E-2</v>
          </cell>
          <cell r="AC168">
            <v>3.5869000173280194E-2</v>
          </cell>
          <cell r="AD168">
            <v>3.0653556969346442E-2</v>
          </cell>
          <cell r="AE168">
            <v>2.4861878453038673E-2</v>
          </cell>
          <cell r="AF168">
            <v>2.769143825939531E-2</v>
          </cell>
          <cell r="AG168">
            <v>3.2093362509117436E-2</v>
          </cell>
          <cell r="AH168">
            <v>2.8920570264765785E-2</v>
          </cell>
          <cell r="AI168">
            <v>3.5977105478331974E-2</v>
          </cell>
          <cell r="AJ168">
            <v>3.0327735203000163E-2</v>
          </cell>
          <cell r="AK168">
            <v>2.6392961876832845E-2</v>
          </cell>
          <cell r="AL168">
            <v>2.3983315954118872E-2</v>
          </cell>
          <cell r="AM168">
            <v>2.5117306099917195E-2</v>
          </cell>
          <cell r="AN168">
            <v>2.8125000000000001E-2</v>
          </cell>
          <cell r="AO168">
            <v>2.6038675090943902E-2</v>
          </cell>
          <cell r="AP168">
            <v>3.0927835051546393E-2</v>
          </cell>
          <cell r="AQ168">
            <v>2.7103923330338425E-2</v>
          </cell>
          <cell r="AR168">
            <v>2.2524882137244632E-2</v>
          </cell>
          <cell r="AS168">
            <v>0.02</v>
          </cell>
          <cell r="AT168">
            <v>2.1202294836617612E-2</v>
          </cell>
          <cell r="AU168">
            <v>2.3755248950209959E-2</v>
          </cell>
          <cell r="AV168">
            <v>2.1952078928823116E-2</v>
          </cell>
          <cell r="AW168">
            <v>3.0286113049546409E-2</v>
          </cell>
          <cell r="AX168">
            <v>2.3632015754677171E-2</v>
          </cell>
          <cell r="AY168">
            <v>2.1042563366810138E-2</v>
          </cell>
          <cell r="AZ168">
            <v>2.0242914979757085E-2</v>
          </cell>
          <cell r="BB168">
            <v>2.5921658986175114E-2</v>
          </cell>
          <cell r="BD168">
            <v>3.0707610146862484E-2</v>
          </cell>
          <cell r="BE168">
            <v>2.3847376788553261E-2</v>
          </cell>
          <cell r="BF168">
            <v>2.2274881516587679E-2</v>
          </cell>
          <cell r="BG168">
            <v>1.8851380973257344E-2</v>
          </cell>
          <cell r="BI168">
            <v>2.2331154684095862E-2</v>
          </cell>
          <cell r="BK168">
            <v>2.8198074277854195E-2</v>
          </cell>
          <cell r="BL168">
            <v>2.2392917588855619E-2</v>
          </cell>
          <cell r="BM168">
            <v>1.9043195541105434E-2</v>
          </cell>
          <cell r="BN168">
            <v>1.7317939609236235E-2</v>
          </cell>
          <cell r="BO168">
            <v>3.0369798758081257E-2</v>
          </cell>
          <cell r="BP168">
            <v>3.0125806094628782E-2</v>
          </cell>
          <cell r="BQ168">
            <v>2.0082100235896908E-2</v>
          </cell>
        </row>
        <row r="169">
          <cell r="A169" t="str">
            <v>Pretax income</v>
          </cell>
          <cell r="B169">
            <v>0.21180364037506894</v>
          </cell>
          <cell r="C169">
            <v>0.2201789264413519</v>
          </cell>
          <cell r="D169">
            <v>0.22483660130718955</v>
          </cell>
          <cell r="E169">
            <v>0.14840966921119594</v>
          </cell>
          <cell r="F169">
            <v>0.2059106911246989</v>
          </cell>
          <cell r="G169">
            <v>0.20109917177252987</v>
          </cell>
          <cell r="H169">
            <v>0.20496224701918708</v>
          </cell>
          <cell r="I169">
            <v>0.22339246119733924</v>
          </cell>
          <cell r="J169">
            <v>0.17954036792401337</v>
          </cell>
          <cell r="K169">
            <v>0.20129816551610333</v>
          </cell>
          <cell r="L169">
            <v>0.16152815013404825</v>
          </cell>
          <cell r="M169">
            <v>0.1897267887439302</v>
          </cell>
          <cell r="N169">
            <v>0.14098310054788182</v>
          </cell>
          <cell r="O169">
            <v>0.17989352096889685</v>
          </cell>
          <cell r="P169">
            <v>0.20042854788198455</v>
          </cell>
          <cell r="Q169">
            <v>0.21499364675984753</v>
          </cell>
          <cell r="R169">
            <v>0.2079945083958179</v>
          </cell>
          <cell r="S169">
            <v>0.1386275594908688</v>
          </cell>
          <cell r="T169">
            <v>0.18883283650538865</v>
          </cell>
          <cell r="U169">
            <v>0.73760649087221064</v>
          </cell>
          <cell r="V169">
            <v>0.29344077207417602</v>
          </cell>
          <cell r="W169">
            <v>0.19639468690702086</v>
          </cell>
          <cell r="X169">
            <v>0.23424501424501426</v>
          </cell>
          <cell r="Y169">
            <v>0.21630695443645084</v>
          </cell>
          <cell r="Z169">
            <v>0.14539732494099136</v>
          </cell>
          <cell r="AA169">
            <v>0.19706967657911875</v>
          </cell>
          <cell r="AB169">
            <v>8.1099656357388292E-2</v>
          </cell>
          <cell r="AC169">
            <v>0.16444290417605267</v>
          </cell>
          <cell r="AD169">
            <v>0.1607865818392134</v>
          </cell>
          <cell r="AE169">
            <v>0.17237569060773481</v>
          </cell>
          <cell r="AF169">
            <v>-2.769143825939531E-2</v>
          </cell>
          <cell r="AG169">
            <v>0.11086797957695113</v>
          </cell>
          <cell r="AH169">
            <v>-2.8920570264765785E-2</v>
          </cell>
          <cell r="AI169">
            <v>6.2959934587080948E-2</v>
          </cell>
          <cell r="AJ169">
            <v>0.13337681395728029</v>
          </cell>
          <cell r="AK169">
            <v>0.16715542521994134</v>
          </cell>
          <cell r="AL169">
            <v>0.1767466110531804</v>
          </cell>
          <cell r="AM169">
            <v>-2.5117306099917195E-2</v>
          </cell>
          <cell r="AN169">
            <v>0.11874999999999999</v>
          </cell>
          <cell r="AO169">
            <v>-2.6038675090943902E-2</v>
          </cell>
          <cell r="AP169">
            <v>7.560137457044673E-2</v>
          </cell>
          <cell r="AQ169">
            <v>0.13836477987421383</v>
          </cell>
          <cell r="AR169">
            <v>0.16291251964379255</v>
          </cell>
          <cell r="AS169">
            <v>0.16523809523809524</v>
          </cell>
          <cell r="AT169">
            <v>0.16413070591169868</v>
          </cell>
          <cell r="AU169">
            <v>0.11121775644871026</v>
          </cell>
          <cell r="AV169">
            <v>0.14859055673009161</v>
          </cell>
          <cell r="AW169">
            <v>7.7180739706908585E-2</v>
          </cell>
          <cell r="AX169">
            <v>0.13419608946405964</v>
          </cell>
          <cell r="AY169">
            <v>0.15638450502152079</v>
          </cell>
          <cell r="AZ169">
            <v>0.14934772829509671</v>
          </cell>
          <cell r="BA169">
            <v>0.15275846082522021</v>
          </cell>
          <cell r="BB169">
            <v>0.11693548387096774</v>
          </cell>
          <cell r="BD169">
            <v>8.3444592790387184E-2</v>
          </cell>
          <cell r="BE169">
            <v>0.1307631160572337</v>
          </cell>
          <cell r="BF169">
            <v>0.16161137440758294</v>
          </cell>
          <cell r="BG169">
            <v>0.15782551512494519</v>
          </cell>
          <cell r="BH169">
            <v>0.15964472785242542</v>
          </cell>
          <cell r="BI169">
            <v>0.12745098039215685</v>
          </cell>
          <cell r="BK169">
            <v>6.7400275103163682E-2</v>
          </cell>
          <cell r="BL169">
            <v>0.13448769691446427</v>
          </cell>
          <cell r="BM169">
            <v>0.18439386901997212</v>
          </cell>
          <cell r="BN169">
            <v>0.17007104795737121</v>
          </cell>
          <cell r="BO169">
            <v>0.22532431336640935</v>
          </cell>
          <cell r="BP169">
            <v>5.9455558982241648E-2</v>
          </cell>
          <cell r="BQ169">
            <v>0.14150559881415767</v>
          </cell>
        </row>
        <row r="171">
          <cell r="A171" t="str">
            <v>Tax rate</v>
          </cell>
          <cell r="B171">
            <v>0.34375</v>
          </cell>
          <cell r="C171">
            <v>0.34311512415349887</v>
          </cell>
          <cell r="D171">
            <v>0.33023255813953489</v>
          </cell>
          <cell r="E171">
            <v>0.32576082297471065</v>
          </cell>
          <cell r="F171">
            <v>0.32394492936200847</v>
          </cell>
          <cell r="G171">
            <v>0.33912577508994884</v>
          </cell>
          <cell r="H171">
            <v>0.32685834195532115</v>
          </cell>
          <cell r="I171">
            <v>0.34491315136476425</v>
          </cell>
          <cell r="J171">
            <v>0.33444816053511695</v>
          </cell>
          <cell r="K171">
            <v>0.34021041125836859</v>
          </cell>
          <cell r="L171">
            <v>0.32572614107883818</v>
          </cell>
          <cell r="M171">
            <v>0.33662246890739039</v>
          </cell>
          <cell r="N171">
            <v>0.33716475095785425</v>
          </cell>
          <cell r="O171">
            <v>0.33670820353063363</v>
          </cell>
          <cell r="P171">
            <v>0.35499999999999998</v>
          </cell>
          <cell r="Q171">
            <v>0.33569739952718675</v>
          </cell>
          <cell r="R171">
            <v>0.34463569433866476</v>
          </cell>
          <cell r="S171">
            <v>0.30439121756487031</v>
          </cell>
          <cell r="T171">
            <v>0.33647439789516298</v>
          </cell>
          <cell r="U171">
            <v>3.299967000329998E-2</v>
          </cell>
          <cell r="V171">
            <v>0.19106308965371849</v>
          </cell>
          <cell r="W171">
            <v>0.34460547504025762</v>
          </cell>
          <cell r="X171">
            <v>0.34054974458769155</v>
          </cell>
          <cell r="Y171">
            <v>0.34229490022172948</v>
          </cell>
          <cell r="Z171">
            <v>0.34090909090909088</v>
          </cell>
          <cell r="AA171">
            <v>0.34144729595770457</v>
          </cell>
          <cell r="AB171">
            <v>0.34004237288135625</v>
          </cell>
          <cell r="AC171">
            <v>0.36048472075869337</v>
          </cell>
          <cell r="AD171">
            <v>0.33812949640287771</v>
          </cell>
          <cell r="AE171">
            <v>0.33333333333333331</v>
          </cell>
          <cell r="AF171">
            <v>-2.0204081632653059</v>
          </cell>
          <cell r="AG171">
            <v>0.34210526315789475</v>
          </cell>
          <cell r="AH171">
            <v>-1.7605633802816902</v>
          </cell>
          <cell r="AI171">
            <v>0.35064935064935066</v>
          </cell>
          <cell r="AJ171">
            <v>0.34107579462102688</v>
          </cell>
          <cell r="AK171">
            <v>0.32631578947368423</v>
          </cell>
          <cell r="AL171">
            <v>0.31858407079646017</v>
          </cell>
          <cell r="AM171">
            <v>-2.2087912087912089</v>
          </cell>
          <cell r="AN171">
            <v>0.32200000000000001</v>
          </cell>
          <cell r="AO171">
            <v>-1.9277941176470588</v>
          </cell>
          <cell r="AP171">
            <v>0.32134545454545466</v>
          </cell>
          <cell r="AQ171">
            <v>0.32200000000000001</v>
          </cell>
          <cell r="AR171">
            <v>0.32154340836012862</v>
          </cell>
          <cell r="AS171">
            <v>0.32276657060518732</v>
          </cell>
          <cell r="AT171">
            <v>0.32218844984802431</v>
          </cell>
          <cell r="AU171">
            <v>0.29665587918015102</v>
          </cell>
          <cell r="AV171">
            <v>0.31657576476167892</v>
          </cell>
          <cell r="AW171">
            <v>0.32730560578661838</v>
          </cell>
          <cell r="AX171">
            <v>0.31781970649895175</v>
          </cell>
          <cell r="AY171">
            <v>0.3149847094801223</v>
          </cell>
          <cell r="AZ171">
            <v>0.3173934544146747</v>
          </cell>
          <cell r="BB171">
            <v>0.31921182266009851</v>
          </cell>
          <cell r="BD171">
            <v>0.28560000000000002</v>
          </cell>
          <cell r="BE171">
            <v>0.31389698736637511</v>
          </cell>
          <cell r="BF171">
            <v>0.29032258064516131</v>
          </cell>
          <cell r="BG171">
            <v>0.29444444444444445</v>
          </cell>
          <cell r="BH171">
            <v>0.29243937232524964</v>
          </cell>
          <cell r="BI171">
            <v>0.29059829059829062</v>
          </cell>
          <cell r="BJ171">
            <v>0.29197860962566846</v>
          </cell>
          <cell r="BK171">
            <v>0.24489795918367346</v>
          </cell>
          <cell r="BL171">
            <v>0.28751210067763794</v>
          </cell>
          <cell r="BM171">
            <v>0.32241813602015112</v>
          </cell>
          <cell r="BN171">
            <v>0.29503916449086159</v>
          </cell>
          <cell r="BO171">
            <v>0.23043478260869565</v>
          </cell>
          <cell r="BP171">
            <v>0.27759128115982884</v>
          </cell>
          <cell r="BQ171">
            <v>0.28999999999999998</v>
          </cell>
        </row>
        <row r="172">
          <cell r="A172" t="str">
            <v>Earnings (losses) from JVs</v>
          </cell>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BD172">
            <v>0</v>
          </cell>
          <cell r="BE172">
            <v>0</v>
          </cell>
          <cell r="BF172">
            <v>0</v>
          </cell>
          <cell r="BK172">
            <v>0</v>
          </cell>
          <cell r="BL172">
            <v>0</v>
          </cell>
        </row>
        <row r="174">
          <cell r="A174" t="str">
            <v>Net income - cont. ops.</v>
          </cell>
          <cell r="B174">
            <v>0.138996138996139</v>
          </cell>
          <cell r="C174">
            <v>0.14463220675944333</v>
          </cell>
          <cell r="D174">
            <v>0.15058823529411763</v>
          </cell>
          <cell r="E174">
            <v>0.10006361323155218</v>
          </cell>
          <cell r="F174">
            <v>0.13920696683342598</v>
          </cell>
          <cell r="G174">
            <v>0.13290125927522392</v>
          </cell>
          <cell r="H174">
            <v>0.13796862679505864</v>
          </cell>
          <cell r="I174">
            <v>0.14634146341463414</v>
          </cell>
          <cell r="J174">
            <v>0.11949342213002898</v>
          </cell>
          <cell r="K174">
            <v>0.13281443384031466</v>
          </cell>
          <cell r="L174">
            <v>0.1089142091152815</v>
          </cell>
          <cell r="M174">
            <v>0.12586048869907754</v>
          </cell>
          <cell r="N174">
            <v>9.3448568562389131E-2</v>
          </cell>
          <cell r="O174">
            <v>0.11932189669665923</v>
          </cell>
          <cell r="P174">
            <v>0.12894676116696888</v>
          </cell>
          <cell r="Q174">
            <v>0.14282083862770012</v>
          </cell>
          <cell r="R174">
            <v>0.13631217657619596</v>
          </cell>
          <cell r="S174">
            <v>9.6430547869396768E-2</v>
          </cell>
          <cell r="T174">
            <v>0.12529542153940224</v>
          </cell>
          <cell r="U174">
            <v>0.71326572008113565</v>
          </cell>
          <cell r="V174">
            <v>0.23737507153131135</v>
          </cell>
          <cell r="W174">
            <v>0.12871600253004428</v>
          </cell>
          <cell r="X174">
            <v>0.15447293447293448</v>
          </cell>
          <cell r="Y174">
            <v>0.14226618705035973</v>
          </cell>
          <cell r="Z174">
            <v>9.5830055074744305E-2</v>
          </cell>
          <cell r="AA174">
            <v>0.12978076839591926</v>
          </cell>
          <cell r="AB174">
            <v>5.3522336769759413E-2</v>
          </cell>
          <cell r="AC174">
            <v>0.10516374978339975</v>
          </cell>
          <cell r="AD174">
            <v>0.1064198958935801</v>
          </cell>
          <cell r="AE174">
            <v>0.11491712707182321</v>
          </cell>
          <cell r="AF174">
            <v>-8.363944617123481E-2</v>
          </cell>
          <cell r="AG174">
            <v>7.2939460247994164E-2</v>
          </cell>
          <cell r="AH174">
            <v>-7.9837067209775972E-2</v>
          </cell>
          <cell r="AI174">
            <v>4.0883074407195422E-2</v>
          </cell>
          <cell r="AJ174">
            <v>8.7885211152780043E-2</v>
          </cell>
          <cell r="AK174">
            <v>0.1126099706744868</v>
          </cell>
          <cell r="AL174">
            <v>0.12043795620437957</v>
          </cell>
          <cell r="AM174">
            <v>-8.0596191001932105E-2</v>
          </cell>
          <cell r="AN174">
            <v>8.0512500000000001E-2</v>
          </cell>
          <cell r="AO174">
            <v>-7.6235879762588554E-2</v>
          </cell>
          <cell r="AP174">
            <v>5.1307216494845355E-2</v>
          </cell>
          <cell r="AQ174">
            <v>9.3811320754716973E-2</v>
          </cell>
          <cell r="AR174">
            <v>0.1105290728129911</v>
          </cell>
          <cell r="AS174">
            <v>0.11190476190476191</v>
          </cell>
          <cell r="AT174">
            <v>0.11124968820154651</v>
          </cell>
          <cell r="AU174">
            <v>7.8224355128974202E-2</v>
          </cell>
          <cell r="AV174">
            <v>0.10155038759689922</v>
          </cell>
          <cell r="AW174">
            <v>5.1919050942079555E-2</v>
          </cell>
          <cell r="AX174">
            <v>9.1545927697285132E-2</v>
          </cell>
          <cell r="AY174">
            <v>0.10712577714012435</v>
          </cell>
          <cell r="AZ174">
            <v>0.10194573690253173</v>
          </cell>
          <cell r="BA174">
            <v>0.10445650744884748</v>
          </cell>
          <cell r="BB174">
            <v>7.9608294930875567E-2</v>
          </cell>
          <cell r="BD174">
            <v>5.9612817089452604E-2</v>
          </cell>
          <cell r="BE174">
            <v>8.9716967868228373E-2</v>
          </cell>
          <cell r="BF174">
            <v>0.11469194312796209</v>
          </cell>
          <cell r="BG174">
            <v>0.11135466900482245</v>
          </cell>
          <cell r="BH174">
            <v>0.11295832384422683</v>
          </cell>
          <cell r="BI174">
            <v>9.0413943355119819E-2</v>
          </cell>
          <cell r="BK174">
            <v>5.0894085281980743E-2</v>
          </cell>
          <cell r="BL174">
            <v>9.5820856659289161E-2</v>
          </cell>
          <cell r="BM174">
            <v>0.12494194147700882</v>
          </cell>
          <cell r="BN174">
            <v>0.11989342806394317</v>
          </cell>
          <cell r="BO174">
            <v>0.17340175419936718</v>
          </cell>
          <cell r="BP174">
            <v>4.2951214192287417E-2</v>
          </cell>
          <cell r="BQ174">
            <v>0.10046897515805196</v>
          </cell>
        </row>
        <row r="175">
          <cell r="A175" t="str">
            <v>Extraordinary items</v>
          </cell>
          <cell r="B175">
            <v>0</v>
          </cell>
          <cell r="C175">
            <v>5.4671968190854875E-3</v>
          </cell>
          <cell r="D175">
            <v>2.8758169934640521E-3</v>
          </cell>
          <cell r="E175">
            <v>0.12137404580152672</v>
          </cell>
          <cell r="F175">
            <v>3.7391143227719102E-2</v>
          </cell>
          <cell r="G175">
            <v>-6.927553188213924E-3</v>
          </cell>
          <cell r="H175">
            <v>2.8792621442737334E-2</v>
          </cell>
          <cell r="I175">
            <v>0</v>
          </cell>
          <cell r="J175">
            <v>0</v>
          </cell>
          <cell r="K175">
            <v>0</v>
          </cell>
          <cell r="L175">
            <v>0</v>
          </cell>
          <cell r="M175">
            <v>0</v>
          </cell>
          <cell r="N175">
            <v>3.2409908171926842E-2</v>
          </cell>
          <cell r="O175">
            <v>6.5381861203648939E-3</v>
          </cell>
          <cell r="P175">
            <v>0</v>
          </cell>
          <cell r="Q175">
            <v>0</v>
          </cell>
          <cell r="R175">
            <v>0</v>
          </cell>
          <cell r="S175">
            <v>0</v>
          </cell>
          <cell r="T175">
            <v>0</v>
          </cell>
          <cell r="U175">
            <v>0</v>
          </cell>
          <cell r="V175">
            <v>0</v>
          </cell>
          <cell r="W175">
            <v>0</v>
          </cell>
          <cell r="X175">
            <v>0</v>
          </cell>
          <cell r="Y175">
            <v>0</v>
          </cell>
          <cell r="Z175">
            <v>0</v>
          </cell>
          <cell r="AA175">
            <v>0</v>
          </cell>
          <cell r="AB175">
            <v>9.4501718213058413E-3</v>
          </cell>
          <cell r="AC175">
            <v>1.9060821348119909E-3</v>
          </cell>
          <cell r="AD175">
            <v>6.6859456333140544E-3</v>
          </cell>
          <cell r="AE175">
            <v>2.7624309392265192E-3</v>
          </cell>
          <cell r="AF175">
            <v>4.6792879344447593E-3</v>
          </cell>
          <cell r="AG175">
            <v>3.6469730123997084E-3</v>
          </cell>
          <cell r="AH175">
            <v>4.391038696537679E-3</v>
          </cell>
          <cell r="AI175">
            <v>-3.7285363859362241E-3</v>
          </cell>
          <cell r="AJ175">
            <v>2.1196804174139897E-3</v>
          </cell>
          <cell r="AK175">
            <v>1.8181818181818181E-2</v>
          </cell>
          <cell r="AL175">
            <v>0</v>
          </cell>
          <cell r="AM175">
            <v>8.5564449351366277E-3</v>
          </cell>
          <cell r="AN175">
            <v>0</v>
          </cell>
          <cell r="AO175">
            <v>5.9352862339651542E-3</v>
          </cell>
          <cell r="AP175">
            <v>3.2439862542955417E-4</v>
          </cell>
          <cell r="AQ175">
            <v>4.7127882599580714E-3</v>
          </cell>
          <cell r="AR175">
            <v>0</v>
          </cell>
          <cell r="AS175">
            <v>0</v>
          </cell>
          <cell r="AT175">
            <v>0</v>
          </cell>
          <cell r="AU175">
            <v>-5.99880023995201E-3</v>
          </cell>
          <cell r="AV175">
            <v>-1.7618040873854828E-3</v>
          </cell>
          <cell r="AW175">
            <v>8.6252616887648285E-3</v>
          </cell>
          <cell r="AX175">
            <v>5.3453368968912646E-4</v>
          </cell>
          <cell r="AY175">
            <v>0</v>
          </cell>
          <cell r="AZ175">
            <v>0</v>
          </cell>
          <cell r="BA175">
            <v>0</v>
          </cell>
          <cell r="BB175">
            <v>0</v>
          </cell>
          <cell r="BD175">
            <v>0</v>
          </cell>
          <cell r="BE175">
            <v>0</v>
          </cell>
          <cell r="BF175">
            <v>0</v>
          </cell>
          <cell r="BG175">
            <v>0</v>
          </cell>
          <cell r="BH175">
            <v>0</v>
          </cell>
          <cell r="BI175">
            <v>0</v>
          </cell>
          <cell r="BK175">
            <v>2.8903298486932599E-2</v>
          </cell>
          <cell r="BL175">
            <v>5.4713443562036191E-3</v>
          </cell>
          <cell r="BM175">
            <v>0</v>
          </cell>
          <cell r="BN175">
            <v>-6.2166962699822378E-3</v>
          </cell>
          <cell r="BO175">
            <v>-4.0166508034881664E-2</v>
          </cell>
          <cell r="BP175">
            <v>0</v>
          </cell>
          <cell r="BQ175">
            <v>-7.0839910174993938E-3</v>
          </cell>
        </row>
        <row r="177">
          <cell r="A177" t="str">
            <v>Net income</v>
          </cell>
          <cell r="B177">
            <v>0.14726971869829011</v>
          </cell>
          <cell r="C177">
            <v>0.14905566600397613</v>
          </cell>
          <cell r="D177">
            <v>0.15683660130718954</v>
          </cell>
          <cell r="E177">
            <v>-5.5916030534351152E-2</v>
          </cell>
          <cell r="F177">
            <v>9.8202705206596255E-2</v>
          </cell>
          <cell r="G177">
            <v>0.13982881246343784</v>
          </cell>
          <cell r="H177">
            <v>0.10626388855702369</v>
          </cell>
          <cell r="I177">
            <v>0.14634146341463414</v>
          </cell>
          <cell r="J177">
            <v>0.11949342213002898</v>
          </cell>
          <cell r="K177">
            <v>0.13281443384031466</v>
          </cell>
          <cell r="L177">
            <v>0.1089142091152815</v>
          </cell>
          <cell r="M177">
            <v>0.12586048869907754</v>
          </cell>
          <cell r="N177">
            <v>6.1038660390462282E-2</v>
          </cell>
          <cell r="O177">
            <v>0.11278371057629433</v>
          </cell>
          <cell r="P177">
            <v>0.12894676116696888</v>
          </cell>
          <cell r="Q177">
            <v>0.14282083862770012</v>
          </cell>
          <cell r="R177">
            <v>0.13631217657619596</v>
          </cell>
          <cell r="S177">
            <v>9.6430547869396768E-2</v>
          </cell>
          <cell r="T177">
            <v>0.12529542153940224</v>
          </cell>
          <cell r="U177">
            <v>0.71326572008113565</v>
          </cell>
          <cell r="V177">
            <v>0.23737507153131135</v>
          </cell>
          <cell r="W177">
            <v>0.12871600253004428</v>
          </cell>
          <cell r="X177">
            <v>0.15447293447293448</v>
          </cell>
          <cell r="Y177">
            <v>0.14226618705035973</v>
          </cell>
          <cell r="Z177">
            <v>9.5830055074744305E-2</v>
          </cell>
          <cell r="AA177">
            <v>0.12978076839591926</v>
          </cell>
          <cell r="AB177">
            <v>4.407216494845357E-2</v>
          </cell>
          <cell r="AC177">
            <v>0.10325766764858776</v>
          </cell>
          <cell r="AD177">
            <v>9.9733950260266047E-2</v>
          </cell>
          <cell r="AE177">
            <v>0.11215469613259668</v>
          </cell>
          <cell r="AF177">
            <v>-8.8318734105679572E-2</v>
          </cell>
          <cell r="AG177">
            <v>6.929248723559446E-2</v>
          </cell>
          <cell r="AH177">
            <v>-8.4228105906313647E-2</v>
          </cell>
          <cell r="AI177">
            <v>4.4611610793131647E-2</v>
          </cell>
          <cell r="AJ177">
            <v>8.5765530735366052E-2</v>
          </cell>
          <cell r="AK177">
            <v>9.4428152492668616E-2</v>
          </cell>
          <cell r="AL177">
            <v>0.12043795620437957</v>
          </cell>
          <cell r="AM177">
            <v>-8.9152635937068722E-2</v>
          </cell>
          <cell r="AN177">
            <v>8.0512500000000001E-2</v>
          </cell>
          <cell r="AO177">
            <v>-8.2171165996553705E-2</v>
          </cell>
          <cell r="AP177">
            <v>5.0982817869415796E-2</v>
          </cell>
          <cell r="AQ177">
            <v>8.9098532494758909E-2</v>
          </cell>
          <cell r="AR177">
            <v>0.1105290728129911</v>
          </cell>
          <cell r="AS177">
            <v>0.11190476190476191</v>
          </cell>
          <cell r="AT177">
            <v>0.11124968820154651</v>
          </cell>
          <cell r="AU177">
            <v>8.4223155368926217E-2</v>
          </cell>
          <cell r="AV177">
            <v>0.10331219168428471</v>
          </cell>
          <cell r="AW177">
            <v>4.3293789253314729E-2</v>
          </cell>
          <cell r="AX177">
            <v>9.1011394007596003E-2</v>
          </cell>
          <cell r="AY177">
            <v>0.10712577714012435</v>
          </cell>
          <cell r="AZ177">
            <v>0.10194573690253173</v>
          </cell>
          <cell r="BA177">
            <v>0.10445650744884748</v>
          </cell>
          <cell r="BB177">
            <v>7.9608294930875567E-2</v>
          </cell>
          <cell r="BD177">
            <v>5.9612817089452604E-2</v>
          </cell>
          <cell r="BE177">
            <v>8.9716967868228373E-2</v>
          </cell>
          <cell r="BF177">
            <v>0.11469194312796209</v>
          </cell>
          <cell r="BG177">
            <v>0.11135466900482245</v>
          </cell>
          <cell r="BH177">
            <v>0.11295832384422683</v>
          </cell>
          <cell r="BI177">
            <v>9.0413943355119819E-2</v>
          </cell>
          <cell r="BK177">
            <v>3.6433702888583219E-2</v>
          </cell>
          <cell r="BL177">
            <v>9.3083531311027215E-2</v>
          </cell>
          <cell r="BM177">
            <v>0.13516024152345565</v>
          </cell>
          <cell r="BN177">
            <v>0.12566607460035523</v>
          </cell>
          <cell r="BO177">
            <v>0.21356826223424885</v>
          </cell>
          <cell r="BP177">
            <v>4.2951214192287417E-2</v>
          </cell>
          <cell r="BQ177">
            <v>0.10755296617555135</v>
          </cell>
        </row>
        <row r="179">
          <cell r="A179" t="str">
            <v>Fiscal year ends July 31.</v>
          </cell>
        </row>
        <row r="181">
          <cell r="A181" t="str">
            <v>Statutory tax rate</v>
          </cell>
          <cell r="AR181">
            <v>0.36</v>
          </cell>
          <cell r="AS181">
            <v>0.36</v>
          </cell>
          <cell r="AT181">
            <v>0.36</v>
          </cell>
          <cell r="AU181">
            <v>0.36</v>
          </cell>
          <cell r="AV181">
            <v>0.36</v>
          </cell>
          <cell r="AW181">
            <v>0.36</v>
          </cell>
          <cell r="AX181">
            <v>0.36</v>
          </cell>
          <cell r="AY181">
            <v>0.36</v>
          </cell>
          <cell r="AZ181">
            <v>0.36</v>
          </cell>
          <cell r="BA181">
            <v>0.36</v>
          </cell>
          <cell r="BB181">
            <v>0.36</v>
          </cell>
          <cell r="BC181">
            <v>0.36</v>
          </cell>
          <cell r="BD181">
            <v>0.36</v>
          </cell>
          <cell r="BE181">
            <v>0.36</v>
          </cell>
          <cell r="BF181">
            <v>0.36</v>
          </cell>
          <cell r="BG181">
            <v>0.36</v>
          </cell>
          <cell r="BH181">
            <v>0.36</v>
          </cell>
          <cell r="BI181">
            <v>0.36</v>
          </cell>
          <cell r="BJ181">
            <v>0.36</v>
          </cell>
          <cell r="BK181">
            <v>0.36</v>
          </cell>
          <cell r="BL181">
            <v>0.36</v>
          </cell>
          <cell r="BM181">
            <v>0.36</v>
          </cell>
          <cell r="BN181">
            <v>0.36</v>
          </cell>
          <cell r="BO181">
            <v>0.36</v>
          </cell>
          <cell r="BP181">
            <v>0.36</v>
          </cell>
          <cell r="BQ181">
            <v>0.36</v>
          </cell>
        </row>
        <row r="184">
          <cell r="M184" t="str">
            <v>NM = Not Meaningful</v>
          </cell>
        </row>
      </sheetData>
      <sheetData sheetId="27"/>
      <sheetData sheetId="28"/>
      <sheetData sheetId="29" refreshError="1">
        <row r="1">
          <cell r="A1" t="str">
            <v>CATEGORY - SOUP - Historical Statistics - 4 Week Data - TOTAL U.S. - FD / DG / MM</v>
          </cell>
        </row>
        <row r="3">
          <cell r="B3" t="str">
            <v>Category</v>
          </cell>
        </row>
        <row r="4">
          <cell r="B4" t="str">
            <v>Yr/Yr % Change</v>
          </cell>
        </row>
        <row r="5">
          <cell r="B5" t="str">
            <v>Sales</v>
          </cell>
          <cell r="E5" t="str">
            <v>Volume</v>
          </cell>
          <cell r="H5" t="str">
            <v>Price/Mix</v>
          </cell>
          <cell r="K5" t="str">
            <v>$ Merchandising</v>
          </cell>
        </row>
        <row r="6">
          <cell r="A6" t="str">
            <v>Date</v>
          </cell>
          <cell r="B6">
            <v>2004</v>
          </cell>
          <cell r="C6">
            <v>2005</v>
          </cell>
          <cell r="D6">
            <v>2006</v>
          </cell>
          <cell r="E6">
            <v>2004</v>
          </cell>
          <cell r="F6">
            <v>2005</v>
          </cell>
          <cell r="G6">
            <v>2006</v>
          </cell>
          <cell r="H6">
            <v>2004</v>
          </cell>
          <cell r="I6">
            <v>2005</v>
          </cell>
          <cell r="J6">
            <v>2006</v>
          </cell>
          <cell r="K6">
            <v>2004</v>
          </cell>
          <cell r="L6">
            <v>2005</v>
          </cell>
          <cell r="M6">
            <v>2006</v>
          </cell>
        </row>
        <row r="7">
          <cell r="A7" t="str">
            <v>Period 1</v>
          </cell>
          <cell r="B7" t="str">
            <v>--</v>
          </cell>
          <cell r="C7" t="str">
            <v>--</v>
          </cell>
          <cell r="D7">
            <v>-5.6102684052731799</v>
          </cell>
          <cell r="E7" t="str">
            <v>--</v>
          </cell>
          <cell r="F7" t="str">
            <v>--</v>
          </cell>
          <cell r="G7">
            <v>-11.4366047287283</v>
          </cell>
          <cell r="H7" t="str">
            <v>--</v>
          </cell>
          <cell r="I7" t="str">
            <v>--</v>
          </cell>
          <cell r="J7">
            <v>5.8263363234551004</v>
          </cell>
          <cell r="K7" t="str">
            <v>--</v>
          </cell>
          <cell r="L7" t="str">
            <v>--</v>
          </cell>
          <cell r="M7">
            <v>2.2610048134831602</v>
          </cell>
        </row>
        <row r="8">
          <cell r="A8" t="str">
            <v>Period 2</v>
          </cell>
          <cell r="B8" t="str">
            <v>--</v>
          </cell>
          <cell r="C8" t="str">
            <v>--</v>
          </cell>
          <cell r="D8">
            <v>1.7110973727202601</v>
          </cell>
          <cell r="E8" t="str">
            <v>--</v>
          </cell>
          <cell r="F8" t="str">
            <v>--</v>
          </cell>
          <cell r="G8">
            <v>-4.3733857787858499</v>
          </cell>
          <cell r="H8" t="str">
            <v>--</v>
          </cell>
          <cell r="I8" t="str">
            <v>--</v>
          </cell>
          <cell r="J8">
            <v>6.0844831515061104</v>
          </cell>
          <cell r="K8" t="str">
            <v>--</v>
          </cell>
          <cell r="L8" t="str">
            <v>--</v>
          </cell>
          <cell r="M8">
            <v>-0.90915780992876405</v>
          </cell>
        </row>
        <row r="9">
          <cell r="A9" t="str">
            <v>Period 3</v>
          </cell>
          <cell r="B9" t="str">
            <v>--</v>
          </cell>
          <cell r="C9">
            <v>9.5957378501710107</v>
          </cell>
          <cell r="D9">
            <v>4.7572705719916399</v>
          </cell>
          <cell r="E9" t="str">
            <v>--</v>
          </cell>
          <cell r="F9">
            <v>5.8183725419312804</v>
          </cell>
          <cell r="G9">
            <v>-0.25025354054213</v>
          </cell>
          <cell r="H9" t="str">
            <v>--</v>
          </cell>
          <cell r="I9">
            <v>3.7773653082397298</v>
          </cell>
          <cell r="J9">
            <v>5.0075241125337699</v>
          </cell>
          <cell r="K9" t="str">
            <v>--</v>
          </cell>
          <cell r="L9">
            <v>-3.7778861653301901</v>
          </cell>
          <cell r="M9">
            <v>1.33961453670978</v>
          </cell>
        </row>
        <row r="10">
          <cell r="A10" t="str">
            <v>Period 4</v>
          </cell>
          <cell r="B10" t="str">
            <v>--</v>
          </cell>
          <cell r="C10">
            <v>-0.63862503903550905</v>
          </cell>
          <cell r="D10">
            <v>8.8846162529845394</v>
          </cell>
          <cell r="E10" t="str">
            <v>--</v>
          </cell>
          <cell r="F10">
            <v>-8.9794750740177705</v>
          </cell>
          <cell r="G10">
            <v>9.1167256492072202</v>
          </cell>
          <cell r="H10" t="str">
            <v>--</v>
          </cell>
          <cell r="I10">
            <v>8.3408500349822603</v>
          </cell>
          <cell r="J10">
            <v>-0.23210939622267701</v>
          </cell>
          <cell r="K10" t="str">
            <v>--</v>
          </cell>
          <cell r="L10">
            <v>-9.0704097503405698</v>
          </cell>
          <cell r="M10">
            <v>5.0326611345064798</v>
          </cell>
        </row>
        <row r="11">
          <cell r="A11" t="str">
            <v>Period 5</v>
          </cell>
          <cell r="B11" t="str">
            <v>--</v>
          </cell>
          <cell r="C11">
            <v>7.5004958395927597</v>
          </cell>
          <cell r="D11">
            <v>3.69265750646719</v>
          </cell>
          <cell r="E11" t="str">
            <v>--</v>
          </cell>
          <cell r="F11">
            <v>1.50202720815316</v>
          </cell>
          <cell r="G11">
            <v>-0.71683978297094697</v>
          </cell>
          <cell r="H11" t="str">
            <v>--</v>
          </cell>
          <cell r="I11">
            <v>5.9984686314396001</v>
          </cell>
          <cell r="J11">
            <v>4.4094972894381304</v>
          </cell>
          <cell r="K11" t="str">
            <v>--</v>
          </cell>
          <cell r="L11">
            <v>-5.6432205566325502</v>
          </cell>
          <cell r="M11">
            <v>1.10581502697807</v>
          </cell>
        </row>
        <row r="12">
          <cell r="A12" t="str">
            <v>Period 6</v>
          </cell>
          <cell r="B12" t="str">
            <v>--</v>
          </cell>
          <cell r="C12">
            <v>-9.6092995817960002E-3</v>
          </cell>
          <cell r="D12">
            <v>4.4722664835057602</v>
          </cell>
          <cell r="E12" t="str">
            <v>--</v>
          </cell>
          <cell r="F12">
            <v>-6.6256573914651202</v>
          </cell>
          <cell r="G12">
            <v>0.86048167723965696</v>
          </cell>
          <cell r="H12" t="str">
            <v>--</v>
          </cell>
          <cell r="I12">
            <v>6.6160480918833304</v>
          </cell>
          <cell r="J12">
            <v>3.6117848062661002</v>
          </cell>
          <cell r="K12" t="str">
            <v>--</v>
          </cell>
          <cell r="L12">
            <v>-5.8021808382397699</v>
          </cell>
          <cell r="M12">
            <v>0.56283982051463599</v>
          </cell>
        </row>
        <row r="13">
          <cell r="A13" t="str">
            <v>Period 7</v>
          </cell>
          <cell r="B13" t="str">
            <v>--</v>
          </cell>
          <cell r="C13">
            <v>-0.24558821500351799</v>
          </cell>
          <cell r="D13">
            <v>3.45729468569633</v>
          </cell>
          <cell r="E13" t="str">
            <v>--</v>
          </cell>
          <cell r="F13">
            <v>-4.5390489973406201</v>
          </cell>
          <cell r="G13">
            <v>-0.81936947285720296</v>
          </cell>
          <cell r="H13" t="str">
            <v>--</v>
          </cell>
          <cell r="I13">
            <v>4.2934607823370996</v>
          </cell>
          <cell r="J13">
            <v>4.2766641585535403</v>
          </cell>
          <cell r="K13" t="str">
            <v>--</v>
          </cell>
          <cell r="L13">
            <v>-0.85580227148086196</v>
          </cell>
          <cell r="M13">
            <v>-1.21507114603294</v>
          </cell>
        </row>
        <row r="14">
          <cell r="A14" t="str">
            <v>Period 8</v>
          </cell>
          <cell r="B14" t="str">
            <v>--</v>
          </cell>
          <cell r="C14">
            <v>-5.9302669596837401</v>
          </cell>
          <cell r="D14">
            <v>2.2163140001846999</v>
          </cell>
          <cell r="E14" t="str">
            <v>--</v>
          </cell>
          <cell r="F14">
            <v>-10.6284779035011</v>
          </cell>
          <cell r="G14">
            <v>-2.1534908889348698</v>
          </cell>
          <cell r="H14" t="str">
            <v>--</v>
          </cell>
          <cell r="I14">
            <v>4.6982109438173199</v>
          </cell>
          <cell r="J14">
            <v>4.3698048891195604</v>
          </cell>
          <cell r="K14" t="str">
            <v>--</v>
          </cell>
          <cell r="L14">
            <v>-4.4171008918998496</v>
          </cell>
          <cell r="M14">
            <v>-0.30715501090429598</v>
          </cell>
        </row>
        <row r="15">
          <cell r="A15" t="str">
            <v>Period 9</v>
          </cell>
          <cell r="B15" t="str">
            <v>--</v>
          </cell>
          <cell r="C15">
            <v>-5.6201272816749697</v>
          </cell>
          <cell r="D15">
            <v>7.8142750646440398</v>
          </cell>
          <cell r="E15" t="str">
            <v>--</v>
          </cell>
          <cell r="F15">
            <v>-12.1036965424552</v>
          </cell>
          <cell r="G15">
            <v>6.2090544657929296</v>
          </cell>
          <cell r="H15" t="str">
            <v>--</v>
          </cell>
          <cell r="I15">
            <v>6.48356926078025</v>
          </cell>
          <cell r="J15">
            <v>1.6052205988511099</v>
          </cell>
          <cell r="K15" t="str">
            <v>--</v>
          </cell>
          <cell r="L15">
            <v>-5.2845043964706102</v>
          </cell>
          <cell r="M15">
            <v>2.4927875245363502</v>
          </cell>
        </row>
        <row r="16">
          <cell r="A16" t="str">
            <v>Period 10</v>
          </cell>
          <cell r="B16" t="str">
            <v>--</v>
          </cell>
          <cell r="C16">
            <v>-5.2449180204320598</v>
          </cell>
          <cell r="D16" t="str">
            <v>--</v>
          </cell>
          <cell r="E16" t="str">
            <v>--</v>
          </cell>
          <cell r="F16">
            <v>-12.314815291373</v>
          </cell>
          <cell r="G16" t="str">
            <v>--</v>
          </cell>
          <cell r="H16" t="str">
            <v>--</v>
          </cell>
          <cell r="I16">
            <v>7.0698972709409</v>
          </cell>
          <cell r="J16" t="str">
            <v>--</v>
          </cell>
          <cell r="K16" t="str">
            <v>--</v>
          </cell>
          <cell r="L16">
            <v>-2.5376680252224602</v>
          </cell>
          <cell r="M16" t="str">
            <v>--</v>
          </cell>
        </row>
        <row r="17">
          <cell r="A17" t="str">
            <v>Period 11</v>
          </cell>
          <cell r="B17" t="str">
            <v>--</v>
          </cell>
          <cell r="C17">
            <v>-0.46095943086775398</v>
          </cell>
          <cell r="D17" t="str">
            <v>--</v>
          </cell>
          <cell r="E17" t="str">
            <v>--</v>
          </cell>
          <cell r="F17">
            <v>-7.3148061753788403</v>
          </cell>
          <cell r="G17" t="str">
            <v>--</v>
          </cell>
          <cell r="H17" t="str">
            <v>--</v>
          </cell>
          <cell r="I17">
            <v>6.85384674451109</v>
          </cell>
          <cell r="J17" t="str">
            <v>--</v>
          </cell>
          <cell r="K17" t="str">
            <v>--</v>
          </cell>
          <cell r="L17">
            <v>-1.5799664885639999</v>
          </cell>
          <cell r="M17" t="str">
            <v>--</v>
          </cell>
        </row>
        <row r="18">
          <cell r="A18" t="str">
            <v>Period 12</v>
          </cell>
          <cell r="B18" t="str">
            <v>--</v>
          </cell>
          <cell r="C18">
            <v>2.2270816520573899</v>
          </cell>
          <cell r="D18" t="str">
            <v>--</v>
          </cell>
          <cell r="E18" t="str">
            <v>--</v>
          </cell>
          <cell r="F18">
            <v>-3.29080996636569</v>
          </cell>
          <cell r="G18" t="str">
            <v>--</v>
          </cell>
          <cell r="H18" t="str">
            <v>--</v>
          </cell>
          <cell r="I18">
            <v>5.5178916184230804</v>
          </cell>
          <cell r="J18" t="str">
            <v>--</v>
          </cell>
          <cell r="K18" t="str">
            <v>--</v>
          </cell>
          <cell r="L18">
            <v>-2.6695283734625601</v>
          </cell>
          <cell r="M18" t="str">
            <v>--</v>
          </cell>
        </row>
        <row r="19">
          <cell r="A19" t="str">
            <v>Period 13</v>
          </cell>
          <cell r="B19" t="str">
            <v>--</v>
          </cell>
          <cell r="C19">
            <v>6.9027325052673296</v>
          </cell>
          <cell r="D19" t="str">
            <v>--</v>
          </cell>
          <cell r="E19" t="str">
            <v>--</v>
          </cell>
          <cell r="F19">
            <v>2.2802356228532399</v>
          </cell>
          <cell r="G19" t="str">
            <v>--</v>
          </cell>
          <cell r="H19" t="str">
            <v>--</v>
          </cell>
          <cell r="I19">
            <v>4.6224968824140902</v>
          </cell>
          <cell r="J19" t="str">
            <v>--</v>
          </cell>
          <cell r="K19" t="str">
            <v>--</v>
          </cell>
          <cell r="L19">
            <v>1.1158795550037399</v>
          </cell>
          <cell r="M19" t="str">
            <v>--</v>
          </cell>
        </row>
        <row r="21">
          <cell r="B21" t="str">
            <v>Campbell's Soup</v>
          </cell>
        </row>
        <row r="22">
          <cell r="B22" t="str">
            <v>Yr/Yr % Change</v>
          </cell>
        </row>
        <row r="23">
          <cell r="B23" t="str">
            <v>Sales</v>
          </cell>
          <cell r="E23" t="str">
            <v>Volume</v>
          </cell>
          <cell r="H23" t="str">
            <v>Price/Mix</v>
          </cell>
          <cell r="K23" t="str">
            <v>$ Merchandising</v>
          </cell>
          <cell r="N23" t="str">
            <v>$ Share</v>
          </cell>
        </row>
        <row r="24">
          <cell r="A24" t="str">
            <v>Date</v>
          </cell>
          <cell r="B24">
            <v>2004</v>
          </cell>
          <cell r="C24">
            <v>2005</v>
          </cell>
          <cell r="D24">
            <v>2006</v>
          </cell>
          <cell r="E24">
            <v>2004</v>
          </cell>
          <cell r="F24">
            <v>2005</v>
          </cell>
          <cell r="G24">
            <v>2006</v>
          </cell>
          <cell r="H24">
            <v>2004</v>
          </cell>
          <cell r="I24">
            <v>2005</v>
          </cell>
          <cell r="J24">
            <v>2006</v>
          </cell>
          <cell r="K24">
            <v>2004</v>
          </cell>
          <cell r="L24">
            <v>2005</v>
          </cell>
          <cell r="M24">
            <v>2006</v>
          </cell>
          <cell r="N24">
            <v>2004</v>
          </cell>
          <cell r="O24">
            <v>2005</v>
          </cell>
          <cell r="P24">
            <v>2006</v>
          </cell>
          <cell r="S24" t="str">
            <v>4 Week Sales</v>
          </cell>
          <cell r="AF24" t="str">
            <v>4 Week Price/Mix</v>
          </cell>
        </row>
        <row r="25">
          <cell r="A25" t="str">
            <v>Period 1</v>
          </cell>
          <cell r="B25" t="str">
            <v>--</v>
          </cell>
          <cell r="C25" t="str">
            <v>--</v>
          </cell>
          <cell r="D25">
            <v>-9.3296828002102501</v>
          </cell>
          <cell r="E25" t="str">
            <v>--</v>
          </cell>
          <cell r="F25" t="str">
            <v>--</v>
          </cell>
          <cell r="G25">
            <v>-17.3481214509154</v>
          </cell>
          <cell r="H25" t="str">
            <v>--</v>
          </cell>
          <cell r="I25" t="str">
            <v>--</v>
          </cell>
          <cell r="J25">
            <v>8.0184386507051606</v>
          </cell>
          <cell r="K25" t="str">
            <v>--</v>
          </cell>
          <cell r="L25" t="str">
            <v>--</v>
          </cell>
          <cell r="M25">
            <v>2.9699716183663698</v>
          </cell>
          <cell r="N25" t="str">
            <v>--</v>
          </cell>
          <cell r="O25">
            <v>50.284390980075898</v>
          </cell>
          <cell r="P25">
            <v>48.302941467591097</v>
          </cell>
        </row>
        <row r="26">
          <cell r="A26" t="str">
            <v>Period 2</v>
          </cell>
          <cell r="B26" t="str">
            <v>--</v>
          </cell>
          <cell r="C26" t="str">
            <v>--</v>
          </cell>
          <cell r="D26">
            <v>-0.45434256966089298</v>
          </cell>
          <cell r="E26" t="str">
            <v>--</v>
          </cell>
          <cell r="F26" t="str">
            <v>--</v>
          </cell>
          <cell r="G26">
            <v>-7.6939238276179296</v>
          </cell>
          <cell r="H26" t="str">
            <v>--</v>
          </cell>
          <cell r="I26" t="str">
            <v>--</v>
          </cell>
          <cell r="J26">
            <v>7.2395812579570302</v>
          </cell>
          <cell r="K26" t="str">
            <v>--</v>
          </cell>
          <cell r="L26" t="str">
            <v>--</v>
          </cell>
          <cell r="M26">
            <v>-0.42315719230535398</v>
          </cell>
          <cell r="N26" t="str">
            <v>--</v>
          </cell>
          <cell r="O26">
            <v>48.331407488996298</v>
          </cell>
          <cell r="P26">
            <v>47.3024267489237</v>
          </cell>
          <cell r="T26" t="str">
            <v>CPB</v>
          </cell>
          <cell r="U26" t="str">
            <v>GIS</v>
          </cell>
          <cell r="AG26" t="str">
            <v>CPB</v>
          </cell>
          <cell r="AH26" t="str">
            <v>GIS</v>
          </cell>
        </row>
        <row r="27">
          <cell r="A27" t="str">
            <v>Period 3</v>
          </cell>
          <cell r="B27" t="str">
            <v>--</v>
          </cell>
          <cell r="C27">
            <v>1.5008263939526501</v>
          </cell>
          <cell r="D27">
            <v>6.7940099260479299</v>
          </cell>
          <cell r="E27" t="str">
            <v>--</v>
          </cell>
          <cell r="F27">
            <v>-7.71503515935908</v>
          </cell>
          <cell r="G27">
            <v>3.4052849168062198</v>
          </cell>
          <cell r="H27" t="str">
            <v>--</v>
          </cell>
          <cell r="I27">
            <v>9.2158615533117203</v>
          </cell>
          <cell r="J27">
            <v>3.3887250092417101</v>
          </cell>
          <cell r="K27" t="str">
            <v>--</v>
          </cell>
          <cell r="L27">
            <v>-10.3091080275852</v>
          </cell>
          <cell r="M27">
            <v>7.7106663578830501</v>
          </cell>
          <cell r="N27">
            <v>50.832598365309799</v>
          </cell>
          <cell r="O27">
            <v>47.078023680852297</v>
          </cell>
          <cell r="P27">
            <v>47.993336413022902</v>
          </cell>
          <cell r="S27" t="str">
            <v>Period 3-05</v>
          </cell>
          <cell r="T27">
            <v>1.5008263939526501</v>
          </cell>
          <cell r="U27">
            <v>37.0106403331989</v>
          </cell>
          <cell r="AF27" t="str">
            <v>Period 3-05</v>
          </cell>
          <cell r="AG27">
            <v>9.2158615533117203</v>
          </cell>
          <cell r="AH27">
            <v>-2.8641151933929798</v>
          </cell>
        </row>
        <row r="28">
          <cell r="A28" t="str">
            <v>Period 4</v>
          </cell>
          <cell r="B28" t="str">
            <v>--</v>
          </cell>
          <cell r="C28">
            <v>-9.0206664585154801</v>
          </cell>
          <cell r="D28">
            <v>10.9998154801968</v>
          </cell>
          <cell r="E28" t="str">
            <v>--</v>
          </cell>
          <cell r="F28">
            <v>-19.069258140954702</v>
          </cell>
          <cell r="G28">
            <v>9.8346333507341797</v>
          </cell>
          <cell r="H28" t="str">
            <v>--</v>
          </cell>
          <cell r="I28">
            <v>10.0485916824392</v>
          </cell>
          <cell r="J28">
            <v>1.1651821294626299</v>
          </cell>
          <cell r="K28" t="str">
            <v>--</v>
          </cell>
          <cell r="L28">
            <v>-12.769076911486801</v>
          </cell>
          <cell r="M28">
            <v>8.2488673075059893</v>
          </cell>
          <cell r="N28">
            <v>50.162981824408497</v>
          </cell>
          <cell r="O28">
            <v>45.931275172382001</v>
          </cell>
          <cell r="P28">
            <v>46.823538938309902</v>
          </cell>
          <cell r="S28" t="str">
            <v>Period 4-05</v>
          </cell>
          <cell r="T28">
            <v>-9.0206664585154801</v>
          </cell>
          <cell r="U28">
            <v>25.9064225476417</v>
          </cell>
          <cell r="AF28" t="str">
            <v>Period 4-05</v>
          </cell>
          <cell r="AG28">
            <v>10.0485916824392</v>
          </cell>
          <cell r="AH28">
            <v>6.4061168627999496</v>
          </cell>
        </row>
        <row r="29">
          <cell r="A29" t="str">
            <v>Period 5</v>
          </cell>
          <cell r="B29" t="str">
            <v>--</v>
          </cell>
          <cell r="C29">
            <v>0.25070760053381302</v>
          </cell>
          <cell r="D29">
            <v>2.6031392356204401</v>
          </cell>
          <cell r="E29" t="str">
            <v>--</v>
          </cell>
          <cell r="F29">
            <v>-7.3685468681862698</v>
          </cell>
          <cell r="G29">
            <v>-3.05303912107291</v>
          </cell>
          <cell r="H29" t="str">
            <v>--</v>
          </cell>
          <cell r="I29">
            <v>7.6192544687200803</v>
          </cell>
          <cell r="J29">
            <v>5.6561783566933501</v>
          </cell>
          <cell r="K29" t="str">
            <v>--</v>
          </cell>
          <cell r="L29">
            <v>-7.9164223721251101</v>
          </cell>
          <cell r="M29">
            <v>2.0824193971719298</v>
          </cell>
          <cell r="N29">
            <v>49.773505321338398</v>
          </cell>
          <cell r="O29">
            <v>46.416801050561702</v>
          </cell>
          <cell r="P29">
            <v>45.929090984729001</v>
          </cell>
          <cell r="S29" t="str">
            <v>Period 5-05</v>
          </cell>
          <cell r="T29">
            <v>0.25070760053381302</v>
          </cell>
          <cell r="U29">
            <v>29.655145627541899</v>
          </cell>
          <cell r="AF29" t="str">
            <v>Period 5-05</v>
          </cell>
          <cell r="AG29">
            <v>7.6192544687200803</v>
          </cell>
          <cell r="AH29">
            <v>11.9891054961489</v>
          </cell>
        </row>
        <row r="30">
          <cell r="A30" t="str">
            <v>Period 6</v>
          </cell>
          <cell r="B30" t="str">
            <v>--</v>
          </cell>
          <cell r="C30">
            <v>-6.1890183641099696</v>
          </cell>
          <cell r="D30">
            <v>1.7205188479497699</v>
          </cell>
          <cell r="E30" t="str">
            <v>--</v>
          </cell>
          <cell r="F30">
            <v>-14.7459361484495</v>
          </cell>
          <cell r="G30">
            <v>-3.7853137583397798</v>
          </cell>
          <cell r="H30" t="str">
            <v>--</v>
          </cell>
          <cell r="I30">
            <v>8.5569177843395696</v>
          </cell>
          <cell r="J30">
            <v>5.5058326062895597</v>
          </cell>
          <cell r="K30" t="str">
            <v>--</v>
          </cell>
          <cell r="L30">
            <v>-8.3090338389806906</v>
          </cell>
          <cell r="M30">
            <v>-0.18132048675572099</v>
          </cell>
          <cell r="N30">
            <v>49.120575635204602</v>
          </cell>
          <cell r="O30">
            <v>46.0849226268625</v>
          </cell>
          <cell r="P30">
            <v>44.871068643008599</v>
          </cell>
          <cell r="S30" t="str">
            <v>Period 6-05</v>
          </cell>
          <cell r="T30">
            <v>-6.1890183641099696</v>
          </cell>
          <cell r="U30">
            <v>14.357589990248499</v>
          </cell>
          <cell r="AF30" t="str">
            <v>Period 6-05</v>
          </cell>
          <cell r="AG30">
            <v>8.5569177843395696</v>
          </cell>
          <cell r="AH30">
            <v>15.118697364579999</v>
          </cell>
        </row>
        <row r="31">
          <cell r="A31" t="str">
            <v>Period 7</v>
          </cell>
          <cell r="B31" t="str">
            <v>--</v>
          </cell>
          <cell r="C31">
            <v>-5.2660798329072902</v>
          </cell>
          <cell r="D31">
            <v>0.71227553294003798</v>
          </cell>
          <cell r="E31" t="str">
            <v>--</v>
          </cell>
          <cell r="F31">
            <v>-11.4921507602761</v>
          </cell>
          <cell r="G31">
            <v>-5.1200030931068596</v>
          </cell>
          <cell r="H31" t="str">
            <v>--</v>
          </cell>
          <cell r="I31">
            <v>6.2260709273688599</v>
          </cell>
          <cell r="J31">
            <v>5.8322786260469002</v>
          </cell>
          <cell r="K31" t="str">
            <v>--</v>
          </cell>
          <cell r="L31">
            <v>-1.96928782580636</v>
          </cell>
          <cell r="M31">
            <v>-2.51492938072687</v>
          </cell>
          <cell r="N31">
            <v>48.007749656209597</v>
          </cell>
          <cell r="O31">
            <v>45.591590807386901</v>
          </cell>
          <cell r="P31">
            <v>44.381914966247699</v>
          </cell>
          <cell r="S31" t="str">
            <v>Period 7-05</v>
          </cell>
          <cell r="T31">
            <v>-5.2660798329072902</v>
          </cell>
          <cell r="U31">
            <v>20.9484304838786</v>
          </cell>
          <cell r="AF31" t="str">
            <v>Period 7-05</v>
          </cell>
          <cell r="AG31">
            <v>6.2260709273688599</v>
          </cell>
          <cell r="AH31">
            <v>5.4320992880676204</v>
          </cell>
        </row>
        <row r="32">
          <cell r="A32" t="str">
            <v>Period 8</v>
          </cell>
          <cell r="B32" t="str">
            <v>--</v>
          </cell>
          <cell r="C32">
            <v>-13.2146766432699</v>
          </cell>
          <cell r="D32">
            <v>0.84485938307033404</v>
          </cell>
          <cell r="E32" t="str">
            <v>--</v>
          </cell>
          <cell r="F32">
            <v>-21.9483484750284</v>
          </cell>
          <cell r="G32">
            <v>-3.7905926574079398</v>
          </cell>
          <cell r="H32" t="str">
            <v>--</v>
          </cell>
          <cell r="I32">
            <v>8.7336718317584996</v>
          </cell>
          <cell r="J32">
            <v>4.6354520404782802</v>
          </cell>
          <cell r="K32" t="str">
            <v>--</v>
          </cell>
          <cell r="L32">
            <v>-10.788597404930099</v>
          </cell>
          <cell r="M32">
            <v>2.6252565130816898</v>
          </cell>
          <cell r="N32">
            <v>49.773364533784303</v>
          </cell>
          <cell r="O32">
            <v>45.919100607690503</v>
          </cell>
          <cell r="P32">
            <v>45.302995799391098</v>
          </cell>
          <cell r="S32" t="str">
            <v>Period 8-05</v>
          </cell>
          <cell r="T32">
            <v>-13.2146766432699</v>
          </cell>
          <cell r="U32">
            <v>4.8324401810652402</v>
          </cell>
          <cell r="AF32" t="str">
            <v>Period 8-05</v>
          </cell>
          <cell r="AG32">
            <v>8.7336718317584996</v>
          </cell>
          <cell r="AH32">
            <v>4.8916086572141797</v>
          </cell>
        </row>
        <row r="33">
          <cell r="A33" t="str">
            <v>Period 9</v>
          </cell>
          <cell r="B33" t="str">
            <v>--</v>
          </cell>
          <cell r="C33">
            <v>-11.880038170658</v>
          </cell>
          <cell r="D33">
            <v>7.5691011792168297</v>
          </cell>
          <cell r="E33" t="str">
            <v>--</v>
          </cell>
          <cell r="F33">
            <v>-21.684522170638001</v>
          </cell>
          <cell r="G33">
            <v>5.4688762536175402</v>
          </cell>
          <cell r="H33" t="str">
            <v>--</v>
          </cell>
          <cell r="I33">
            <v>9.8044839999799507</v>
          </cell>
          <cell r="J33">
            <v>2.1002249255993002</v>
          </cell>
          <cell r="K33" t="str">
            <v>--</v>
          </cell>
          <cell r="L33">
            <v>-8.6188404006930295</v>
          </cell>
          <cell r="M33">
            <v>7.2010574471490596</v>
          </cell>
          <cell r="N33">
            <v>52.776284784613601</v>
          </cell>
          <cell r="O33">
            <v>49.275804965264101</v>
          </cell>
          <cell r="P33">
            <v>49.163749854253602</v>
          </cell>
          <cell r="S33" t="str">
            <v>Period 9-05</v>
          </cell>
          <cell r="T33">
            <v>-11.880038170658</v>
          </cell>
          <cell r="U33">
            <v>-1.5007415604879</v>
          </cell>
          <cell r="AF33" t="str">
            <v>Period 9-05</v>
          </cell>
          <cell r="AG33">
            <v>9.8044839999799507</v>
          </cell>
          <cell r="AH33">
            <v>5.2926226537626002</v>
          </cell>
        </row>
        <row r="34">
          <cell r="A34" t="str">
            <v>Period 10</v>
          </cell>
          <cell r="B34" t="str">
            <v>--</v>
          </cell>
          <cell r="C34">
            <v>-13.803655526690401</v>
          </cell>
          <cell r="D34" t="str">
            <v>--</v>
          </cell>
          <cell r="E34" t="str">
            <v>--</v>
          </cell>
          <cell r="F34">
            <v>-25.255663116624898</v>
          </cell>
          <cell r="G34" t="str">
            <v>--</v>
          </cell>
          <cell r="H34" t="str">
            <v>--</v>
          </cell>
          <cell r="I34">
            <v>11.4520075899345</v>
          </cell>
          <cell r="J34" t="str">
            <v>--</v>
          </cell>
          <cell r="K34" t="str">
            <v>--</v>
          </cell>
          <cell r="L34">
            <v>-3.7145931067817601</v>
          </cell>
          <cell r="M34" t="str">
            <v>--</v>
          </cell>
          <cell r="N34">
            <v>52.977814081929402</v>
          </cell>
          <cell r="O34">
            <v>48.192601564458698</v>
          </cell>
          <cell r="P34" t="str">
            <v>--</v>
          </cell>
          <cell r="S34" t="str">
            <v>Period 10-05</v>
          </cell>
          <cell r="T34">
            <v>-13.803655526690401</v>
          </cell>
          <cell r="U34">
            <v>4.9081169560164302</v>
          </cell>
          <cell r="AF34" t="str">
            <v>Period 10-05</v>
          </cell>
          <cell r="AG34">
            <v>11.4520075899345</v>
          </cell>
          <cell r="AH34">
            <v>1.4209178439676899</v>
          </cell>
        </row>
        <row r="35">
          <cell r="A35" t="str">
            <v>Period 11</v>
          </cell>
          <cell r="B35" t="str">
            <v>--</v>
          </cell>
          <cell r="C35">
            <v>-6.5685808698028296</v>
          </cell>
          <cell r="D35" t="str">
            <v>--</v>
          </cell>
          <cell r="E35" t="str">
            <v>--</v>
          </cell>
          <cell r="F35">
            <v>-16.9182809429245</v>
          </cell>
          <cell r="G35" t="str">
            <v>--</v>
          </cell>
          <cell r="H35" t="str">
            <v>--</v>
          </cell>
          <cell r="I35">
            <v>10.349700073121699</v>
          </cell>
          <cell r="J35" t="str">
            <v>--</v>
          </cell>
          <cell r="K35" t="str">
            <v>--</v>
          </cell>
          <cell r="L35">
            <v>-1.7336686438673099</v>
          </cell>
          <cell r="M35" t="str">
            <v>--</v>
          </cell>
          <cell r="N35">
            <v>51.306063374645397</v>
          </cell>
          <cell r="O35">
            <v>48.157971823605003</v>
          </cell>
          <cell r="P35" t="str">
            <v>--</v>
          </cell>
          <cell r="S35" t="str">
            <v>Period 11-05</v>
          </cell>
          <cell r="T35">
            <v>-6.5685808698028296</v>
          </cell>
          <cell r="U35">
            <v>9.4517655535156493</v>
          </cell>
          <cell r="AF35" t="str">
            <v>Period 11-05</v>
          </cell>
          <cell r="AG35">
            <v>10.349700073121699</v>
          </cell>
          <cell r="AH35">
            <v>4.7745985511002296</v>
          </cell>
        </row>
        <row r="36">
          <cell r="A36" t="str">
            <v>Period 12</v>
          </cell>
          <cell r="B36" t="str">
            <v>--</v>
          </cell>
          <cell r="C36">
            <v>-3.6626354296514601</v>
          </cell>
          <cell r="D36" t="str">
            <v>--</v>
          </cell>
          <cell r="E36" t="str">
            <v>--</v>
          </cell>
          <cell r="F36">
            <v>-13.206497461583</v>
          </cell>
          <cell r="G36" t="str">
            <v>--</v>
          </cell>
          <cell r="H36" t="str">
            <v>--</v>
          </cell>
          <cell r="I36">
            <v>9.5438620319315692</v>
          </cell>
          <cell r="J36" t="str">
            <v>--</v>
          </cell>
          <cell r="K36" t="str">
            <v>--</v>
          </cell>
          <cell r="L36">
            <v>-4.0415006404426999</v>
          </cell>
          <cell r="M36" t="str">
            <v>--</v>
          </cell>
          <cell r="N36">
            <v>47.459567766939102</v>
          </cell>
          <cell r="O36">
            <v>44.725229444352003</v>
          </cell>
          <cell r="P36" t="str">
            <v>--</v>
          </cell>
          <cell r="S36" t="str">
            <v>Period 12-05</v>
          </cell>
          <cell r="T36">
            <v>-3.6626354296514601</v>
          </cell>
          <cell r="U36">
            <v>19.094294391595199</v>
          </cell>
          <cell r="AF36" t="str">
            <v>Period 12-05</v>
          </cell>
          <cell r="AG36">
            <v>9.5438620319315692</v>
          </cell>
          <cell r="AH36">
            <v>0.40193918513763899</v>
          </cell>
        </row>
        <row r="37">
          <cell r="A37" t="str">
            <v>Period 13</v>
          </cell>
          <cell r="B37" t="str">
            <v>--</v>
          </cell>
          <cell r="C37">
            <v>5.7209454932353401</v>
          </cell>
          <cell r="D37" t="str">
            <v>--</v>
          </cell>
          <cell r="E37" t="str">
            <v>--</v>
          </cell>
          <cell r="F37">
            <v>-1.4343874909002801</v>
          </cell>
          <cell r="G37" t="str">
            <v>--</v>
          </cell>
          <cell r="H37" t="str">
            <v>--</v>
          </cell>
          <cell r="I37">
            <v>7.1553329841356197</v>
          </cell>
          <cell r="J37" t="str">
            <v>--</v>
          </cell>
          <cell r="K37" t="str">
            <v>--</v>
          </cell>
          <cell r="L37">
            <v>3.7715923876939899</v>
          </cell>
          <cell r="M37" t="str">
            <v>--</v>
          </cell>
          <cell r="N37">
            <v>48.731567641680698</v>
          </cell>
          <cell r="O37">
            <v>48.192850507279502</v>
          </cell>
          <cell r="P37" t="str">
            <v>--</v>
          </cell>
          <cell r="S37" t="str">
            <v>Period 13-05</v>
          </cell>
          <cell r="T37">
            <v>5.7209454932353401</v>
          </cell>
          <cell r="U37">
            <v>5.5374016619486301</v>
          </cell>
          <cell r="AF37" t="str">
            <v>Period 13-05</v>
          </cell>
          <cell r="AG37">
            <v>7.1553329841356197</v>
          </cell>
          <cell r="AH37">
            <v>3.9057284919086701</v>
          </cell>
        </row>
        <row r="38">
          <cell r="S38" t="str">
            <v>Period 1-06</v>
          </cell>
          <cell r="T38">
            <v>-9.3296828002102501</v>
          </cell>
          <cell r="U38">
            <v>1.3108437128260999</v>
          </cell>
          <cell r="AF38" t="str">
            <v>Period 1-06</v>
          </cell>
          <cell r="AG38">
            <v>8.0184386507051606</v>
          </cell>
          <cell r="AH38">
            <v>4.9654511700728801</v>
          </cell>
        </row>
        <row r="39">
          <cell r="B39" t="str">
            <v>Private Label Soup</v>
          </cell>
          <cell r="S39" t="str">
            <v>Period 2-06</v>
          </cell>
          <cell r="T39">
            <v>-0.45434256966089298</v>
          </cell>
          <cell r="U39">
            <v>0.88500254512239496</v>
          </cell>
          <cell r="AF39" t="str">
            <v>Period 2-06</v>
          </cell>
          <cell r="AG39">
            <v>7.2395812579570302</v>
          </cell>
          <cell r="AH39">
            <v>9.3864948487166</v>
          </cell>
        </row>
        <row r="40">
          <cell r="B40" t="str">
            <v>Yr/Yr % Change</v>
          </cell>
          <cell r="S40" t="str">
            <v>Period 3-06</v>
          </cell>
          <cell r="T40">
            <v>6.7940099260479299</v>
          </cell>
          <cell r="U40">
            <v>-5.7212159250128796</v>
          </cell>
          <cell r="AF40" t="str">
            <v>Period 3-06</v>
          </cell>
          <cell r="AG40">
            <v>3.3887250092417101</v>
          </cell>
          <cell r="AH40">
            <v>12.9933911623943</v>
          </cell>
        </row>
        <row r="41">
          <cell r="B41" t="str">
            <v>Sales</v>
          </cell>
          <cell r="E41" t="str">
            <v>Volume</v>
          </cell>
          <cell r="H41" t="str">
            <v>Price/Mix</v>
          </cell>
          <cell r="K41" t="str">
            <v>$ Merchandising</v>
          </cell>
          <cell r="N41" t="str">
            <v>$ Share</v>
          </cell>
          <cell r="S41" t="str">
            <v>Period 4-06</v>
          </cell>
          <cell r="T41">
            <v>10.9998154801968</v>
          </cell>
          <cell r="U41">
            <v>4.0611211394851496</v>
          </cell>
          <cell r="AF41" t="str">
            <v>Period 4-06</v>
          </cell>
          <cell r="AG41">
            <v>1.1651821294626299</v>
          </cell>
          <cell r="AH41">
            <v>7.5293408625621101</v>
          </cell>
        </row>
        <row r="42">
          <cell r="A42" t="str">
            <v>Date</v>
          </cell>
          <cell r="B42">
            <v>2004</v>
          </cell>
          <cell r="C42">
            <v>2005</v>
          </cell>
          <cell r="D42">
            <v>2006</v>
          </cell>
          <cell r="E42">
            <v>2004</v>
          </cell>
          <cell r="F42">
            <v>2005</v>
          </cell>
          <cell r="G42">
            <v>2006</v>
          </cell>
          <cell r="H42">
            <v>2004</v>
          </cell>
          <cell r="I42">
            <v>2005</v>
          </cell>
          <cell r="J42">
            <v>2006</v>
          </cell>
          <cell r="K42">
            <v>2004</v>
          </cell>
          <cell r="L42">
            <v>2005</v>
          </cell>
          <cell r="M42">
            <v>2006</v>
          </cell>
          <cell r="N42">
            <v>2004</v>
          </cell>
          <cell r="O42">
            <v>2005</v>
          </cell>
          <cell r="P42">
            <v>2006</v>
          </cell>
          <cell r="S42" t="str">
            <v>Period 5-06</v>
          </cell>
          <cell r="T42">
            <v>2.6031392356204401</v>
          </cell>
          <cell r="U42">
            <v>9.9141903649978094</v>
          </cell>
          <cell r="AF42" t="str">
            <v>Period 5-06</v>
          </cell>
          <cell r="AG42">
            <v>5.6561783566933501</v>
          </cell>
          <cell r="AH42">
            <v>13.9021169241551</v>
          </cell>
        </row>
        <row r="43">
          <cell r="A43" t="str">
            <v>Period 1</v>
          </cell>
          <cell r="B43" t="str">
            <v>--</v>
          </cell>
          <cell r="C43" t="str">
            <v>--</v>
          </cell>
          <cell r="D43">
            <v>-2.77117583872369</v>
          </cell>
          <cell r="E43" t="str">
            <v>--</v>
          </cell>
          <cell r="F43" t="str">
            <v>--</v>
          </cell>
          <cell r="G43">
            <v>-9.1154619313820007</v>
          </cell>
          <cell r="H43" t="str">
            <v>--</v>
          </cell>
          <cell r="I43" t="str">
            <v>--</v>
          </cell>
          <cell r="J43">
            <v>6.3442860926583204</v>
          </cell>
          <cell r="K43" t="str">
            <v>--</v>
          </cell>
          <cell r="L43" t="str">
            <v>--</v>
          </cell>
          <cell r="M43">
            <v>-3.0804583629754698</v>
          </cell>
          <cell r="N43" t="str">
            <v>--</v>
          </cell>
          <cell r="O43">
            <v>7.2774374171385903</v>
          </cell>
          <cell r="P43">
            <v>7.4963311265013797</v>
          </cell>
          <cell r="S43" t="str">
            <v>Period 6-06</v>
          </cell>
          <cell r="T43">
            <v>1.7205188479497699</v>
          </cell>
          <cell r="U43">
            <v>16.850814685547899</v>
          </cell>
          <cell r="AF43" t="str">
            <v>Period 6-06</v>
          </cell>
          <cell r="AG43">
            <v>5.5058326062895597</v>
          </cell>
          <cell r="AH43">
            <v>3.39677576528848</v>
          </cell>
        </row>
        <row r="44">
          <cell r="A44" t="str">
            <v>Period 2</v>
          </cell>
          <cell r="B44" t="str">
            <v>--</v>
          </cell>
          <cell r="C44" t="str">
            <v>--</v>
          </cell>
          <cell r="D44">
            <v>6.3858347321272602</v>
          </cell>
          <cell r="E44" t="str">
            <v>--</v>
          </cell>
          <cell r="F44" t="str">
            <v>--</v>
          </cell>
          <cell r="G44">
            <v>-1.1632713105358301</v>
          </cell>
          <cell r="H44" t="str">
            <v>--</v>
          </cell>
          <cell r="I44" t="str">
            <v>--</v>
          </cell>
          <cell r="J44">
            <v>7.54910604266309</v>
          </cell>
          <cell r="K44" t="str">
            <v>--</v>
          </cell>
          <cell r="L44" t="str">
            <v>--</v>
          </cell>
          <cell r="M44">
            <v>-2.6674608906966002</v>
          </cell>
          <cell r="N44" t="str">
            <v>--</v>
          </cell>
          <cell r="O44">
            <v>7.7242090295253796</v>
          </cell>
          <cell r="P44">
            <v>8.0792209156902697</v>
          </cell>
          <cell r="S44" t="str">
            <v>Period 7-06</v>
          </cell>
          <cell r="T44">
            <v>0.71227553294003798</v>
          </cell>
          <cell r="U44">
            <v>7.5424110484106599</v>
          </cell>
          <cell r="AF44" t="str">
            <v>Period 7-06</v>
          </cell>
          <cell r="AG44">
            <v>5.8322786260469002</v>
          </cell>
          <cell r="AH44">
            <v>6.8149940903676596</v>
          </cell>
        </row>
        <row r="45">
          <cell r="A45" t="str">
            <v>Period 3</v>
          </cell>
          <cell r="B45" t="str">
            <v>--</v>
          </cell>
          <cell r="C45">
            <v>19.3111544440107</v>
          </cell>
          <cell r="D45">
            <v>11.0827828087945</v>
          </cell>
          <cell r="E45" t="str">
            <v>--</v>
          </cell>
          <cell r="F45">
            <v>21.840758551846999</v>
          </cell>
          <cell r="G45">
            <v>8.3851524312106491</v>
          </cell>
          <cell r="H45" t="str">
            <v>--</v>
          </cell>
          <cell r="I45">
            <v>-2.5296041078363198</v>
          </cell>
          <cell r="J45">
            <v>2.6976303775838102</v>
          </cell>
          <cell r="K45" t="str">
            <v>--</v>
          </cell>
          <cell r="L45">
            <v>1.64835224564526</v>
          </cell>
          <cell r="M45">
            <v>-1.1615649193970601</v>
          </cell>
          <cell r="N45">
            <v>7.73892393567826</v>
          </cell>
          <cell r="O45">
            <v>8.4249622022935196</v>
          </cell>
          <cell r="P45">
            <v>8.9336829928813692</v>
          </cell>
          <cell r="S45" t="str">
            <v>Period 8-06</v>
          </cell>
          <cell r="T45">
            <v>0.84485938307033404</v>
          </cell>
          <cell r="U45">
            <v>5.3142059710677598</v>
          </cell>
          <cell r="AF45" t="str">
            <v>Period 8-06</v>
          </cell>
          <cell r="AG45">
            <v>4.6354520404782802</v>
          </cell>
          <cell r="AH45">
            <v>8.0666179532231901</v>
          </cell>
        </row>
        <row r="46">
          <cell r="A46" t="str">
            <v>Period 4</v>
          </cell>
          <cell r="B46" t="str">
            <v>--</v>
          </cell>
          <cell r="C46">
            <v>8.6948950292189693</v>
          </cell>
          <cell r="D46">
            <v>15.752420379877201</v>
          </cell>
          <cell r="E46" t="str">
            <v>--</v>
          </cell>
          <cell r="F46">
            <v>4.3550678558204696</v>
          </cell>
          <cell r="G46">
            <v>16.665895326430199</v>
          </cell>
          <cell r="H46" t="str">
            <v>--</v>
          </cell>
          <cell r="I46">
            <v>4.3398271733984997</v>
          </cell>
          <cell r="J46">
            <v>-0.91347494655300598</v>
          </cell>
          <cell r="K46" t="str">
            <v>--</v>
          </cell>
          <cell r="L46">
            <v>-6.7494771759257404</v>
          </cell>
          <cell r="M46">
            <v>7.1545493051001099</v>
          </cell>
          <cell r="N46">
            <v>8.3665083704753798</v>
          </cell>
          <cell r="O46">
            <v>9.15241711829343</v>
          </cell>
          <cell r="P46">
            <v>9.7296980071750596</v>
          </cell>
          <cell r="S46" t="str">
            <v>Period 9-06</v>
          </cell>
          <cell r="T46">
            <v>7.5691011792168297</v>
          </cell>
          <cell r="U46">
            <v>5.7489643941555801</v>
          </cell>
          <cell r="AF46" t="str">
            <v>Period 9-06</v>
          </cell>
          <cell r="AG46">
            <v>2.1002249255993002</v>
          </cell>
          <cell r="AH46">
            <v>5.4579878026064597</v>
          </cell>
        </row>
        <row r="47">
          <cell r="A47" t="str">
            <v>Period 5</v>
          </cell>
          <cell r="B47" t="str">
            <v>--</v>
          </cell>
          <cell r="C47">
            <v>18.929557239746799</v>
          </cell>
          <cell r="D47">
            <v>4.5420828603104804</v>
          </cell>
          <cell r="E47" t="str">
            <v>--</v>
          </cell>
          <cell r="F47">
            <v>15.0050493323648</v>
          </cell>
          <cell r="G47">
            <v>2.2349206208690702</v>
          </cell>
          <cell r="H47" t="str">
            <v>--</v>
          </cell>
          <cell r="I47">
            <v>3.9245079073820102</v>
          </cell>
          <cell r="J47">
            <v>2.3071622394414102</v>
          </cell>
          <cell r="K47" t="str">
            <v>--</v>
          </cell>
          <cell r="L47">
            <v>-2.5680319932684301</v>
          </cell>
          <cell r="M47">
            <v>-1.9256897755212401</v>
          </cell>
          <cell r="N47">
            <v>8.9425720805348501</v>
          </cell>
          <cell r="O47">
            <v>9.8933137918683691</v>
          </cell>
          <cell r="P47">
            <v>9.9743574430817308</v>
          </cell>
          <cell r="S47" t="str">
            <v>Period 10-06</v>
          </cell>
          <cell r="T47" t="str">
            <v>--</v>
          </cell>
          <cell r="U47" t="str">
            <v>--</v>
          </cell>
          <cell r="AF47" t="str">
            <v>Period 10-06</v>
          </cell>
          <cell r="AG47" t="str">
            <v>--</v>
          </cell>
          <cell r="AH47" t="str">
            <v>--</v>
          </cell>
        </row>
        <row r="48">
          <cell r="A48" t="str">
            <v>Period 6</v>
          </cell>
          <cell r="B48" t="str">
            <v>--</v>
          </cell>
          <cell r="C48">
            <v>8.1705530778799194</v>
          </cell>
          <cell r="D48">
            <v>8.0988843469765701</v>
          </cell>
          <cell r="E48" t="str">
            <v>--</v>
          </cell>
          <cell r="F48">
            <v>2.8709324974374599</v>
          </cell>
          <cell r="G48">
            <v>7.0436915168174199</v>
          </cell>
          <cell r="H48" t="str">
            <v>--</v>
          </cell>
          <cell r="I48">
            <v>5.2996205804424603</v>
          </cell>
          <cell r="J48">
            <v>1.05519283015916</v>
          </cell>
          <cell r="K48" t="str">
            <v>--</v>
          </cell>
          <cell r="L48">
            <v>-4.6427500965505999</v>
          </cell>
          <cell r="M48">
            <v>3.0178008365423001</v>
          </cell>
          <cell r="N48">
            <v>8.93310366413521</v>
          </cell>
          <cell r="O48">
            <v>9.6639162751816308</v>
          </cell>
          <cell r="P48">
            <v>9.9993864681269802</v>
          </cell>
          <cell r="S48" t="str">
            <v>Period 11-06</v>
          </cell>
          <cell r="T48" t="str">
            <v>--</v>
          </cell>
          <cell r="U48" t="str">
            <v>--</v>
          </cell>
          <cell r="AF48" t="str">
            <v>Period 11-06</v>
          </cell>
          <cell r="AG48" t="str">
            <v>--</v>
          </cell>
          <cell r="AH48" t="str">
            <v>--</v>
          </cell>
        </row>
        <row r="49">
          <cell r="A49" t="str">
            <v>Period 7</v>
          </cell>
          <cell r="B49" t="str">
            <v>--</v>
          </cell>
          <cell r="C49">
            <v>2.7625726761517</v>
          </cell>
          <cell r="D49">
            <v>12.3093150923844</v>
          </cell>
          <cell r="E49" t="str">
            <v>--</v>
          </cell>
          <cell r="F49">
            <v>-0.24870614700181001</v>
          </cell>
          <cell r="G49">
            <v>11.4948590811356</v>
          </cell>
          <cell r="H49" t="str">
            <v>--</v>
          </cell>
          <cell r="I49">
            <v>3.0112788231535101</v>
          </cell>
          <cell r="J49">
            <v>0.81445601124881495</v>
          </cell>
          <cell r="K49" t="str">
            <v>--</v>
          </cell>
          <cell r="L49">
            <v>0.89451047542901896</v>
          </cell>
          <cell r="M49">
            <v>2.5540241345931198</v>
          </cell>
          <cell r="N49">
            <v>9.3536993685294991</v>
          </cell>
          <cell r="O49">
            <v>9.6357664182423406</v>
          </cell>
          <cell r="P49">
            <v>10.4602225499002</v>
          </cell>
          <cell r="S49" t="str">
            <v>Period 12-06</v>
          </cell>
          <cell r="T49" t="str">
            <v>--</v>
          </cell>
          <cell r="U49" t="str">
            <v>--</v>
          </cell>
          <cell r="AF49" t="str">
            <v>Period 12-06</v>
          </cell>
          <cell r="AG49" t="str">
            <v>--</v>
          </cell>
          <cell r="AH49" t="str">
            <v>--</v>
          </cell>
        </row>
        <row r="50">
          <cell r="A50" t="str">
            <v>Period 8</v>
          </cell>
          <cell r="B50" t="str">
            <v>--</v>
          </cell>
          <cell r="C50">
            <v>5.1424609785633599</v>
          </cell>
          <cell r="D50">
            <v>3.1997361200999701</v>
          </cell>
          <cell r="E50" t="str">
            <v>--</v>
          </cell>
          <cell r="F50">
            <v>1.63914963689649</v>
          </cell>
          <cell r="G50">
            <v>1.24553053145283</v>
          </cell>
          <cell r="H50" t="str">
            <v>--</v>
          </cell>
          <cell r="I50">
            <v>3.50331134166687</v>
          </cell>
          <cell r="J50">
            <v>1.9542055886471501</v>
          </cell>
          <cell r="K50" t="str">
            <v>--</v>
          </cell>
          <cell r="L50">
            <v>5.1131707100706203</v>
          </cell>
          <cell r="M50">
            <v>-5.6576784197522096</v>
          </cell>
          <cell r="N50">
            <v>9.0333783635448999</v>
          </cell>
          <cell r="O50">
            <v>10.09667617199</v>
          </cell>
          <cell r="P50">
            <v>10.193816191000399</v>
          </cell>
          <cell r="S50" t="str">
            <v>Period 13-06</v>
          </cell>
          <cell r="T50" t="str">
            <v>--</v>
          </cell>
          <cell r="U50" t="str">
            <v>--</v>
          </cell>
          <cell r="AF50" t="str">
            <v>Period 13-06</v>
          </cell>
          <cell r="AG50" t="str">
            <v>--</v>
          </cell>
          <cell r="AH50" t="str">
            <v>--</v>
          </cell>
        </row>
        <row r="51">
          <cell r="A51" t="str">
            <v>Period 9</v>
          </cell>
          <cell r="B51" t="str">
            <v>--</v>
          </cell>
          <cell r="C51">
            <v>6.5715581093287598</v>
          </cell>
          <cell r="D51">
            <v>16.231725765143398</v>
          </cell>
          <cell r="E51" t="str">
            <v>--</v>
          </cell>
          <cell r="F51">
            <v>3.6044141504529299</v>
          </cell>
          <cell r="G51">
            <v>17.7204463672463</v>
          </cell>
          <cell r="H51" t="str">
            <v>--</v>
          </cell>
          <cell r="I51">
            <v>2.9671439588758299</v>
          </cell>
          <cell r="J51">
            <v>-1.48872060210295</v>
          </cell>
          <cell r="K51" t="str">
            <v>--</v>
          </cell>
          <cell r="L51">
            <v>1.8661634971735701</v>
          </cell>
          <cell r="M51">
            <v>5.0023740673427799</v>
          </cell>
          <cell r="N51">
            <v>8.0172708616645103</v>
          </cell>
          <cell r="O51">
            <v>9.0529158697012395</v>
          </cell>
          <cell r="P51">
            <v>9.7597097797218506</v>
          </cell>
        </row>
        <row r="52">
          <cell r="A52" t="str">
            <v>Period 10</v>
          </cell>
          <cell r="B52" t="str">
            <v>--</v>
          </cell>
          <cell r="C52">
            <v>11.627762320485999</v>
          </cell>
          <cell r="D52" t="str">
            <v>--</v>
          </cell>
          <cell r="E52" t="str">
            <v>--</v>
          </cell>
          <cell r="F52">
            <v>10.4547683331886</v>
          </cell>
          <cell r="G52" t="str">
            <v>--</v>
          </cell>
          <cell r="H52" t="str">
            <v>--</v>
          </cell>
          <cell r="I52">
            <v>1.17299398729738</v>
          </cell>
          <cell r="J52" t="str">
            <v>--</v>
          </cell>
          <cell r="K52" t="str">
            <v>--</v>
          </cell>
          <cell r="L52">
            <v>1.75534983539043</v>
          </cell>
          <cell r="M52" t="str">
            <v>--</v>
          </cell>
          <cell r="N52">
            <v>7.2545176118817798</v>
          </cell>
          <cell r="O52">
            <v>8.5463022226453003</v>
          </cell>
          <cell r="P52" t="str">
            <v>--</v>
          </cell>
        </row>
        <row r="53">
          <cell r="A53" t="str">
            <v>Period 11</v>
          </cell>
          <cell r="B53" t="str">
            <v>--</v>
          </cell>
          <cell r="C53">
            <v>15.5242621551263</v>
          </cell>
          <cell r="D53" t="str">
            <v>--</v>
          </cell>
          <cell r="E53" t="str">
            <v>--</v>
          </cell>
          <cell r="F53">
            <v>12.8293190068412</v>
          </cell>
          <cell r="G53" t="str">
            <v>--</v>
          </cell>
          <cell r="H53" t="str">
            <v>--</v>
          </cell>
          <cell r="I53">
            <v>2.6949431482851098</v>
          </cell>
          <cell r="J53" t="str">
            <v>--</v>
          </cell>
          <cell r="K53" t="str">
            <v>--</v>
          </cell>
          <cell r="L53">
            <v>2.8607499668078402</v>
          </cell>
          <cell r="M53" t="str">
            <v>--</v>
          </cell>
          <cell r="N53">
            <v>7.2689016834603102</v>
          </cell>
          <cell r="O53">
            <v>8.4362326465934903</v>
          </cell>
          <cell r="P53" t="str">
            <v>--</v>
          </cell>
        </row>
        <row r="54">
          <cell r="A54" t="str">
            <v>Period 12</v>
          </cell>
          <cell r="B54" t="str">
            <v>--</v>
          </cell>
          <cell r="C54">
            <v>7.4683933080587801</v>
          </cell>
          <cell r="D54" t="str">
            <v>--</v>
          </cell>
          <cell r="E54" t="str">
            <v>--</v>
          </cell>
          <cell r="F54">
            <v>2.89581757329199</v>
          </cell>
          <cell r="G54" t="str">
            <v>--</v>
          </cell>
          <cell r="H54" t="str">
            <v>--</v>
          </cell>
          <cell r="I54">
            <v>4.5725757347667901</v>
          </cell>
          <cell r="J54" t="str">
            <v>--</v>
          </cell>
          <cell r="K54" t="str">
            <v>--</v>
          </cell>
          <cell r="L54">
            <v>-3.38149677341146</v>
          </cell>
          <cell r="M54" t="str">
            <v>--</v>
          </cell>
          <cell r="N54">
            <v>8.0673389497763903</v>
          </cell>
          <cell r="O54">
            <v>8.4809616120596907</v>
          </cell>
          <cell r="P54" t="str">
            <v>--</v>
          </cell>
        </row>
        <row r="55">
          <cell r="A55" t="str">
            <v>Period 13</v>
          </cell>
          <cell r="B55" t="str">
            <v>--</v>
          </cell>
          <cell r="C55">
            <v>15.476232136647701</v>
          </cell>
          <cell r="D55" t="str">
            <v>--</v>
          </cell>
          <cell r="E55" t="str">
            <v>--</v>
          </cell>
          <cell r="F55">
            <v>11.2435198189758</v>
          </cell>
          <cell r="G55" t="str">
            <v>--</v>
          </cell>
          <cell r="H55" t="str">
            <v>--</v>
          </cell>
          <cell r="I55">
            <v>4.2327123176719397</v>
          </cell>
          <cell r="J55" t="str">
            <v>--</v>
          </cell>
          <cell r="K55" t="str">
            <v>--</v>
          </cell>
          <cell r="L55">
            <v>0.55799037936112195</v>
          </cell>
          <cell r="M55" t="str">
            <v>--</v>
          </cell>
          <cell r="N55">
            <v>7.6788273199354702</v>
          </cell>
          <cell r="O55">
            <v>8.2946621227891502</v>
          </cell>
          <cell r="P55" t="str">
            <v>--</v>
          </cell>
        </row>
        <row r="57">
          <cell r="B57" t="str">
            <v>General Mills Soup</v>
          </cell>
        </row>
        <row r="58">
          <cell r="B58" t="str">
            <v>Yr/Yr % Change</v>
          </cell>
        </row>
        <row r="59">
          <cell r="B59" t="str">
            <v>Sales</v>
          </cell>
          <cell r="E59" t="str">
            <v>Volume</v>
          </cell>
          <cell r="H59" t="str">
            <v>Price/Mix</v>
          </cell>
          <cell r="K59" t="str">
            <v>$ Merchandising</v>
          </cell>
          <cell r="N59" t="str">
            <v>$ Share</v>
          </cell>
        </row>
        <row r="60">
          <cell r="A60" t="str">
            <v>Date</v>
          </cell>
          <cell r="B60">
            <v>2004</v>
          </cell>
          <cell r="C60">
            <v>2005</v>
          </cell>
          <cell r="D60">
            <v>2006</v>
          </cell>
          <cell r="E60">
            <v>2004</v>
          </cell>
          <cell r="F60">
            <v>2005</v>
          </cell>
          <cell r="G60">
            <v>2006</v>
          </cell>
          <cell r="H60">
            <v>2004</v>
          </cell>
          <cell r="I60">
            <v>2005</v>
          </cell>
          <cell r="J60">
            <v>2006</v>
          </cell>
          <cell r="K60">
            <v>2004</v>
          </cell>
          <cell r="L60">
            <v>2005</v>
          </cell>
          <cell r="M60">
            <v>2006</v>
          </cell>
          <cell r="N60">
            <v>2004</v>
          </cell>
          <cell r="O60">
            <v>2005</v>
          </cell>
          <cell r="P60">
            <v>2006</v>
          </cell>
        </row>
        <row r="61">
          <cell r="A61" t="str">
            <v>Period 1</v>
          </cell>
          <cell r="B61" t="str">
            <v>--</v>
          </cell>
          <cell r="C61" t="str">
            <v>--</v>
          </cell>
          <cell r="D61">
            <v>1.3108437128260999</v>
          </cell>
          <cell r="E61" t="str">
            <v>--</v>
          </cell>
          <cell r="F61" t="str">
            <v>--</v>
          </cell>
          <cell r="G61">
            <v>-3.6546074572467702</v>
          </cell>
          <cell r="H61" t="str">
            <v>--</v>
          </cell>
          <cell r="I61" t="str">
            <v>--</v>
          </cell>
          <cell r="J61">
            <v>4.9654511700728801</v>
          </cell>
          <cell r="K61" t="str">
            <v>--</v>
          </cell>
          <cell r="L61" t="str">
            <v>--</v>
          </cell>
          <cell r="M61">
            <v>1.3995677645845901</v>
          </cell>
          <cell r="N61" t="str">
            <v>--</v>
          </cell>
          <cell r="O61">
            <v>14.139823943718</v>
          </cell>
          <cell r="P61">
            <v>15.1766242946803</v>
          </cell>
        </row>
        <row r="62">
          <cell r="A62" t="str">
            <v>Period 2</v>
          </cell>
          <cell r="B62" t="str">
            <v>--</v>
          </cell>
          <cell r="C62" t="str">
            <v>--</v>
          </cell>
          <cell r="D62">
            <v>0.88500254512239496</v>
          </cell>
          <cell r="E62" t="str">
            <v>--</v>
          </cell>
          <cell r="F62" t="str">
            <v>--</v>
          </cell>
          <cell r="G62">
            <v>-8.50149230359421</v>
          </cell>
          <cell r="H62" t="str">
            <v>--</v>
          </cell>
          <cell r="I62" t="str">
            <v>--</v>
          </cell>
          <cell r="J62">
            <v>9.3864948487166</v>
          </cell>
          <cell r="K62" t="str">
            <v>--</v>
          </cell>
          <cell r="L62" t="str">
            <v>--</v>
          </cell>
          <cell r="M62">
            <v>-2.50306585634437</v>
          </cell>
          <cell r="N62" t="str">
            <v>--</v>
          </cell>
          <cell r="O62">
            <v>15.3523830940228</v>
          </cell>
          <cell r="P62">
            <v>15.2276914468685</v>
          </cell>
        </row>
        <row r="63">
          <cell r="A63" t="str">
            <v>Period 3</v>
          </cell>
          <cell r="B63" t="str">
            <v>--</v>
          </cell>
          <cell r="C63">
            <v>37.0106403331989</v>
          </cell>
          <cell r="D63">
            <v>-5.7212159250128796</v>
          </cell>
          <cell r="E63" t="str">
            <v>--</v>
          </cell>
          <cell r="F63">
            <v>39.874755526591798</v>
          </cell>
          <cell r="G63">
            <v>-18.714607087407199</v>
          </cell>
          <cell r="H63" t="str">
            <v>--</v>
          </cell>
          <cell r="I63">
            <v>-2.8641151933929798</v>
          </cell>
          <cell r="J63">
            <v>12.9933911623943</v>
          </cell>
          <cell r="K63" t="str">
            <v>--</v>
          </cell>
          <cell r="L63">
            <v>4.0002003601438503</v>
          </cell>
          <cell r="M63">
            <v>-9.23555765299038</v>
          </cell>
          <cell r="N63">
            <v>10.998170393167401</v>
          </cell>
          <cell r="O63">
            <v>13.749315417005899</v>
          </cell>
          <cell r="P63">
            <v>12.374021700841899</v>
          </cell>
        </row>
        <row r="64">
          <cell r="A64" t="str">
            <v>Period 4</v>
          </cell>
          <cell r="B64" t="str">
            <v>--</v>
          </cell>
          <cell r="C64">
            <v>25.9064225476417</v>
          </cell>
          <cell r="D64">
            <v>4.0611211394851496</v>
          </cell>
          <cell r="E64" t="str">
            <v>--</v>
          </cell>
          <cell r="F64">
            <v>19.500305684841798</v>
          </cell>
          <cell r="G64">
            <v>-3.46821972307696</v>
          </cell>
          <cell r="H64" t="str">
            <v>--</v>
          </cell>
          <cell r="I64">
            <v>6.4061168627999496</v>
          </cell>
          <cell r="J64">
            <v>7.5293408625621101</v>
          </cell>
          <cell r="K64" t="str">
            <v>--</v>
          </cell>
          <cell r="L64">
            <v>-4.7560158657281297</v>
          </cell>
          <cell r="M64">
            <v>-6.3833580196195898</v>
          </cell>
          <cell r="N64">
            <v>8.0919460483990893</v>
          </cell>
          <cell r="O64">
            <v>10.2537628812274</v>
          </cell>
          <cell r="P64">
            <v>9.7995299798810098</v>
          </cell>
        </row>
        <row r="65">
          <cell r="A65" t="str">
            <v>Period 5</v>
          </cell>
          <cell r="B65" t="str">
            <v>--</v>
          </cell>
          <cell r="C65">
            <v>29.655145627541899</v>
          </cell>
          <cell r="D65">
            <v>9.9141903649978094</v>
          </cell>
          <cell r="E65" t="str">
            <v>--</v>
          </cell>
          <cell r="F65">
            <v>17.6660401313931</v>
          </cell>
          <cell r="G65">
            <v>-3.9879265591573301</v>
          </cell>
          <cell r="H65" t="str">
            <v>--</v>
          </cell>
          <cell r="I65">
            <v>11.9891054961489</v>
          </cell>
          <cell r="J65">
            <v>13.9021169241551</v>
          </cell>
          <cell r="K65" t="str">
            <v>--</v>
          </cell>
          <cell r="L65">
            <v>-7.7808312456234203</v>
          </cell>
          <cell r="M65">
            <v>1.8013450413666801</v>
          </cell>
          <cell r="N65">
            <v>8.0081184392140994</v>
          </cell>
          <cell r="O65">
            <v>9.6585020778713595</v>
          </cell>
          <cell r="P65">
            <v>10.2380097256324</v>
          </cell>
        </row>
        <row r="66">
          <cell r="A66" t="str">
            <v>Period 6</v>
          </cell>
          <cell r="B66" t="str">
            <v>--</v>
          </cell>
          <cell r="C66">
            <v>14.357589990248499</v>
          </cell>
          <cell r="D66">
            <v>16.850814685547899</v>
          </cell>
          <cell r="E66" t="str">
            <v>--</v>
          </cell>
          <cell r="F66">
            <v>-0.761107374331492</v>
          </cell>
          <cell r="G66">
            <v>13.4540389202594</v>
          </cell>
          <cell r="H66" t="str">
            <v>--</v>
          </cell>
          <cell r="I66">
            <v>15.118697364579999</v>
          </cell>
          <cell r="J66">
            <v>3.39677576528848</v>
          </cell>
          <cell r="K66" t="str">
            <v>--</v>
          </cell>
          <cell r="L66">
            <v>-12.169220298903401</v>
          </cell>
          <cell r="M66">
            <v>9.1069784741496207</v>
          </cell>
          <cell r="N66">
            <v>7.7664193486195803</v>
          </cell>
          <cell r="O66">
            <v>8.8823435266170705</v>
          </cell>
          <cell r="P66">
            <v>9.9347808977224901</v>
          </cell>
        </row>
        <row r="67">
          <cell r="A67" t="str">
            <v>Period 7</v>
          </cell>
          <cell r="B67" t="str">
            <v>--</v>
          </cell>
          <cell r="C67">
            <v>20.9484304838786</v>
          </cell>
          <cell r="D67">
            <v>7.5424110484106599</v>
          </cell>
          <cell r="E67" t="str">
            <v>--</v>
          </cell>
          <cell r="F67">
            <v>15.516331195811</v>
          </cell>
          <cell r="G67">
            <v>0.727416958042997</v>
          </cell>
          <cell r="H67" t="str">
            <v>--</v>
          </cell>
          <cell r="I67">
            <v>5.4320992880676204</v>
          </cell>
          <cell r="J67">
            <v>6.8149940903676596</v>
          </cell>
          <cell r="K67" t="str">
            <v>--</v>
          </cell>
          <cell r="L67">
            <v>-3.33384763740262</v>
          </cell>
          <cell r="M67">
            <v>-0.80849138557632105</v>
          </cell>
          <cell r="N67">
            <v>7.2717823979322</v>
          </cell>
          <cell r="O67">
            <v>8.8167596010272593</v>
          </cell>
          <cell r="P67">
            <v>9.1648983090970599</v>
          </cell>
        </row>
        <row r="68">
          <cell r="A68" t="str">
            <v>Period 8</v>
          </cell>
          <cell r="B68" t="str">
            <v>--</v>
          </cell>
          <cell r="C68">
            <v>4.8324401810652402</v>
          </cell>
          <cell r="D68">
            <v>5.3142059710677598</v>
          </cell>
          <cell r="E68" t="str">
            <v>--</v>
          </cell>
          <cell r="F68">
            <v>-5.9168476148939997E-2</v>
          </cell>
          <cell r="G68">
            <v>-2.75241198215542</v>
          </cell>
          <cell r="H68" t="str">
            <v>--</v>
          </cell>
          <cell r="I68">
            <v>4.8916086572141797</v>
          </cell>
          <cell r="J68">
            <v>8.0666179532231901</v>
          </cell>
          <cell r="K68" t="str">
            <v>--</v>
          </cell>
          <cell r="L68">
            <v>1.0916245882593301</v>
          </cell>
          <cell r="M68">
            <v>-5.7936884227707397</v>
          </cell>
          <cell r="N68">
            <v>8.3405248318653804</v>
          </cell>
          <cell r="O68">
            <v>9.2947810337729493</v>
          </cell>
          <cell r="P68">
            <v>9.5764799760336707</v>
          </cell>
        </row>
        <row r="69">
          <cell r="A69" t="str">
            <v>Period 9</v>
          </cell>
          <cell r="B69" t="str">
            <v>--</v>
          </cell>
          <cell r="C69">
            <v>-1.5007415604879</v>
          </cell>
          <cell r="D69">
            <v>5.7489643941555801</v>
          </cell>
          <cell r="E69" t="str">
            <v>--</v>
          </cell>
          <cell r="F69">
            <v>-6.7933642142505102</v>
          </cell>
          <cell r="G69">
            <v>0.29097659154912298</v>
          </cell>
          <cell r="H69" t="str">
            <v>--</v>
          </cell>
          <cell r="I69">
            <v>5.2926226537626002</v>
          </cell>
          <cell r="J69">
            <v>5.4579878026064597</v>
          </cell>
          <cell r="K69" t="str">
            <v>--</v>
          </cell>
          <cell r="L69">
            <v>-6.5551451919050603</v>
          </cell>
          <cell r="M69">
            <v>-7.6405810801812697</v>
          </cell>
          <cell r="N69">
            <v>9.9413009388471192</v>
          </cell>
          <cell r="O69">
            <v>10.3752075754849</v>
          </cell>
          <cell r="P69">
            <v>10.1764581343619</v>
          </cell>
        </row>
        <row r="70">
          <cell r="A70" t="str">
            <v>Period 10</v>
          </cell>
          <cell r="B70" t="str">
            <v>--</v>
          </cell>
          <cell r="C70">
            <v>4.9081169560164302</v>
          </cell>
          <cell r="D70" t="str">
            <v>--</v>
          </cell>
          <cell r="E70" t="str">
            <v>--</v>
          </cell>
          <cell r="F70">
            <v>3.48719911204874</v>
          </cell>
          <cell r="G70" t="str">
            <v>--</v>
          </cell>
          <cell r="H70" t="str">
            <v>--</v>
          </cell>
          <cell r="I70">
            <v>1.4209178439676899</v>
          </cell>
          <cell r="J70" t="str">
            <v>--</v>
          </cell>
          <cell r="K70" t="str">
            <v>--</v>
          </cell>
          <cell r="L70">
            <v>-5.5013020089526101</v>
          </cell>
          <cell r="M70" t="str">
            <v>--</v>
          </cell>
          <cell r="N70">
            <v>12.7521777793075</v>
          </cell>
          <cell r="O70">
            <v>14.1185773888516</v>
          </cell>
          <cell r="P70" t="str">
            <v>--</v>
          </cell>
        </row>
        <row r="71">
          <cell r="A71" t="str">
            <v>Period 11</v>
          </cell>
          <cell r="B71" t="str">
            <v>--</v>
          </cell>
          <cell r="C71">
            <v>9.4517655535156493</v>
          </cell>
          <cell r="D71" t="str">
            <v>--</v>
          </cell>
          <cell r="E71" t="str">
            <v>--</v>
          </cell>
          <cell r="F71">
            <v>4.6771670024154197</v>
          </cell>
          <cell r="G71" t="str">
            <v>--</v>
          </cell>
          <cell r="H71" t="str">
            <v>--</v>
          </cell>
          <cell r="I71">
            <v>4.7745985511002296</v>
          </cell>
          <cell r="J71" t="str">
            <v>--</v>
          </cell>
          <cell r="K71" t="str">
            <v>--</v>
          </cell>
          <cell r="L71">
            <v>-6.4825793345538596</v>
          </cell>
          <cell r="M71" t="str">
            <v>--</v>
          </cell>
          <cell r="N71">
            <v>12.8469443203066</v>
          </cell>
          <cell r="O71">
            <v>14.126324000970101</v>
          </cell>
          <cell r="P71" t="str">
            <v>--</v>
          </cell>
        </row>
        <row r="72">
          <cell r="A72" t="str">
            <v>Period 12</v>
          </cell>
          <cell r="B72" t="str">
            <v>--</v>
          </cell>
          <cell r="C72">
            <v>19.094294391595199</v>
          </cell>
          <cell r="D72" t="str">
            <v>--</v>
          </cell>
          <cell r="E72" t="str">
            <v>--</v>
          </cell>
          <cell r="F72">
            <v>18.692355206457499</v>
          </cell>
          <cell r="G72" t="str">
            <v>--</v>
          </cell>
          <cell r="H72" t="str">
            <v>--</v>
          </cell>
          <cell r="I72">
            <v>0.40193918513763899</v>
          </cell>
          <cell r="J72" t="str">
            <v>--</v>
          </cell>
          <cell r="K72" t="str">
            <v>--</v>
          </cell>
          <cell r="L72">
            <v>0.186919943508258</v>
          </cell>
          <cell r="M72" t="str">
            <v>--</v>
          </cell>
          <cell r="N72">
            <v>11.1972533891011</v>
          </cell>
          <cell r="O72">
            <v>13.0447721870582</v>
          </cell>
          <cell r="P72" t="str">
            <v>--</v>
          </cell>
        </row>
        <row r="73">
          <cell r="A73" t="str">
            <v>Period 13</v>
          </cell>
          <cell r="B73" t="str">
            <v>--</v>
          </cell>
          <cell r="C73">
            <v>5.5374016619486301</v>
          </cell>
          <cell r="D73" t="str">
            <v>--</v>
          </cell>
          <cell r="E73" t="str">
            <v>--</v>
          </cell>
          <cell r="F73">
            <v>1.63167317003997</v>
          </cell>
          <cell r="G73" t="str">
            <v>--</v>
          </cell>
          <cell r="H73" t="str">
            <v>--</v>
          </cell>
          <cell r="I73">
            <v>3.9057284919086701</v>
          </cell>
          <cell r="J73" t="str">
            <v>--</v>
          </cell>
          <cell r="K73" t="str">
            <v>--</v>
          </cell>
          <cell r="L73">
            <v>-2.9002237246547198</v>
          </cell>
          <cell r="M73" t="str">
            <v>--</v>
          </cell>
          <cell r="N73">
            <v>12.090373475533999</v>
          </cell>
          <cell r="O73">
            <v>11.9359587152511</v>
          </cell>
          <cell r="P73" t="str">
            <v>--</v>
          </cell>
        </row>
        <row r="75">
          <cell r="B75" t="str">
            <v>All Other Soup</v>
          </cell>
        </row>
        <row r="76">
          <cell r="B76" t="str">
            <v>Yr/Yr % Change</v>
          </cell>
        </row>
        <row r="77">
          <cell r="B77" t="str">
            <v>Sales</v>
          </cell>
          <cell r="E77" t="str">
            <v>Volume</v>
          </cell>
          <cell r="H77" t="str">
            <v>Price/Mix</v>
          </cell>
          <cell r="K77" t="str">
            <v>$ Merchandising</v>
          </cell>
          <cell r="N77" t="str">
            <v>$ Share</v>
          </cell>
        </row>
        <row r="78">
          <cell r="A78" t="str">
            <v>Date</v>
          </cell>
          <cell r="B78">
            <v>2004</v>
          </cell>
          <cell r="C78">
            <v>2005</v>
          </cell>
          <cell r="D78">
            <v>2006</v>
          </cell>
          <cell r="E78">
            <v>2004</v>
          </cell>
          <cell r="F78">
            <v>2005</v>
          </cell>
          <cell r="G78">
            <v>2006</v>
          </cell>
          <cell r="H78">
            <v>2004</v>
          </cell>
          <cell r="I78">
            <v>2005</v>
          </cell>
          <cell r="J78">
            <v>2006</v>
          </cell>
          <cell r="K78">
            <v>2004</v>
          </cell>
          <cell r="L78">
            <v>2005</v>
          </cell>
          <cell r="M78">
            <v>2006</v>
          </cell>
          <cell r="N78">
            <v>2004</v>
          </cell>
          <cell r="O78">
            <v>2005</v>
          </cell>
          <cell r="P78">
            <v>2006</v>
          </cell>
        </row>
        <row r="79">
          <cell r="A79" t="str">
            <v>Period 1</v>
          </cell>
          <cell r="B79" t="str">
            <v>--</v>
          </cell>
          <cell r="C79" t="str">
            <v>--</v>
          </cell>
          <cell r="D79">
            <v>-6.1399150718200701</v>
          </cell>
          <cell r="E79" t="str">
            <v>--</v>
          </cell>
          <cell r="F79" t="str">
            <v>--</v>
          </cell>
          <cell r="G79">
            <v>-12.5247994027046</v>
          </cell>
          <cell r="H79" t="str">
            <v>--</v>
          </cell>
          <cell r="I79" t="str">
            <v>--</v>
          </cell>
          <cell r="J79">
            <v>6.3848843308845602</v>
          </cell>
          <cell r="K79" t="str">
            <v>--</v>
          </cell>
          <cell r="L79" t="str">
            <v>--</v>
          </cell>
          <cell r="M79">
            <v>2.3114176461012099</v>
          </cell>
          <cell r="N79" t="str">
            <v>--</v>
          </cell>
          <cell r="O79">
            <v>170.435891023723</v>
          </cell>
          <cell r="P79">
            <v>169.47952850403499</v>
          </cell>
        </row>
        <row r="80">
          <cell r="A80" t="str">
            <v>Period 2</v>
          </cell>
          <cell r="B80" t="str">
            <v>--</v>
          </cell>
          <cell r="C80" t="str">
            <v>--</v>
          </cell>
          <cell r="D80">
            <v>1.0362515444893601</v>
          </cell>
          <cell r="E80" t="str">
            <v>--</v>
          </cell>
          <cell r="F80" t="str">
            <v>--</v>
          </cell>
          <cell r="G80">
            <v>-5.8576891787849403</v>
          </cell>
          <cell r="H80" t="str">
            <v>--</v>
          </cell>
          <cell r="I80" t="str">
            <v>--</v>
          </cell>
          <cell r="J80">
            <v>6.8939407232742997</v>
          </cell>
          <cell r="K80" t="str">
            <v>--</v>
          </cell>
          <cell r="L80" t="str">
            <v>--</v>
          </cell>
          <cell r="M80">
            <v>-1.0055046555354299</v>
          </cell>
          <cell r="N80" t="str">
            <v>--</v>
          </cell>
          <cell r="O80">
            <v>170.11438993998601</v>
          </cell>
          <cell r="P80">
            <v>168.985693176914</v>
          </cell>
        </row>
        <row r="81">
          <cell r="A81" t="str">
            <v>Period 3</v>
          </cell>
          <cell r="B81" t="str">
            <v>--</v>
          </cell>
          <cell r="C81">
            <v>9.2172315917827294</v>
          </cell>
          <cell r="D81">
            <v>4.5614617097259096</v>
          </cell>
          <cell r="E81" t="str">
            <v>--</v>
          </cell>
          <cell r="F81">
            <v>4.7190121240353697</v>
          </cell>
          <cell r="G81">
            <v>-0.71921603063239004</v>
          </cell>
          <cell r="H81" t="str">
            <v>--</v>
          </cell>
          <cell r="I81">
            <v>4.4982194677473704</v>
          </cell>
          <cell r="J81">
            <v>5.2806777403582998</v>
          </cell>
          <cell r="K81" t="str">
            <v>--</v>
          </cell>
          <cell r="L81">
            <v>-4.4733790049228297</v>
          </cell>
          <cell r="M81">
            <v>2.01552324943858</v>
          </cell>
          <cell r="N81">
            <v>168.32985761386601</v>
          </cell>
          <cell r="O81">
            <v>167.74850375987299</v>
          </cell>
          <cell r="P81">
            <v>167.434953745744</v>
          </cell>
        </row>
        <row r="82">
          <cell r="A82" t="str">
            <v>Period 4</v>
          </cell>
          <cell r="B82" t="str">
            <v>--</v>
          </cell>
          <cell r="C82">
            <v>-82.137557355271596</v>
          </cell>
          <cell r="D82">
            <v>2.8665449917879302</v>
          </cell>
          <cell r="E82" t="str">
            <v>--</v>
          </cell>
          <cell r="F82">
            <v>-86.286168830738603</v>
          </cell>
          <cell r="G82">
            <v>3.0369135806535601</v>
          </cell>
          <cell r="H82" t="str">
            <v>--</v>
          </cell>
          <cell r="I82">
            <v>4.1486114754670096</v>
          </cell>
          <cell r="J82">
            <v>-0.17036858886562301</v>
          </cell>
          <cell r="K82" t="str">
            <v>--</v>
          </cell>
          <cell r="L82">
            <v>-1.32531518864787</v>
          </cell>
          <cell r="M82">
            <v>1.21679051729781</v>
          </cell>
          <cell r="N82">
            <v>165.43217041819199</v>
          </cell>
          <cell r="O82">
            <v>29.740154631000198</v>
          </cell>
          <cell r="P82">
            <v>28.096411225848101</v>
          </cell>
        </row>
        <row r="83">
          <cell r="A83" t="str">
            <v>Period 5</v>
          </cell>
          <cell r="B83" t="str">
            <v>--</v>
          </cell>
          <cell r="C83">
            <v>-81.004605422172503</v>
          </cell>
          <cell r="D83">
            <v>2.4817750536322598</v>
          </cell>
          <cell r="E83" t="str">
            <v>--</v>
          </cell>
          <cell r="F83">
            <v>-85.081167665032098</v>
          </cell>
          <cell r="G83">
            <v>1.8516003859391901</v>
          </cell>
          <cell r="H83" t="str">
            <v>--</v>
          </cell>
          <cell r="I83">
            <v>4.0765622428595698</v>
          </cell>
          <cell r="J83">
            <v>0.63017466769306396</v>
          </cell>
          <cell r="K83" t="str">
            <v>--</v>
          </cell>
          <cell r="L83">
            <v>2.3907351488876598</v>
          </cell>
          <cell r="M83">
            <v>0.93274902507851498</v>
          </cell>
          <cell r="N83">
            <v>165.51973078030801</v>
          </cell>
          <cell r="O83">
            <v>29.2474241354127</v>
          </cell>
          <cell r="P83">
            <v>28.905884111964198</v>
          </cell>
        </row>
        <row r="84">
          <cell r="A84" t="str">
            <v>Period 6</v>
          </cell>
          <cell r="B84" t="str">
            <v>--</v>
          </cell>
          <cell r="C84">
            <v>-81.309844675252094</v>
          </cell>
          <cell r="D84">
            <v>3.4747003432228198</v>
          </cell>
          <cell r="E84" t="str">
            <v>--</v>
          </cell>
          <cell r="F84">
            <v>-84.902135114668198</v>
          </cell>
          <cell r="G84">
            <v>1.3028674781880101</v>
          </cell>
          <cell r="H84" t="str">
            <v>--</v>
          </cell>
          <cell r="I84">
            <v>3.5922904394161499</v>
          </cell>
          <cell r="J84">
            <v>2.1718328650348102</v>
          </cell>
          <cell r="K84" t="str">
            <v>--</v>
          </cell>
          <cell r="L84">
            <v>4.2942787310804702</v>
          </cell>
          <cell r="M84">
            <v>-1.3618813460793899</v>
          </cell>
          <cell r="N84">
            <v>164.644715661432</v>
          </cell>
          <cell r="O84">
            <v>30.775310382883301</v>
          </cell>
          <cell r="P84">
            <v>30.481448589432901</v>
          </cell>
        </row>
        <row r="85">
          <cell r="A85" t="str">
            <v>Period 7</v>
          </cell>
          <cell r="B85" t="str">
            <v>--</v>
          </cell>
          <cell r="C85">
            <v>-80.766966773618606</v>
          </cell>
          <cell r="D85">
            <v>2.6123704459000598</v>
          </cell>
          <cell r="E85" t="str">
            <v>--</v>
          </cell>
          <cell r="F85">
            <v>-83.655534215988794</v>
          </cell>
          <cell r="G85">
            <v>-2.3565401880909702</v>
          </cell>
          <cell r="H85" t="str">
            <v>--</v>
          </cell>
          <cell r="I85">
            <v>2.8885674423702001</v>
          </cell>
          <cell r="J85">
            <v>4.9689106339910296</v>
          </cell>
          <cell r="K85" t="str">
            <v>--</v>
          </cell>
          <cell r="L85">
            <v>8.1831294451221606</v>
          </cell>
          <cell r="M85">
            <v>-1.1054653430211301</v>
          </cell>
          <cell r="N85">
            <v>163.43827180366901</v>
          </cell>
          <cell r="O85">
            <v>31.511525714145002</v>
          </cell>
          <cell r="P85">
            <v>31.2541745820694</v>
          </cell>
        </row>
        <row r="86">
          <cell r="A86" t="str">
            <v>Period 8</v>
          </cell>
          <cell r="B86" t="str">
            <v>--</v>
          </cell>
          <cell r="C86">
            <v>-82.830114452993399</v>
          </cell>
          <cell r="D86">
            <v>2.0080449761719401</v>
          </cell>
          <cell r="E86" t="str">
            <v>--</v>
          </cell>
          <cell r="F86">
            <v>-85.362744779686906</v>
          </cell>
          <cell r="G86">
            <v>-2.89394737047146</v>
          </cell>
          <cell r="H86" t="str">
            <v>--</v>
          </cell>
          <cell r="I86">
            <v>2.53263032669346</v>
          </cell>
          <cell r="J86">
            <v>4.9019923466434001</v>
          </cell>
          <cell r="K86" t="str">
            <v>--</v>
          </cell>
          <cell r="L86">
            <v>0.91264928710737103</v>
          </cell>
          <cell r="M86">
            <v>-1.14819560795274</v>
          </cell>
          <cell r="N86">
            <v>165.91805935836501</v>
          </cell>
          <cell r="O86">
            <v>30.283854299274399</v>
          </cell>
          <cell r="P86">
            <v>30.2221499731113</v>
          </cell>
        </row>
        <row r="87">
          <cell r="A87" t="str">
            <v>Period 9</v>
          </cell>
          <cell r="B87" t="str">
            <v>--</v>
          </cell>
          <cell r="C87">
            <v>-84.942895564321404</v>
          </cell>
          <cell r="D87">
            <v>5.2574146989061097</v>
          </cell>
          <cell r="E87" t="str">
            <v>--</v>
          </cell>
          <cell r="F87">
            <v>-88.418363155577893</v>
          </cell>
          <cell r="G87">
            <v>2.77599664842307</v>
          </cell>
          <cell r="H87" t="str">
            <v>--</v>
          </cell>
          <cell r="I87">
            <v>3.4754675912564998</v>
          </cell>
          <cell r="J87">
            <v>2.4814180504830499</v>
          </cell>
          <cell r="K87" t="str">
            <v>--</v>
          </cell>
          <cell r="L87">
            <v>-9.2077677749461699</v>
          </cell>
          <cell r="M87">
            <v>-2.0752517968731299</v>
          </cell>
          <cell r="N87">
            <v>169.54250124838501</v>
          </cell>
          <cell r="O87">
            <v>27.0483427669154</v>
          </cell>
          <cell r="P87">
            <v>26.406880070642998</v>
          </cell>
        </row>
        <row r="88">
          <cell r="A88" t="str">
            <v>Period 10</v>
          </cell>
          <cell r="B88" t="str">
            <v>--</v>
          </cell>
          <cell r="C88">
            <v>-6.5993769955413599</v>
          </cell>
          <cell r="D88" t="str">
            <v>--</v>
          </cell>
          <cell r="E88" t="str">
            <v>--</v>
          </cell>
          <cell r="F88">
            <v>-14.183130411792201</v>
          </cell>
          <cell r="G88" t="str">
            <v>--</v>
          </cell>
          <cell r="H88" t="str">
            <v>--</v>
          </cell>
          <cell r="I88">
            <v>7.5837534162508602</v>
          </cell>
          <cell r="J88" t="str">
            <v>--</v>
          </cell>
          <cell r="K88" t="str">
            <v>--</v>
          </cell>
          <cell r="L88">
            <v>-2.7696388613326901</v>
          </cell>
          <cell r="M88" t="str">
            <v>--</v>
          </cell>
          <cell r="N88">
            <v>171.77640348167799</v>
          </cell>
          <cell r="O88">
            <v>169.320977487134</v>
          </cell>
          <cell r="P88" t="str">
            <v>--</v>
          </cell>
        </row>
        <row r="89">
          <cell r="A89" t="str">
            <v>Period 11</v>
          </cell>
          <cell r="B89" t="str">
            <v>--</v>
          </cell>
          <cell r="C89">
            <v>-0.96541616059497204</v>
          </cell>
          <cell r="D89" t="str">
            <v>--</v>
          </cell>
          <cell r="E89" t="str">
            <v>--</v>
          </cell>
          <cell r="F89">
            <v>-8.1865956478841202</v>
          </cell>
          <cell r="G89" t="str">
            <v>--</v>
          </cell>
          <cell r="H89" t="str">
            <v>--</v>
          </cell>
          <cell r="I89">
            <v>7.2211794872891497</v>
          </cell>
          <cell r="J89" t="str">
            <v>--</v>
          </cell>
          <cell r="K89" t="str">
            <v>--</v>
          </cell>
          <cell r="L89">
            <v>-1.56187495913709</v>
          </cell>
          <cell r="M89" t="str">
            <v>--</v>
          </cell>
          <cell r="N89">
            <v>170.00471194427601</v>
          </cell>
          <cell r="O89">
            <v>169.14314023798599</v>
          </cell>
          <cell r="P89" t="str">
            <v>--</v>
          </cell>
        </row>
        <row r="90">
          <cell r="A90" t="str">
            <v>Period 12</v>
          </cell>
          <cell r="B90" t="str">
            <v>--</v>
          </cell>
          <cell r="C90">
            <v>1.81881671293821</v>
          </cell>
          <cell r="D90" t="str">
            <v>--</v>
          </cell>
          <cell r="E90" t="str">
            <v>--</v>
          </cell>
          <cell r="F90">
            <v>-4.3446982270147796</v>
          </cell>
          <cell r="G90" t="str">
            <v>--</v>
          </cell>
          <cell r="H90" t="str">
            <v>--</v>
          </cell>
          <cell r="I90">
            <v>6.163514939953</v>
          </cell>
          <cell r="J90" t="str">
            <v>--</v>
          </cell>
          <cell r="K90" t="str">
            <v>--</v>
          </cell>
          <cell r="L90">
            <v>-2.5406152510551201</v>
          </cell>
          <cell r="M90" t="str">
            <v>--</v>
          </cell>
          <cell r="N90">
            <v>164.86445455172799</v>
          </cell>
          <cell r="O90">
            <v>164.20603434239899</v>
          </cell>
          <cell r="P90" t="str">
            <v>--</v>
          </cell>
        </row>
        <row r="91">
          <cell r="A91" t="str">
            <v>Period 13</v>
          </cell>
          <cell r="B91" t="str">
            <v>--</v>
          </cell>
          <cell r="C91">
            <v>6.6886825089264201</v>
          </cell>
          <cell r="D91" t="str">
            <v>--</v>
          </cell>
          <cell r="E91" t="str">
            <v>--</v>
          </cell>
          <cell r="F91">
            <v>1.6248727255928399</v>
          </cell>
          <cell r="G91" t="str">
            <v>--</v>
          </cell>
          <cell r="H91" t="str">
            <v>--</v>
          </cell>
          <cell r="I91">
            <v>5.0638097833335802</v>
          </cell>
          <cell r="J91" t="str">
            <v>--</v>
          </cell>
          <cell r="K91" t="str">
            <v>--</v>
          </cell>
          <cell r="L91">
            <v>1.6297511724944</v>
          </cell>
          <cell r="M91" t="str">
            <v>--</v>
          </cell>
          <cell r="N91">
            <v>167.13314363353999</v>
          </cell>
          <cell r="O91">
            <v>166.798495042762</v>
          </cell>
          <cell r="P91" t="str">
            <v>--</v>
          </cell>
        </row>
        <row r="93">
          <cell r="A93" t="str">
            <v>CATEGORY - SOUP - Historical Statistics - 12 Week Data - TOTAL U.S. - FD / DG / MM</v>
          </cell>
        </row>
        <row r="95">
          <cell r="B95" t="str">
            <v>Category</v>
          </cell>
        </row>
        <row r="96">
          <cell r="B96" t="str">
            <v>Yr/Yr % Change</v>
          </cell>
        </row>
        <row r="97">
          <cell r="B97" t="str">
            <v>Sales</v>
          </cell>
          <cell r="D97" t="str">
            <v>Volume</v>
          </cell>
          <cell r="F97" t="str">
            <v>Price/Mix</v>
          </cell>
          <cell r="H97" t="str">
            <v>$ Merchandising</v>
          </cell>
        </row>
        <row r="98">
          <cell r="A98" t="str">
            <v>Date</v>
          </cell>
          <cell r="B98">
            <v>2005</v>
          </cell>
          <cell r="C98">
            <v>2006</v>
          </cell>
          <cell r="D98">
            <v>2005</v>
          </cell>
          <cell r="E98">
            <v>2006</v>
          </cell>
          <cell r="F98">
            <v>2005</v>
          </cell>
          <cell r="G98">
            <v>2006</v>
          </cell>
          <cell r="H98">
            <v>2005</v>
          </cell>
          <cell r="I98">
            <v>2006</v>
          </cell>
        </row>
        <row r="99">
          <cell r="A99" t="str">
            <v>Period 1</v>
          </cell>
          <cell r="B99" t="str">
            <v>--</v>
          </cell>
          <cell r="C99" t="str">
            <v>--</v>
          </cell>
          <cell r="D99" t="str">
            <v>--</v>
          </cell>
          <cell r="E99" t="str">
            <v>--</v>
          </cell>
          <cell r="F99" t="str">
            <v>--</v>
          </cell>
          <cell r="G99" t="str">
            <v>--</v>
          </cell>
          <cell r="H99" t="str">
            <v>--</v>
          </cell>
          <cell r="I99" t="str">
            <v>--</v>
          </cell>
        </row>
        <row r="100">
          <cell r="A100" t="str">
            <v>Period 2</v>
          </cell>
          <cell r="B100" t="str">
            <v>--</v>
          </cell>
          <cell r="C100" t="str">
            <v>--</v>
          </cell>
          <cell r="D100" t="str">
            <v>--</v>
          </cell>
          <cell r="E100" t="str">
            <v>--</v>
          </cell>
          <cell r="F100" t="str">
            <v>--</v>
          </cell>
          <cell r="G100" t="str">
            <v>--</v>
          </cell>
          <cell r="H100" t="str">
            <v>--</v>
          </cell>
          <cell r="I100" t="str">
            <v>--</v>
          </cell>
        </row>
        <row r="101">
          <cell r="A101" t="str">
            <v>Period 3</v>
          </cell>
          <cell r="B101" t="str">
            <v>--</v>
          </cell>
          <cell r="C101">
            <v>-0.31855478456525099</v>
          </cell>
          <cell r="D101" t="str">
            <v>--</v>
          </cell>
          <cell r="E101">
            <v>-6.1539767937479599</v>
          </cell>
          <cell r="F101" t="str">
            <v>--</v>
          </cell>
          <cell r="G101">
            <v>5.83542200918271</v>
          </cell>
          <cell r="H101" t="str">
            <v>--</v>
          </cell>
          <cell r="I101">
            <v>0.77497480859656798</v>
          </cell>
        </row>
        <row r="102">
          <cell r="A102" t="str">
            <v>Period 4</v>
          </cell>
          <cell r="B102" t="str">
            <v>--</v>
          </cell>
          <cell r="C102">
            <v>4.6334229125431596</v>
          </cell>
          <cell r="D102" t="str">
            <v>--</v>
          </cell>
          <cell r="E102">
            <v>0.33631297757239098</v>
          </cell>
          <cell r="F102" t="str">
            <v>--</v>
          </cell>
          <cell r="G102">
            <v>4.29710993497077</v>
          </cell>
          <cell r="H102" t="str">
            <v>--</v>
          </cell>
          <cell r="I102">
            <v>1.3007987240632499</v>
          </cell>
        </row>
        <row r="103">
          <cell r="A103" t="str">
            <v>Period 5</v>
          </cell>
          <cell r="B103" t="str">
            <v>--</v>
          </cell>
          <cell r="C103">
            <v>5.7853985862675197</v>
          </cell>
          <cell r="D103" t="str">
            <v>--</v>
          </cell>
          <cell r="E103">
            <v>2.4837669306977501</v>
          </cell>
          <cell r="F103" t="str">
            <v>--</v>
          </cell>
          <cell r="G103">
            <v>3.30163165556977</v>
          </cell>
          <cell r="H103" t="str">
            <v>--</v>
          </cell>
          <cell r="I103">
            <v>2.4534265861940301</v>
          </cell>
        </row>
        <row r="104">
          <cell r="A104" t="str">
            <v>Period 6</v>
          </cell>
          <cell r="B104" t="str">
            <v>--</v>
          </cell>
          <cell r="C104">
            <v>5.8918325246693897</v>
          </cell>
          <cell r="D104" t="str">
            <v>--</v>
          </cell>
          <cell r="E104">
            <v>3.4331299524324201</v>
          </cell>
          <cell r="F104" t="str">
            <v>--</v>
          </cell>
          <cell r="G104">
            <v>2.4587025722369602</v>
          </cell>
          <cell r="H104" t="str">
            <v>--</v>
          </cell>
          <cell r="I104">
            <v>2.5037371531355199</v>
          </cell>
        </row>
        <row r="105">
          <cell r="A105" t="str">
            <v>Period 7</v>
          </cell>
          <cell r="B105" t="str">
            <v>--</v>
          </cell>
          <cell r="C105">
            <v>3.87303468545382</v>
          </cell>
          <cell r="D105" t="str">
            <v>--</v>
          </cell>
          <cell r="E105">
            <v>-0.241846546461253</v>
          </cell>
          <cell r="F105" t="str">
            <v>--</v>
          </cell>
          <cell r="G105">
            <v>4.1148812319150796</v>
          </cell>
          <cell r="H105" t="str">
            <v>--</v>
          </cell>
          <cell r="I105">
            <v>0.225146857458874</v>
          </cell>
        </row>
        <row r="106">
          <cell r="A106" t="str">
            <v>Period 8</v>
          </cell>
          <cell r="B106" t="str">
            <v>--</v>
          </cell>
          <cell r="C106">
            <v>3.3784648059553199</v>
          </cell>
          <cell r="D106" t="str">
            <v>--</v>
          </cell>
          <cell r="E106">
            <v>-0.72709733382254405</v>
          </cell>
          <cell r="F106" t="str">
            <v>--</v>
          </cell>
          <cell r="G106">
            <v>4.1055621397778603</v>
          </cell>
          <cell r="H106" t="str">
            <v>--</v>
          </cell>
          <cell r="I106">
            <v>-0.31134253533329598</v>
          </cell>
        </row>
        <row r="107">
          <cell r="A107" t="str">
            <v>Period 9</v>
          </cell>
          <cell r="B107" t="str">
            <v>--</v>
          </cell>
          <cell r="C107">
            <v>4.76693150767146</v>
          </cell>
          <cell r="D107" t="str">
            <v>--</v>
          </cell>
          <cell r="E107">
            <v>1.5310008578216801</v>
          </cell>
          <cell r="F107" t="str">
            <v>--</v>
          </cell>
          <cell r="G107">
            <v>3.23593064984978</v>
          </cell>
          <cell r="H107" t="str">
            <v>--</v>
          </cell>
          <cell r="I107">
            <v>0.68124554960215999</v>
          </cell>
        </row>
        <row r="108">
          <cell r="A108" t="str">
            <v>Period 10</v>
          </cell>
          <cell r="B108" t="str">
            <v>--</v>
          </cell>
          <cell r="C108" t="str">
            <v>--</v>
          </cell>
          <cell r="D108" t="str">
            <v>--</v>
          </cell>
          <cell r="E108" t="str">
            <v>--</v>
          </cell>
          <cell r="F108" t="str">
            <v>--</v>
          </cell>
          <cell r="G108" t="str">
            <v>--</v>
          </cell>
          <cell r="H108" t="str">
            <v>--</v>
          </cell>
          <cell r="I108" t="str">
            <v>--</v>
          </cell>
        </row>
        <row r="109">
          <cell r="A109" t="str">
            <v>Period 11</v>
          </cell>
          <cell r="B109" t="str">
            <v>--</v>
          </cell>
          <cell r="C109" t="str">
            <v>--</v>
          </cell>
          <cell r="D109" t="str">
            <v>--</v>
          </cell>
          <cell r="E109" t="str">
            <v>--</v>
          </cell>
          <cell r="F109" t="str">
            <v>--</v>
          </cell>
          <cell r="G109" t="str">
            <v>--</v>
          </cell>
          <cell r="H109" t="str">
            <v>--</v>
          </cell>
          <cell r="I109" t="str">
            <v>--</v>
          </cell>
        </row>
        <row r="110">
          <cell r="A110" t="str">
            <v>Period 12</v>
          </cell>
          <cell r="B110" t="str">
            <v>--</v>
          </cell>
          <cell r="C110" t="str">
            <v>--</v>
          </cell>
          <cell r="D110" t="str">
            <v>--</v>
          </cell>
          <cell r="E110" t="str">
            <v>--</v>
          </cell>
          <cell r="F110" t="str">
            <v>--</v>
          </cell>
          <cell r="G110" t="str">
            <v>--</v>
          </cell>
          <cell r="H110" t="str">
            <v>--</v>
          </cell>
          <cell r="I110" t="str">
            <v>--</v>
          </cell>
        </row>
        <row r="111">
          <cell r="A111" t="str">
            <v>Period 13</v>
          </cell>
          <cell r="B111" t="str">
            <v>--</v>
          </cell>
          <cell r="C111" t="str">
            <v>--</v>
          </cell>
          <cell r="D111" t="str">
            <v>--</v>
          </cell>
          <cell r="E111" t="str">
            <v>--</v>
          </cell>
          <cell r="F111" t="str">
            <v>--</v>
          </cell>
          <cell r="G111" t="str">
            <v>--</v>
          </cell>
          <cell r="H111" t="str">
            <v>--</v>
          </cell>
          <cell r="I111" t="str">
            <v>--</v>
          </cell>
        </row>
        <row r="113">
          <cell r="B113" t="str">
            <v>Campbell's Soup</v>
          </cell>
        </row>
        <row r="114">
          <cell r="B114" t="str">
            <v>Yr/Yr % Change</v>
          </cell>
        </row>
        <row r="115">
          <cell r="B115" t="str">
            <v>Sales</v>
          </cell>
          <cell r="D115" t="str">
            <v>Volume</v>
          </cell>
          <cell r="F115" t="str">
            <v>Price/Mix</v>
          </cell>
          <cell r="H115" t="str">
            <v>$ Merchandising</v>
          </cell>
          <cell r="J115" t="str">
            <v>$ Share</v>
          </cell>
        </row>
        <row r="116">
          <cell r="A116" t="str">
            <v>Date</v>
          </cell>
          <cell r="B116">
            <v>2005</v>
          </cell>
          <cell r="C116">
            <v>2006</v>
          </cell>
          <cell r="D116">
            <v>2005</v>
          </cell>
          <cell r="E116">
            <v>2006</v>
          </cell>
          <cell r="F116">
            <v>2005</v>
          </cell>
          <cell r="G116">
            <v>2006</v>
          </cell>
          <cell r="H116">
            <v>2005</v>
          </cell>
          <cell r="I116">
            <v>2006</v>
          </cell>
          <cell r="J116">
            <v>2005</v>
          </cell>
          <cell r="K116">
            <v>2006</v>
          </cell>
        </row>
        <row r="117">
          <cell r="A117" t="str">
            <v>Period 1</v>
          </cell>
          <cell r="B117" t="str">
            <v>--</v>
          </cell>
          <cell r="C117" t="str">
            <v>--</v>
          </cell>
          <cell r="D117" t="str">
            <v>--</v>
          </cell>
          <cell r="E117" t="str">
            <v>--</v>
          </cell>
          <cell r="F117" t="str">
            <v>--</v>
          </cell>
          <cell r="G117" t="str">
            <v>--</v>
          </cell>
          <cell r="H117" t="str">
            <v>--</v>
          </cell>
          <cell r="I117" t="str">
            <v>--</v>
          </cell>
          <cell r="J117" t="str">
            <v>--</v>
          </cell>
          <cell r="K117" t="str">
            <v>--</v>
          </cell>
        </row>
        <row r="118">
          <cell r="A118" t="str">
            <v>Period 2</v>
          </cell>
          <cell r="B118" t="str">
            <v>--</v>
          </cell>
          <cell r="C118" t="str">
            <v>--</v>
          </cell>
          <cell r="D118" t="str">
            <v>--</v>
          </cell>
          <cell r="E118" t="str">
            <v>--</v>
          </cell>
          <cell r="F118" t="str">
            <v>--</v>
          </cell>
          <cell r="G118" t="str">
            <v>--</v>
          </cell>
          <cell r="H118" t="str">
            <v>--</v>
          </cell>
          <cell r="I118" t="str">
            <v>--</v>
          </cell>
          <cell r="J118" t="str">
            <v>--</v>
          </cell>
          <cell r="K118">
            <v>47.954252321357501</v>
          </cell>
        </row>
        <row r="119">
          <cell r="A119" t="str">
            <v>Period 3</v>
          </cell>
          <cell r="B119" t="str">
            <v>--</v>
          </cell>
          <cell r="C119">
            <v>-2.0981632126943</v>
          </cell>
          <cell r="D119" t="str">
            <v>--</v>
          </cell>
          <cell r="E119">
            <v>-9.0819181717613109</v>
          </cell>
          <cell r="F119" t="str">
            <v>--</v>
          </cell>
          <cell r="G119">
            <v>6.98375495906701</v>
          </cell>
          <cell r="H119" t="str">
            <v>--</v>
          </cell>
          <cell r="I119">
            <v>2.7855021855470499</v>
          </cell>
          <cell r="J119">
            <v>48.749302751437902</v>
          </cell>
          <cell r="K119">
            <v>47.878983607746001</v>
          </cell>
        </row>
        <row r="120">
          <cell r="A120" t="str">
            <v>Period 4</v>
          </cell>
          <cell r="B120" t="str">
            <v>--</v>
          </cell>
          <cell r="C120">
            <v>4.9289089854417796</v>
          </cell>
          <cell r="D120" t="str">
            <v>--</v>
          </cell>
          <cell r="E120">
            <v>0.14294886407209501</v>
          </cell>
          <cell r="F120" t="str">
            <v>--</v>
          </cell>
          <cell r="G120">
            <v>4.7859601213696799</v>
          </cell>
          <cell r="H120" t="str">
            <v>--</v>
          </cell>
          <cell r="I120">
            <v>4.3216531959401401</v>
          </cell>
          <cell r="J120">
            <v>47.273817089113599</v>
          </cell>
          <cell r="K120">
            <v>47.407318929861603</v>
          </cell>
        </row>
        <row r="121">
          <cell r="A121" t="str">
            <v>Period 5</v>
          </cell>
          <cell r="B121" t="str">
            <v>--</v>
          </cell>
          <cell r="C121">
            <v>6.8927127149587397</v>
          </cell>
          <cell r="D121" t="str">
            <v>--</v>
          </cell>
          <cell r="E121">
            <v>3.54075670152627</v>
          </cell>
          <cell r="F121" t="str">
            <v>--</v>
          </cell>
          <cell r="G121">
            <v>3.35195601343248</v>
          </cell>
          <cell r="H121" t="str">
            <v>--</v>
          </cell>
          <cell r="I121">
            <v>6.38659128405508</v>
          </cell>
          <cell r="J121">
            <v>46.532637557716001</v>
          </cell>
          <cell r="K121">
            <v>47.019720347037797</v>
          </cell>
        </row>
        <row r="122">
          <cell r="A122" t="str">
            <v>Period 6</v>
          </cell>
          <cell r="B122" t="str">
            <v>--</v>
          </cell>
          <cell r="C122">
            <v>5.4260692796652199</v>
          </cell>
          <cell r="D122" t="str">
            <v>--</v>
          </cell>
          <cell r="E122">
            <v>1.4851022584796201</v>
          </cell>
          <cell r="F122" t="str">
            <v>--</v>
          </cell>
          <cell r="G122">
            <v>3.9409670211856</v>
          </cell>
          <cell r="H122" t="str">
            <v>--</v>
          </cell>
          <cell r="I122">
            <v>3.9166926189367501</v>
          </cell>
          <cell r="J122">
            <v>46.1406414010304</v>
          </cell>
          <cell r="K122">
            <v>45.937692652735599</v>
          </cell>
        </row>
        <row r="123">
          <cell r="A123" t="str">
            <v>Period 7</v>
          </cell>
          <cell r="B123" t="str">
            <v>--</v>
          </cell>
          <cell r="C123">
            <v>1.7489096240716899</v>
          </cell>
          <cell r="D123" t="str">
            <v>--</v>
          </cell>
          <cell r="E123">
            <v>-3.9069380862141201</v>
          </cell>
          <cell r="F123" t="str">
            <v>--</v>
          </cell>
          <cell r="G123">
            <v>5.6558477102858102</v>
          </cell>
          <cell r="H123" t="str">
            <v>--</v>
          </cell>
          <cell r="I123">
            <v>-1.6402193089386001E-2</v>
          </cell>
          <cell r="J123">
            <v>46.058740465533198</v>
          </cell>
          <cell r="K123">
            <v>45.116874030083501</v>
          </cell>
        </row>
        <row r="124">
          <cell r="A124" t="str">
            <v>Period 8</v>
          </cell>
          <cell r="B124" t="str">
            <v>--</v>
          </cell>
          <cell r="C124">
            <v>1.1014625419220601</v>
          </cell>
          <cell r="D124" t="str">
            <v>--</v>
          </cell>
          <cell r="E124">
            <v>-4.2073310343976997</v>
          </cell>
          <cell r="F124" t="str">
            <v>--</v>
          </cell>
          <cell r="G124">
            <v>5.3087935763197596</v>
          </cell>
          <cell r="H124" t="str">
            <v>--</v>
          </cell>
          <cell r="I124">
            <v>3.4334554181023998E-2</v>
          </cell>
          <cell r="J124">
            <v>45.870804171135603</v>
          </cell>
          <cell r="K124">
            <v>44.860459075116303</v>
          </cell>
        </row>
        <row r="125">
          <cell r="A125" t="str">
            <v>Period 9</v>
          </cell>
          <cell r="B125" t="str">
            <v>--</v>
          </cell>
          <cell r="C125">
            <v>3.55077653232363</v>
          </cell>
          <cell r="D125" t="str">
            <v>--</v>
          </cell>
          <cell r="E125">
            <v>-0.279463171972063</v>
          </cell>
          <cell r="F125" t="str">
            <v>--</v>
          </cell>
          <cell r="G125">
            <v>3.8302397042957002</v>
          </cell>
          <cell r="H125" t="str">
            <v>--</v>
          </cell>
          <cell r="I125">
            <v>3.41532393418328</v>
          </cell>
          <cell r="J125">
            <v>47.132640200542099</v>
          </cell>
          <cell r="K125">
            <v>46.585515320045197</v>
          </cell>
        </row>
        <row r="126">
          <cell r="A126" t="str">
            <v>Period 10</v>
          </cell>
          <cell r="B126" t="str">
            <v>--</v>
          </cell>
          <cell r="C126" t="str">
            <v>--</v>
          </cell>
          <cell r="D126" t="str">
            <v>--</v>
          </cell>
          <cell r="E126" t="str">
            <v>--</v>
          </cell>
          <cell r="F126" t="str">
            <v>--</v>
          </cell>
          <cell r="G126" t="str">
            <v>--</v>
          </cell>
          <cell r="H126" t="str">
            <v>--</v>
          </cell>
          <cell r="I126" t="str">
            <v>--</v>
          </cell>
          <cell r="J126" t="str">
            <v>--</v>
          </cell>
          <cell r="K126" t="str">
            <v>--</v>
          </cell>
        </row>
        <row r="127">
          <cell r="A127" t="str">
            <v>Period 11</v>
          </cell>
          <cell r="B127" t="str">
            <v>--</v>
          </cell>
          <cell r="C127" t="str">
            <v>--</v>
          </cell>
          <cell r="D127" t="str">
            <v>--</v>
          </cell>
          <cell r="E127" t="str">
            <v>--</v>
          </cell>
          <cell r="F127" t="str">
            <v>--</v>
          </cell>
          <cell r="G127" t="str">
            <v>--</v>
          </cell>
          <cell r="H127" t="str">
            <v>--</v>
          </cell>
          <cell r="I127" t="str">
            <v>--</v>
          </cell>
          <cell r="J127" t="str">
            <v>--</v>
          </cell>
          <cell r="K127" t="str">
            <v>--</v>
          </cell>
        </row>
        <row r="128">
          <cell r="A128" t="str">
            <v>Period 12</v>
          </cell>
          <cell r="B128" t="str">
            <v>--</v>
          </cell>
          <cell r="C128" t="str">
            <v>--</v>
          </cell>
          <cell r="D128" t="str">
            <v>--</v>
          </cell>
          <cell r="E128" t="str">
            <v>--</v>
          </cell>
          <cell r="F128" t="str">
            <v>--</v>
          </cell>
          <cell r="G128" t="str">
            <v>--</v>
          </cell>
          <cell r="H128" t="str">
            <v>--</v>
          </cell>
          <cell r="I128" t="str">
            <v>--</v>
          </cell>
          <cell r="J128" t="str">
            <v>--</v>
          </cell>
          <cell r="K128" t="str">
            <v>--</v>
          </cell>
        </row>
        <row r="129">
          <cell r="A129" t="str">
            <v>Period 13</v>
          </cell>
          <cell r="B129" t="str">
            <v>--</v>
          </cell>
          <cell r="C129" t="str">
            <v>--</v>
          </cell>
          <cell r="D129" t="str">
            <v>--</v>
          </cell>
          <cell r="E129" t="str">
            <v>--</v>
          </cell>
          <cell r="F129" t="str">
            <v>--</v>
          </cell>
          <cell r="G129" t="str">
            <v>--</v>
          </cell>
          <cell r="H129" t="str">
            <v>--</v>
          </cell>
          <cell r="I129" t="str">
            <v>--</v>
          </cell>
          <cell r="J129" t="str">
            <v>--</v>
          </cell>
          <cell r="K129" t="str">
            <v>--</v>
          </cell>
        </row>
        <row r="131">
          <cell r="B131" t="str">
            <v>Private Label Soup</v>
          </cell>
        </row>
        <row r="132">
          <cell r="B132" t="str">
            <v>Yr/Yr % Change</v>
          </cell>
        </row>
        <row r="133">
          <cell r="B133" t="str">
            <v>Sales</v>
          </cell>
          <cell r="D133" t="str">
            <v>Volume</v>
          </cell>
          <cell r="F133" t="str">
            <v>Price/Mix</v>
          </cell>
          <cell r="H133" t="str">
            <v>$ Merchandising</v>
          </cell>
          <cell r="J133" t="str">
            <v>$ Share</v>
          </cell>
        </row>
        <row r="134">
          <cell r="A134" t="str">
            <v>Date</v>
          </cell>
          <cell r="B134">
            <v>2005</v>
          </cell>
          <cell r="C134">
            <v>2006</v>
          </cell>
          <cell r="D134">
            <v>2005</v>
          </cell>
          <cell r="E134">
            <v>2006</v>
          </cell>
          <cell r="F134">
            <v>2005</v>
          </cell>
          <cell r="G134">
            <v>2006</v>
          </cell>
          <cell r="H134">
            <v>2005</v>
          </cell>
          <cell r="I134">
            <v>2006</v>
          </cell>
          <cell r="J134">
            <v>2005</v>
          </cell>
          <cell r="K134">
            <v>2006</v>
          </cell>
        </row>
        <row r="135">
          <cell r="A135" t="str">
            <v>Period 1</v>
          </cell>
          <cell r="B135" t="str">
            <v>--</v>
          </cell>
          <cell r="C135" t="str">
            <v>--</v>
          </cell>
          <cell r="D135" t="str">
            <v>--</v>
          </cell>
          <cell r="E135" t="str">
            <v>--</v>
          </cell>
          <cell r="F135" t="str">
            <v>--</v>
          </cell>
          <cell r="G135" t="str">
            <v>--</v>
          </cell>
          <cell r="H135" t="str">
            <v>--</v>
          </cell>
          <cell r="I135" t="str">
            <v>--</v>
          </cell>
          <cell r="J135" t="str">
            <v>--</v>
          </cell>
          <cell r="K135" t="str">
            <v>--</v>
          </cell>
        </row>
        <row r="136">
          <cell r="A136" t="str">
            <v>Period 2</v>
          </cell>
          <cell r="B136" t="str">
            <v>--</v>
          </cell>
          <cell r="C136" t="str">
            <v>--</v>
          </cell>
          <cell r="D136" t="str">
            <v>--</v>
          </cell>
          <cell r="E136" t="str">
            <v>--</v>
          </cell>
          <cell r="F136" t="str">
            <v>--</v>
          </cell>
          <cell r="G136" t="str">
            <v>--</v>
          </cell>
          <cell r="H136" t="str">
            <v>--</v>
          </cell>
          <cell r="I136" t="str">
            <v>--</v>
          </cell>
          <cell r="J136" t="str">
            <v>--</v>
          </cell>
          <cell r="K136">
            <v>7.9492058069242004</v>
          </cell>
        </row>
        <row r="137">
          <cell r="A137" t="str">
            <v>Period 3</v>
          </cell>
          <cell r="B137" t="str">
            <v>--</v>
          </cell>
          <cell r="C137">
            <v>4.4289962791645801</v>
          </cell>
          <cell r="D137" t="str">
            <v>--</v>
          </cell>
          <cell r="E137">
            <v>-1.29163087072573</v>
          </cell>
          <cell r="F137" t="str">
            <v>--</v>
          </cell>
          <cell r="G137">
            <v>5.7206271498903201</v>
          </cell>
          <cell r="H137" t="str">
            <v>--</v>
          </cell>
          <cell r="I137">
            <v>-2.2850259494452301</v>
          </cell>
          <cell r="J137">
            <v>7.7446254166645296</v>
          </cell>
          <cell r="K137">
            <v>8.1134804684307902</v>
          </cell>
        </row>
        <row r="138">
          <cell r="A138" t="str">
            <v>Period 4</v>
          </cell>
          <cell r="B138" t="str">
            <v>--</v>
          </cell>
          <cell r="C138">
            <v>10.7037254518171</v>
          </cell>
          <cell r="D138" t="str">
            <v>--</v>
          </cell>
          <cell r="E138">
            <v>7.0338189175443198</v>
          </cell>
          <cell r="F138" t="str">
            <v>--</v>
          </cell>
          <cell r="G138">
            <v>3.6699065342727302</v>
          </cell>
          <cell r="H138" t="str">
            <v>--</v>
          </cell>
          <cell r="I138">
            <v>0.75021672075893497</v>
          </cell>
          <cell r="J138">
            <v>8.3381636085481592</v>
          </cell>
          <cell r="K138">
            <v>8.8219017327243794</v>
          </cell>
        </row>
        <row r="139">
          <cell r="A139" t="str">
            <v>Period 5</v>
          </cell>
          <cell r="B139" t="str">
            <v>--</v>
          </cell>
          <cell r="C139">
            <v>10.559224931811301</v>
          </cell>
          <cell r="D139" t="str">
            <v>--</v>
          </cell>
          <cell r="E139">
            <v>9.2026322848931699</v>
          </cell>
          <cell r="F139" t="str">
            <v>--</v>
          </cell>
          <cell r="G139">
            <v>1.35659264691812</v>
          </cell>
          <cell r="H139" t="str">
            <v>--</v>
          </cell>
          <cell r="I139">
            <v>1.4528759065000301</v>
          </cell>
          <cell r="J139">
            <v>9.0705331441487704</v>
          </cell>
          <cell r="K139">
            <v>9.4798632659836208</v>
          </cell>
        </row>
        <row r="140">
          <cell r="A140" t="str">
            <v>Period 6</v>
          </cell>
          <cell r="B140" t="str">
            <v>--</v>
          </cell>
          <cell r="C140">
            <v>9.6087024843294699</v>
          </cell>
          <cell r="D140" t="str">
            <v>--</v>
          </cell>
          <cell r="E140">
            <v>8.9598495752833092</v>
          </cell>
          <cell r="F140" t="str">
            <v>--</v>
          </cell>
          <cell r="G140">
            <v>0.648852909046157</v>
          </cell>
          <cell r="H140" t="str">
            <v>--</v>
          </cell>
          <cell r="I140">
            <v>3.04704319279295</v>
          </cell>
          <cell r="J140">
            <v>9.5531369985983403</v>
          </cell>
          <cell r="K140">
            <v>9.8884581190665806</v>
          </cell>
        </row>
        <row r="141">
          <cell r="A141" t="str">
            <v>Period 7</v>
          </cell>
          <cell r="B141" t="str">
            <v>--</v>
          </cell>
          <cell r="C141">
            <v>8.01760036494316</v>
          </cell>
          <cell r="D141" t="str">
            <v>--</v>
          </cell>
          <cell r="E141">
            <v>6.4947324837403198</v>
          </cell>
          <cell r="F141" t="str">
            <v>--</v>
          </cell>
          <cell r="G141">
            <v>1.52286788120284</v>
          </cell>
          <cell r="H141" t="str">
            <v>--</v>
          </cell>
          <cell r="I141">
            <v>0.98500367223959295</v>
          </cell>
          <cell r="J141">
            <v>9.7409091082345505</v>
          </cell>
          <cell r="K141">
            <v>10.129574344590299</v>
          </cell>
        </row>
        <row r="142">
          <cell r="A142" t="str">
            <v>Period 8</v>
          </cell>
          <cell r="B142" t="str">
            <v>--</v>
          </cell>
          <cell r="C142">
            <v>7.6989272279651999</v>
          </cell>
          <cell r="D142" t="str">
            <v>--</v>
          </cell>
          <cell r="E142">
            <v>6.3552651093336801</v>
          </cell>
          <cell r="F142" t="str">
            <v>--</v>
          </cell>
          <cell r="G142">
            <v>1.3436621186315301</v>
          </cell>
          <cell r="H142" t="str">
            <v>--</v>
          </cell>
          <cell r="I142">
            <v>-0.16079353609424299</v>
          </cell>
          <cell r="J142">
            <v>9.8025730204314208</v>
          </cell>
          <cell r="K142">
            <v>10.2122487537022</v>
          </cell>
        </row>
        <row r="143">
          <cell r="A143" t="str">
            <v>Period 9</v>
          </cell>
          <cell r="B143" t="str">
            <v>--</v>
          </cell>
          <cell r="C143">
            <v>10.7278991999389</v>
          </cell>
          <cell r="D143" t="str">
            <v>--</v>
          </cell>
          <cell r="E143">
            <v>10.4077420615112</v>
          </cell>
          <cell r="F143" t="str">
            <v>--</v>
          </cell>
          <cell r="G143">
            <v>0.32015713842763899</v>
          </cell>
          <cell r="H143" t="str">
            <v>--</v>
          </cell>
          <cell r="I143">
            <v>0.90721370445431404</v>
          </cell>
          <cell r="J143">
            <v>9.55344517099706</v>
          </cell>
          <cell r="K143">
            <v>10.097011515783899</v>
          </cell>
        </row>
        <row r="144">
          <cell r="A144" t="str">
            <v>Period 10</v>
          </cell>
          <cell r="B144" t="str">
            <v>--</v>
          </cell>
          <cell r="C144" t="str">
            <v>--</v>
          </cell>
          <cell r="D144" t="str">
            <v>--</v>
          </cell>
          <cell r="E144" t="str">
            <v>--</v>
          </cell>
          <cell r="F144" t="str">
            <v>--</v>
          </cell>
          <cell r="G144" t="str">
            <v>--</v>
          </cell>
          <cell r="H144" t="str">
            <v>--</v>
          </cell>
          <cell r="I144" t="str">
            <v>--</v>
          </cell>
          <cell r="J144" t="str">
            <v>--</v>
          </cell>
          <cell r="K144" t="str">
            <v>--</v>
          </cell>
        </row>
        <row r="145">
          <cell r="A145" t="str">
            <v>Period 11</v>
          </cell>
          <cell r="B145" t="str">
            <v>--</v>
          </cell>
          <cell r="C145" t="str">
            <v>--</v>
          </cell>
          <cell r="D145" t="str">
            <v>--</v>
          </cell>
          <cell r="E145" t="str">
            <v>--</v>
          </cell>
          <cell r="F145" t="str">
            <v>--</v>
          </cell>
          <cell r="G145" t="str">
            <v>--</v>
          </cell>
          <cell r="H145" t="str">
            <v>--</v>
          </cell>
          <cell r="I145" t="str">
            <v>--</v>
          </cell>
          <cell r="J145" t="str">
            <v>--</v>
          </cell>
          <cell r="K145" t="str">
            <v>--</v>
          </cell>
        </row>
        <row r="146">
          <cell r="A146" t="str">
            <v>Period 12</v>
          </cell>
          <cell r="B146" t="str">
            <v>--</v>
          </cell>
          <cell r="C146" t="str">
            <v>--</v>
          </cell>
          <cell r="D146" t="str">
            <v>--</v>
          </cell>
          <cell r="E146" t="str">
            <v>--</v>
          </cell>
          <cell r="F146" t="str">
            <v>--</v>
          </cell>
          <cell r="G146" t="str">
            <v>--</v>
          </cell>
          <cell r="H146" t="str">
            <v>--</v>
          </cell>
          <cell r="I146" t="str">
            <v>--</v>
          </cell>
          <cell r="J146" t="str">
            <v>--</v>
          </cell>
          <cell r="K146" t="str">
            <v>--</v>
          </cell>
        </row>
        <row r="147">
          <cell r="A147" t="str">
            <v>Period 13</v>
          </cell>
          <cell r="B147" t="str">
            <v>--</v>
          </cell>
          <cell r="C147" t="str">
            <v>--</v>
          </cell>
          <cell r="D147" t="str">
            <v>--</v>
          </cell>
          <cell r="E147" t="str">
            <v>--</v>
          </cell>
          <cell r="F147" t="str">
            <v>--</v>
          </cell>
          <cell r="G147" t="str">
            <v>--</v>
          </cell>
          <cell r="H147" t="str">
            <v>--</v>
          </cell>
          <cell r="I147" t="str">
            <v>--</v>
          </cell>
          <cell r="J147" t="str">
            <v>--</v>
          </cell>
          <cell r="K147" t="str">
            <v>--</v>
          </cell>
        </row>
        <row r="149">
          <cell r="B149" t="str">
            <v>General Mills Soup</v>
          </cell>
        </row>
        <row r="150">
          <cell r="B150" t="str">
            <v>Yr/Yr % Change</v>
          </cell>
        </row>
        <row r="151">
          <cell r="B151" t="str">
            <v>Sales</v>
          </cell>
          <cell r="D151" t="str">
            <v>Volume</v>
          </cell>
          <cell r="F151" t="str">
            <v>Price/Mix</v>
          </cell>
          <cell r="H151" t="str">
            <v>$ Merchandising</v>
          </cell>
          <cell r="J151" t="str">
            <v>$ Share</v>
          </cell>
        </row>
        <row r="152">
          <cell r="A152" t="str">
            <v>Date</v>
          </cell>
          <cell r="B152">
            <v>2005</v>
          </cell>
          <cell r="C152">
            <v>2006</v>
          </cell>
          <cell r="D152">
            <v>2005</v>
          </cell>
          <cell r="E152">
            <v>2006</v>
          </cell>
          <cell r="F152">
            <v>2005</v>
          </cell>
          <cell r="G152">
            <v>2006</v>
          </cell>
          <cell r="H152">
            <v>2005</v>
          </cell>
          <cell r="I152">
            <v>2006</v>
          </cell>
          <cell r="J152">
            <v>2005</v>
          </cell>
          <cell r="K152">
            <v>2006</v>
          </cell>
        </row>
        <row r="153">
          <cell r="A153" t="str">
            <v>Period 1</v>
          </cell>
          <cell r="B153" t="str">
            <v>--</v>
          </cell>
          <cell r="C153" t="str">
            <v>--</v>
          </cell>
          <cell r="D153" t="str">
            <v>--</v>
          </cell>
          <cell r="E153" t="str">
            <v>--</v>
          </cell>
          <cell r="F153" t="str">
            <v>--</v>
          </cell>
          <cell r="G153" t="str">
            <v>--</v>
          </cell>
          <cell r="H153" t="str">
            <v>--</v>
          </cell>
          <cell r="I153" t="str">
            <v>--</v>
          </cell>
          <cell r="J153" t="str">
            <v>--</v>
          </cell>
          <cell r="K153" t="str">
            <v>--</v>
          </cell>
        </row>
        <row r="154">
          <cell r="A154" t="str">
            <v>Period 2</v>
          </cell>
          <cell r="B154" t="str">
            <v>--</v>
          </cell>
          <cell r="C154" t="str">
            <v>--</v>
          </cell>
          <cell r="D154" t="str">
            <v>--</v>
          </cell>
          <cell r="E154" t="str">
            <v>--</v>
          </cell>
          <cell r="F154" t="str">
            <v>--</v>
          </cell>
          <cell r="G154" t="str">
            <v>--</v>
          </cell>
          <cell r="H154" t="str">
            <v>--</v>
          </cell>
          <cell r="I154" t="str">
            <v>--</v>
          </cell>
          <cell r="J154" t="str">
            <v>--</v>
          </cell>
          <cell r="K154">
            <v>14.090228343378101</v>
          </cell>
        </row>
        <row r="155">
          <cell r="A155" t="str">
            <v>Period 3</v>
          </cell>
          <cell r="B155" t="str">
            <v>--</v>
          </cell>
          <cell r="C155">
            <v>-0.71498409693896703</v>
          </cell>
          <cell r="D155" t="str">
            <v>--</v>
          </cell>
          <cell r="E155">
            <v>-9.2106418326631196</v>
          </cell>
          <cell r="F155" t="str">
            <v>--</v>
          </cell>
          <cell r="G155">
            <v>8.4956577357241496</v>
          </cell>
          <cell r="H155" t="str">
            <v>--</v>
          </cell>
          <cell r="I155">
            <v>-2.5639323742692102</v>
          </cell>
          <cell r="J155">
            <v>14.4256642690181</v>
          </cell>
          <cell r="K155">
            <v>14.3682939514596</v>
          </cell>
        </row>
        <row r="156">
          <cell r="A156" t="str">
            <v>Period 4</v>
          </cell>
          <cell r="B156" t="str">
            <v>--</v>
          </cell>
          <cell r="C156">
            <v>-0.77878874384959496</v>
          </cell>
          <cell r="D156" t="str">
            <v>--</v>
          </cell>
          <cell r="E156">
            <v>-11.2782328892183</v>
          </cell>
          <cell r="F156" t="str">
            <v>--</v>
          </cell>
          <cell r="G156">
            <v>10.499444145368701</v>
          </cell>
          <cell r="H156" t="str">
            <v>--</v>
          </cell>
          <cell r="I156">
            <v>-5.7590191548063396</v>
          </cell>
          <cell r="J156">
            <v>13.4668749989573</v>
          </cell>
          <cell r="K156">
            <v>12.7702947302848</v>
          </cell>
        </row>
        <row r="157">
          <cell r="A157" t="str">
            <v>Period 5</v>
          </cell>
          <cell r="B157" t="str">
            <v>--</v>
          </cell>
          <cell r="C157">
            <v>0.89605664483134995</v>
          </cell>
          <cell r="D157" t="str">
            <v>--</v>
          </cell>
          <cell r="E157">
            <v>-11.8690152339011</v>
          </cell>
          <cell r="F157" t="str">
            <v>--</v>
          </cell>
          <cell r="G157">
            <v>12.765071878732501</v>
          </cell>
          <cell r="H157" t="str">
            <v>--</v>
          </cell>
          <cell r="I157">
            <v>-6.6045377806041197</v>
          </cell>
          <cell r="J157">
            <v>11.4940958530371</v>
          </cell>
          <cell r="K157">
            <v>10.962845173035999</v>
          </cell>
        </row>
        <row r="158">
          <cell r="A158" t="str">
            <v>Period 6</v>
          </cell>
          <cell r="B158" t="str">
            <v>--</v>
          </cell>
          <cell r="C158">
            <v>9.7091514173791005</v>
          </cell>
          <cell r="D158" t="str">
            <v>--</v>
          </cell>
          <cell r="E158">
            <v>0.70055937566548998</v>
          </cell>
          <cell r="F158" t="str">
            <v>--</v>
          </cell>
          <cell r="G158">
            <v>9.0085920417136105</v>
          </cell>
          <cell r="H158" t="str">
            <v>--</v>
          </cell>
          <cell r="I158">
            <v>0.61605022624830497</v>
          </cell>
          <cell r="J158">
            <v>9.6501799783393203</v>
          </cell>
          <cell r="K158">
            <v>9.9980615237907298</v>
          </cell>
        </row>
        <row r="159">
          <cell r="A159" t="str">
            <v>Period 7</v>
          </cell>
          <cell r="B159" t="str">
            <v>--</v>
          </cell>
          <cell r="C159">
            <v>11.3951042207926</v>
          </cell>
          <cell r="D159" t="str">
            <v>--</v>
          </cell>
          <cell r="E159">
            <v>2.7011341088568499</v>
          </cell>
          <cell r="F159" t="str">
            <v>--</v>
          </cell>
          <cell r="G159">
            <v>8.6939701119357693</v>
          </cell>
          <cell r="H159" t="str">
            <v>--</v>
          </cell>
          <cell r="I159">
            <v>3.3746137020098201</v>
          </cell>
          <cell r="J159">
            <v>9.1518640632985804</v>
          </cell>
          <cell r="K159">
            <v>9.8146054385800792</v>
          </cell>
        </row>
        <row r="160">
          <cell r="A160" t="str">
            <v>Period 8</v>
          </cell>
          <cell r="B160" t="str">
            <v>--</v>
          </cell>
          <cell r="C160">
            <v>9.8755730168493798</v>
          </cell>
          <cell r="D160" t="str">
            <v>--</v>
          </cell>
          <cell r="E160">
            <v>3.44405053757455</v>
          </cell>
          <cell r="F160" t="str">
            <v>--</v>
          </cell>
          <cell r="G160">
            <v>6.4315224792748298</v>
          </cell>
          <cell r="H160" t="str">
            <v>--</v>
          </cell>
          <cell r="I160">
            <v>0.69417323321117397</v>
          </cell>
          <cell r="J160">
            <v>9.0021130937728095</v>
          </cell>
          <cell r="K160">
            <v>9.5678760213489902</v>
          </cell>
        </row>
        <row r="161">
          <cell r="A161" t="str">
            <v>Period 9</v>
          </cell>
          <cell r="B161" t="str">
            <v>--</v>
          </cell>
          <cell r="C161">
            <v>6.1028310388608498</v>
          </cell>
          <cell r="D161" t="str">
            <v>--</v>
          </cell>
          <cell r="E161">
            <v>-0.52970627396950098</v>
          </cell>
          <cell r="F161" t="str">
            <v>--</v>
          </cell>
          <cell r="G161">
            <v>6.6325373128303502</v>
          </cell>
          <cell r="H161" t="str">
            <v>--</v>
          </cell>
          <cell r="I161">
            <v>-5.2945496031824097</v>
          </cell>
          <cell r="J161">
            <v>9.5755490804643202</v>
          </cell>
          <cell r="K161">
            <v>9.6976484045868006</v>
          </cell>
        </row>
        <row r="162">
          <cell r="A162" t="str">
            <v>Period 10</v>
          </cell>
          <cell r="B162" t="str">
            <v>--</v>
          </cell>
          <cell r="C162" t="str">
            <v>--</v>
          </cell>
          <cell r="D162" t="str">
            <v>--</v>
          </cell>
          <cell r="E162" t="str">
            <v>--</v>
          </cell>
          <cell r="F162" t="str">
            <v>--</v>
          </cell>
          <cell r="G162" t="str">
            <v>--</v>
          </cell>
          <cell r="H162" t="str">
            <v>--</v>
          </cell>
          <cell r="I162" t="str">
            <v>--</v>
          </cell>
          <cell r="J162" t="str">
            <v>--</v>
          </cell>
          <cell r="K162" t="str">
            <v>--</v>
          </cell>
        </row>
        <row r="163">
          <cell r="A163" t="str">
            <v>Period 11</v>
          </cell>
          <cell r="B163" t="str">
            <v>--</v>
          </cell>
          <cell r="C163" t="str">
            <v>--</v>
          </cell>
          <cell r="D163" t="str">
            <v>--</v>
          </cell>
          <cell r="E163" t="str">
            <v>--</v>
          </cell>
          <cell r="F163" t="str">
            <v>--</v>
          </cell>
          <cell r="G163" t="str">
            <v>--</v>
          </cell>
          <cell r="H163" t="str">
            <v>--</v>
          </cell>
          <cell r="I163" t="str">
            <v>--</v>
          </cell>
          <cell r="J163" t="str">
            <v>--</v>
          </cell>
          <cell r="K163" t="str">
            <v>--</v>
          </cell>
        </row>
        <row r="164">
          <cell r="A164" t="str">
            <v>Period 12</v>
          </cell>
          <cell r="B164" t="str">
            <v>--</v>
          </cell>
          <cell r="C164" t="str">
            <v>--</v>
          </cell>
          <cell r="D164" t="str">
            <v>--</v>
          </cell>
          <cell r="E164" t="str">
            <v>--</v>
          </cell>
          <cell r="F164" t="str">
            <v>--</v>
          </cell>
          <cell r="G164" t="str">
            <v>--</v>
          </cell>
          <cell r="H164" t="str">
            <v>--</v>
          </cell>
          <cell r="I164" t="str">
            <v>--</v>
          </cell>
          <cell r="J164" t="str">
            <v>--</v>
          </cell>
          <cell r="K164" t="str">
            <v>--</v>
          </cell>
        </row>
        <row r="165">
          <cell r="A165" t="str">
            <v>Period 13</v>
          </cell>
          <cell r="B165" t="str">
            <v>--</v>
          </cell>
          <cell r="C165" t="str">
            <v>--</v>
          </cell>
          <cell r="D165" t="str">
            <v>--</v>
          </cell>
          <cell r="E165" t="str">
            <v>--</v>
          </cell>
          <cell r="F165" t="str">
            <v>--</v>
          </cell>
          <cell r="G165" t="str">
            <v>--</v>
          </cell>
          <cell r="H165" t="str">
            <v>--</v>
          </cell>
          <cell r="I165" t="str">
            <v>--</v>
          </cell>
          <cell r="J165" t="str">
            <v>--</v>
          </cell>
          <cell r="K165" t="str">
            <v>--</v>
          </cell>
        </row>
        <row r="167">
          <cell r="B167" t="str">
            <v>All Other Soup</v>
          </cell>
        </row>
        <row r="168">
          <cell r="B168" t="str">
            <v>Yr/Yr % Change</v>
          </cell>
        </row>
        <row r="169">
          <cell r="B169" t="str">
            <v>Sales</v>
          </cell>
          <cell r="D169" t="str">
            <v>Volume</v>
          </cell>
          <cell r="F169" t="str">
            <v>Price/Mix</v>
          </cell>
          <cell r="H169" t="str">
            <v>$ Merchandising</v>
          </cell>
          <cell r="J169" t="str">
            <v>$ Share</v>
          </cell>
        </row>
        <row r="170">
          <cell r="A170" t="str">
            <v>Date</v>
          </cell>
          <cell r="B170">
            <v>2005</v>
          </cell>
          <cell r="C170">
            <v>2006</v>
          </cell>
          <cell r="D170">
            <v>2005</v>
          </cell>
          <cell r="E170">
            <v>2006</v>
          </cell>
          <cell r="F170">
            <v>2005</v>
          </cell>
          <cell r="G170">
            <v>2006</v>
          </cell>
          <cell r="H170">
            <v>2005</v>
          </cell>
          <cell r="I170">
            <v>2006</v>
          </cell>
          <cell r="J170">
            <v>2005</v>
          </cell>
          <cell r="K170">
            <v>2006</v>
          </cell>
        </row>
        <row r="171">
          <cell r="A171" t="str">
            <v>Period 1</v>
          </cell>
          <cell r="B171" t="str">
            <v>--</v>
          </cell>
          <cell r="C171" t="str">
            <v>--</v>
          </cell>
          <cell r="D171" t="str">
            <v>--</v>
          </cell>
          <cell r="E171" t="str">
            <v>--</v>
          </cell>
          <cell r="F171" t="str">
            <v>--</v>
          </cell>
          <cell r="G171" t="str">
            <v>--</v>
          </cell>
          <cell r="H171" t="str">
            <v>--</v>
          </cell>
          <cell r="I171" t="str">
            <v>--</v>
          </cell>
          <cell r="J171" t="str">
            <v>--</v>
          </cell>
          <cell r="K171" t="str">
            <v>--</v>
          </cell>
        </row>
        <row r="172">
          <cell r="A172" t="str">
            <v>Period 2</v>
          </cell>
          <cell r="B172" t="str">
            <v>--</v>
          </cell>
          <cell r="C172" t="str">
            <v>--</v>
          </cell>
          <cell r="D172" t="str">
            <v>--</v>
          </cell>
          <cell r="E172" t="str">
            <v>--</v>
          </cell>
          <cell r="F172" t="str">
            <v>--</v>
          </cell>
          <cell r="G172" t="str">
            <v>--</v>
          </cell>
          <cell r="H172" t="str">
            <v>--</v>
          </cell>
          <cell r="I172" t="str">
            <v>--</v>
          </cell>
          <cell r="J172" t="str">
            <v>--</v>
          </cell>
          <cell r="K172">
            <v>168.41398393933301</v>
          </cell>
        </row>
        <row r="173">
          <cell r="A173" t="str">
            <v>Period 3</v>
          </cell>
          <cell r="B173" t="str">
            <v>--</v>
          </cell>
          <cell r="C173">
            <v>-0.82694016035099704</v>
          </cell>
          <cell r="D173" t="str">
            <v>--</v>
          </cell>
          <cell r="E173">
            <v>-7.2488844751058696</v>
          </cell>
          <cell r="F173" t="str">
            <v>--</v>
          </cell>
          <cell r="G173">
            <v>6.42194431475487</v>
          </cell>
          <cell r="H173" t="str">
            <v>--</v>
          </cell>
          <cell r="I173">
            <v>0.92484750657234804</v>
          </cell>
          <cell r="J173">
            <v>169.57804192686601</v>
          </cell>
          <cell r="K173">
            <v>168.713176892219</v>
          </cell>
        </row>
        <row r="174">
          <cell r="A174" t="str">
            <v>Period 4</v>
          </cell>
          <cell r="B174" t="str">
            <v>--</v>
          </cell>
          <cell r="C174">
            <v>3.43343483330198</v>
          </cell>
          <cell r="D174" t="str">
            <v>--</v>
          </cell>
          <cell r="E174">
            <v>1.9464801488266601</v>
          </cell>
          <cell r="F174" t="str">
            <v>--</v>
          </cell>
          <cell r="G174">
            <v>1.4869546844753201</v>
          </cell>
          <cell r="H174" t="str">
            <v>--</v>
          </cell>
          <cell r="I174">
            <v>-0.17770764140093601</v>
          </cell>
          <cell r="J174">
            <v>26.141456716224798</v>
          </cell>
          <cell r="K174">
            <v>25.841653502679002</v>
          </cell>
        </row>
        <row r="175">
          <cell r="A175" t="str">
            <v>Period 5</v>
          </cell>
          <cell r="B175" t="str">
            <v>--</v>
          </cell>
          <cell r="C175">
            <v>3.2549411917207198</v>
          </cell>
          <cell r="D175" t="str">
            <v>--</v>
          </cell>
          <cell r="E175">
            <v>1.5822835325600699</v>
          </cell>
          <cell r="F175" t="str">
            <v>--</v>
          </cell>
          <cell r="G175">
            <v>1.6726576591606499</v>
          </cell>
          <cell r="H175" t="str">
            <v>--</v>
          </cell>
          <cell r="I175">
            <v>2.1122952709922999E-2</v>
          </cell>
          <cell r="J175">
            <v>28.019044388967501</v>
          </cell>
          <cell r="K175">
            <v>27.3488101315961</v>
          </cell>
        </row>
        <row r="176">
          <cell r="A176" t="str">
            <v>Period 6</v>
          </cell>
          <cell r="B176" t="str">
            <v>--</v>
          </cell>
          <cell r="C176">
            <v>3.0266101331472801</v>
          </cell>
          <cell r="D176" t="str">
            <v>--</v>
          </cell>
          <cell r="E176">
            <v>2.1777522494921202</v>
          </cell>
          <cell r="F176" t="str">
            <v>--</v>
          </cell>
          <cell r="G176">
            <v>0.84885788365516002</v>
          </cell>
          <cell r="H176" t="str">
            <v>--</v>
          </cell>
          <cell r="I176">
            <v>0.32534397822166</v>
          </cell>
          <cell r="J176">
            <v>29.876940961326401</v>
          </cell>
          <cell r="K176">
            <v>29.068530357867999</v>
          </cell>
        </row>
        <row r="177">
          <cell r="A177" t="str">
            <v>Period 7</v>
          </cell>
          <cell r="B177" t="str">
            <v>--</v>
          </cell>
          <cell r="C177">
            <v>2.8473659231046899</v>
          </cell>
          <cell r="D177" t="str">
            <v>--</v>
          </cell>
          <cell r="E177">
            <v>0.30769122228234402</v>
          </cell>
          <cell r="F177" t="str">
            <v>--</v>
          </cell>
          <cell r="G177">
            <v>2.5396747008223399</v>
          </cell>
          <cell r="H177" t="str">
            <v>--</v>
          </cell>
          <cell r="I177">
            <v>-0.46028712138404498</v>
          </cell>
          <cell r="J177">
            <v>30.4292775996602</v>
          </cell>
          <cell r="K177">
            <v>30.128811173610998</v>
          </cell>
        </row>
        <row r="178">
          <cell r="A178" t="str">
            <v>Period 8</v>
          </cell>
          <cell r="B178" t="str">
            <v>--</v>
          </cell>
          <cell r="C178">
            <v>2.70203853437547</v>
          </cell>
          <cell r="D178" t="str">
            <v>--</v>
          </cell>
          <cell r="E178">
            <v>-1.3503369916482999</v>
          </cell>
          <cell r="F178" t="str">
            <v>--</v>
          </cell>
          <cell r="G178">
            <v>4.0523755260237602</v>
          </cell>
          <cell r="H178" t="str">
            <v>--</v>
          </cell>
          <cell r="I178">
            <v>-1.20470486599412</v>
          </cell>
          <cell r="J178">
            <v>30.842735788898199</v>
          </cell>
          <cell r="K178">
            <v>30.640925510382498</v>
          </cell>
        </row>
        <row r="179">
          <cell r="A179" t="str">
            <v>Period 9</v>
          </cell>
          <cell r="B179" t="str">
            <v>--</v>
          </cell>
          <cell r="C179">
            <v>3.3665175633494799</v>
          </cell>
          <cell r="D179" t="str">
            <v>--</v>
          </cell>
          <cell r="E179">
            <v>-0.75308191582443096</v>
          </cell>
          <cell r="F179" t="str">
            <v>--</v>
          </cell>
          <cell r="G179">
            <v>4.1195994791739103</v>
          </cell>
          <cell r="H179" t="str">
            <v>--</v>
          </cell>
          <cell r="I179">
            <v>-1.45880820253106</v>
          </cell>
          <cell r="J179">
            <v>29.3829617020684</v>
          </cell>
          <cell r="K179">
            <v>28.990201231747299</v>
          </cell>
        </row>
        <row r="180">
          <cell r="A180" t="str">
            <v>Period 10</v>
          </cell>
          <cell r="B180" t="str">
            <v>--</v>
          </cell>
          <cell r="C180" t="str">
            <v>--</v>
          </cell>
          <cell r="D180" t="str">
            <v>--</v>
          </cell>
          <cell r="E180" t="str">
            <v>--</v>
          </cell>
          <cell r="F180" t="str">
            <v>--</v>
          </cell>
          <cell r="G180" t="str">
            <v>--</v>
          </cell>
          <cell r="H180" t="str">
            <v>--</v>
          </cell>
          <cell r="I180" t="str">
            <v>--</v>
          </cell>
          <cell r="J180" t="str">
            <v>--</v>
          </cell>
          <cell r="K180" t="str">
            <v>--</v>
          </cell>
        </row>
        <row r="181">
          <cell r="A181" t="str">
            <v>Period 11</v>
          </cell>
          <cell r="B181" t="str">
            <v>--</v>
          </cell>
          <cell r="C181" t="str">
            <v>--</v>
          </cell>
          <cell r="D181" t="str">
            <v>--</v>
          </cell>
          <cell r="E181" t="str">
            <v>--</v>
          </cell>
          <cell r="F181" t="str">
            <v>--</v>
          </cell>
          <cell r="G181" t="str">
            <v>--</v>
          </cell>
          <cell r="H181" t="str">
            <v>--</v>
          </cell>
          <cell r="I181" t="str">
            <v>--</v>
          </cell>
          <cell r="J181" t="str">
            <v>--</v>
          </cell>
          <cell r="K181" t="str">
            <v>--</v>
          </cell>
        </row>
        <row r="182">
          <cell r="A182" t="str">
            <v>Period 12</v>
          </cell>
          <cell r="B182" t="str">
            <v>--</v>
          </cell>
          <cell r="C182" t="str">
            <v>--</v>
          </cell>
          <cell r="D182" t="str">
            <v>--</v>
          </cell>
          <cell r="E182" t="str">
            <v>--</v>
          </cell>
          <cell r="F182" t="str">
            <v>--</v>
          </cell>
          <cell r="G182" t="str">
            <v>--</v>
          </cell>
          <cell r="H182" t="str">
            <v>--</v>
          </cell>
          <cell r="I182" t="str">
            <v>--</v>
          </cell>
          <cell r="J182" t="str">
            <v>--</v>
          </cell>
          <cell r="K182" t="str">
            <v>--</v>
          </cell>
        </row>
        <row r="183">
          <cell r="A183" t="str">
            <v>Period 13</v>
          </cell>
          <cell r="B183" t="str">
            <v>--</v>
          </cell>
          <cell r="C183" t="str">
            <v>--</v>
          </cell>
          <cell r="D183" t="str">
            <v>--</v>
          </cell>
          <cell r="E183" t="str">
            <v>--</v>
          </cell>
          <cell r="F183" t="str">
            <v>--</v>
          </cell>
          <cell r="G183" t="str">
            <v>--</v>
          </cell>
          <cell r="H183" t="str">
            <v>--</v>
          </cell>
          <cell r="I183" t="str">
            <v>--</v>
          </cell>
          <cell r="J183" t="str">
            <v>--</v>
          </cell>
          <cell r="K183" t="str">
            <v>--</v>
          </cell>
        </row>
        <row r="185">
          <cell r="A185" t="str">
            <v>CATEGORY - SOUP - Historical Statistics - 52 Week Data - TOTAL U.S. - FD / DG / MM</v>
          </cell>
        </row>
        <row r="187">
          <cell r="B187" t="str">
            <v>Category</v>
          </cell>
        </row>
        <row r="188">
          <cell r="B188" t="str">
            <v>Yr/Yr % Change</v>
          </cell>
        </row>
        <row r="189">
          <cell r="B189" t="str">
            <v>Sales</v>
          </cell>
          <cell r="D189" t="str">
            <v>Volume</v>
          </cell>
          <cell r="F189" t="str">
            <v>Price/Mix</v>
          </cell>
          <cell r="H189" t="str">
            <v>$ Merchandising</v>
          </cell>
        </row>
        <row r="190">
          <cell r="A190" t="str">
            <v>Date</v>
          </cell>
          <cell r="B190">
            <v>2005</v>
          </cell>
          <cell r="C190">
            <v>2006</v>
          </cell>
          <cell r="D190">
            <v>2005</v>
          </cell>
          <cell r="E190">
            <v>2006</v>
          </cell>
          <cell r="F190">
            <v>2005</v>
          </cell>
          <cell r="G190">
            <v>2006</v>
          </cell>
          <cell r="H190">
            <v>2005</v>
          </cell>
          <cell r="I190">
            <v>2006</v>
          </cell>
        </row>
        <row r="191">
          <cell r="A191" t="str">
            <v>Period 1</v>
          </cell>
          <cell r="B191" t="str">
            <v>--</v>
          </cell>
          <cell r="C191" t="str">
            <v>--</v>
          </cell>
          <cell r="D191" t="str">
            <v>--</v>
          </cell>
          <cell r="E191" t="str">
            <v>--</v>
          </cell>
          <cell r="F191" t="str">
            <v>--</v>
          </cell>
          <cell r="G191" t="str">
            <v>--</v>
          </cell>
          <cell r="H191" t="str">
            <v>--</v>
          </cell>
          <cell r="I191" t="str">
            <v>--</v>
          </cell>
        </row>
        <row r="192">
          <cell r="A192" t="str">
            <v>Period 2</v>
          </cell>
          <cell r="B192" t="str">
            <v>--</v>
          </cell>
          <cell r="C192" t="str">
            <v>--</v>
          </cell>
          <cell r="D192" t="str">
            <v>--</v>
          </cell>
          <cell r="E192" t="str">
            <v>--</v>
          </cell>
          <cell r="F192" t="str">
            <v>--</v>
          </cell>
          <cell r="G192" t="str">
            <v>--</v>
          </cell>
          <cell r="H192" t="str">
            <v>--</v>
          </cell>
          <cell r="I192" t="str">
            <v>--</v>
          </cell>
        </row>
        <row r="193">
          <cell r="A193" t="str">
            <v>Period 3</v>
          </cell>
          <cell r="B193" t="str">
            <v>--</v>
          </cell>
          <cell r="C193">
            <v>-2.0771216536239999E-2</v>
          </cell>
          <cell r="D193" t="str">
            <v>--</v>
          </cell>
          <cell r="E193">
            <v>-6.03797361155807</v>
          </cell>
          <cell r="F193" t="str">
            <v>--</v>
          </cell>
          <cell r="G193">
            <v>6.0172023950218296</v>
          </cell>
          <cell r="H193" t="str">
            <v>--</v>
          </cell>
          <cell r="I193">
            <v>-2.0687200271988102</v>
          </cell>
        </row>
        <row r="194">
          <cell r="A194" t="str">
            <v>Period 4</v>
          </cell>
          <cell r="B194" t="str">
            <v>--</v>
          </cell>
          <cell r="C194">
            <v>0.56911021203485002</v>
          </cell>
          <cell r="D194" t="str">
            <v>--</v>
          </cell>
          <cell r="E194">
            <v>-5.0203453344889004</v>
          </cell>
          <cell r="F194" t="str">
            <v>--</v>
          </cell>
          <cell r="G194">
            <v>5.5894555465237499</v>
          </cell>
          <cell r="H194" t="str">
            <v>--</v>
          </cell>
          <cell r="I194">
            <v>-1.2325408960831601</v>
          </cell>
        </row>
        <row r="195">
          <cell r="A195" t="str">
            <v>Period 5</v>
          </cell>
          <cell r="B195" t="str">
            <v>--</v>
          </cell>
          <cell r="C195">
            <v>0.39048339454308401</v>
          </cell>
          <cell r="D195" t="str">
            <v>--</v>
          </cell>
          <cell r="E195">
            <v>-5.1222477339885604</v>
          </cell>
          <cell r="F195" t="str">
            <v>--</v>
          </cell>
          <cell r="G195">
            <v>5.51273112853164</v>
          </cell>
          <cell r="H195" t="str">
            <v>--</v>
          </cell>
          <cell r="I195">
            <v>-0.83459315828599001</v>
          </cell>
        </row>
        <row r="196">
          <cell r="A196" t="str">
            <v>Period 6</v>
          </cell>
          <cell r="B196" t="str">
            <v>--</v>
          </cell>
          <cell r="C196">
            <v>0.61051984286572403</v>
          </cell>
          <cell r="D196" t="str">
            <v>--</v>
          </cell>
          <cell r="E196">
            <v>-4.7947446867926304</v>
          </cell>
          <cell r="F196" t="str">
            <v>--</v>
          </cell>
          <cell r="G196">
            <v>5.4052645296583499</v>
          </cell>
          <cell r="H196" t="str">
            <v>--</v>
          </cell>
          <cell r="I196">
            <v>-0.56060697943574</v>
          </cell>
        </row>
        <row r="197">
          <cell r="A197" t="str">
            <v>Period 7</v>
          </cell>
          <cell r="B197" t="str">
            <v>--</v>
          </cell>
          <cell r="C197">
            <v>0.78161798889229495</v>
          </cell>
          <cell r="D197" t="str">
            <v>--</v>
          </cell>
          <cell r="E197">
            <v>-4.6428058351958796</v>
          </cell>
          <cell r="F197" t="str">
            <v>--</v>
          </cell>
          <cell r="G197">
            <v>5.4244238240881799</v>
          </cell>
          <cell r="H197" t="str">
            <v>--</v>
          </cell>
          <cell r="I197">
            <v>-0.60848252945385894</v>
          </cell>
        </row>
        <row r="198">
          <cell r="A198" t="str">
            <v>Period 8</v>
          </cell>
          <cell r="B198" t="str">
            <v>--</v>
          </cell>
          <cell r="C198">
            <v>1.2057828310047001</v>
          </cell>
          <cell r="D198" t="str">
            <v>--</v>
          </cell>
          <cell r="E198">
            <v>-4.2229884754785303</v>
          </cell>
          <cell r="F198" t="str">
            <v>--</v>
          </cell>
          <cell r="G198">
            <v>5.4287713064832301</v>
          </cell>
          <cell r="H198" t="str">
            <v>--</v>
          </cell>
          <cell r="I198">
            <v>-0.45437656952203298</v>
          </cell>
        </row>
        <row r="199">
          <cell r="A199" t="str">
            <v>Period 9</v>
          </cell>
          <cell r="B199" t="str">
            <v>--</v>
          </cell>
          <cell r="C199">
            <v>2.0578515163347499</v>
          </cell>
          <cell r="D199" t="str">
            <v>--</v>
          </cell>
          <cell r="E199">
            <v>-3.1145631429480298</v>
          </cell>
          <cell r="F199" t="str">
            <v>--</v>
          </cell>
          <cell r="G199">
            <v>5.1724146592827802</v>
          </cell>
          <cell r="H199" t="str">
            <v>--</v>
          </cell>
          <cell r="I199">
            <v>8.2526846331770001E-3</v>
          </cell>
        </row>
        <row r="200">
          <cell r="A200" t="str">
            <v>Period 10</v>
          </cell>
          <cell r="B200" t="str">
            <v>--</v>
          </cell>
          <cell r="C200" t="str">
            <v>--</v>
          </cell>
          <cell r="D200" t="str">
            <v>--</v>
          </cell>
          <cell r="E200" t="str">
            <v>--</v>
          </cell>
          <cell r="F200" t="str">
            <v>--</v>
          </cell>
          <cell r="G200" t="str">
            <v>--</v>
          </cell>
          <cell r="H200" t="str">
            <v>--</v>
          </cell>
          <cell r="I200" t="str">
            <v>--</v>
          </cell>
        </row>
        <row r="201">
          <cell r="A201" t="str">
            <v>Period 11</v>
          </cell>
          <cell r="B201" t="str">
            <v>--</v>
          </cell>
          <cell r="C201" t="str">
            <v>--</v>
          </cell>
          <cell r="D201" t="str">
            <v>--</v>
          </cell>
          <cell r="E201" t="str">
            <v>--</v>
          </cell>
          <cell r="F201" t="str">
            <v>--</v>
          </cell>
          <cell r="G201" t="str">
            <v>--</v>
          </cell>
          <cell r="H201" t="str">
            <v>--</v>
          </cell>
          <cell r="I201" t="str">
            <v>--</v>
          </cell>
        </row>
        <row r="202">
          <cell r="A202" t="str">
            <v>Period 12</v>
          </cell>
          <cell r="B202" t="str">
            <v>--</v>
          </cell>
          <cell r="C202" t="str">
            <v>--</v>
          </cell>
          <cell r="D202" t="str">
            <v>--</v>
          </cell>
          <cell r="E202" t="str">
            <v>--</v>
          </cell>
          <cell r="F202" t="str">
            <v>--</v>
          </cell>
          <cell r="G202" t="str">
            <v>--</v>
          </cell>
          <cell r="H202" t="str">
            <v>--</v>
          </cell>
          <cell r="I202" t="str">
            <v>--</v>
          </cell>
        </row>
        <row r="203">
          <cell r="A203" t="str">
            <v>Period 13</v>
          </cell>
          <cell r="B203" t="str">
            <v>--</v>
          </cell>
          <cell r="C203" t="str">
            <v>--</v>
          </cell>
          <cell r="D203" t="str">
            <v>--</v>
          </cell>
          <cell r="E203" t="str">
            <v>--</v>
          </cell>
          <cell r="F203" t="str">
            <v>--</v>
          </cell>
          <cell r="G203" t="str">
            <v>--</v>
          </cell>
          <cell r="H203" t="str">
            <v>--</v>
          </cell>
          <cell r="I203" t="str">
            <v>--</v>
          </cell>
        </row>
        <row r="205">
          <cell r="B205" t="str">
            <v>Campbell's Soup</v>
          </cell>
        </row>
        <row r="206">
          <cell r="B206" t="str">
            <v>Yr/Yr % Change</v>
          </cell>
        </row>
        <row r="207">
          <cell r="B207" t="str">
            <v>Sales</v>
          </cell>
          <cell r="D207" t="str">
            <v>Volume</v>
          </cell>
          <cell r="F207" t="str">
            <v>Price/Mix</v>
          </cell>
          <cell r="H207" t="str">
            <v>$ Merchandising</v>
          </cell>
          <cell r="J207" t="str">
            <v>$ Share</v>
          </cell>
        </row>
        <row r="208">
          <cell r="A208" t="str">
            <v>Date</v>
          </cell>
          <cell r="B208">
            <v>2005</v>
          </cell>
          <cell r="C208">
            <v>2006</v>
          </cell>
          <cell r="D208">
            <v>2005</v>
          </cell>
          <cell r="E208">
            <v>2006</v>
          </cell>
          <cell r="F208">
            <v>2005</v>
          </cell>
          <cell r="G208">
            <v>2006</v>
          </cell>
          <cell r="H208">
            <v>2005</v>
          </cell>
          <cell r="I208">
            <v>2006</v>
          </cell>
          <cell r="J208">
            <v>2005</v>
          </cell>
          <cell r="K208">
            <v>2006</v>
          </cell>
        </row>
        <row r="209">
          <cell r="A209" t="str">
            <v>Period 1</v>
          </cell>
          <cell r="B209" t="str">
            <v>--</v>
          </cell>
          <cell r="C209" t="str">
            <v>--</v>
          </cell>
          <cell r="D209" t="str">
            <v>--</v>
          </cell>
          <cell r="E209" t="str">
            <v>--</v>
          </cell>
          <cell r="F209" t="str">
            <v>--</v>
          </cell>
          <cell r="G209" t="str">
            <v>--</v>
          </cell>
          <cell r="H209" t="str">
            <v>--</v>
          </cell>
          <cell r="I209" t="str">
            <v>--</v>
          </cell>
          <cell r="J209" t="str">
            <v>--</v>
          </cell>
          <cell r="K209">
            <v>47.241142402473798</v>
          </cell>
        </row>
        <row r="210">
          <cell r="A210" t="str">
            <v>Period 2</v>
          </cell>
          <cell r="B210" t="str">
            <v>--</v>
          </cell>
          <cell r="C210" t="str">
            <v>--</v>
          </cell>
          <cell r="D210" t="str">
            <v>--</v>
          </cell>
          <cell r="E210" t="str">
            <v>--</v>
          </cell>
          <cell r="F210" t="str">
            <v>--</v>
          </cell>
          <cell r="G210" t="str">
            <v>--</v>
          </cell>
          <cell r="H210" t="str">
            <v>--</v>
          </cell>
          <cell r="I210" t="str">
            <v>--</v>
          </cell>
          <cell r="J210" t="str">
            <v>--</v>
          </cell>
          <cell r="K210">
            <v>47.144706713800304</v>
          </cell>
        </row>
        <row r="211">
          <cell r="A211" t="str">
            <v>Period 3</v>
          </cell>
          <cell r="B211" t="str">
            <v>--</v>
          </cell>
          <cell r="C211">
            <v>-4.9519342144510796</v>
          </cell>
          <cell r="D211" t="str">
            <v>--</v>
          </cell>
          <cell r="E211">
            <v>-13.649841827049</v>
          </cell>
          <cell r="F211" t="str">
            <v>--</v>
          </cell>
          <cell r="G211">
            <v>8.69790761259795</v>
          </cell>
          <cell r="H211" t="str">
            <v>--</v>
          </cell>
          <cell r="I211">
            <v>-2.5332367611935398</v>
          </cell>
          <cell r="J211">
            <v>49.671369681230203</v>
          </cell>
          <cell r="K211">
            <v>47.2214846080184</v>
          </cell>
        </row>
        <row r="212">
          <cell r="A212" t="str">
            <v>Period 4</v>
          </cell>
          <cell r="B212" t="str">
            <v>--</v>
          </cell>
          <cell r="C212">
            <v>-3.77639509424134</v>
          </cell>
          <cell r="D212" t="str">
            <v>--</v>
          </cell>
          <cell r="E212">
            <v>-12.143582342960901</v>
          </cell>
          <cell r="F212" t="str">
            <v>--</v>
          </cell>
          <cell r="G212">
            <v>8.3671872487195795</v>
          </cell>
          <cell r="H212" t="str">
            <v>--</v>
          </cell>
          <cell r="I212">
            <v>-1.3813309150479101</v>
          </cell>
          <cell r="J212">
            <v>49.409166405555197</v>
          </cell>
          <cell r="K212">
            <v>47.274238550060097</v>
          </cell>
        </row>
        <row r="213">
          <cell r="A213" t="str">
            <v>Period 5</v>
          </cell>
          <cell r="B213" t="str">
            <v>--</v>
          </cell>
          <cell r="C213">
            <v>-3.6497741076421399</v>
          </cell>
          <cell r="D213" t="str">
            <v>--</v>
          </cell>
          <cell r="E213">
            <v>-11.9602765842984</v>
          </cell>
          <cell r="F213" t="str">
            <v>--</v>
          </cell>
          <cell r="G213">
            <v>8.3105024766562199</v>
          </cell>
          <cell r="H213" t="str">
            <v>--</v>
          </cell>
          <cell r="I213">
            <v>-0.86721005026570097</v>
          </cell>
          <cell r="J213">
            <v>49.220419619085902</v>
          </cell>
          <cell r="K213">
            <v>47.239522995198101</v>
          </cell>
        </row>
        <row r="214">
          <cell r="A214" t="str">
            <v>Period 6</v>
          </cell>
          <cell r="B214" t="str">
            <v>--</v>
          </cell>
          <cell r="C214">
            <v>-3.2773842679862901</v>
          </cell>
          <cell r="D214" t="str">
            <v>--</v>
          </cell>
          <cell r="E214">
            <v>-11.5054896546731</v>
          </cell>
          <cell r="F214" t="str">
            <v>--</v>
          </cell>
          <cell r="G214">
            <v>8.2281053866868294</v>
          </cell>
          <cell r="H214" t="str">
            <v>--</v>
          </cell>
          <cell r="I214">
            <v>-0.55239813421759698</v>
          </cell>
          <cell r="J214">
            <v>49.0713950473449</v>
          </cell>
          <cell r="K214">
            <v>47.1751233768696</v>
          </cell>
        </row>
        <row r="215">
          <cell r="A215" t="str">
            <v>Period 7</v>
          </cell>
          <cell r="B215" t="str">
            <v>--</v>
          </cell>
          <cell r="C215">
            <v>-3.0155268315693098</v>
          </cell>
          <cell r="D215" t="str">
            <v>--</v>
          </cell>
          <cell r="E215">
            <v>-11.269304894960101</v>
          </cell>
          <cell r="F215" t="str">
            <v>--</v>
          </cell>
          <cell r="G215">
            <v>8.2537780633907492</v>
          </cell>
          <cell r="H215" t="str">
            <v>--</v>
          </cell>
          <cell r="I215">
            <v>-0.632876779111882</v>
          </cell>
          <cell r="J215">
            <v>48.9599276502218</v>
          </cell>
          <cell r="K215">
            <v>47.115266496759297</v>
          </cell>
        </row>
        <row r="216">
          <cell r="A216" t="str">
            <v>Period 8</v>
          </cell>
          <cell r="B216" t="str">
            <v>--</v>
          </cell>
          <cell r="C216">
            <v>-2.2879033457858702</v>
          </cell>
          <cell r="D216" t="str">
            <v>--</v>
          </cell>
          <cell r="E216">
            <v>-10.3969429275406</v>
          </cell>
          <cell r="F216" t="str">
            <v>--</v>
          </cell>
          <cell r="G216">
            <v>8.1090395817547201</v>
          </cell>
          <cell r="H216" t="str">
            <v>--</v>
          </cell>
          <cell r="I216">
            <v>-7.4053344063621004E-2</v>
          </cell>
          <cell r="J216">
            <v>48.766624743768801</v>
          </cell>
          <cell r="K216">
            <v>47.083170715844901</v>
          </cell>
        </row>
        <row r="217">
          <cell r="A217" t="str">
            <v>Period 9</v>
          </cell>
          <cell r="B217" t="str">
            <v>--</v>
          </cell>
          <cell r="C217">
            <v>-0.99151369823952695</v>
          </cell>
          <cell r="D217" t="str">
            <v>--</v>
          </cell>
          <cell r="E217">
            <v>-8.6507825827989304</v>
          </cell>
          <cell r="F217" t="str">
            <v>--</v>
          </cell>
          <cell r="G217">
            <v>7.6592688845593999</v>
          </cell>
          <cell r="H217" t="str">
            <v>--</v>
          </cell>
          <cell r="I217">
            <v>0.98250366866757199</v>
          </cell>
          <cell r="J217">
            <v>48.536428474017399</v>
          </cell>
          <cell r="K217">
            <v>47.086218672132098</v>
          </cell>
        </row>
        <row r="218">
          <cell r="A218" t="str">
            <v>Period 10</v>
          </cell>
          <cell r="B218" t="str">
            <v>--</v>
          </cell>
          <cell r="C218" t="str">
            <v>--</v>
          </cell>
          <cell r="D218" t="str">
            <v>--</v>
          </cell>
          <cell r="E218" t="str">
            <v>--</v>
          </cell>
          <cell r="F218" t="str">
            <v>--</v>
          </cell>
          <cell r="G218" t="str">
            <v>--</v>
          </cell>
          <cell r="H218" t="str">
            <v>--</v>
          </cell>
          <cell r="I218" t="str">
            <v>--</v>
          </cell>
          <cell r="J218">
            <v>48.1212277581457</v>
          </cell>
          <cell r="K218" t="str">
            <v>--</v>
          </cell>
        </row>
        <row r="219">
          <cell r="A219" t="str">
            <v>Period 11</v>
          </cell>
          <cell r="B219" t="str">
            <v>--</v>
          </cell>
          <cell r="C219" t="str">
            <v>--</v>
          </cell>
          <cell r="D219" t="str">
            <v>--</v>
          </cell>
          <cell r="E219" t="str">
            <v>--</v>
          </cell>
          <cell r="F219" t="str">
            <v>--</v>
          </cell>
          <cell r="G219" t="str">
            <v>--</v>
          </cell>
          <cell r="H219" t="str">
            <v>--</v>
          </cell>
          <cell r="I219" t="str">
            <v>--</v>
          </cell>
          <cell r="J219">
            <v>47.810808047457201</v>
          </cell>
          <cell r="K219" t="str">
            <v>--</v>
          </cell>
        </row>
        <row r="220">
          <cell r="A220" t="str">
            <v>Period 12</v>
          </cell>
          <cell r="B220" t="str">
            <v>--</v>
          </cell>
          <cell r="C220" t="str">
            <v>--</v>
          </cell>
          <cell r="D220" t="str">
            <v>--</v>
          </cell>
          <cell r="E220" t="str">
            <v>--</v>
          </cell>
          <cell r="F220" t="str">
            <v>--</v>
          </cell>
          <cell r="G220" t="str">
            <v>--</v>
          </cell>
          <cell r="H220" t="str">
            <v>--</v>
          </cell>
          <cell r="I220" t="str">
            <v>--</v>
          </cell>
          <cell r="J220">
            <v>47.519182577861102</v>
          </cell>
          <cell r="K220" t="str">
            <v>--</v>
          </cell>
        </row>
        <row r="221">
          <cell r="A221" t="str">
            <v>Period 13</v>
          </cell>
          <cell r="B221" t="str">
            <v>--</v>
          </cell>
          <cell r="C221" t="str">
            <v>--</v>
          </cell>
          <cell r="D221" t="str">
            <v>--</v>
          </cell>
          <cell r="E221" t="str">
            <v>--</v>
          </cell>
          <cell r="F221" t="str">
            <v>--</v>
          </cell>
          <cell r="G221" t="str">
            <v>--</v>
          </cell>
          <cell r="H221" t="str">
            <v>--</v>
          </cell>
          <cell r="I221" t="str">
            <v>--</v>
          </cell>
          <cell r="J221">
            <v>47.471370378647599</v>
          </cell>
          <cell r="K221" t="str">
            <v>--</v>
          </cell>
        </row>
        <row r="223">
          <cell r="B223" t="str">
            <v>Private Label Soup</v>
          </cell>
        </row>
        <row r="224">
          <cell r="B224" t="str">
            <v>Yr/Yr % Change</v>
          </cell>
        </row>
        <row r="225">
          <cell r="B225" t="str">
            <v>Sales</v>
          </cell>
          <cell r="D225" t="str">
            <v>Volume</v>
          </cell>
          <cell r="F225" t="str">
            <v>Price/Mix</v>
          </cell>
          <cell r="H225" t="str">
            <v>$ Merchandising</v>
          </cell>
          <cell r="J225" t="str">
            <v>$ Share</v>
          </cell>
        </row>
        <row r="226">
          <cell r="A226" t="str">
            <v>Date</v>
          </cell>
          <cell r="B226">
            <v>2005</v>
          </cell>
          <cell r="C226">
            <v>2006</v>
          </cell>
          <cell r="D226">
            <v>2005</v>
          </cell>
          <cell r="E226">
            <v>2006</v>
          </cell>
          <cell r="F226">
            <v>2005</v>
          </cell>
          <cell r="G226">
            <v>2006</v>
          </cell>
          <cell r="H226">
            <v>2005</v>
          </cell>
          <cell r="I226">
            <v>2006</v>
          </cell>
          <cell r="J226">
            <v>2005</v>
          </cell>
          <cell r="K226">
            <v>2006</v>
          </cell>
        </row>
        <row r="227">
          <cell r="A227" t="str">
            <v>Period 1</v>
          </cell>
          <cell r="B227" t="str">
            <v>--</v>
          </cell>
          <cell r="C227" t="str">
            <v>--</v>
          </cell>
          <cell r="D227" t="str">
            <v>--</v>
          </cell>
          <cell r="E227" t="str">
            <v>--</v>
          </cell>
          <cell r="F227" t="str">
            <v>--</v>
          </cell>
          <cell r="G227" t="str">
            <v>--</v>
          </cell>
          <cell r="H227" t="str">
            <v>--</v>
          </cell>
          <cell r="I227" t="str">
            <v>--</v>
          </cell>
          <cell r="J227" t="str">
            <v>--</v>
          </cell>
          <cell r="K227">
            <v>8.6320840891874795</v>
          </cell>
        </row>
        <row r="228">
          <cell r="A228" t="str">
            <v>Period 2</v>
          </cell>
          <cell r="B228" t="str">
            <v>--</v>
          </cell>
          <cell r="C228" t="str">
            <v>--</v>
          </cell>
          <cell r="D228" t="str">
            <v>--</v>
          </cell>
          <cell r="E228" t="str">
            <v>--</v>
          </cell>
          <cell r="F228" t="str">
            <v>--</v>
          </cell>
          <cell r="G228" t="str">
            <v>--</v>
          </cell>
          <cell r="H228" t="str">
            <v>--</v>
          </cell>
          <cell r="I228" t="str">
            <v>--</v>
          </cell>
          <cell r="J228" t="str">
            <v>--</v>
          </cell>
          <cell r="K228">
            <v>8.6645020263148105</v>
          </cell>
        </row>
        <row r="229">
          <cell r="A229" t="str">
            <v>Period 3</v>
          </cell>
          <cell r="B229" t="str">
            <v>--</v>
          </cell>
          <cell r="C229">
            <v>8.7570975896892396</v>
          </cell>
          <cell r="D229" t="str">
            <v>--</v>
          </cell>
          <cell r="E229">
            <v>4.5854104595615803</v>
          </cell>
          <cell r="F229" t="str">
            <v>--</v>
          </cell>
          <cell r="G229">
            <v>4.1716871301276601</v>
          </cell>
          <cell r="H229" t="str">
            <v>--</v>
          </cell>
          <cell r="I229">
            <v>-0.84339915857964298</v>
          </cell>
          <cell r="J229">
            <v>8.0036999498632895</v>
          </cell>
          <cell r="K229">
            <v>8.7064001904948007</v>
          </cell>
        </row>
        <row r="230">
          <cell r="A230" t="str">
            <v>Period 4</v>
          </cell>
          <cell r="B230" t="str">
            <v>--</v>
          </cell>
          <cell r="C230">
            <v>9.2534142621029503</v>
          </cell>
          <cell r="D230" t="str">
            <v>--</v>
          </cell>
          <cell r="E230">
            <v>5.4126106933707003</v>
          </cell>
          <cell r="F230" t="str">
            <v>--</v>
          </cell>
          <cell r="G230">
            <v>3.8408035687322499</v>
          </cell>
          <cell r="H230" t="str">
            <v>--</v>
          </cell>
          <cell r="I230">
            <v>0.125217914630149</v>
          </cell>
          <cell r="J230">
            <v>8.0522152549169803</v>
          </cell>
          <cell r="K230">
            <v>8.7475369635695106</v>
          </cell>
        </row>
        <row r="231">
          <cell r="A231" t="str">
            <v>Period 5</v>
          </cell>
          <cell r="B231" t="str">
            <v>--</v>
          </cell>
          <cell r="C231">
            <v>8.3763206910264802</v>
          </cell>
          <cell r="D231" t="str">
            <v>--</v>
          </cell>
          <cell r="E231">
            <v>4.6921565960829801</v>
          </cell>
          <cell r="F231" t="str">
            <v>--</v>
          </cell>
          <cell r="G231">
            <v>3.6841640949435002</v>
          </cell>
          <cell r="H231" t="str">
            <v>--</v>
          </cell>
          <cell r="I231">
            <v>0.204121839912624</v>
          </cell>
          <cell r="J231">
            <v>8.1096029919710304</v>
          </cell>
          <cell r="K231">
            <v>8.7547036812309393</v>
          </cell>
        </row>
        <row r="232">
          <cell r="A232" t="str">
            <v>Period 6</v>
          </cell>
          <cell r="B232" t="str">
            <v>--</v>
          </cell>
          <cell r="C232">
            <v>8.37123168069391</v>
          </cell>
          <cell r="D232" t="str">
            <v>--</v>
          </cell>
          <cell r="E232">
            <v>4.9065099190200803</v>
          </cell>
          <cell r="F232" t="str">
            <v>--</v>
          </cell>
          <cell r="G232">
            <v>3.46472176167382</v>
          </cell>
          <cell r="H232" t="str">
            <v>--</v>
          </cell>
          <cell r="I232">
            <v>0.62920541797616603</v>
          </cell>
          <cell r="J232">
            <v>8.1454772526804593</v>
          </cell>
          <cell r="K232">
            <v>8.7737883064188509</v>
          </cell>
        </row>
        <row r="233">
          <cell r="A233" t="str">
            <v>Period 7</v>
          </cell>
          <cell r="B233" t="str">
            <v>--</v>
          </cell>
          <cell r="C233">
            <v>8.8837460970152407</v>
          </cell>
          <cell r="D233" t="str">
            <v>--</v>
          </cell>
          <cell r="E233">
            <v>5.4786760474072498</v>
          </cell>
          <cell r="F233" t="str">
            <v>--</v>
          </cell>
          <cell r="G233">
            <v>3.40507004960799</v>
          </cell>
          <cell r="H233" t="str">
            <v>--</v>
          </cell>
          <cell r="I233">
            <v>0.66181991154805098</v>
          </cell>
          <cell r="J233">
            <v>8.1583660154455302</v>
          </cell>
          <cell r="K233">
            <v>8.8142408458871397</v>
          </cell>
        </row>
        <row r="234">
          <cell r="A234" t="str">
            <v>Period 8</v>
          </cell>
          <cell r="B234" t="str">
            <v>--</v>
          </cell>
          <cell r="C234">
            <v>8.7543319044142098</v>
          </cell>
          <cell r="D234" t="str">
            <v>--</v>
          </cell>
          <cell r="E234">
            <v>5.4532077336318503</v>
          </cell>
          <cell r="F234" t="str">
            <v>--</v>
          </cell>
          <cell r="G234">
            <v>3.30112417078236</v>
          </cell>
          <cell r="H234" t="str">
            <v>--</v>
          </cell>
          <cell r="I234">
            <v>4.4611767260974003E-2</v>
          </cell>
          <cell r="J234">
            <v>8.2082637912402294</v>
          </cell>
          <cell r="K234">
            <v>8.8204865348667507</v>
          </cell>
        </row>
        <row r="235">
          <cell r="A235" t="str">
            <v>Period 9</v>
          </cell>
          <cell r="B235" t="str">
            <v>--</v>
          </cell>
          <cell r="C235">
            <v>9.3960418853529308</v>
          </cell>
          <cell r="D235" t="str">
            <v>--</v>
          </cell>
          <cell r="E235">
            <v>6.3340434067588003</v>
          </cell>
          <cell r="F235" t="str">
            <v>--</v>
          </cell>
          <cell r="G235">
            <v>3.0619984785941301</v>
          </cell>
          <cell r="H235" t="str">
            <v>--</v>
          </cell>
          <cell r="I235">
            <v>0.23862852305142501</v>
          </cell>
          <cell r="J235">
            <v>8.2727209085742892</v>
          </cell>
          <cell r="K235">
            <v>8.8675482539957198</v>
          </cell>
        </row>
        <row r="236">
          <cell r="A236" t="str">
            <v>Period 10</v>
          </cell>
          <cell r="B236" t="str">
            <v>--</v>
          </cell>
          <cell r="C236" t="str">
            <v>--</v>
          </cell>
          <cell r="D236" t="str">
            <v>--</v>
          </cell>
          <cell r="E236" t="str">
            <v>--</v>
          </cell>
          <cell r="F236" t="str">
            <v>--</v>
          </cell>
          <cell r="G236" t="str">
            <v>--</v>
          </cell>
          <cell r="H236" t="str">
            <v>--</v>
          </cell>
          <cell r="I236" t="str">
            <v>--</v>
          </cell>
          <cell r="J236">
            <v>8.3839807722351001</v>
          </cell>
          <cell r="K236" t="str">
            <v>--</v>
          </cell>
        </row>
        <row r="237">
          <cell r="A237" t="str">
            <v>Period 11</v>
          </cell>
          <cell r="B237" t="str">
            <v>--</v>
          </cell>
          <cell r="C237" t="str">
            <v>--</v>
          </cell>
          <cell r="D237" t="str">
            <v>--</v>
          </cell>
          <cell r="E237" t="str">
            <v>--</v>
          </cell>
          <cell r="F237" t="str">
            <v>--</v>
          </cell>
          <cell r="G237" t="str">
            <v>--</v>
          </cell>
          <cell r="H237" t="str">
            <v>--</v>
          </cell>
          <cell r="I237" t="str">
            <v>--</v>
          </cell>
          <cell r="J237">
            <v>8.4990548110321793</v>
          </cell>
          <cell r="K237" t="str">
            <v>--</v>
          </cell>
        </row>
        <row r="238">
          <cell r="A238" t="str">
            <v>Period 12</v>
          </cell>
          <cell r="B238" t="str">
            <v>--</v>
          </cell>
          <cell r="C238" t="str">
            <v>--</v>
          </cell>
          <cell r="D238" t="str">
            <v>--</v>
          </cell>
          <cell r="E238" t="str">
            <v>--</v>
          </cell>
          <cell r="F238" t="str">
            <v>--</v>
          </cell>
          <cell r="G238" t="str">
            <v>--</v>
          </cell>
          <cell r="H238" t="str">
            <v>--</v>
          </cell>
          <cell r="I238" t="str">
            <v>--</v>
          </cell>
          <cell r="J238">
            <v>8.5420456684022295</v>
          </cell>
          <cell r="K238" t="str">
            <v>--</v>
          </cell>
        </row>
        <row r="239">
          <cell r="A239" t="str">
            <v>Period 13</v>
          </cell>
          <cell r="B239" t="str">
            <v>--</v>
          </cell>
          <cell r="C239" t="str">
            <v>--</v>
          </cell>
          <cell r="D239" t="str">
            <v>--</v>
          </cell>
          <cell r="E239" t="str">
            <v>--</v>
          </cell>
          <cell r="F239" t="str">
            <v>--</v>
          </cell>
          <cell r="G239" t="str">
            <v>--</v>
          </cell>
          <cell r="H239" t="str">
            <v>--</v>
          </cell>
          <cell r="I239" t="str">
            <v>--</v>
          </cell>
          <cell r="J239">
            <v>8.6002049899541095</v>
          </cell>
          <cell r="K239" t="str">
            <v>--</v>
          </cell>
        </row>
        <row r="241">
          <cell r="B241" t="str">
            <v>General Mills Soup</v>
          </cell>
        </row>
        <row r="242">
          <cell r="B242" t="str">
            <v>Yr/Yr % Change</v>
          </cell>
        </row>
        <row r="243">
          <cell r="B243" t="str">
            <v>Sales</v>
          </cell>
          <cell r="D243" t="str">
            <v>Volume</v>
          </cell>
          <cell r="F243" t="str">
            <v>Price/Mix</v>
          </cell>
          <cell r="H243" t="str">
            <v>$ Merchandising</v>
          </cell>
          <cell r="J243" t="str">
            <v>$ Share</v>
          </cell>
        </row>
        <row r="244">
          <cell r="A244" t="str">
            <v>Date</v>
          </cell>
          <cell r="B244">
            <v>2005</v>
          </cell>
          <cell r="C244">
            <v>2006</v>
          </cell>
          <cell r="D244">
            <v>2005</v>
          </cell>
          <cell r="E244">
            <v>2006</v>
          </cell>
          <cell r="F244">
            <v>2005</v>
          </cell>
          <cell r="G244">
            <v>2006</v>
          </cell>
          <cell r="H244">
            <v>2005</v>
          </cell>
          <cell r="I244">
            <v>2006</v>
          </cell>
          <cell r="J244">
            <v>2005</v>
          </cell>
          <cell r="K244">
            <v>2006</v>
          </cell>
        </row>
        <row r="245">
          <cell r="A245" t="str">
            <v>Period 1</v>
          </cell>
          <cell r="B245" t="str">
            <v>--</v>
          </cell>
          <cell r="C245" t="str">
            <v>--</v>
          </cell>
          <cell r="D245" t="str">
            <v>--</v>
          </cell>
          <cell r="E245" t="str">
            <v>--</v>
          </cell>
          <cell r="F245" t="str">
            <v>--</v>
          </cell>
          <cell r="G245" t="str">
            <v>--</v>
          </cell>
          <cell r="H245" t="str">
            <v>--</v>
          </cell>
          <cell r="I245" t="str">
            <v>--</v>
          </cell>
          <cell r="J245" t="str">
            <v>--</v>
          </cell>
          <cell r="K245">
            <v>12.503290943618801</v>
          </cell>
        </row>
        <row r="246">
          <cell r="A246" t="str">
            <v>Period 2</v>
          </cell>
          <cell r="B246" t="str">
            <v>--</v>
          </cell>
          <cell r="C246" t="str">
            <v>--</v>
          </cell>
          <cell r="D246" t="str">
            <v>--</v>
          </cell>
          <cell r="E246" t="str">
            <v>--</v>
          </cell>
          <cell r="F246" t="str">
            <v>--</v>
          </cell>
          <cell r="G246" t="str">
            <v>--</v>
          </cell>
          <cell r="H246" t="str">
            <v>--</v>
          </cell>
          <cell r="I246" t="str">
            <v>--</v>
          </cell>
          <cell r="J246" t="str">
            <v>--</v>
          </cell>
          <cell r="K246">
            <v>12.495966935045701</v>
          </cell>
        </row>
        <row r="247">
          <cell r="A247" t="str">
            <v>Period 3</v>
          </cell>
          <cell r="B247" t="str">
            <v>--</v>
          </cell>
          <cell r="C247">
            <v>7.1182679090653096</v>
          </cell>
          <cell r="D247" t="str">
            <v>--</v>
          </cell>
          <cell r="E247">
            <v>0.59609529311509502</v>
          </cell>
          <cell r="F247" t="str">
            <v>--</v>
          </cell>
          <cell r="G247">
            <v>6.52217261595022</v>
          </cell>
          <cell r="H247" t="str">
            <v>--</v>
          </cell>
          <cell r="I247">
            <v>-4.4961151971576996</v>
          </cell>
          <cell r="J247">
            <v>11.5595990676609</v>
          </cell>
          <cell r="K247">
            <v>12.385014816756501</v>
          </cell>
        </row>
        <row r="248">
          <cell r="A248" t="str">
            <v>Period 4</v>
          </cell>
          <cell r="B248" t="str">
            <v>--</v>
          </cell>
          <cell r="C248">
            <v>6.1422387874531701</v>
          </cell>
          <cell r="D248" t="str">
            <v>--</v>
          </cell>
          <cell r="E248">
            <v>-0.286454790847542</v>
          </cell>
          <cell r="F248" t="str">
            <v>--</v>
          </cell>
          <cell r="G248">
            <v>6.4286935783007104</v>
          </cell>
          <cell r="H248" t="str">
            <v>--</v>
          </cell>
          <cell r="I248">
            <v>-4.3737135825870199</v>
          </cell>
          <cell r="J248">
            <v>11.6948275504745</v>
          </cell>
          <cell r="K248">
            <v>12.342907039979099</v>
          </cell>
        </row>
        <row r="249">
          <cell r="A249" t="str">
            <v>Period 5</v>
          </cell>
          <cell r="B249" t="str">
            <v>--</v>
          </cell>
          <cell r="C249">
            <v>5.50397466928146</v>
          </cell>
          <cell r="D249" t="str">
            <v>--</v>
          </cell>
          <cell r="E249">
            <v>-0.97674097355036804</v>
          </cell>
          <cell r="F249" t="str">
            <v>--</v>
          </cell>
          <cell r="G249">
            <v>6.4807156428318304</v>
          </cell>
          <cell r="H249" t="str">
            <v>--</v>
          </cell>
          <cell r="I249">
            <v>-3.7493333245928699</v>
          </cell>
          <cell r="J249">
            <v>11.7737622696272</v>
          </cell>
          <cell r="K249">
            <v>12.3734708137127</v>
          </cell>
        </row>
        <row r="250">
          <cell r="A250" t="str">
            <v>Period 6</v>
          </cell>
          <cell r="B250" t="str">
            <v>--</v>
          </cell>
          <cell r="C250">
            <v>5.6368695307095296</v>
          </cell>
          <cell r="D250" t="str">
            <v>--</v>
          </cell>
          <cell r="E250">
            <v>-0.58358083094802304</v>
          </cell>
          <cell r="F250" t="str">
            <v>--</v>
          </cell>
          <cell r="G250">
            <v>6.2204503616575497</v>
          </cell>
          <cell r="H250" t="str">
            <v>--</v>
          </cell>
          <cell r="I250">
            <v>-3.0173377390454701</v>
          </cell>
          <cell r="J250">
            <v>11.828564770471401</v>
          </cell>
          <cell r="K250">
            <v>12.4195020097835</v>
          </cell>
        </row>
        <row r="251">
          <cell r="A251" t="str">
            <v>Period 7</v>
          </cell>
          <cell r="B251" t="str">
            <v>--</v>
          </cell>
          <cell r="C251">
            <v>5.2689075275413897</v>
          </cell>
          <cell r="D251" t="str">
            <v>--</v>
          </cell>
          <cell r="E251">
            <v>-0.920721144757503</v>
          </cell>
          <cell r="F251" t="str">
            <v>--</v>
          </cell>
          <cell r="G251">
            <v>6.1896286722988902</v>
          </cell>
          <cell r="H251" t="str">
            <v>--</v>
          </cell>
          <cell r="I251">
            <v>-2.8159154840237801</v>
          </cell>
          <cell r="J251">
            <v>11.900433509972</v>
          </cell>
          <cell r="K251">
            <v>12.4302988947545</v>
          </cell>
        </row>
        <row r="252">
          <cell r="A252" t="str">
            <v>Period 8</v>
          </cell>
          <cell r="B252" t="str">
            <v>--</v>
          </cell>
          <cell r="C252">
            <v>5.2866691304683</v>
          </cell>
          <cell r="D252" t="str">
            <v>--</v>
          </cell>
          <cell r="E252">
            <v>-1.00912038028828</v>
          </cell>
          <cell r="F252" t="str">
            <v>--</v>
          </cell>
          <cell r="G252">
            <v>6.2957895107565802</v>
          </cell>
          <cell r="H252" t="str">
            <v>--</v>
          </cell>
          <cell r="I252">
            <v>-3.07700650684423</v>
          </cell>
          <cell r="J252">
            <v>11.958772904634801</v>
          </cell>
          <cell r="K252">
            <v>12.440982430017501</v>
          </cell>
        </row>
        <row r="253">
          <cell r="A253" t="str">
            <v>Period 9</v>
          </cell>
          <cell r="B253" t="str">
            <v>--</v>
          </cell>
          <cell r="C253">
            <v>5.6782823382542098</v>
          </cell>
          <cell r="D253" t="str">
            <v>--</v>
          </cell>
          <cell r="E253">
            <v>-0.64768720039882099</v>
          </cell>
          <cell r="F253" t="str">
            <v>--</v>
          </cell>
          <cell r="G253">
            <v>6.3259695386530304</v>
          </cell>
          <cell r="H253" t="str">
            <v>--</v>
          </cell>
          <cell r="I253">
            <v>-3.1403580113791798</v>
          </cell>
          <cell r="J253">
            <v>11.992880686169601</v>
          </cell>
          <cell r="K253">
            <v>12.4183197311299</v>
          </cell>
        </row>
        <row r="254">
          <cell r="A254" t="str">
            <v>Period 10</v>
          </cell>
          <cell r="B254" t="str">
            <v>--</v>
          </cell>
          <cell r="C254" t="str">
            <v>--</v>
          </cell>
          <cell r="D254" t="str">
            <v>--</v>
          </cell>
          <cell r="E254" t="str">
            <v>--</v>
          </cell>
          <cell r="F254" t="str">
            <v>--</v>
          </cell>
          <cell r="G254" t="str">
            <v>--</v>
          </cell>
          <cell r="H254" t="str">
            <v>--</v>
          </cell>
          <cell r="I254" t="str">
            <v>--</v>
          </cell>
          <cell r="J254">
            <v>12.1021786495978</v>
          </cell>
          <cell r="K254" t="str">
            <v>--</v>
          </cell>
        </row>
        <row r="255">
          <cell r="A255" t="str">
            <v>Period 11</v>
          </cell>
          <cell r="B255" t="str">
            <v>--</v>
          </cell>
          <cell r="C255" t="str">
            <v>--</v>
          </cell>
          <cell r="D255" t="str">
            <v>--</v>
          </cell>
          <cell r="E255" t="str">
            <v>--</v>
          </cell>
          <cell r="F255" t="str">
            <v>--</v>
          </cell>
          <cell r="G255" t="str">
            <v>--</v>
          </cell>
          <cell r="H255" t="str">
            <v>--</v>
          </cell>
          <cell r="I255" t="str">
            <v>--</v>
          </cell>
          <cell r="J255">
            <v>12.2274054195706</v>
          </cell>
          <cell r="K255" t="str">
            <v>--</v>
          </cell>
        </row>
        <row r="256">
          <cell r="A256" t="str">
            <v>Period 12</v>
          </cell>
          <cell r="B256" t="str">
            <v>--</v>
          </cell>
          <cell r="C256" t="str">
            <v>--</v>
          </cell>
          <cell r="D256" t="str">
            <v>--</v>
          </cell>
          <cell r="E256" t="str">
            <v>--</v>
          </cell>
          <cell r="F256" t="str">
            <v>--</v>
          </cell>
          <cell r="G256" t="str">
            <v>--</v>
          </cell>
          <cell r="H256" t="str">
            <v>--</v>
          </cell>
          <cell r="I256" t="str">
            <v>--</v>
          </cell>
          <cell r="J256">
            <v>12.421511044839701</v>
          </cell>
          <cell r="K256" t="str">
            <v>--</v>
          </cell>
        </row>
        <row r="257">
          <cell r="A257" t="str">
            <v>Period 13</v>
          </cell>
          <cell r="B257" t="str">
            <v>--</v>
          </cell>
          <cell r="C257" t="str">
            <v>--</v>
          </cell>
          <cell r="D257" t="str">
            <v>--</v>
          </cell>
          <cell r="E257" t="str">
            <v>--</v>
          </cell>
          <cell r="F257" t="str">
            <v>--</v>
          </cell>
          <cell r="G257" t="str">
            <v>--</v>
          </cell>
          <cell r="H257" t="str">
            <v>--</v>
          </cell>
          <cell r="I257" t="str">
            <v>--</v>
          </cell>
          <cell r="J257">
            <v>12.403256124299499</v>
          </cell>
          <cell r="K257" t="str">
            <v>--</v>
          </cell>
        </row>
        <row r="259">
          <cell r="B259" t="str">
            <v>All Other Soup</v>
          </cell>
        </row>
        <row r="260">
          <cell r="B260" t="str">
            <v>Yr/Yr % Change</v>
          </cell>
        </row>
        <row r="261">
          <cell r="B261" t="str">
            <v>Sales</v>
          </cell>
          <cell r="D261" t="str">
            <v>Volume</v>
          </cell>
          <cell r="F261" t="str">
            <v>Price/Mix</v>
          </cell>
          <cell r="H261" t="str">
            <v>$ Merchandising</v>
          </cell>
          <cell r="J261" t="str">
            <v>$ Share</v>
          </cell>
        </row>
        <row r="262">
          <cell r="A262" t="str">
            <v>Date</v>
          </cell>
          <cell r="B262">
            <v>2005</v>
          </cell>
          <cell r="C262">
            <v>2006</v>
          </cell>
          <cell r="D262">
            <v>2005</v>
          </cell>
          <cell r="E262">
            <v>2006</v>
          </cell>
          <cell r="F262">
            <v>2005</v>
          </cell>
          <cell r="G262">
            <v>2006</v>
          </cell>
          <cell r="H262">
            <v>2005</v>
          </cell>
          <cell r="I262">
            <v>2006</v>
          </cell>
          <cell r="J262">
            <v>2005</v>
          </cell>
          <cell r="K262">
            <v>2006</v>
          </cell>
        </row>
        <row r="263">
          <cell r="A263" t="str">
            <v>Period 1</v>
          </cell>
          <cell r="B263" t="str">
            <v>--</v>
          </cell>
          <cell r="C263" t="str">
            <v>--</v>
          </cell>
          <cell r="D263" t="str">
            <v>--</v>
          </cell>
          <cell r="E263" t="str">
            <v>--</v>
          </cell>
          <cell r="F263" t="str">
            <v>--</v>
          </cell>
          <cell r="G263" t="str">
            <v>--</v>
          </cell>
          <cell r="H263" t="str">
            <v>--</v>
          </cell>
          <cell r="I263" t="str">
            <v>--</v>
          </cell>
          <cell r="J263" t="str">
            <v>--</v>
          </cell>
          <cell r="K263">
            <v>166.83201889257799</v>
          </cell>
        </row>
        <row r="264">
          <cell r="A264" t="str">
            <v>Period 2</v>
          </cell>
          <cell r="B264" t="str">
            <v>--</v>
          </cell>
          <cell r="C264" t="str">
            <v>--</v>
          </cell>
          <cell r="D264" t="str">
            <v>--</v>
          </cell>
          <cell r="E264" t="str">
            <v>--</v>
          </cell>
          <cell r="F264" t="str">
            <v>--</v>
          </cell>
          <cell r="G264" t="str">
            <v>--</v>
          </cell>
          <cell r="H264" t="str">
            <v>--</v>
          </cell>
          <cell r="I264" t="str">
            <v>--</v>
          </cell>
          <cell r="J264" t="str">
            <v>--</v>
          </cell>
          <cell r="K264">
            <v>166.72959620953699</v>
          </cell>
        </row>
        <row r="265">
          <cell r="A265" t="str">
            <v>Period 3</v>
          </cell>
          <cell r="B265" t="str">
            <v>--</v>
          </cell>
          <cell r="C265">
            <v>-0.72428922308850896</v>
          </cell>
          <cell r="D265" t="str">
            <v>--</v>
          </cell>
          <cell r="E265">
            <v>-7.3035543923146804</v>
          </cell>
          <cell r="F265" t="str">
            <v>--</v>
          </cell>
          <cell r="G265">
            <v>6.5792651692261703</v>
          </cell>
          <cell r="H265" t="str">
            <v>--</v>
          </cell>
          <cell r="I265">
            <v>-2.16847381820316</v>
          </cell>
          <cell r="J265">
            <v>167.88847866837801</v>
          </cell>
          <cell r="K265">
            <v>166.707107604877</v>
          </cell>
        </row>
        <row r="266">
          <cell r="A266" t="str">
            <v>Period 4</v>
          </cell>
          <cell r="B266" t="str">
            <v>--</v>
          </cell>
          <cell r="C266">
            <v>2.57603521918471</v>
          </cell>
          <cell r="D266" t="str">
            <v>--</v>
          </cell>
          <cell r="E266">
            <v>1.13835663771178</v>
          </cell>
          <cell r="F266" t="str">
            <v>--</v>
          </cell>
          <cell r="G266">
            <v>1.43767858147293</v>
          </cell>
          <cell r="H266" t="str">
            <v>--</v>
          </cell>
          <cell r="I266">
            <v>-0.333718402810049</v>
          </cell>
          <cell r="J266">
            <v>25.6898661583833</v>
          </cell>
          <cell r="K266">
            <v>26.202524913292098</v>
          </cell>
        </row>
        <row r="267">
          <cell r="A267" t="str">
            <v>Period 5</v>
          </cell>
          <cell r="B267" t="str">
            <v>--</v>
          </cell>
          <cell r="C267">
            <v>2.2036440961855002</v>
          </cell>
          <cell r="D267" t="str">
            <v>--</v>
          </cell>
          <cell r="E267">
            <v>0.93700785432247002</v>
          </cell>
          <cell r="F267" t="str">
            <v>--</v>
          </cell>
          <cell r="G267">
            <v>1.2666362418630299</v>
          </cell>
          <cell r="H267" t="str">
            <v>--</v>
          </cell>
          <cell r="I267">
            <v>-3.2854358692934002E-2</v>
          </cell>
          <cell r="J267">
            <v>25.7268645094973</v>
          </cell>
          <cell r="K267">
            <v>26.191519505945301</v>
          </cell>
        </row>
        <row r="268">
          <cell r="A268" t="str">
            <v>Period 6</v>
          </cell>
          <cell r="B268" t="str">
            <v>--</v>
          </cell>
          <cell r="C268">
            <v>2.2522628823050002</v>
          </cell>
          <cell r="D268" t="str">
            <v>--</v>
          </cell>
          <cell r="E268">
            <v>0.99578838624620503</v>
          </cell>
          <cell r="F268" t="str">
            <v>--</v>
          </cell>
          <cell r="G268">
            <v>1.2564744960587999</v>
          </cell>
          <cell r="H268" t="str">
            <v>--</v>
          </cell>
          <cell r="I268">
            <v>-1.3636340585278999E-2</v>
          </cell>
          <cell r="J268">
            <v>25.766094657588599</v>
          </cell>
          <cell r="K268">
            <v>26.186540815939601</v>
          </cell>
        </row>
        <row r="269">
          <cell r="A269" t="str">
            <v>Period 7</v>
          </cell>
          <cell r="B269" t="str">
            <v>--</v>
          </cell>
          <cell r="C269">
            <v>2.3594980195781701</v>
          </cell>
          <cell r="D269" t="str">
            <v>--</v>
          </cell>
          <cell r="E269">
            <v>0.89482439412931603</v>
          </cell>
          <cell r="F269" t="str">
            <v>--</v>
          </cell>
          <cell r="G269">
            <v>1.4646736254488499</v>
          </cell>
          <cell r="H269" t="str">
            <v>--</v>
          </cell>
          <cell r="I269">
            <v>-9.8523619934582002E-2</v>
          </cell>
          <cell r="J269">
            <v>25.779168491298201</v>
          </cell>
          <cell r="K269">
            <v>26.182778157245298</v>
          </cell>
        </row>
        <row r="270">
          <cell r="A270" t="str">
            <v>Period 8</v>
          </cell>
          <cell r="B270" t="str">
            <v>--</v>
          </cell>
          <cell r="C270">
            <v>2.56618581848717</v>
          </cell>
          <cell r="D270" t="str">
            <v>--</v>
          </cell>
          <cell r="E270">
            <v>0.69842854340257599</v>
          </cell>
          <cell r="F270" t="str">
            <v>--</v>
          </cell>
          <cell r="G270">
            <v>1.8677572750845901</v>
          </cell>
          <cell r="H270" t="str">
            <v>--</v>
          </cell>
          <cell r="I270">
            <v>-0.148461450520845</v>
          </cell>
          <cell r="J270">
            <v>25.836839229935499</v>
          </cell>
          <cell r="K270">
            <v>26.184136709311801</v>
          </cell>
        </row>
        <row r="271">
          <cell r="A271" t="str">
            <v>Period 9</v>
          </cell>
          <cell r="B271" t="str">
            <v>--</v>
          </cell>
          <cell r="C271">
            <v>2.8942925947204801</v>
          </cell>
          <cell r="D271" t="str">
            <v>--</v>
          </cell>
          <cell r="E271">
            <v>0.93444070739236196</v>
          </cell>
          <cell r="F271" t="str">
            <v>--</v>
          </cell>
          <cell r="G271">
            <v>1.9598518873281101</v>
          </cell>
          <cell r="H271" t="str">
            <v>--</v>
          </cell>
          <cell r="I271">
            <v>-0.267947461768475</v>
          </cell>
          <cell r="J271">
            <v>25.933946465580799</v>
          </cell>
          <cell r="K271">
            <v>26.1464947195973</v>
          </cell>
        </row>
        <row r="272">
          <cell r="A272" t="str">
            <v>Period 10</v>
          </cell>
          <cell r="B272" t="str">
            <v>--</v>
          </cell>
          <cell r="C272" t="str">
            <v>--</v>
          </cell>
          <cell r="D272" t="str">
            <v>--</v>
          </cell>
          <cell r="E272" t="str">
            <v>--</v>
          </cell>
          <cell r="F272" t="str">
            <v>--</v>
          </cell>
          <cell r="G272" t="str">
            <v>--</v>
          </cell>
          <cell r="H272" t="str">
            <v>--</v>
          </cell>
          <cell r="I272" t="str">
            <v>--</v>
          </cell>
          <cell r="J272">
            <v>167.15143353373901</v>
          </cell>
          <cell r="K272" t="str">
            <v>--</v>
          </cell>
        </row>
        <row r="273">
          <cell r="A273" t="str">
            <v>Period 11</v>
          </cell>
          <cell r="B273" t="str">
            <v>--</v>
          </cell>
          <cell r="C273" t="str">
            <v>--</v>
          </cell>
          <cell r="D273" t="str">
            <v>--</v>
          </cell>
          <cell r="E273" t="str">
            <v>--</v>
          </cell>
          <cell r="F273" t="str">
            <v>--</v>
          </cell>
          <cell r="G273" t="str">
            <v>--</v>
          </cell>
          <cell r="H273" t="str">
            <v>--</v>
          </cell>
          <cell r="I273" t="str">
            <v>--</v>
          </cell>
          <cell r="J273">
            <v>167.065574858904</v>
          </cell>
          <cell r="K273" t="str">
            <v>--</v>
          </cell>
        </row>
        <row r="274">
          <cell r="A274" t="str">
            <v>Period 12</v>
          </cell>
          <cell r="B274" t="str">
            <v>--</v>
          </cell>
          <cell r="C274" t="str">
            <v>--</v>
          </cell>
          <cell r="D274" t="str">
            <v>--</v>
          </cell>
          <cell r="E274" t="str">
            <v>--</v>
          </cell>
          <cell r="F274" t="str">
            <v>--</v>
          </cell>
          <cell r="G274" t="str">
            <v>--</v>
          </cell>
          <cell r="H274" t="str">
            <v>--</v>
          </cell>
          <cell r="I274" t="str">
            <v>--</v>
          </cell>
          <cell r="J274">
            <v>166.99044833085199</v>
          </cell>
          <cell r="K274" t="str">
            <v>--</v>
          </cell>
        </row>
        <row r="275">
          <cell r="A275" t="str">
            <v>Period 13</v>
          </cell>
          <cell r="B275" t="str">
            <v>--</v>
          </cell>
          <cell r="C275" t="str">
            <v>--</v>
          </cell>
          <cell r="D275" t="str">
            <v>--</v>
          </cell>
          <cell r="E275" t="str">
            <v>--</v>
          </cell>
          <cell r="F275" t="str">
            <v>--</v>
          </cell>
          <cell r="G275" t="str">
            <v>--</v>
          </cell>
          <cell r="H275" t="str">
            <v>--</v>
          </cell>
          <cell r="I275" t="str">
            <v>--</v>
          </cell>
          <cell r="J275">
            <v>166.95665517721801</v>
          </cell>
          <cell r="K275" t="str">
            <v>--</v>
          </cell>
        </row>
      </sheetData>
      <sheetData sheetId="30"/>
      <sheetData sheetId="31" refreshError="1">
        <row r="1">
          <cell r="A1" t="str">
            <v>CATEGORY - CRACKERS - Historical Statistics - 4 Week Data - TOTAL U.S. - FD / DG / MM</v>
          </cell>
        </row>
        <row r="3">
          <cell r="B3" t="str">
            <v>Category</v>
          </cell>
        </row>
        <row r="4">
          <cell r="B4" t="str">
            <v>Yr/Yr % Change</v>
          </cell>
        </row>
        <row r="5">
          <cell r="B5" t="str">
            <v>Sales</v>
          </cell>
          <cell r="E5" t="str">
            <v>Volume</v>
          </cell>
          <cell r="H5" t="str">
            <v>Price/Mix</v>
          </cell>
          <cell r="K5" t="str">
            <v>$ Merchandising</v>
          </cell>
        </row>
        <row r="6">
          <cell r="A6" t="str">
            <v>Date</v>
          </cell>
          <cell r="B6">
            <v>2004</v>
          </cell>
          <cell r="C6">
            <v>2005</v>
          </cell>
          <cell r="D6">
            <v>2006</v>
          </cell>
          <cell r="E6">
            <v>2004</v>
          </cell>
          <cell r="F6">
            <v>2005</v>
          </cell>
          <cell r="G6">
            <v>2006</v>
          </cell>
          <cell r="H6">
            <v>2004</v>
          </cell>
          <cell r="I6">
            <v>2005</v>
          </cell>
          <cell r="J6">
            <v>2006</v>
          </cell>
          <cell r="K6">
            <v>2004</v>
          </cell>
          <cell r="L6">
            <v>2005</v>
          </cell>
          <cell r="M6">
            <v>2006</v>
          </cell>
        </row>
        <row r="7">
          <cell r="A7" t="str">
            <v>Period 1</v>
          </cell>
          <cell r="B7" t="str">
            <v>--</v>
          </cell>
          <cell r="C7" t="str">
            <v>--</v>
          </cell>
          <cell r="D7">
            <v>-4.2994493555812099</v>
          </cell>
          <cell r="E7" t="str">
            <v>--</v>
          </cell>
          <cell r="F7" t="str">
            <v>--</v>
          </cell>
          <cell r="G7">
            <v>-9.7359228724699207</v>
          </cell>
          <cell r="H7" t="str">
            <v>--</v>
          </cell>
          <cell r="I7" t="str">
            <v>--</v>
          </cell>
          <cell r="J7">
            <v>5.4364735168887099</v>
          </cell>
          <cell r="K7" t="str">
            <v>--</v>
          </cell>
          <cell r="L7" t="str">
            <v>--</v>
          </cell>
          <cell r="M7">
            <v>-0.486663178253259</v>
          </cell>
        </row>
        <row r="8">
          <cell r="A8" t="str">
            <v>Period 2</v>
          </cell>
          <cell r="B8" t="str">
            <v>--</v>
          </cell>
          <cell r="C8" t="str">
            <v>--</v>
          </cell>
          <cell r="D8">
            <v>2.8353011374030501</v>
          </cell>
          <cell r="E8" t="str">
            <v>--</v>
          </cell>
          <cell r="F8" t="str">
            <v>--</v>
          </cell>
          <cell r="G8">
            <v>-1.03991477344483</v>
          </cell>
          <cell r="H8" t="str">
            <v>--</v>
          </cell>
          <cell r="I8" t="str">
            <v>--</v>
          </cell>
          <cell r="J8">
            <v>3.8752159108478801</v>
          </cell>
          <cell r="K8" t="str">
            <v>--</v>
          </cell>
          <cell r="L8" t="str">
            <v>--</v>
          </cell>
          <cell r="M8">
            <v>-1.2714067545557299</v>
          </cell>
        </row>
        <row r="9">
          <cell r="A9" t="str">
            <v>Period 3</v>
          </cell>
          <cell r="B9" t="str">
            <v>--</v>
          </cell>
          <cell r="C9">
            <v>1.19802337762466</v>
          </cell>
          <cell r="D9">
            <v>1.1940219929593301</v>
          </cell>
          <cell r="E9" t="str">
            <v>--</v>
          </cell>
          <cell r="F9">
            <v>-1.8526826219094801</v>
          </cell>
          <cell r="G9">
            <v>-3.7394720183594701</v>
          </cell>
          <cell r="H9" t="str">
            <v>--</v>
          </cell>
          <cell r="I9">
            <v>3.0507059995341401</v>
          </cell>
          <cell r="J9">
            <v>4.93349401131879</v>
          </cell>
          <cell r="K9" t="str">
            <v>--</v>
          </cell>
          <cell r="L9">
            <v>-1.1014797421756599</v>
          </cell>
          <cell r="M9">
            <v>-2.4921860171222399</v>
          </cell>
        </row>
        <row r="10">
          <cell r="A10" t="str">
            <v>Period 4</v>
          </cell>
          <cell r="B10" t="str">
            <v>--</v>
          </cell>
          <cell r="C10">
            <v>0.37031884969565598</v>
          </cell>
          <cell r="D10">
            <v>6.7416631662832396</v>
          </cell>
          <cell r="E10" t="str">
            <v>--</v>
          </cell>
          <cell r="F10">
            <v>-1.27882641589721</v>
          </cell>
          <cell r="G10">
            <v>4.3049993955413299</v>
          </cell>
          <cell r="H10" t="str">
            <v>--</v>
          </cell>
          <cell r="I10">
            <v>1.64914526559286</v>
          </cell>
          <cell r="J10">
            <v>2.4366637707418999</v>
          </cell>
          <cell r="K10" t="str">
            <v>--</v>
          </cell>
          <cell r="L10">
            <v>-0.91980777662310897</v>
          </cell>
          <cell r="M10">
            <v>4.0032261484560898</v>
          </cell>
        </row>
        <row r="11">
          <cell r="A11" t="str">
            <v>Period 5</v>
          </cell>
          <cell r="B11" t="str">
            <v>--</v>
          </cell>
          <cell r="C11">
            <v>2.1890956492400302</v>
          </cell>
          <cell r="D11">
            <v>4.9210771131965201</v>
          </cell>
          <cell r="E11" t="str">
            <v>--</v>
          </cell>
          <cell r="F11">
            <v>6.3746720299378001E-2</v>
          </cell>
          <cell r="G11">
            <v>-1.62557008897771</v>
          </cell>
          <cell r="H11" t="str">
            <v>--</v>
          </cell>
          <cell r="I11">
            <v>2.12534892894065</v>
          </cell>
          <cell r="J11">
            <v>6.5466472021742304</v>
          </cell>
          <cell r="K11" t="str">
            <v>--</v>
          </cell>
          <cell r="L11">
            <v>-0.67878716581812204</v>
          </cell>
          <cell r="M11">
            <v>-1.67118483599769</v>
          </cell>
        </row>
        <row r="12">
          <cell r="A12" t="str">
            <v>Period 6</v>
          </cell>
          <cell r="B12" t="str">
            <v>--</v>
          </cell>
          <cell r="C12">
            <v>6.8552732220192994E-2</v>
          </cell>
          <cell r="D12">
            <v>7.3120953139073599</v>
          </cell>
          <cell r="E12" t="str">
            <v>--</v>
          </cell>
          <cell r="F12">
            <v>-3.0052066239058099</v>
          </cell>
          <cell r="G12">
            <v>4.4270842887807502</v>
          </cell>
          <cell r="H12" t="str">
            <v>--</v>
          </cell>
          <cell r="I12">
            <v>3.0737593561260099</v>
          </cell>
          <cell r="J12">
            <v>2.8850110251266101</v>
          </cell>
          <cell r="K12" t="str">
            <v>--</v>
          </cell>
          <cell r="L12">
            <v>-0.98015033593191003</v>
          </cell>
          <cell r="M12">
            <v>0.60374962754442396</v>
          </cell>
        </row>
        <row r="13">
          <cell r="A13" t="str">
            <v>Period 7</v>
          </cell>
          <cell r="B13" t="str">
            <v>--</v>
          </cell>
          <cell r="C13">
            <v>-1.3951448069841501</v>
          </cell>
          <cell r="D13">
            <v>7.0048584521110504</v>
          </cell>
          <cell r="E13" t="str">
            <v>--</v>
          </cell>
          <cell r="F13">
            <v>-4.63394652139519</v>
          </cell>
          <cell r="G13">
            <v>4.30502138194624</v>
          </cell>
          <cell r="H13" t="str">
            <v>--</v>
          </cell>
          <cell r="I13">
            <v>3.2388017144110401</v>
          </cell>
          <cell r="J13">
            <v>2.69983707016481</v>
          </cell>
          <cell r="K13" t="str">
            <v>--</v>
          </cell>
          <cell r="L13">
            <v>-1.9978261991138699</v>
          </cell>
          <cell r="M13">
            <v>1.02007505587755</v>
          </cell>
        </row>
        <row r="14">
          <cell r="A14" t="str">
            <v>Period 8</v>
          </cell>
          <cell r="B14" t="str">
            <v>--</v>
          </cell>
          <cell r="C14">
            <v>-3.1244868305643898</v>
          </cell>
          <cell r="D14">
            <v>6.9767317307355601</v>
          </cell>
          <cell r="E14" t="str">
            <v>--</v>
          </cell>
          <cell r="F14">
            <v>-6.7041153837615903</v>
          </cell>
          <cell r="G14">
            <v>3.5195140292620501</v>
          </cell>
          <cell r="H14" t="str">
            <v>--</v>
          </cell>
          <cell r="I14">
            <v>3.5796285531972001</v>
          </cell>
          <cell r="J14">
            <v>3.4572177014735099</v>
          </cell>
          <cell r="K14" t="str">
            <v>--</v>
          </cell>
          <cell r="L14">
            <v>-0.14423294666793399</v>
          </cell>
          <cell r="M14">
            <v>1.55564352102077</v>
          </cell>
        </row>
        <row r="15">
          <cell r="A15" t="str">
            <v>Period 9</v>
          </cell>
          <cell r="B15" t="str">
            <v>--</v>
          </cell>
          <cell r="C15">
            <v>-1.97575788824001</v>
          </cell>
          <cell r="D15">
            <v>6.7438998973765898</v>
          </cell>
          <cell r="E15" t="str">
            <v>--</v>
          </cell>
          <cell r="F15">
            <v>-5.23265662250936</v>
          </cell>
          <cell r="G15">
            <v>3.85871150907542</v>
          </cell>
          <cell r="H15" t="str">
            <v>--</v>
          </cell>
          <cell r="I15">
            <v>3.2568987342693401</v>
          </cell>
          <cell r="J15">
            <v>2.8851883883011702</v>
          </cell>
          <cell r="K15" t="str">
            <v>--</v>
          </cell>
          <cell r="L15">
            <v>1.1246290679016899</v>
          </cell>
          <cell r="M15">
            <v>0.75124829699644402</v>
          </cell>
        </row>
        <row r="16">
          <cell r="A16" t="str">
            <v>Period 10</v>
          </cell>
          <cell r="B16" t="str">
            <v>--</v>
          </cell>
          <cell r="C16">
            <v>-0.32319367780242703</v>
          </cell>
          <cell r="D16" t="str">
            <v>--</v>
          </cell>
          <cell r="E16" t="str">
            <v>--</v>
          </cell>
          <cell r="F16">
            <v>-3.3861928982806102</v>
          </cell>
          <cell r="G16" t="str">
            <v>--</v>
          </cell>
          <cell r="H16" t="str">
            <v>--</v>
          </cell>
          <cell r="I16">
            <v>3.0629992204781802</v>
          </cell>
          <cell r="J16" t="str">
            <v>--</v>
          </cell>
          <cell r="K16" t="str">
            <v>--</v>
          </cell>
          <cell r="L16">
            <v>-0.104742738853076</v>
          </cell>
          <cell r="M16" t="str">
            <v>--</v>
          </cell>
        </row>
        <row r="17">
          <cell r="A17" t="str">
            <v>Period 11</v>
          </cell>
          <cell r="B17" t="str">
            <v>--</v>
          </cell>
          <cell r="C17">
            <v>1.04910276096681</v>
          </cell>
          <cell r="D17" t="str">
            <v>--</v>
          </cell>
          <cell r="E17" t="str">
            <v>--</v>
          </cell>
          <cell r="F17">
            <v>-1.6370930909077099</v>
          </cell>
          <cell r="G17" t="str">
            <v>--</v>
          </cell>
          <cell r="H17" t="str">
            <v>--</v>
          </cell>
          <cell r="I17">
            <v>2.6861958518745199</v>
          </cell>
          <cell r="J17" t="str">
            <v>--</v>
          </cell>
          <cell r="K17" t="str">
            <v>--</v>
          </cell>
          <cell r="L17">
            <v>1.1318481658524999</v>
          </cell>
          <cell r="M17" t="str">
            <v>--</v>
          </cell>
        </row>
        <row r="18">
          <cell r="A18" t="str">
            <v>Period 12</v>
          </cell>
          <cell r="B18" t="str">
            <v>--</v>
          </cell>
          <cell r="C18">
            <v>-0.76108355396573002</v>
          </cell>
          <cell r="D18" t="str">
            <v>--</v>
          </cell>
          <cell r="E18" t="str">
            <v>--</v>
          </cell>
          <cell r="F18">
            <v>-4.9981191922210799</v>
          </cell>
          <cell r="G18" t="str">
            <v>--</v>
          </cell>
          <cell r="H18" t="str">
            <v>--</v>
          </cell>
          <cell r="I18">
            <v>4.2370356382553496</v>
          </cell>
          <cell r="J18" t="str">
            <v>--</v>
          </cell>
          <cell r="K18" t="str">
            <v>--</v>
          </cell>
          <cell r="L18">
            <v>-1.2869140345791299</v>
          </cell>
          <cell r="M18" t="str">
            <v>--</v>
          </cell>
        </row>
        <row r="19">
          <cell r="A19" t="str">
            <v>Period 13</v>
          </cell>
          <cell r="B19" t="str">
            <v>--</v>
          </cell>
          <cell r="C19">
            <v>-0.119897273200492</v>
          </cell>
          <cell r="D19" t="str">
            <v>--</v>
          </cell>
          <cell r="E19" t="str">
            <v>--</v>
          </cell>
          <cell r="F19">
            <v>-2.2310120926907699</v>
          </cell>
          <cell r="G19" t="str">
            <v>--</v>
          </cell>
          <cell r="H19" t="str">
            <v>--</v>
          </cell>
          <cell r="I19">
            <v>2.1111148194902798</v>
          </cell>
          <cell r="J19" t="str">
            <v>--</v>
          </cell>
          <cell r="K19" t="str">
            <v>--</v>
          </cell>
          <cell r="L19">
            <v>-0.44270837865075702</v>
          </cell>
          <cell r="M19" t="str">
            <v>--</v>
          </cell>
        </row>
        <row r="21">
          <cell r="B21" t="str">
            <v>ALTRIA GROUP CRACKERS</v>
          </cell>
        </row>
        <row r="22">
          <cell r="B22" t="str">
            <v>Yr/Yr % Change</v>
          </cell>
        </row>
        <row r="23">
          <cell r="B23" t="str">
            <v>Sales</v>
          </cell>
          <cell r="E23" t="str">
            <v>Volume</v>
          </cell>
          <cell r="H23" t="str">
            <v>Price/Mix</v>
          </cell>
          <cell r="K23" t="str">
            <v>$ Merchandising</v>
          </cell>
          <cell r="N23" t="str">
            <v>$ Share</v>
          </cell>
        </row>
        <row r="24">
          <cell r="A24" t="str">
            <v>Date</v>
          </cell>
          <cell r="B24">
            <v>2004</v>
          </cell>
          <cell r="C24">
            <v>2005</v>
          </cell>
          <cell r="D24">
            <v>2006</v>
          </cell>
          <cell r="E24">
            <v>2004</v>
          </cell>
          <cell r="F24">
            <v>2005</v>
          </cell>
          <cell r="G24">
            <v>2006</v>
          </cell>
          <cell r="H24">
            <v>2004</v>
          </cell>
          <cell r="I24">
            <v>2005</v>
          </cell>
          <cell r="J24">
            <v>2006</v>
          </cell>
          <cell r="K24">
            <v>2004</v>
          </cell>
          <cell r="L24">
            <v>2005</v>
          </cell>
          <cell r="M24">
            <v>2006</v>
          </cell>
          <cell r="N24">
            <v>2004</v>
          </cell>
          <cell r="O24">
            <v>2005</v>
          </cell>
          <cell r="P24">
            <v>2006</v>
          </cell>
          <cell r="S24" t="str">
            <v>4 Week Sales</v>
          </cell>
          <cell r="AF24" t="str">
            <v>4 Week Price/Mix</v>
          </cell>
        </row>
        <row r="25">
          <cell r="A25" t="str">
            <v>Period 1</v>
          </cell>
          <cell r="B25" t="str">
            <v>--</v>
          </cell>
          <cell r="C25" t="str">
            <v>--</v>
          </cell>
          <cell r="D25">
            <v>-9.7243784444169492</v>
          </cell>
          <cell r="E25" t="str">
            <v>--</v>
          </cell>
          <cell r="F25" t="str">
            <v>--</v>
          </cell>
          <cell r="G25">
            <v>-14.214793716958299</v>
          </cell>
          <cell r="H25" t="str">
            <v>--</v>
          </cell>
          <cell r="I25" t="str">
            <v>--</v>
          </cell>
          <cell r="J25">
            <v>4.4904152725413899</v>
          </cell>
          <cell r="K25" t="str">
            <v>--</v>
          </cell>
          <cell r="L25" t="str">
            <v>--</v>
          </cell>
          <cell r="M25">
            <v>0.20054240039665</v>
          </cell>
          <cell r="N25" t="str">
            <v>--</v>
          </cell>
          <cell r="O25">
            <v>46.310937988194901</v>
          </cell>
          <cell r="P25">
            <v>43.685733086742502</v>
          </cell>
        </row>
        <row r="26">
          <cell r="A26" t="str">
            <v>Period 2</v>
          </cell>
          <cell r="B26" t="str">
            <v>--</v>
          </cell>
          <cell r="C26" t="str">
            <v>--</v>
          </cell>
          <cell r="D26">
            <v>-1.0946488825857901</v>
          </cell>
          <cell r="E26" t="str">
            <v>--</v>
          </cell>
          <cell r="F26" t="str">
            <v>--</v>
          </cell>
          <cell r="G26">
            <v>-3.97069174414731</v>
          </cell>
          <cell r="H26" t="str">
            <v>--</v>
          </cell>
          <cell r="I26" t="str">
            <v>--</v>
          </cell>
          <cell r="J26">
            <v>2.8760428615615199</v>
          </cell>
          <cell r="K26" t="str">
            <v>--</v>
          </cell>
          <cell r="L26" t="str">
            <v>--</v>
          </cell>
          <cell r="M26">
            <v>-0.75826039730061701</v>
          </cell>
          <cell r="N26" t="str">
            <v>--</v>
          </cell>
          <cell r="O26">
            <v>46.602402543812502</v>
          </cell>
          <cell r="P26">
            <v>44.821446872142097</v>
          </cell>
          <cell r="T26" t="str">
            <v>CPB</v>
          </cell>
          <cell r="AG26" t="str">
            <v>CPB</v>
          </cell>
        </row>
        <row r="27">
          <cell r="A27" t="str">
            <v>Period 3</v>
          </cell>
          <cell r="B27" t="str">
            <v>--</v>
          </cell>
          <cell r="C27">
            <v>1.2632962854934999</v>
          </cell>
          <cell r="D27">
            <v>-5.8859105365840296</v>
          </cell>
          <cell r="E27" t="str">
            <v>--</v>
          </cell>
          <cell r="F27">
            <v>-1.7307975135517999</v>
          </cell>
          <cell r="G27">
            <v>-9.1676258462421298</v>
          </cell>
          <cell r="H27" t="str">
            <v>--</v>
          </cell>
          <cell r="I27">
            <v>2.9940937990453098</v>
          </cell>
          <cell r="J27">
            <v>3.2817153096581002</v>
          </cell>
          <cell r="K27" t="str">
            <v>--</v>
          </cell>
          <cell r="L27">
            <v>-1.7412685302656601</v>
          </cell>
          <cell r="M27">
            <v>-2.75872056397239</v>
          </cell>
          <cell r="N27">
            <v>46.226942089088197</v>
          </cell>
          <cell r="O27">
            <v>46.256758550233698</v>
          </cell>
          <cell r="P27">
            <v>43.020453449189098</v>
          </cell>
          <cell r="S27" t="str">
            <v>Period 3-05</v>
          </cell>
          <cell r="T27">
            <v>1.2632962854934999</v>
          </cell>
          <cell r="AF27" t="str">
            <v>Period 3-05</v>
          </cell>
          <cell r="AG27">
            <v>2.9940937990453098</v>
          </cell>
        </row>
        <row r="28">
          <cell r="A28" t="str">
            <v>Period 4</v>
          </cell>
          <cell r="B28" t="str">
            <v>--</v>
          </cell>
          <cell r="C28">
            <v>-1.19890177108038</v>
          </cell>
          <cell r="D28">
            <v>4.9747432405445</v>
          </cell>
          <cell r="E28" t="str">
            <v>--</v>
          </cell>
          <cell r="F28">
            <v>-5.4121236844560201</v>
          </cell>
          <cell r="G28">
            <v>8.6890610822246206</v>
          </cell>
          <cell r="H28" t="str">
            <v>--</v>
          </cell>
          <cell r="I28">
            <v>4.2132219133756301</v>
          </cell>
          <cell r="J28">
            <v>-3.7143178416801201</v>
          </cell>
          <cell r="K28" t="str">
            <v>--</v>
          </cell>
          <cell r="L28">
            <v>-2.2612826826848602</v>
          </cell>
          <cell r="M28">
            <v>9.4846221260948305</v>
          </cell>
          <cell r="N28">
            <v>44.988586770532301</v>
          </cell>
          <cell r="O28">
            <v>44.2852212849089</v>
          </cell>
          <cell r="P28">
            <v>43.552157572175197</v>
          </cell>
          <cell r="S28" t="str">
            <v>Period 4-05</v>
          </cell>
          <cell r="T28">
            <v>-1.19890177108038</v>
          </cell>
          <cell r="AF28" t="str">
            <v>Period 4-05</v>
          </cell>
          <cell r="AG28">
            <v>4.2132219133756301</v>
          </cell>
        </row>
        <row r="29">
          <cell r="A29" t="str">
            <v>Period 5</v>
          </cell>
          <cell r="B29" t="str">
            <v>--</v>
          </cell>
          <cell r="C29">
            <v>1.2294412323345301</v>
          </cell>
          <cell r="D29">
            <v>1.0876655076006201</v>
          </cell>
          <cell r="E29" t="str">
            <v>--</v>
          </cell>
          <cell r="F29">
            <v>-1.6328969069683199</v>
          </cell>
          <cell r="G29">
            <v>-3.0102182822200398</v>
          </cell>
          <cell r="H29" t="str">
            <v>--</v>
          </cell>
          <cell r="I29">
            <v>2.86233813930285</v>
          </cell>
          <cell r="J29">
            <v>4.0978837898206599</v>
          </cell>
          <cell r="K29" t="str">
            <v>--</v>
          </cell>
          <cell r="L29">
            <v>0.87640725063163005</v>
          </cell>
          <cell r="M29">
            <v>-2.28229987100327</v>
          </cell>
          <cell r="N29">
            <v>46.011290678589198</v>
          </cell>
          <cell r="O29">
            <v>45.579200169844597</v>
          </cell>
          <cell r="P29">
            <v>43.913911938802599</v>
          </cell>
          <cell r="S29" t="str">
            <v>Period 5-05</v>
          </cell>
          <cell r="T29">
            <v>1.2294412323345301</v>
          </cell>
          <cell r="AF29" t="str">
            <v>Period 5-05</v>
          </cell>
          <cell r="AG29">
            <v>2.86233813930285</v>
          </cell>
        </row>
        <row r="30">
          <cell r="A30" t="str">
            <v>Period 6</v>
          </cell>
          <cell r="B30" t="str">
            <v>--</v>
          </cell>
          <cell r="C30">
            <v>-1.7289026363039399</v>
          </cell>
          <cell r="D30">
            <v>5.3909437832498099</v>
          </cell>
          <cell r="E30" t="str">
            <v>--</v>
          </cell>
          <cell r="F30">
            <v>-4.6867492649173101</v>
          </cell>
          <cell r="G30">
            <v>6.1838940176714701</v>
          </cell>
          <cell r="H30" t="str">
            <v>--</v>
          </cell>
          <cell r="I30">
            <v>2.9578466286133702</v>
          </cell>
          <cell r="J30">
            <v>-0.79295023442166002</v>
          </cell>
          <cell r="K30" t="str">
            <v>--</v>
          </cell>
          <cell r="L30">
            <v>-0.29888797453026</v>
          </cell>
          <cell r="M30">
            <v>1.84922207704367</v>
          </cell>
          <cell r="N30">
            <v>47.177575432152899</v>
          </cell>
          <cell r="O30">
            <v>46.330160495900103</v>
          </cell>
          <cell r="P30">
            <v>45.500736203214899</v>
          </cell>
          <cell r="S30" t="str">
            <v>Period 6-05</v>
          </cell>
          <cell r="T30">
            <v>-1.7289026363039399</v>
          </cell>
          <cell r="AF30" t="str">
            <v>Period 6-05</v>
          </cell>
          <cell r="AG30">
            <v>2.9578466286133702</v>
          </cell>
        </row>
        <row r="31">
          <cell r="A31" t="str">
            <v>Period 7</v>
          </cell>
          <cell r="B31" t="str">
            <v>--</v>
          </cell>
          <cell r="C31">
            <v>-3.2606811899853798</v>
          </cell>
          <cell r="D31">
            <v>3.7421572121423101</v>
          </cell>
          <cell r="E31" t="str">
            <v>--</v>
          </cell>
          <cell r="F31">
            <v>-5.1040681118014204</v>
          </cell>
          <cell r="G31">
            <v>4.3951848348610998</v>
          </cell>
          <cell r="H31" t="str">
            <v>--</v>
          </cell>
          <cell r="I31">
            <v>1.8433869218160399</v>
          </cell>
          <cell r="J31">
            <v>-0.653027622718787</v>
          </cell>
          <cell r="K31" t="str">
            <v>--</v>
          </cell>
          <cell r="L31">
            <v>-1.2820989964048199</v>
          </cell>
          <cell r="M31">
            <v>2.3934878188242501</v>
          </cell>
          <cell r="N31">
            <v>47.628535808438897</v>
          </cell>
          <cell r="O31">
            <v>46.727436504091301</v>
          </cell>
          <cell r="P31">
            <v>45.302663206618199</v>
          </cell>
          <cell r="S31" t="str">
            <v>Period 7-05</v>
          </cell>
          <cell r="T31">
            <v>-3.2606811899853798</v>
          </cell>
          <cell r="AF31" t="str">
            <v>Period 7-05</v>
          </cell>
          <cell r="AG31">
            <v>1.8433869218160399</v>
          </cell>
        </row>
        <row r="32">
          <cell r="A32" t="str">
            <v>Period 8</v>
          </cell>
          <cell r="B32" t="str">
            <v>--</v>
          </cell>
          <cell r="C32">
            <v>-7.2668943654826501</v>
          </cell>
          <cell r="D32">
            <v>3.56260543629325</v>
          </cell>
          <cell r="E32" t="str">
            <v>--</v>
          </cell>
          <cell r="F32">
            <v>-10.6963164566709</v>
          </cell>
          <cell r="G32">
            <v>2.9136698286586098</v>
          </cell>
          <cell r="H32" t="str">
            <v>--</v>
          </cell>
          <cell r="I32">
            <v>3.4294220911881999</v>
          </cell>
          <cell r="J32">
            <v>0.64893560763463498</v>
          </cell>
          <cell r="K32" t="str">
            <v>--</v>
          </cell>
          <cell r="L32">
            <v>-0.82306280887891603</v>
          </cell>
          <cell r="M32">
            <v>3.6686705128693502</v>
          </cell>
          <cell r="N32">
            <v>47.300829294779</v>
          </cell>
          <cell r="O32">
            <v>45.278240662542601</v>
          </cell>
          <cell r="P32">
            <v>43.833200890705399</v>
          </cell>
          <cell r="S32" t="str">
            <v>Period 8-05</v>
          </cell>
          <cell r="T32">
            <v>-7.2668943654826501</v>
          </cell>
          <cell r="AF32" t="str">
            <v>Period 8-05</v>
          </cell>
          <cell r="AG32">
            <v>3.4294220911881999</v>
          </cell>
        </row>
        <row r="33">
          <cell r="A33" t="str">
            <v>Period 9</v>
          </cell>
          <cell r="B33" t="str">
            <v>--</v>
          </cell>
          <cell r="C33">
            <v>-5.3797015812904601</v>
          </cell>
          <cell r="D33">
            <v>4.5131610305385799</v>
          </cell>
          <cell r="E33" t="str">
            <v>--</v>
          </cell>
          <cell r="F33">
            <v>-7.1079760296413497</v>
          </cell>
          <cell r="G33">
            <v>4.4171483208456497</v>
          </cell>
          <cell r="H33" t="str">
            <v>--</v>
          </cell>
          <cell r="I33">
            <v>1.7282744483508901</v>
          </cell>
          <cell r="J33">
            <v>9.6012709692932005E-2</v>
          </cell>
          <cell r="K33" t="str">
            <v>--</v>
          </cell>
          <cell r="L33">
            <v>0.38132231684180301</v>
          </cell>
          <cell r="M33">
            <v>2.4502921057675802</v>
          </cell>
          <cell r="N33">
            <v>47.168264761589903</v>
          </cell>
          <cell r="O33">
            <v>45.530321800865003</v>
          </cell>
          <cell r="P33">
            <v>44.578827068533897</v>
          </cell>
          <cell r="S33" t="str">
            <v>Period 9-05</v>
          </cell>
          <cell r="T33">
            <v>-5.3797015812904601</v>
          </cell>
          <cell r="AF33" t="str">
            <v>Period 9-05</v>
          </cell>
          <cell r="AG33">
            <v>1.7282744483508901</v>
          </cell>
        </row>
        <row r="34">
          <cell r="A34" t="str">
            <v>Period 10</v>
          </cell>
          <cell r="B34" t="str">
            <v>--</v>
          </cell>
          <cell r="C34">
            <v>-1.7351514412007101</v>
          </cell>
          <cell r="D34" t="str">
            <v>--</v>
          </cell>
          <cell r="E34" t="str">
            <v>--</v>
          </cell>
          <cell r="F34">
            <v>-3.9698345979405998</v>
          </cell>
          <cell r="G34" t="str">
            <v>--</v>
          </cell>
          <cell r="H34" t="str">
            <v>--</v>
          </cell>
          <cell r="I34">
            <v>2.2346831567398899</v>
          </cell>
          <cell r="J34" t="str">
            <v>--</v>
          </cell>
          <cell r="K34" t="str">
            <v>--</v>
          </cell>
          <cell r="L34">
            <v>0.75523656256055505</v>
          </cell>
          <cell r="M34" t="str">
            <v>--</v>
          </cell>
          <cell r="N34">
            <v>45.5113473095291</v>
          </cell>
          <cell r="O34">
            <v>44.8666627281563</v>
          </cell>
          <cell r="P34" t="str">
            <v>--</v>
          </cell>
          <cell r="S34" t="str">
            <v>Period 10-05</v>
          </cell>
          <cell r="T34">
            <v>-1.7351514412007101</v>
          </cell>
          <cell r="AF34" t="str">
            <v>Period 10-05</v>
          </cell>
          <cell r="AG34">
            <v>2.2346831567398899</v>
          </cell>
        </row>
        <row r="35">
          <cell r="A35" t="str">
            <v>Period 11</v>
          </cell>
          <cell r="B35" t="str">
            <v>--</v>
          </cell>
          <cell r="C35">
            <v>-1.3490135447196101</v>
          </cell>
          <cell r="D35" t="str">
            <v>--</v>
          </cell>
          <cell r="E35" t="str">
            <v>--</v>
          </cell>
          <cell r="F35">
            <v>-3.7715043728011102</v>
          </cell>
          <cell r="G35" t="str">
            <v>--</v>
          </cell>
          <cell r="H35" t="str">
            <v>--</v>
          </cell>
          <cell r="I35">
            <v>2.4224908280814899</v>
          </cell>
          <cell r="J35" t="str">
            <v>--</v>
          </cell>
          <cell r="K35" t="str">
            <v>--</v>
          </cell>
          <cell r="L35">
            <v>1.7643754266370999</v>
          </cell>
          <cell r="M35" t="str">
            <v>--</v>
          </cell>
          <cell r="N35">
            <v>45.625628562920198</v>
          </cell>
          <cell r="O35">
            <v>44.542832567464799</v>
          </cell>
          <cell r="P35" t="str">
            <v>--</v>
          </cell>
          <cell r="S35" t="str">
            <v>Period 11-05</v>
          </cell>
          <cell r="T35">
            <v>-1.3490135447196101</v>
          </cell>
          <cell r="AF35" t="str">
            <v>Period 11-05</v>
          </cell>
          <cell r="AG35">
            <v>2.4224908280814899</v>
          </cell>
        </row>
        <row r="36">
          <cell r="A36" t="str">
            <v>Period 12</v>
          </cell>
          <cell r="B36" t="str">
            <v>--</v>
          </cell>
          <cell r="C36">
            <v>-4.2979680319346203</v>
          </cell>
          <cell r="D36" t="str">
            <v>--</v>
          </cell>
          <cell r="E36" t="str">
            <v>--</v>
          </cell>
          <cell r="F36">
            <v>-6.0719367209638904</v>
          </cell>
          <cell r="G36" t="str">
            <v>--</v>
          </cell>
          <cell r="H36" t="str">
            <v>--</v>
          </cell>
          <cell r="I36">
            <v>1.7739686890292701</v>
          </cell>
          <cell r="J36" t="str">
            <v>--</v>
          </cell>
          <cell r="K36" t="str">
            <v>--</v>
          </cell>
          <cell r="L36">
            <v>-0.102951330802952</v>
          </cell>
          <cell r="M36" t="str">
            <v>--</v>
          </cell>
          <cell r="N36">
            <v>48.684905282458203</v>
          </cell>
          <cell r="O36">
            <v>46.949770599699498</v>
          </cell>
          <cell r="P36" t="str">
            <v>--</v>
          </cell>
          <cell r="S36" t="str">
            <v>Period 12-05</v>
          </cell>
          <cell r="T36">
            <v>-4.2979680319346203</v>
          </cell>
          <cell r="AF36" t="str">
            <v>Period 12-05</v>
          </cell>
          <cell r="AG36">
            <v>1.7739686890292701</v>
          </cell>
        </row>
        <row r="37">
          <cell r="A37" t="str">
            <v>Period 13</v>
          </cell>
          <cell r="B37" t="str">
            <v>--</v>
          </cell>
          <cell r="C37">
            <v>-3.7185400153326502</v>
          </cell>
          <cell r="D37" t="str">
            <v>--</v>
          </cell>
          <cell r="E37" t="str">
            <v>--</v>
          </cell>
          <cell r="F37">
            <v>-2.8518505972853401</v>
          </cell>
          <cell r="G37" t="str">
            <v>--</v>
          </cell>
          <cell r="H37" t="str">
            <v>--</v>
          </cell>
          <cell r="I37">
            <v>-0.86668941804730804</v>
          </cell>
          <cell r="J37" t="str">
            <v>--</v>
          </cell>
          <cell r="K37" t="str">
            <v>--</v>
          </cell>
          <cell r="L37">
            <v>0.97382684042536005</v>
          </cell>
          <cell r="M37" t="str">
            <v>--</v>
          </cell>
          <cell r="N37">
            <v>48.377233991288101</v>
          </cell>
          <cell r="O37">
            <v>46.6342203455836</v>
          </cell>
          <cell r="P37" t="str">
            <v>--</v>
          </cell>
          <cell r="S37" t="str">
            <v>Period 13-05</v>
          </cell>
          <cell r="T37">
            <v>-3.7185400153326502</v>
          </cell>
          <cell r="AF37" t="str">
            <v>Period 13-05</v>
          </cell>
          <cell r="AG37">
            <v>-0.86668941804730804</v>
          </cell>
        </row>
        <row r="38">
          <cell r="S38" t="str">
            <v>Period 1-06</v>
          </cell>
          <cell r="T38">
            <v>-9.7243784444169492</v>
          </cell>
          <cell r="AF38" t="str">
            <v>Period 1-06</v>
          </cell>
          <cell r="AG38">
            <v>4.4904152725413899</v>
          </cell>
        </row>
        <row r="39">
          <cell r="B39" t="str">
            <v>KELLOGG CO CRACKERS</v>
          </cell>
          <cell r="S39" t="str">
            <v>Period 2-06</v>
          </cell>
          <cell r="T39">
            <v>-1.0946488825857901</v>
          </cell>
          <cell r="AF39" t="str">
            <v>Period 2-06</v>
          </cell>
          <cell r="AG39">
            <v>2.8760428615615199</v>
          </cell>
        </row>
        <row r="40">
          <cell r="B40" t="str">
            <v>Yr/Yr % Change</v>
          </cell>
          <cell r="S40" t="str">
            <v>Period 3-06</v>
          </cell>
          <cell r="T40">
            <v>-5.8859105365840296</v>
          </cell>
          <cell r="AF40" t="str">
            <v>Period 3-06</v>
          </cell>
          <cell r="AG40">
            <v>3.2817153096581002</v>
          </cell>
        </row>
        <row r="41">
          <cell r="B41" t="str">
            <v>Sales</v>
          </cell>
          <cell r="E41" t="str">
            <v>Volume</v>
          </cell>
          <cell r="H41" t="str">
            <v>Price/Mix</v>
          </cell>
          <cell r="K41" t="str">
            <v>$ Merchandising</v>
          </cell>
          <cell r="N41" t="str">
            <v>$ Share</v>
          </cell>
          <cell r="S41" t="str">
            <v>Period 4-06</v>
          </cell>
          <cell r="T41">
            <v>4.9747432405445</v>
          </cell>
          <cell r="AF41" t="str">
            <v>Period 4-06</v>
          </cell>
          <cell r="AG41">
            <v>-3.7143178416801201</v>
          </cell>
        </row>
        <row r="42">
          <cell r="A42" t="str">
            <v>Date</v>
          </cell>
          <cell r="B42">
            <v>2004</v>
          </cell>
          <cell r="C42">
            <v>2005</v>
          </cell>
          <cell r="D42">
            <v>2006</v>
          </cell>
          <cell r="E42">
            <v>2004</v>
          </cell>
          <cell r="F42">
            <v>2005</v>
          </cell>
          <cell r="G42">
            <v>2006</v>
          </cell>
          <cell r="H42">
            <v>2004</v>
          </cell>
          <cell r="I42">
            <v>2005</v>
          </cell>
          <cell r="J42">
            <v>2006</v>
          </cell>
          <cell r="K42">
            <v>2004</v>
          </cell>
          <cell r="L42">
            <v>2005</v>
          </cell>
          <cell r="M42">
            <v>2006</v>
          </cell>
          <cell r="N42">
            <v>2004</v>
          </cell>
          <cell r="O42">
            <v>2005</v>
          </cell>
          <cell r="P42">
            <v>2006</v>
          </cell>
          <cell r="S42" t="str">
            <v>Period 5-06</v>
          </cell>
          <cell r="T42">
            <v>1.0876655076006201</v>
          </cell>
          <cell r="AF42" t="str">
            <v>Period 5-06</v>
          </cell>
          <cell r="AG42">
            <v>4.0978837898206599</v>
          </cell>
        </row>
        <row r="43">
          <cell r="A43" t="str">
            <v>Period 1</v>
          </cell>
          <cell r="B43" t="str">
            <v>--</v>
          </cell>
          <cell r="C43" t="str">
            <v>--</v>
          </cell>
          <cell r="D43">
            <v>-2.1345131369581298</v>
          </cell>
          <cell r="E43" t="str">
            <v>--</v>
          </cell>
          <cell r="F43" t="str">
            <v>--</v>
          </cell>
          <cell r="G43">
            <v>-7.5624731903900297</v>
          </cell>
          <cell r="H43" t="str">
            <v>--</v>
          </cell>
          <cell r="I43" t="str">
            <v>--</v>
          </cell>
          <cell r="J43">
            <v>5.4279600534319101</v>
          </cell>
          <cell r="K43" t="str">
            <v>--</v>
          </cell>
          <cell r="L43" t="str">
            <v>--</v>
          </cell>
          <cell r="M43">
            <v>-2.7147345100071099</v>
          </cell>
          <cell r="N43" t="str">
            <v>--</v>
          </cell>
          <cell r="O43">
            <v>24.866643637853699</v>
          </cell>
          <cell r="P43">
            <v>25.4291764246002</v>
          </cell>
          <cell r="S43" t="str">
            <v>Period 6-06</v>
          </cell>
          <cell r="T43">
            <v>5.3909437832498099</v>
          </cell>
          <cell r="AF43" t="str">
            <v>Period 6-06</v>
          </cell>
          <cell r="AG43">
            <v>-0.79295023442166002</v>
          </cell>
        </row>
        <row r="44">
          <cell r="A44" t="str">
            <v>Period 2</v>
          </cell>
          <cell r="B44" t="str">
            <v>--</v>
          </cell>
          <cell r="C44" t="str">
            <v>--</v>
          </cell>
          <cell r="D44">
            <v>6.5955090305521997</v>
          </cell>
          <cell r="E44" t="str">
            <v>--</v>
          </cell>
          <cell r="F44" t="str">
            <v>--</v>
          </cell>
          <cell r="G44">
            <v>3.4361963492561798</v>
          </cell>
          <cell r="H44" t="str">
            <v>--</v>
          </cell>
          <cell r="I44" t="str">
            <v>--</v>
          </cell>
          <cell r="J44">
            <v>3.1593126812960199</v>
          </cell>
          <cell r="K44" t="str">
            <v>--</v>
          </cell>
          <cell r="L44" t="str">
            <v>--</v>
          </cell>
          <cell r="M44">
            <v>-1.5408561418475799</v>
          </cell>
          <cell r="N44" t="str">
            <v>--</v>
          </cell>
          <cell r="O44">
            <v>25.105034050773199</v>
          </cell>
          <cell r="P44">
            <v>26.0230081914757</v>
          </cell>
          <cell r="S44" t="str">
            <v>Period 7-06</v>
          </cell>
          <cell r="T44">
            <v>3.7421572121423101</v>
          </cell>
          <cell r="AF44" t="str">
            <v>Period 7-06</v>
          </cell>
          <cell r="AG44">
            <v>-0.653027622718787</v>
          </cell>
        </row>
        <row r="45">
          <cell r="A45" t="str">
            <v>Period 3</v>
          </cell>
          <cell r="B45" t="str">
            <v>--</v>
          </cell>
          <cell r="C45">
            <v>3.3250367858069998</v>
          </cell>
          <cell r="D45">
            <v>4.1012146158239</v>
          </cell>
          <cell r="E45" t="str">
            <v>--</v>
          </cell>
          <cell r="F45">
            <v>5.3446371942231297</v>
          </cell>
          <cell r="G45">
            <v>-2.71709883740363</v>
          </cell>
          <cell r="H45" t="str">
            <v>--</v>
          </cell>
          <cell r="I45">
            <v>-2.0196004084161201</v>
          </cell>
          <cell r="J45">
            <v>6.81831345322753</v>
          </cell>
          <cell r="K45" t="str">
            <v>--</v>
          </cell>
          <cell r="L45">
            <v>-0.38653137976149299</v>
          </cell>
          <cell r="M45">
            <v>-4.1723897870108102</v>
          </cell>
          <cell r="N45">
            <v>24.558141113126101</v>
          </cell>
          <cell r="O45">
            <v>25.074312216910698</v>
          </cell>
          <cell r="P45">
            <v>25.794669546966102</v>
          </cell>
          <cell r="S45" t="str">
            <v>Period 8-06</v>
          </cell>
          <cell r="T45">
            <v>3.56260543629325</v>
          </cell>
          <cell r="AF45" t="str">
            <v>Period 8-06</v>
          </cell>
          <cell r="AG45">
            <v>0.64893560763463498</v>
          </cell>
        </row>
        <row r="46">
          <cell r="A46" t="str">
            <v>Period 4</v>
          </cell>
          <cell r="B46" t="str">
            <v>--</v>
          </cell>
          <cell r="C46">
            <v>-2.5391620688237402</v>
          </cell>
          <cell r="D46">
            <v>7.8026424170111701</v>
          </cell>
          <cell r="E46" t="str">
            <v>--</v>
          </cell>
          <cell r="F46">
            <v>-1.73216705485573</v>
          </cell>
          <cell r="G46">
            <v>7.0110264578139798</v>
          </cell>
          <cell r="H46" t="str">
            <v>--</v>
          </cell>
          <cell r="I46">
            <v>-0.80699501396800999</v>
          </cell>
          <cell r="J46">
            <v>0.79161595919718497</v>
          </cell>
          <cell r="K46" t="str">
            <v>--</v>
          </cell>
          <cell r="L46">
            <v>-0.89550797259541104</v>
          </cell>
          <cell r="M46">
            <v>0.50737816320728502</v>
          </cell>
          <cell r="N46">
            <v>24.9757887829299</v>
          </cell>
          <cell r="O46">
            <v>24.251804026064399</v>
          </cell>
          <cell r="P46">
            <v>24.492859487457199</v>
          </cell>
          <cell r="S46" t="str">
            <v>Period 9-06</v>
          </cell>
          <cell r="T46">
            <v>4.5131610305385799</v>
          </cell>
          <cell r="AF46" t="str">
            <v>Period 9-06</v>
          </cell>
          <cell r="AG46">
            <v>9.6012709692932005E-2</v>
          </cell>
        </row>
        <row r="47">
          <cell r="A47" t="str">
            <v>Period 5</v>
          </cell>
          <cell r="B47" t="str">
            <v>--</v>
          </cell>
          <cell r="C47">
            <v>-0.43946025808628902</v>
          </cell>
          <cell r="D47">
            <v>6.4391840831484499</v>
          </cell>
          <cell r="E47" t="str">
            <v>--</v>
          </cell>
          <cell r="F47">
            <v>-0.79030469868563902</v>
          </cell>
          <cell r="G47">
            <v>-4.9055066554528001E-2</v>
          </cell>
          <cell r="H47" t="str">
            <v>--</v>
          </cell>
          <cell r="I47">
            <v>0.35084444059934999</v>
          </cell>
          <cell r="J47">
            <v>6.4882391497029799</v>
          </cell>
          <cell r="K47" t="str">
            <v>--</v>
          </cell>
          <cell r="L47">
            <v>-2.8596918098512201</v>
          </cell>
          <cell r="M47">
            <v>-3.5239303303709599</v>
          </cell>
          <cell r="N47">
            <v>25.263803819029199</v>
          </cell>
          <cell r="O47">
            <v>24.6139563930574</v>
          </cell>
          <cell r="P47">
            <v>24.9700966442491</v>
          </cell>
          <cell r="S47" t="str">
            <v>Period 10-06</v>
          </cell>
          <cell r="T47" t="str">
            <v>--</v>
          </cell>
          <cell r="AF47" t="str">
            <v>Period 10-06</v>
          </cell>
          <cell r="AG47" t="str">
            <v>--</v>
          </cell>
        </row>
        <row r="48">
          <cell r="A48" t="str">
            <v>Period 6</v>
          </cell>
          <cell r="B48" t="str">
            <v>--</v>
          </cell>
          <cell r="C48">
            <v>2.7668514772564698</v>
          </cell>
          <cell r="D48">
            <v>7.8739548768831904</v>
          </cell>
          <cell r="E48" t="str">
            <v>--</v>
          </cell>
          <cell r="F48">
            <v>4.0329519072446898</v>
          </cell>
          <cell r="G48">
            <v>6.7110021410454204</v>
          </cell>
          <cell r="H48" t="str">
            <v>--</v>
          </cell>
          <cell r="I48">
            <v>-1.2661004299882299</v>
          </cell>
          <cell r="J48">
            <v>1.16295273583777</v>
          </cell>
          <cell r="K48" t="str">
            <v>--</v>
          </cell>
          <cell r="L48">
            <v>0.497109946302636</v>
          </cell>
          <cell r="M48">
            <v>-0.59583904796607401</v>
          </cell>
          <cell r="N48">
            <v>24.520007706429102</v>
          </cell>
          <cell r="O48">
            <v>25.181177516685</v>
          </cell>
          <cell r="P48">
            <v>25.3130199278629</v>
          </cell>
          <cell r="S48" t="str">
            <v>Period 11-06</v>
          </cell>
          <cell r="T48" t="str">
            <v>--</v>
          </cell>
          <cell r="AF48" t="str">
            <v>Period 11-06</v>
          </cell>
          <cell r="AG48" t="str">
            <v>--</v>
          </cell>
        </row>
        <row r="49">
          <cell r="A49" t="str">
            <v>Period 7</v>
          </cell>
          <cell r="B49" t="str">
            <v>--</v>
          </cell>
          <cell r="C49">
            <v>6.6149588627882006E-2</v>
          </cell>
          <cell r="D49">
            <v>6.5834300270237396</v>
          </cell>
          <cell r="E49" t="str">
            <v>--</v>
          </cell>
          <cell r="F49">
            <v>-1.82277117411953</v>
          </cell>
          <cell r="G49">
            <v>6.2384273347347303</v>
          </cell>
          <cell r="H49" t="str">
            <v>--</v>
          </cell>
          <cell r="I49">
            <v>1.88892076274742</v>
          </cell>
          <cell r="J49">
            <v>0.34500269228900998</v>
          </cell>
          <cell r="K49" t="str">
            <v>--</v>
          </cell>
          <cell r="L49">
            <v>-1.00257387122143</v>
          </cell>
          <cell r="M49">
            <v>-1.55199881815334</v>
          </cell>
          <cell r="N49">
            <v>24.486300901516501</v>
          </cell>
          <cell r="O49">
            <v>24.849180540725001</v>
          </cell>
          <cell r="P49">
            <v>24.751314414163399</v>
          </cell>
          <cell r="S49" t="str">
            <v>Period 12-06</v>
          </cell>
          <cell r="T49" t="str">
            <v>--</v>
          </cell>
          <cell r="AF49" t="str">
            <v>Period 12-06</v>
          </cell>
          <cell r="AG49" t="str">
            <v>--</v>
          </cell>
        </row>
        <row r="50">
          <cell r="A50" t="str">
            <v>Period 8</v>
          </cell>
          <cell r="B50" t="str">
            <v>--</v>
          </cell>
          <cell r="C50">
            <v>1.69467600847928</v>
          </cell>
          <cell r="D50">
            <v>7.1351903543966202</v>
          </cell>
          <cell r="E50" t="str">
            <v>--</v>
          </cell>
          <cell r="F50">
            <v>2.1998221597628298</v>
          </cell>
          <cell r="G50">
            <v>4.1896577459750199</v>
          </cell>
          <cell r="H50" t="str">
            <v>--</v>
          </cell>
          <cell r="I50">
            <v>-0.50514615128355</v>
          </cell>
          <cell r="J50">
            <v>2.94553260842161</v>
          </cell>
          <cell r="K50" t="str">
            <v>--</v>
          </cell>
          <cell r="L50">
            <v>2.8740045583196498</v>
          </cell>
          <cell r="M50">
            <v>-1.25707418717749</v>
          </cell>
          <cell r="N50">
            <v>24.041415708166699</v>
          </cell>
          <cell r="O50">
            <v>25.2373783760099</v>
          </cell>
          <cell r="P50">
            <v>25.274761086974902</v>
          </cell>
          <cell r="S50" t="str">
            <v>Period 13-06</v>
          </cell>
          <cell r="T50" t="str">
            <v>--</v>
          </cell>
          <cell r="AF50" t="str">
            <v>Period 13-06</v>
          </cell>
          <cell r="AG50" t="str">
            <v>--</v>
          </cell>
        </row>
        <row r="51">
          <cell r="A51" t="str">
            <v>Period 9</v>
          </cell>
          <cell r="B51" t="str">
            <v>--</v>
          </cell>
          <cell r="C51">
            <v>0.23663344056674199</v>
          </cell>
          <cell r="D51">
            <v>4.3559548878167602</v>
          </cell>
          <cell r="E51" t="str">
            <v>--</v>
          </cell>
          <cell r="F51">
            <v>-2.3495896685888402</v>
          </cell>
          <cell r="G51">
            <v>1.59598683550971</v>
          </cell>
          <cell r="H51" t="str">
            <v>--</v>
          </cell>
          <cell r="I51">
            <v>2.5862231091555801</v>
          </cell>
          <cell r="J51">
            <v>2.75996805230705</v>
          </cell>
          <cell r="K51" t="str">
            <v>--</v>
          </cell>
          <cell r="L51">
            <v>0.90277643340147795</v>
          </cell>
          <cell r="M51">
            <v>-1.8345508128630099</v>
          </cell>
          <cell r="N51">
            <v>24.8129645103127</v>
          </cell>
          <cell r="O51">
            <v>25.3729891158793</v>
          </cell>
          <cell r="P51">
            <v>24.805375389988399</v>
          </cell>
        </row>
        <row r="52">
          <cell r="A52" t="str">
            <v>Period 10</v>
          </cell>
          <cell r="B52" t="str">
            <v>--</v>
          </cell>
          <cell r="C52">
            <v>-0.87670001926407903</v>
          </cell>
          <cell r="D52" t="str">
            <v>--</v>
          </cell>
          <cell r="E52" t="str">
            <v>--</v>
          </cell>
          <cell r="F52">
            <v>-3.36234401591221</v>
          </cell>
          <cell r="G52" t="str">
            <v>--</v>
          </cell>
          <cell r="H52" t="str">
            <v>--</v>
          </cell>
          <cell r="I52">
            <v>2.4856439966481298</v>
          </cell>
          <cell r="J52" t="str">
            <v>--</v>
          </cell>
          <cell r="K52" t="str">
            <v>--</v>
          </cell>
          <cell r="L52">
            <v>-2.92412966075895</v>
          </cell>
          <cell r="M52" t="str">
            <v>--</v>
          </cell>
          <cell r="N52">
            <v>26.1022314464281</v>
          </cell>
          <cell r="O52">
            <v>25.957285483922</v>
          </cell>
          <cell r="P52" t="str">
            <v>--</v>
          </cell>
        </row>
        <row r="53">
          <cell r="A53" t="str">
            <v>Period 11</v>
          </cell>
          <cell r="B53" t="str">
            <v>--</v>
          </cell>
          <cell r="C53">
            <v>2.91716918767708</v>
          </cell>
          <cell r="D53" t="str">
            <v>--</v>
          </cell>
          <cell r="E53" t="str">
            <v>--</v>
          </cell>
          <cell r="F53">
            <v>4.73292521296431</v>
          </cell>
          <cell r="G53" t="str">
            <v>--</v>
          </cell>
          <cell r="H53" t="str">
            <v>--</v>
          </cell>
          <cell r="I53">
            <v>-1.81575602528723</v>
          </cell>
          <cell r="J53" t="str">
            <v>--</v>
          </cell>
          <cell r="K53" t="str">
            <v>--</v>
          </cell>
          <cell r="L53">
            <v>0.50884166495716698</v>
          </cell>
          <cell r="M53" t="str">
            <v>--</v>
          </cell>
          <cell r="N53">
            <v>25.215651598838701</v>
          </cell>
          <cell r="O53">
            <v>25.681806279012701</v>
          </cell>
          <cell r="P53" t="str">
            <v>--</v>
          </cell>
        </row>
        <row r="54">
          <cell r="A54" t="str">
            <v>Period 12</v>
          </cell>
          <cell r="B54" t="str">
            <v>--</v>
          </cell>
          <cell r="C54">
            <v>1.45717304563142</v>
          </cell>
          <cell r="D54" t="str">
            <v>--</v>
          </cell>
          <cell r="E54" t="str">
            <v>--</v>
          </cell>
          <cell r="F54">
            <v>-3.7511151396570299</v>
          </cell>
          <cell r="G54" t="str">
            <v>--</v>
          </cell>
          <cell r="H54" t="str">
            <v>--</v>
          </cell>
          <cell r="I54">
            <v>5.2082881852884499</v>
          </cell>
          <cell r="J54" t="str">
            <v>--</v>
          </cell>
          <cell r="K54" t="str">
            <v>--</v>
          </cell>
          <cell r="L54">
            <v>-2.32002203467388</v>
          </cell>
          <cell r="M54" t="str">
            <v>--</v>
          </cell>
          <cell r="N54">
            <v>25.625105827826701</v>
          </cell>
          <cell r="O54">
            <v>26.197895839584401</v>
          </cell>
          <cell r="P54" t="str">
            <v>--</v>
          </cell>
        </row>
        <row r="55">
          <cell r="A55" t="str">
            <v>Period 13</v>
          </cell>
          <cell r="B55" t="str">
            <v>--</v>
          </cell>
          <cell r="C55">
            <v>1.0705083986583901</v>
          </cell>
          <cell r="D55" t="str">
            <v>--</v>
          </cell>
          <cell r="E55" t="str">
            <v>--</v>
          </cell>
          <cell r="F55">
            <v>-2.0314986252051601</v>
          </cell>
          <cell r="G55" t="str">
            <v>--</v>
          </cell>
          <cell r="H55" t="str">
            <v>--</v>
          </cell>
          <cell r="I55">
            <v>3.1020070238635502</v>
          </cell>
          <cell r="J55" t="str">
            <v>--</v>
          </cell>
          <cell r="K55" t="str">
            <v>--</v>
          </cell>
          <cell r="L55">
            <v>-2.2111055322119602</v>
          </cell>
          <cell r="M55" t="str">
            <v>--</v>
          </cell>
          <cell r="N55">
            <v>26.5062120643959</v>
          </cell>
          <cell r="O55">
            <v>26.822122283944399</v>
          </cell>
          <cell r="P55" t="str">
            <v>--</v>
          </cell>
        </row>
        <row r="57">
          <cell r="B57" t="str">
            <v>CAMPBELL SOUP CO CRACKERS</v>
          </cell>
        </row>
        <row r="58">
          <cell r="B58" t="str">
            <v>Yr/Yr % Change</v>
          </cell>
        </row>
        <row r="59">
          <cell r="B59" t="str">
            <v>Sales</v>
          </cell>
          <cell r="E59" t="str">
            <v>Volume</v>
          </cell>
          <cell r="H59" t="str">
            <v>Price/Mix</v>
          </cell>
          <cell r="K59" t="str">
            <v>$ Merchandising</v>
          </cell>
          <cell r="N59" t="str">
            <v>$ Share</v>
          </cell>
        </row>
        <row r="60">
          <cell r="A60" t="str">
            <v>Date</v>
          </cell>
          <cell r="B60">
            <v>2004</v>
          </cell>
          <cell r="C60">
            <v>2005</v>
          </cell>
          <cell r="D60">
            <v>2006</v>
          </cell>
          <cell r="E60">
            <v>2004</v>
          </cell>
          <cell r="F60">
            <v>2005</v>
          </cell>
          <cell r="G60">
            <v>2006</v>
          </cell>
          <cell r="H60">
            <v>2004</v>
          </cell>
          <cell r="I60">
            <v>2005</v>
          </cell>
          <cell r="J60">
            <v>2006</v>
          </cell>
          <cell r="K60">
            <v>2004</v>
          </cell>
          <cell r="L60">
            <v>2005</v>
          </cell>
          <cell r="M60">
            <v>2006</v>
          </cell>
          <cell r="N60">
            <v>2004</v>
          </cell>
          <cell r="O60">
            <v>2005</v>
          </cell>
          <cell r="P60">
            <v>2006</v>
          </cell>
        </row>
        <row r="61">
          <cell r="A61" t="str">
            <v>Period 1</v>
          </cell>
          <cell r="B61" t="str">
            <v>--</v>
          </cell>
          <cell r="C61" t="str">
            <v>--</v>
          </cell>
          <cell r="D61">
            <v>8.3993962040121506</v>
          </cell>
          <cell r="E61" t="str">
            <v>--</v>
          </cell>
          <cell r="F61" t="str">
            <v>--</v>
          </cell>
          <cell r="G61">
            <v>4.2163376843761498</v>
          </cell>
          <cell r="H61" t="str">
            <v>--</v>
          </cell>
          <cell r="I61" t="str">
            <v>--</v>
          </cell>
          <cell r="J61">
            <v>4.183058519636</v>
          </cell>
          <cell r="K61" t="str">
            <v>--</v>
          </cell>
          <cell r="L61" t="str">
            <v>--</v>
          </cell>
          <cell r="M61">
            <v>-0.55423708990221598</v>
          </cell>
          <cell r="N61" t="str">
            <v>--</v>
          </cell>
          <cell r="O61">
            <v>8.72875162115084</v>
          </cell>
          <cell r="P61">
            <v>9.8870006387233307</v>
          </cell>
        </row>
        <row r="62">
          <cell r="A62" t="str">
            <v>Period 2</v>
          </cell>
          <cell r="B62" t="str">
            <v>--</v>
          </cell>
          <cell r="C62" t="str">
            <v>--</v>
          </cell>
          <cell r="D62">
            <v>7.7602632573903199</v>
          </cell>
          <cell r="E62" t="str">
            <v>--</v>
          </cell>
          <cell r="F62" t="str">
            <v>--</v>
          </cell>
          <cell r="G62">
            <v>-1.63667992231151</v>
          </cell>
          <cell r="H62" t="str">
            <v>--</v>
          </cell>
          <cell r="I62" t="str">
            <v>--</v>
          </cell>
          <cell r="J62">
            <v>9.3969431797018306</v>
          </cell>
          <cell r="K62" t="str">
            <v>--</v>
          </cell>
          <cell r="L62" t="str">
            <v>--</v>
          </cell>
          <cell r="M62">
            <v>-4.2695217603535296</v>
          </cell>
          <cell r="N62" t="str">
            <v>--</v>
          </cell>
          <cell r="O62">
            <v>8.1617603149430895</v>
          </cell>
          <cell r="P62">
            <v>8.5526412667069405</v>
          </cell>
        </row>
        <row r="63">
          <cell r="A63" t="str">
            <v>Period 3</v>
          </cell>
          <cell r="B63" t="str">
            <v>--</v>
          </cell>
          <cell r="C63">
            <v>6.6251240484895098</v>
          </cell>
          <cell r="D63">
            <v>17.351623800778398</v>
          </cell>
          <cell r="E63" t="str">
            <v>--</v>
          </cell>
          <cell r="F63">
            <v>3.9950999937322802</v>
          </cell>
          <cell r="G63">
            <v>7.6399450576865098</v>
          </cell>
          <cell r="H63" t="str">
            <v>--</v>
          </cell>
          <cell r="I63">
            <v>2.63002405475723</v>
          </cell>
          <cell r="J63">
            <v>9.7116787430919196</v>
          </cell>
          <cell r="K63" t="str">
            <v>--</v>
          </cell>
          <cell r="L63">
            <v>2.9763202565032598</v>
          </cell>
          <cell r="M63">
            <v>-2.6078378658832002</v>
          </cell>
          <cell r="N63">
            <v>7.5010158030774701</v>
          </cell>
          <cell r="O63">
            <v>7.9032842124627303</v>
          </cell>
          <cell r="P63">
            <v>9.1651978785474792</v>
          </cell>
        </row>
        <row r="64">
          <cell r="A64" t="str">
            <v>Period 4</v>
          </cell>
          <cell r="B64" t="str">
            <v>--</v>
          </cell>
          <cell r="C64">
            <v>-3.28270010471139</v>
          </cell>
          <cell r="D64">
            <v>20.480137796744401</v>
          </cell>
          <cell r="E64" t="str">
            <v>--</v>
          </cell>
          <cell r="F64">
            <v>-8.3746616648291106</v>
          </cell>
          <cell r="G64">
            <v>11.067440035420301</v>
          </cell>
          <cell r="H64" t="str">
            <v>--</v>
          </cell>
          <cell r="I64">
            <v>5.0919615601177197</v>
          </cell>
          <cell r="J64">
            <v>9.4126977613240506</v>
          </cell>
          <cell r="K64" t="str">
            <v>--</v>
          </cell>
          <cell r="L64">
            <v>-5.7025120208170703</v>
          </cell>
          <cell r="M64">
            <v>1.5071869899886701</v>
          </cell>
          <cell r="N64">
            <v>8.0863322986077808</v>
          </cell>
          <cell r="O64">
            <v>7.7920269153332402</v>
          </cell>
          <cell r="P64">
            <v>8.7949208268644004</v>
          </cell>
        </row>
        <row r="65">
          <cell r="A65" t="str">
            <v>Period 5</v>
          </cell>
          <cell r="B65" t="str">
            <v>--</v>
          </cell>
          <cell r="C65">
            <v>6.7708209538517803</v>
          </cell>
          <cell r="D65">
            <v>18.640653290919101</v>
          </cell>
          <cell r="E65" t="str">
            <v>--</v>
          </cell>
          <cell r="F65">
            <v>9.3335090147310602</v>
          </cell>
          <cell r="G65">
            <v>7.2135714311837003</v>
          </cell>
          <cell r="H65" t="str">
            <v>--</v>
          </cell>
          <cell r="I65">
            <v>-2.5626880608792799</v>
          </cell>
          <cell r="J65">
            <v>11.4270818597354</v>
          </cell>
          <cell r="K65" t="str">
            <v>--</v>
          </cell>
          <cell r="L65">
            <v>-0.135419694992578</v>
          </cell>
          <cell r="M65">
            <v>2.4342138017899599</v>
          </cell>
          <cell r="N65">
            <v>8.2767911690104299</v>
          </cell>
          <cell r="O65">
            <v>8.6478873539713703</v>
          </cell>
          <cell r="P65">
            <v>9.7786930280416993</v>
          </cell>
        </row>
        <row r="66">
          <cell r="A66" t="str">
            <v>Period 6</v>
          </cell>
          <cell r="B66" t="str">
            <v>--</v>
          </cell>
          <cell r="C66">
            <v>-3.3714347453750602</v>
          </cell>
          <cell r="D66">
            <v>14.148039129970201</v>
          </cell>
          <cell r="E66" t="str">
            <v>--</v>
          </cell>
          <cell r="F66">
            <v>-11.8340159974108</v>
          </cell>
          <cell r="G66">
            <v>8.7937611952454695</v>
          </cell>
          <cell r="H66" t="str">
            <v>--</v>
          </cell>
          <cell r="I66">
            <v>8.4625812520357204</v>
          </cell>
          <cell r="J66">
            <v>5.3542779347247098</v>
          </cell>
          <cell r="K66" t="str">
            <v>--</v>
          </cell>
          <cell r="L66">
            <v>-7.5211010488216701</v>
          </cell>
          <cell r="M66">
            <v>-2.0390504838141399</v>
          </cell>
          <cell r="N66">
            <v>8.6323456035269093</v>
          </cell>
          <cell r="O66">
            <v>8.3355974247272204</v>
          </cell>
          <cell r="P66">
            <v>8.8665876686700997</v>
          </cell>
        </row>
        <row r="67">
          <cell r="A67" t="str">
            <v>Period 7</v>
          </cell>
          <cell r="B67" t="str">
            <v>--</v>
          </cell>
          <cell r="C67">
            <v>-7.4971936155321499</v>
          </cell>
          <cell r="D67">
            <v>26.721359666711901</v>
          </cell>
          <cell r="E67" t="str">
            <v>--</v>
          </cell>
          <cell r="F67">
            <v>-19.227015805713101</v>
          </cell>
          <cell r="G67">
            <v>29.575095827037</v>
          </cell>
          <cell r="H67" t="str">
            <v>--</v>
          </cell>
          <cell r="I67">
            <v>11.729822190180901</v>
          </cell>
          <cell r="J67">
            <v>-2.8537361603251399</v>
          </cell>
          <cell r="K67" t="str">
            <v>--</v>
          </cell>
          <cell r="L67">
            <v>-17.5610857412297</v>
          </cell>
          <cell r="M67">
            <v>9.2918168934406697</v>
          </cell>
          <cell r="N67">
            <v>8.5974950510175994</v>
          </cell>
          <cell r="O67">
            <v>8.0654488923384307</v>
          </cell>
          <cell r="P67">
            <v>9.5515723747900392</v>
          </cell>
        </row>
        <row r="68">
          <cell r="A68" t="str">
            <v>Period 8</v>
          </cell>
          <cell r="B68" t="str">
            <v>--</v>
          </cell>
          <cell r="C68">
            <v>-2.29673912870651</v>
          </cell>
          <cell r="D68">
            <v>23.363563732268499</v>
          </cell>
          <cell r="E68" t="str">
            <v>--</v>
          </cell>
          <cell r="F68">
            <v>-9.0413928972184205</v>
          </cell>
          <cell r="G68">
            <v>21.222223338836201</v>
          </cell>
          <cell r="H68" t="str">
            <v>--</v>
          </cell>
          <cell r="I68">
            <v>6.7446537685119097</v>
          </cell>
          <cell r="J68">
            <v>2.1413403934322699</v>
          </cell>
          <cell r="K68" t="str">
            <v>--</v>
          </cell>
          <cell r="L68">
            <v>-10.859771281903701</v>
          </cell>
          <cell r="M68">
            <v>3.9976127088353302</v>
          </cell>
          <cell r="N68">
            <v>8.1578796493961594</v>
          </cell>
          <cell r="O68">
            <v>8.22758422087038</v>
          </cell>
          <cell r="P68">
            <v>9.4878960496634193</v>
          </cell>
        </row>
        <row r="69">
          <cell r="A69" t="str">
            <v>Period 9</v>
          </cell>
          <cell r="B69" t="str">
            <v>--</v>
          </cell>
          <cell r="C69">
            <v>3.11565274652077</v>
          </cell>
          <cell r="D69">
            <v>22.139966557945399</v>
          </cell>
          <cell r="E69" t="str">
            <v>--</v>
          </cell>
          <cell r="F69">
            <v>-0.223961407369968</v>
          </cell>
          <cell r="G69">
            <v>19.420625924362799</v>
          </cell>
          <cell r="H69" t="str">
            <v>--</v>
          </cell>
          <cell r="I69">
            <v>3.3396141538907398</v>
          </cell>
          <cell r="J69">
            <v>2.7193406335825601</v>
          </cell>
          <cell r="K69" t="str">
            <v>--</v>
          </cell>
          <cell r="L69">
            <v>6.5382020171214998</v>
          </cell>
          <cell r="M69">
            <v>-0.22823333054412101</v>
          </cell>
          <cell r="N69">
            <v>8.28238966624256</v>
          </cell>
          <cell r="O69">
            <v>8.7125796470012205</v>
          </cell>
          <cell r="P69">
            <v>9.9692271665288708</v>
          </cell>
        </row>
        <row r="70">
          <cell r="A70" t="str">
            <v>Period 10</v>
          </cell>
          <cell r="B70" t="str">
            <v>--</v>
          </cell>
          <cell r="C70">
            <v>2.20190586004425</v>
          </cell>
          <cell r="D70" t="str">
            <v>--</v>
          </cell>
          <cell r="E70" t="str">
            <v>--</v>
          </cell>
          <cell r="F70">
            <v>-4.3678739577223196</v>
          </cell>
          <cell r="G70" t="str">
            <v>--</v>
          </cell>
          <cell r="H70" t="str">
            <v>--</v>
          </cell>
          <cell r="I70">
            <v>6.5697798177665696</v>
          </cell>
          <cell r="J70" t="str">
            <v>--</v>
          </cell>
          <cell r="K70" t="str">
            <v>--</v>
          </cell>
          <cell r="L70">
            <v>0.10365018172439699</v>
          </cell>
          <cell r="M70" t="str">
            <v>--</v>
          </cell>
          <cell r="N70">
            <v>8.1993018569318608</v>
          </cell>
          <cell r="O70">
            <v>8.4070137017784905</v>
          </cell>
          <cell r="P70" t="str">
            <v>--</v>
          </cell>
        </row>
        <row r="71">
          <cell r="A71" t="str">
            <v>Period 11</v>
          </cell>
          <cell r="B71" t="str">
            <v>--</v>
          </cell>
          <cell r="C71">
            <v>6.5360028148892804</v>
          </cell>
          <cell r="D71" t="str">
            <v>--</v>
          </cell>
          <cell r="E71" t="str">
            <v>--</v>
          </cell>
          <cell r="F71">
            <v>3.3010876876844901</v>
          </cell>
          <cell r="G71" t="str">
            <v>--</v>
          </cell>
          <cell r="H71" t="str">
            <v>--</v>
          </cell>
          <cell r="I71">
            <v>3.2349151272047898</v>
          </cell>
          <cell r="J71" t="str">
            <v>--</v>
          </cell>
          <cell r="K71" t="str">
            <v>--</v>
          </cell>
          <cell r="L71">
            <v>-1.01432297091262</v>
          </cell>
          <cell r="M71" t="str">
            <v>--</v>
          </cell>
          <cell r="N71">
            <v>8.4558745016557992</v>
          </cell>
          <cell r="O71">
            <v>8.9150229452481007</v>
          </cell>
          <cell r="P71" t="str">
            <v>--</v>
          </cell>
        </row>
        <row r="72">
          <cell r="A72" t="str">
            <v>Period 12</v>
          </cell>
          <cell r="B72" t="str">
            <v>--</v>
          </cell>
          <cell r="C72">
            <v>7.21033128879023</v>
          </cell>
          <cell r="D72" t="str">
            <v>--</v>
          </cell>
          <cell r="E72" t="str">
            <v>--</v>
          </cell>
          <cell r="F72">
            <v>0.81394634243389197</v>
          </cell>
          <cell r="G72" t="str">
            <v>--</v>
          </cell>
          <cell r="H72" t="str">
            <v>--</v>
          </cell>
          <cell r="I72">
            <v>6.3963849463563403</v>
          </cell>
          <cell r="J72" t="str">
            <v>--</v>
          </cell>
          <cell r="K72" t="str">
            <v>--</v>
          </cell>
          <cell r="L72">
            <v>-5.6090508283611298</v>
          </cell>
          <cell r="M72" t="str">
            <v>--</v>
          </cell>
          <cell r="N72">
            <v>6.7642179080211404</v>
          </cell>
          <cell r="O72">
            <v>7.3075570431371197</v>
          </cell>
          <cell r="P72" t="str">
            <v>--</v>
          </cell>
        </row>
        <row r="73">
          <cell r="A73" t="str">
            <v>Period 13</v>
          </cell>
          <cell r="B73" t="str">
            <v>--</v>
          </cell>
          <cell r="C73">
            <v>7.3545044186546598</v>
          </cell>
          <cell r="D73" t="str">
            <v>--</v>
          </cell>
          <cell r="E73" t="str">
            <v>--</v>
          </cell>
          <cell r="F73">
            <v>0.48920627477047801</v>
          </cell>
          <cell r="G73" t="str">
            <v>--</v>
          </cell>
          <cell r="H73" t="str">
            <v>--</v>
          </cell>
          <cell r="I73">
            <v>6.8652981438841802</v>
          </cell>
          <cell r="J73" t="str">
            <v>--</v>
          </cell>
          <cell r="K73" t="str">
            <v>--</v>
          </cell>
          <cell r="L73">
            <v>-5.3740845405134801</v>
          </cell>
          <cell r="M73" t="str">
            <v>--</v>
          </cell>
          <cell r="N73">
            <v>6.3036333170509904</v>
          </cell>
          <cell r="O73">
            <v>6.77535777711363</v>
          </cell>
          <cell r="P73" t="str">
            <v>--</v>
          </cell>
        </row>
        <row r="75">
          <cell r="B75" t="str">
            <v>PRIVATE LABEL CRACKERS</v>
          </cell>
        </row>
        <row r="76">
          <cell r="B76" t="str">
            <v>Yr/Yr % Change</v>
          </cell>
        </row>
        <row r="77">
          <cell r="B77" t="str">
            <v>Sales</v>
          </cell>
          <cell r="E77" t="str">
            <v>Volume</v>
          </cell>
          <cell r="H77" t="str">
            <v>Price/Mix</v>
          </cell>
          <cell r="K77" t="str">
            <v>$ Merchandising</v>
          </cell>
          <cell r="N77" t="str">
            <v>$ Share</v>
          </cell>
        </row>
        <row r="78">
          <cell r="A78" t="str">
            <v>Date</v>
          </cell>
          <cell r="B78">
            <v>2004</v>
          </cell>
          <cell r="C78">
            <v>2005</v>
          </cell>
          <cell r="D78">
            <v>2006</v>
          </cell>
          <cell r="E78">
            <v>2004</v>
          </cell>
          <cell r="F78">
            <v>2005</v>
          </cell>
          <cell r="G78">
            <v>2006</v>
          </cell>
          <cell r="H78">
            <v>2004</v>
          </cell>
          <cell r="I78">
            <v>2005</v>
          </cell>
          <cell r="J78">
            <v>2006</v>
          </cell>
          <cell r="K78">
            <v>2004</v>
          </cell>
          <cell r="L78">
            <v>2005</v>
          </cell>
          <cell r="M78">
            <v>2006</v>
          </cell>
          <cell r="N78">
            <v>2004</v>
          </cell>
          <cell r="O78">
            <v>2005</v>
          </cell>
          <cell r="P78">
            <v>2006</v>
          </cell>
        </row>
        <row r="79">
          <cell r="A79" t="str">
            <v>Period 1</v>
          </cell>
          <cell r="B79" t="str">
            <v>--</v>
          </cell>
          <cell r="C79" t="str">
            <v>--</v>
          </cell>
          <cell r="D79">
            <v>-5.7883299699184603</v>
          </cell>
          <cell r="E79" t="str">
            <v>--</v>
          </cell>
          <cell r="F79" t="str">
            <v>--</v>
          </cell>
          <cell r="G79">
            <v>-9.7733974152006908</v>
          </cell>
          <cell r="H79" t="str">
            <v>--</v>
          </cell>
          <cell r="I79" t="str">
            <v>--</v>
          </cell>
          <cell r="J79">
            <v>3.9850674452822301</v>
          </cell>
          <cell r="K79" t="str">
            <v>--</v>
          </cell>
          <cell r="L79" t="str">
            <v>--</v>
          </cell>
          <cell r="M79">
            <v>0.66369179695991698</v>
          </cell>
          <cell r="N79" t="str">
            <v>--</v>
          </cell>
          <cell r="O79">
            <v>7.2068913371852199</v>
          </cell>
          <cell r="P79">
            <v>7.0947686719621199</v>
          </cell>
        </row>
        <row r="80">
          <cell r="A80" t="str">
            <v>Period 2</v>
          </cell>
          <cell r="B80" t="str">
            <v>--</v>
          </cell>
          <cell r="C80" t="str">
            <v>--</v>
          </cell>
          <cell r="D80">
            <v>2.6158325472322099</v>
          </cell>
          <cell r="E80" t="str">
            <v>--</v>
          </cell>
          <cell r="F80" t="str">
            <v>--</v>
          </cell>
          <cell r="G80">
            <v>2.7286772332159002</v>
          </cell>
          <cell r="H80" t="str">
            <v>--</v>
          </cell>
          <cell r="I80" t="str">
            <v>--</v>
          </cell>
          <cell r="J80">
            <v>-0.11284468598368801</v>
          </cell>
          <cell r="K80" t="str">
            <v>--</v>
          </cell>
          <cell r="L80" t="str">
            <v>--</v>
          </cell>
          <cell r="M80">
            <v>1.4954240286194E-2</v>
          </cell>
          <cell r="N80" t="str">
            <v>--</v>
          </cell>
          <cell r="O80">
            <v>6.8661116344639801</v>
          </cell>
          <cell r="P80">
            <v>6.8514581465692102</v>
          </cell>
        </row>
        <row r="81">
          <cell r="A81" t="str">
            <v>Period 3</v>
          </cell>
          <cell r="B81" t="str">
            <v>--</v>
          </cell>
          <cell r="C81">
            <v>6.8492562105304904</v>
          </cell>
          <cell r="D81">
            <v>2.1537730894493499</v>
          </cell>
          <cell r="E81" t="str">
            <v>--</v>
          </cell>
          <cell r="F81">
            <v>2.3819467618544699</v>
          </cell>
          <cell r="G81">
            <v>-0.96608104750573398</v>
          </cell>
          <cell r="H81" t="str">
            <v>--</v>
          </cell>
          <cell r="I81">
            <v>4.4673094486760201</v>
          </cell>
          <cell r="J81">
            <v>3.1198541369550901</v>
          </cell>
          <cell r="K81" t="str">
            <v>--</v>
          </cell>
          <cell r="L81">
            <v>-0.63141860310444997</v>
          </cell>
          <cell r="M81">
            <v>-0.65626424638014702</v>
          </cell>
          <cell r="N81">
            <v>6.2575018617905798</v>
          </cell>
          <cell r="O81">
            <v>6.6069414930506003</v>
          </cell>
          <cell r="P81">
            <v>6.6696034884681001</v>
          </cell>
        </row>
        <row r="82">
          <cell r="A82" t="str">
            <v>Period 4</v>
          </cell>
          <cell r="B82" t="str">
            <v>--</v>
          </cell>
          <cell r="C82">
            <v>6.0990705347395702</v>
          </cell>
          <cell r="D82">
            <v>-3.06907222080401</v>
          </cell>
          <cell r="E82" t="str">
            <v>--</v>
          </cell>
          <cell r="F82">
            <v>3.6201324629338298</v>
          </cell>
          <cell r="G82">
            <v>-6.8444874291577102</v>
          </cell>
          <cell r="H82" t="str">
            <v>--</v>
          </cell>
          <cell r="I82">
            <v>2.4789380718057399</v>
          </cell>
          <cell r="J82">
            <v>3.7754152083536998</v>
          </cell>
          <cell r="K82" t="str">
            <v>--</v>
          </cell>
          <cell r="L82">
            <v>3.5964141464220298</v>
          </cell>
          <cell r="M82">
            <v>-2.4528216820857902</v>
          </cell>
          <cell r="N82">
            <v>6.0346556986010302</v>
          </cell>
          <cell r="O82">
            <v>6.3790906311411</v>
          </cell>
          <cell r="P82">
            <v>5.7927818896810797</v>
          </cell>
        </row>
        <row r="83">
          <cell r="A83" t="str">
            <v>Period 5</v>
          </cell>
          <cell r="B83" t="str">
            <v>--</v>
          </cell>
          <cell r="C83">
            <v>5.14249193351149</v>
          </cell>
          <cell r="D83">
            <v>4.1803073637361603</v>
          </cell>
          <cell r="E83" t="str">
            <v>--</v>
          </cell>
          <cell r="F83">
            <v>0.73941924641916601</v>
          </cell>
          <cell r="G83">
            <v>0.16695854716503</v>
          </cell>
          <cell r="H83" t="str">
            <v>--</v>
          </cell>
          <cell r="I83">
            <v>4.4030726870923198</v>
          </cell>
          <cell r="J83">
            <v>4.0133488165711304</v>
          </cell>
          <cell r="K83" t="str">
            <v>--</v>
          </cell>
          <cell r="L83">
            <v>-2.0833705732415799</v>
          </cell>
          <cell r="M83">
            <v>-3.8810635995613998</v>
          </cell>
          <cell r="N83">
            <v>6.21220875672077</v>
          </cell>
          <cell r="O83">
            <v>6.3917495789841698</v>
          </cell>
          <cell r="P83">
            <v>6.34662218547553</v>
          </cell>
        </row>
        <row r="84">
          <cell r="A84" t="str">
            <v>Period 6</v>
          </cell>
          <cell r="B84" t="str">
            <v>--</v>
          </cell>
          <cell r="C84">
            <v>1.8457469408165299</v>
          </cell>
          <cell r="D84">
            <v>3.3497523243437199</v>
          </cell>
          <cell r="E84" t="str">
            <v>--</v>
          </cell>
          <cell r="F84">
            <v>-4.2555469802042802</v>
          </cell>
          <cell r="G84">
            <v>-3.02222273322581</v>
          </cell>
          <cell r="H84" t="str">
            <v>--</v>
          </cell>
          <cell r="I84">
            <v>6.1012939210208099</v>
          </cell>
          <cell r="J84">
            <v>6.3719750575695304</v>
          </cell>
          <cell r="K84" t="str">
            <v>--</v>
          </cell>
          <cell r="L84">
            <v>-4.5118382950176503</v>
          </cell>
          <cell r="M84">
            <v>-1.60182984458991</v>
          </cell>
          <cell r="N84">
            <v>6.2355690826464603</v>
          </cell>
          <cell r="O84">
            <v>6.34631133841423</v>
          </cell>
          <cell r="P84">
            <v>6.1119830255824201</v>
          </cell>
        </row>
        <row r="85">
          <cell r="A85" t="str">
            <v>Period 7</v>
          </cell>
          <cell r="B85" t="str">
            <v>--</v>
          </cell>
          <cell r="C85">
            <v>2.5490896325141099</v>
          </cell>
          <cell r="D85">
            <v>0.54440837476011095</v>
          </cell>
          <cell r="E85" t="str">
            <v>--</v>
          </cell>
          <cell r="F85">
            <v>-0.50252233162585902</v>
          </cell>
          <cell r="G85">
            <v>-6.7906994440890998</v>
          </cell>
          <cell r="H85" t="str">
            <v>--</v>
          </cell>
          <cell r="I85">
            <v>3.0516119641399699</v>
          </cell>
          <cell r="J85">
            <v>7.3351078188492096</v>
          </cell>
          <cell r="K85" t="str">
            <v>--</v>
          </cell>
          <cell r="L85">
            <v>2.8087730605046799</v>
          </cell>
          <cell r="M85">
            <v>-5.4266576111729297</v>
          </cell>
          <cell r="N85">
            <v>6.3059471243283101</v>
          </cell>
          <cell r="O85">
            <v>6.5581875821916098</v>
          </cell>
          <cell r="P85">
            <v>6.1622350611047896</v>
          </cell>
        </row>
        <row r="86">
          <cell r="A86" t="str">
            <v>Period 8</v>
          </cell>
          <cell r="B86" t="str">
            <v>--</v>
          </cell>
          <cell r="C86">
            <v>-1.67574565230947</v>
          </cell>
          <cell r="D86">
            <v>4.2686034334309699</v>
          </cell>
          <cell r="E86" t="str">
            <v>--</v>
          </cell>
          <cell r="F86">
            <v>-7.4249916574619297</v>
          </cell>
          <cell r="G86">
            <v>0.28541945962381299</v>
          </cell>
          <cell r="H86" t="str">
            <v>--</v>
          </cell>
          <cell r="I86">
            <v>5.7492460051524601</v>
          </cell>
          <cell r="J86">
            <v>3.9831839738071602</v>
          </cell>
          <cell r="K86" t="str">
            <v>--</v>
          </cell>
          <cell r="L86">
            <v>0.421725864479853</v>
          </cell>
          <cell r="M86">
            <v>0.252334866433159</v>
          </cell>
          <cell r="N86">
            <v>6.4811439174196996</v>
          </cell>
          <cell r="O86">
            <v>6.5780672757397802</v>
          </cell>
          <cell r="P86">
            <v>6.4115427442571402</v>
          </cell>
        </row>
        <row r="87">
          <cell r="A87" t="str">
            <v>Period 9</v>
          </cell>
          <cell r="B87" t="str">
            <v>--</v>
          </cell>
          <cell r="C87">
            <v>1.4469163929000199</v>
          </cell>
          <cell r="D87">
            <v>3.0934897667785299</v>
          </cell>
          <cell r="E87" t="str">
            <v>--</v>
          </cell>
          <cell r="F87">
            <v>-4.5987614891714399</v>
          </cell>
          <cell r="G87">
            <v>-2.5170864864875998E-2</v>
          </cell>
          <cell r="H87" t="str">
            <v>--</v>
          </cell>
          <cell r="I87">
            <v>6.0456778820714598</v>
          </cell>
          <cell r="J87">
            <v>3.1186606316434098</v>
          </cell>
          <cell r="K87" t="str">
            <v>--</v>
          </cell>
          <cell r="L87">
            <v>-3.8077450027319202</v>
          </cell>
          <cell r="M87">
            <v>0.60469323458984503</v>
          </cell>
          <cell r="N87">
            <v>6.1783287409903398</v>
          </cell>
          <cell r="O87">
            <v>6.3940550391657096</v>
          </cell>
          <cell r="P87">
            <v>6.1753922086619299</v>
          </cell>
        </row>
        <row r="88">
          <cell r="A88" t="str">
            <v>Period 10</v>
          </cell>
          <cell r="B88" t="str">
            <v>--</v>
          </cell>
          <cell r="C88">
            <v>3.3858981816789102</v>
          </cell>
          <cell r="D88" t="str">
            <v>--</v>
          </cell>
          <cell r="E88" t="str">
            <v>--</v>
          </cell>
          <cell r="F88">
            <v>0.55069450453047997</v>
          </cell>
          <cell r="G88" t="str">
            <v>--</v>
          </cell>
          <cell r="H88" t="str">
            <v>--</v>
          </cell>
          <cell r="I88">
            <v>2.8352036771484301</v>
          </cell>
          <cell r="J88" t="str">
            <v>--</v>
          </cell>
          <cell r="K88" t="str">
            <v>--</v>
          </cell>
          <cell r="L88">
            <v>0.38677146177293797</v>
          </cell>
          <cell r="M88" t="str">
            <v>--</v>
          </cell>
          <cell r="N88">
            <v>6.7713881786523702</v>
          </cell>
          <cell r="O88">
            <v>7.0233595418764603</v>
          </cell>
          <cell r="P88" t="str">
            <v>--</v>
          </cell>
        </row>
        <row r="89">
          <cell r="A89" t="str">
            <v>Period 11</v>
          </cell>
          <cell r="B89" t="str">
            <v>--</v>
          </cell>
          <cell r="C89">
            <v>-2.9748734427999</v>
          </cell>
          <cell r="D89" t="str">
            <v>--</v>
          </cell>
          <cell r="E89" t="str">
            <v>--</v>
          </cell>
          <cell r="F89">
            <v>-7.3861008046211403</v>
          </cell>
          <cell r="G89" t="str">
            <v>--</v>
          </cell>
          <cell r="H89" t="str">
            <v>--</v>
          </cell>
          <cell r="I89">
            <v>4.4112273618212399</v>
          </cell>
          <cell r="J89" t="str">
            <v>--</v>
          </cell>
          <cell r="K89" t="str">
            <v>--</v>
          </cell>
          <cell r="L89">
            <v>-0.28735628078693798</v>
          </cell>
          <cell r="M89" t="str">
            <v>--</v>
          </cell>
          <cell r="N89">
            <v>7.2908286735702799</v>
          </cell>
          <cell r="O89">
            <v>7.00049337828729</v>
          </cell>
          <cell r="P89" t="str">
            <v>--</v>
          </cell>
        </row>
        <row r="90">
          <cell r="A90" t="str">
            <v>Period 12</v>
          </cell>
          <cell r="B90" t="str">
            <v>--</v>
          </cell>
          <cell r="C90">
            <v>-0.63302844980654405</v>
          </cell>
          <cell r="D90" t="str">
            <v>--</v>
          </cell>
          <cell r="E90" t="str">
            <v>--</v>
          </cell>
          <cell r="F90">
            <v>-5.9656800324511003</v>
          </cell>
          <cell r="G90" t="str">
            <v>--</v>
          </cell>
          <cell r="H90" t="str">
            <v>--</v>
          </cell>
          <cell r="I90">
            <v>5.3326515826445497</v>
          </cell>
          <cell r="J90" t="str">
            <v>--</v>
          </cell>
          <cell r="K90" t="str">
            <v>--</v>
          </cell>
          <cell r="L90">
            <v>-3.5484516757539701</v>
          </cell>
          <cell r="M90" t="str">
            <v>--</v>
          </cell>
          <cell r="N90">
            <v>6.6146797016563399</v>
          </cell>
          <cell r="O90">
            <v>6.6232150981369697</v>
          </cell>
          <cell r="P90" t="str">
            <v>--</v>
          </cell>
        </row>
        <row r="91">
          <cell r="A91" t="str">
            <v>Period 13</v>
          </cell>
          <cell r="B91" t="str">
            <v>--</v>
          </cell>
          <cell r="C91">
            <v>1.6803419585299999</v>
          </cell>
          <cell r="D91" t="str">
            <v>--</v>
          </cell>
          <cell r="E91" t="str">
            <v>--</v>
          </cell>
          <cell r="F91">
            <v>-1.3768026983042101</v>
          </cell>
          <cell r="G91" t="str">
            <v>--</v>
          </cell>
          <cell r="H91" t="str">
            <v>--</v>
          </cell>
          <cell r="I91">
            <v>3.05714465683422</v>
          </cell>
          <cell r="J91" t="str">
            <v>--</v>
          </cell>
          <cell r="K91" t="str">
            <v>--</v>
          </cell>
          <cell r="L91">
            <v>1.18616160324742</v>
          </cell>
          <cell r="M91" t="str">
            <v>--</v>
          </cell>
          <cell r="N91">
            <v>6.5312771372429097</v>
          </cell>
          <cell r="O91">
            <v>6.6489968933782198</v>
          </cell>
          <cell r="P91" t="str">
            <v>--</v>
          </cell>
        </row>
        <row r="93">
          <cell r="A93" t="str">
            <v>CATEGORY - CRACKERS - Historical Statistics - 12 Week Data - TOTAL U.S. - FD / DG / MM</v>
          </cell>
        </row>
        <row r="95">
          <cell r="B95" t="str">
            <v>Category</v>
          </cell>
        </row>
        <row r="96">
          <cell r="B96" t="str">
            <v>Yr/Yr % Change</v>
          </cell>
        </row>
        <row r="97">
          <cell r="B97" t="str">
            <v>Sales</v>
          </cell>
          <cell r="D97" t="str">
            <v>Volume</v>
          </cell>
          <cell r="F97" t="str">
            <v>Price/Mix</v>
          </cell>
          <cell r="H97" t="str">
            <v>$ Merchandising</v>
          </cell>
        </row>
        <row r="98">
          <cell r="A98" t="str">
            <v>Date</v>
          </cell>
          <cell r="B98">
            <v>2005</v>
          </cell>
          <cell r="C98">
            <v>2006</v>
          </cell>
          <cell r="D98">
            <v>2005</v>
          </cell>
          <cell r="E98">
            <v>2006</v>
          </cell>
          <cell r="F98">
            <v>2005</v>
          </cell>
          <cell r="G98">
            <v>2006</v>
          </cell>
          <cell r="H98">
            <v>2005</v>
          </cell>
          <cell r="I98">
            <v>2006</v>
          </cell>
        </row>
        <row r="99">
          <cell r="A99" t="str">
            <v>Period 1</v>
          </cell>
          <cell r="B99" t="str">
            <v>--</v>
          </cell>
          <cell r="C99" t="str">
            <v>--</v>
          </cell>
          <cell r="D99" t="str">
            <v>--</v>
          </cell>
          <cell r="E99" t="str">
            <v>--</v>
          </cell>
          <cell r="F99" t="str">
            <v>--</v>
          </cell>
          <cell r="G99" t="str">
            <v>--</v>
          </cell>
          <cell r="H99" t="str">
            <v>--</v>
          </cell>
          <cell r="I99" t="str">
            <v>--</v>
          </cell>
        </row>
        <row r="100">
          <cell r="A100" t="str">
            <v>Period 2</v>
          </cell>
          <cell r="B100" t="str">
            <v>--</v>
          </cell>
          <cell r="C100" t="str">
            <v>--</v>
          </cell>
          <cell r="D100" t="str">
            <v>--</v>
          </cell>
          <cell r="E100" t="str">
            <v>--</v>
          </cell>
          <cell r="F100" t="str">
            <v>--</v>
          </cell>
          <cell r="G100" t="str">
            <v>--</v>
          </cell>
          <cell r="H100" t="str">
            <v>--</v>
          </cell>
          <cell r="I100" t="str">
            <v>--</v>
          </cell>
        </row>
        <row r="101">
          <cell r="A101" t="str">
            <v>Period 3</v>
          </cell>
          <cell r="B101" t="str">
            <v>--</v>
          </cell>
          <cell r="C101">
            <v>-0.15095527841547399</v>
          </cell>
          <cell r="D101" t="str">
            <v>--</v>
          </cell>
          <cell r="E101">
            <v>-4.9679626510997501</v>
          </cell>
          <cell r="F101" t="str">
            <v>--</v>
          </cell>
          <cell r="G101">
            <v>4.8170073726842801</v>
          </cell>
          <cell r="H101" t="str">
            <v>--</v>
          </cell>
          <cell r="I101">
            <v>-1.4433729939194799</v>
          </cell>
        </row>
        <row r="102">
          <cell r="A102" t="str">
            <v>Period 4</v>
          </cell>
          <cell r="B102" t="str">
            <v>--</v>
          </cell>
          <cell r="C102">
            <v>3.56169104156761</v>
          </cell>
          <cell r="D102" t="str">
            <v>--</v>
          </cell>
          <cell r="E102">
            <v>-0.24085665702721301</v>
          </cell>
          <cell r="F102" t="str">
            <v>--</v>
          </cell>
          <cell r="G102">
            <v>3.8025476985948199</v>
          </cell>
          <cell r="H102" t="str">
            <v>--</v>
          </cell>
          <cell r="I102">
            <v>7.2818971329553006E-2</v>
          </cell>
        </row>
        <row r="103">
          <cell r="A103" t="str">
            <v>Period 5</v>
          </cell>
          <cell r="B103" t="str">
            <v>--</v>
          </cell>
          <cell r="C103">
            <v>4.2642246894492697</v>
          </cell>
          <cell r="D103" t="str">
            <v>--</v>
          </cell>
          <cell r="E103">
            <v>-0.39910630116279999</v>
          </cell>
          <cell r="F103" t="str">
            <v>--</v>
          </cell>
          <cell r="G103">
            <v>4.6633309906120699</v>
          </cell>
          <cell r="H103" t="str">
            <v>--</v>
          </cell>
          <cell r="I103">
            <v>-4.7050779248059997E-2</v>
          </cell>
        </row>
        <row r="104">
          <cell r="A104" t="str">
            <v>Period 6</v>
          </cell>
          <cell r="B104" t="str">
            <v>--</v>
          </cell>
          <cell r="C104">
            <v>6.3312347848722998</v>
          </cell>
          <cell r="D104" t="str">
            <v>--</v>
          </cell>
          <cell r="E104">
            <v>2.3635666749009601</v>
          </cell>
          <cell r="F104" t="str">
            <v>--</v>
          </cell>
          <cell r="G104">
            <v>3.9676681099713398</v>
          </cell>
          <cell r="H104" t="str">
            <v>--</v>
          </cell>
          <cell r="I104">
            <v>1.0153424028801401</v>
          </cell>
        </row>
        <row r="105">
          <cell r="A105" t="str">
            <v>Period 7</v>
          </cell>
          <cell r="B105" t="str">
            <v>--</v>
          </cell>
          <cell r="C105">
            <v>6.3313353503118703</v>
          </cell>
          <cell r="D105" t="str">
            <v>--</v>
          </cell>
          <cell r="E105">
            <v>2.2390680537711298</v>
          </cell>
          <cell r="F105" t="str">
            <v>--</v>
          </cell>
          <cell r="G105">
            <v>4.0922672965407401</v>
          </cell>
          <cell r="H105" t="str">
            <v>--</v>
          </cell>
          <cell r="I105">
            <v>-1.7025234996879E-2</v>
          </cell>
        </row>
        <row r="106">
          <cell r="A106" t="str">
            <v>Period 8</v>
          </cell>
          <cell r="B106" t="str">
            <v>--</v>
          </cell>
          <cell r="C106">
            <v>7.0650469975034902</v>
          </cell>
          <cell r="D106" t="str">
            <v>--</v>
          </cell>
          <cell r="E106">
            <v>4.0557567607586797</v>
          </cell>
          <cell r="F106" t="str">
            <v>--</v>
          </cell>
          <cell r="G106">
            <v>3.0092902367447998</v>
          </cell>
          <cell r="H106" t="str">
            <v>--</v>
          </cell>
          <cell r="I106">
            <v>1.0531757571763201</v>
          </cell>
        </row>
        <row r="107">
          <cell r="A107" t="str">
            <v>Period 9</v>
          </cell>
          <cell r="B107" t="str">
            <v>--</v>
          </cell>
          <cell r="C107">
            <v>6.9045826277183302</v>
          </cell>
          <cell r="D107" t="str">
            <v>--</v>
          </cell>
          <cell r="E107">
            <v>3.8975739221003902</v>
          </cell>
          <cell r="F107" t="str">
            <v>--</v>
          </cell>
          <cell r="G107">
            <v>3.0070087056179502</v>
          </cell>
          <cell r="H107" t="str">
            <v>--</v>
          </cell>
          <cell r="I107">
            <v>1.0964589190240699</v>
          </cell>
        </row>
        <row r="108">
          <cell r="A108" t="str">
            <v>Period 10</v>
          </cell>
          <cell r="B108" t="str">
            <v>--</v>
          </cell>
          <cell r="C108" t="str">
            <v>--</v>
          </cell>
          <cell r="D108" t="str">
            <v>--</v>
          </cell>
          <cell r="E108" t="str">
            <v>--</v>
          </cell>
          <cell r="F108" t="str">
            <v>--</v>
          </cell>
          <cell r="G108" t="str">
            <v>--</v>
          </cell>
          <cell r="H108" t="str">
            <v>--</v>
          </cell>
          <cell r="I108" t="str">
            <v>--</v>
          </cell>
        </row>
        <row r="109">
          <cell r="A109" t="str">
            <v>Period 11</v>
          </cell>
          <cell r="B109" t="str">
            <v>--</v>
          </cell>
          <cell r="C109" t="str">
            <v>--</v>
          </cell>
          <cell r="D109" t="str">
            <v>--</v>
          </cell>
          <cell r="E109" t="str">
            <v>--</v>
          </cell>
          <cell r="F109" t="str">
            <v>--</v>
          </cell>
          <cell r="G109" t="str">
            <v>--</v>
          </cell>
          <cell r="H109" t="str">
            <v>--</v>
          </cell>
          <cell r="I109" t="str">
            <v>--</v>
          </cell>
        </row>
        <row r="110">
          <cell r="A110" t="str">
            <v>Period 12</v>
          </cell>
          <cell r="B110" t="str">
            <v>--</v>
          </cell>
          <cell r="C110" t="str">
            <v>--</v>
          </cell>
          <cell r="D110" t="str">
            <v>--</v>
          </cell>
          <cell r="E110" t="str">
            <v>--</v>
          </cell>
          <cell r="F110" t="str">
            <v>--</v>
          </cell>
          <cell r="G110" t="str">
            <v>--</v>
          </cell>
          <cell r="H110" t="str">
            <v>--</v>
          </cell>
          <cell r="I110" t="str">
            <v>--</v>
          </cell>
        </row>
        <row r="111">
          <cell r="A111" t="str">
            <v>Period 13</v>
          </cell>
          <cell r="B111" t="str">
            <v>--</v>
          </cell>
          <cell r="C111" t="str">
            <v>--</v>
          </cell>
          <cell r="D111" t="str">
            <v>--</v>
          </cell>
          <cell r="E111" t="str">
            <v>--</v>
          </cell>
          <cell r="F111" t="str">
            <v>--</v>
          </cell>
          <cell r="G111" t="str">
            <v>--</v>
          </cell>
          <cell r="H111" t="str">
            <v>--</v>
          </cell>
          <cell r="I111" t="str">
            <v>--</v>
          </cell>
        </row>
        <row r="113">
          <cell r="B113" t="str">
            <v>ALTRIA GROUP CRACKERS</v>
          </cell>
        </row>
        <row r="114">
          <cell r="B114" t="str">
            <v>Yr/Yr % Change</v>
          </cell>
        </row>
        <row r="115">
          <cell r="B115" t="str">
            <v>Sales</v>
          </cell>
          <cell r="D115" t="str">
            <v>Volume</v>
          </cell>
          <cell r="F115" t="str">
            <v>Price/Mix</v>
          </cell>
          <cell r="H115" t="str">
            <v>$ Merchandising</v>
          </cell>
          <cell r="J115" t="str">
            <v>$ Share</v>
          </cell>
        </row>
        <row r="116">
          <cell r="A116" t="str">
            <v>Date</v>
          </cell>
          <cell r="B116">
            <v>2005</v>
          </cell>
          <cell r="C116">
            <v>2006</v>
          </cell>
          <cell r="D116">
            <v>2005</v>
          </cell>
          <cell r="E116">
            <v>2006</v>
          </cell>
          <cell r="F116">
            <v>2005</v>
          </cell>
          <cell r="G116">
            <v>2006</v>
          </cell>
          <cell r="H116">
            <v>2005</v>
          </cell>
          <cell r="I116">
            <v>2006</v>
          </cell>
          <cell r="J116">
            <v>2005</v>
          </cell>
          <cell r="K116">
            <v>2006</v>
          </cell>
        </row>
        <row r="117">
          <cell r="A117" t="str">
            <v>Period 1</v>
          </cell>
          <cell r="B117" t="str">
            <v>--</v>
          </cell>
          <cell r="C117" t="str">
            <v>--</v>
          </cell>
          <cell r="D117" t="str">
            <v>--</v>
          </cell>
          <cell r="E117" t="str">
            <v>--</v>
          </cell>
          <cell r="F117" t="str">
            <v>--</v>
          </cell>
          <cell r="G117" t="str">
            <v>--</v>
          </cell>
          <cell r="H117" t="str">
            <v>--</v>
          </cell>
          <cell r="I117" t="str">
            <v>--</v>
          </cell>
          <cell r="J117" t="str">
            <v>--</v>
          </cell>
          <cell r="K117" t="str">
            <v>--</v>
          </cell>
        </row>
        <row r="118">
          <cell r="A118" t="str">
            <v>Period 2</v>
          </cell>
          <cell r="B118" t="str">
            <v>--</v>
          </cell>
          <cell r="C118" t="str">
            <v>--</v>
          </cell>
          <cell r="D118" t="str">
            <v>--</v>
          </cell>
          <cell r="E118" t="str">
            <v>--</v>
          </cell>
          <cell r="F118" t="str">
            <v>--</v>
          </cell>
          <cell r="G118" t="str">
            <v>--</v>
          </cell>
          <cell r="H118" t="str">
            <v>--</v>
          </cell>
          <cell r="I118" t="str">
            <v>--</v>
          </cell>
          <cell r="J118" t="str">
            <v>--</v>
          </cell>
          <cell r="K118">
            <v>45.137673443507097</v>
          </cell>
        </row>
        <row r="119">
          <cell r="A119" t="str">
            <v>Period 3</v>
          </cell>
          <cell r="B119" t="str">
            <v>--</v>
          </cell>
          <cell r="C119">
            <v>-5.6188575949315096</v>
          </cell>
          <cell r="D119" t="str">
            <v>--</v>
          </cell>
          <cell r="E119">
            <v>-9.2025646016523694</v>
          </cell>
          <cell r="F119" t="str">
            <v>--</v>
          </cell>
          <cell r="G119">
            <v>3.5837070067208598</v>
          </cell>
          <cell r="H119" t="str">
            <v>--</v>
          </cell>
          <cell r="I119">
            <v>-1.0989635244175999</v>
          </cell>
          <cell r="J119">
            <v>46.388901304440701</v>
          </cell>
          <cell r="K119">
            <v>43.848566726273702</v>
          </cell>
        </row>
        <row r="120">
          <cell r="A120" t="str">
            <v>Period 4</v>
          </cell>
          <cell r="B120" t="str">
            <v>--</v>
          </cell>
          <cell r="C120">
            <v>-0.80112317163199198</v>
          </cell>
          <cell r="D120" t="str">
            <v>--</v>
          </cell>
          <cell r="E120">
            <v>-1.8909600016397601</v>
          </cell>
          <cell r="F120" t="str">
            <v>--</v>
          </cell>
          <cell r="G120">
            <v>1.0898368300077701</v>
          </cell>
          <cell r="H120" t="str">
            <v>--</v>
          </cell>
          <cell r="I120">
            <v>1.9285899872499099</v>
          </cell>
          <cell r="J120">
            <v>45.727837557519202</v>
          </cell>
          <cell r="K120">
            <v>43.8014296587262</v>
          </cell>
        </row>
        <row r="121">
          <cell r="A121" t="str">
            <v>Period 5</v>
          </cell>
          <cell r="B121" t="str">
            <v>--</v>
          </cell>
          <cell r="C121">
            <v>-7.7527526310209996E-2</v>
          </cell>
          <cell r="D121" t="str">
            <v>--</v>
          </cell>
          <cell r="E121">
            <v>-1.5077755984466099</v>
          </cell>
          <cell r="F121" t="str">
            <v>--</v>
          </cell>
          <cell r="G121">
            <v>1.4302480721363999</v>
          </cell>
          <cell r="H121" t="str">
            <v>--</v>
          </cell>
          <cell r="I121">
            <v>1.4538015112859899</v>
          </cell>
          <cell r="J121">
            <v>45.380911959535098</v>
          </cell>
          <cell r="K121">
            <v>43.4911681318669</v>
          </cell>
        </row>
        <row r="122">
          <cell r="A122" t="str">
            <v>Period 6</v>
          </cell>
          <cell r="B122" t="str">
            <v>--</v>
          </cell>
          <cell r="C122">
            <v>3.8112674031564802</v>
          </cell>
          <cell r="D122" t="str">
            <v>--</v>
          </cell>
          <cell r="E122">
            <v>3.8715832961379202</v>
          </cell>
          <cell r="F122" t="str">
            <v>--</v>
          </cell>
          <cell r="G122">
            <v>-6.0315892981441001E-2</v>
          </cell>
          <cell r="H122" t="str">
            <v>--</v>
          </cell>
          <cell r="I122">
            <v>3.0689240500022499</v>
          </cell>
          <cell r="J122">
            <v>45.3875574557715</v>
          </cell>
          <cell r="K122">
            <v>44.311907722598598</v>
          </cell>
        </row>
        <row r="123">
          <cell r="A123" t="str">
            <v>Period 7</v>
          </cell>
          <cell r="B123" t="str">
            <v>--</v>
          </cell>
          <cell r="C123">
            <v>3.3998346132542001</v>
          </cell>
          <cell r="D123" t="str">
            <v>--</v>
          </cell>
          <cell r="E123">
            <v>2.4752884599296299</v>
          </cell>
          <cell r="F123" t="str">
            <v>--</v>
          </cell>
          <cell r="G123">
            <v>0.92454615332456902</v>
          </cell>
          <cell r="H123" t="str">
            <v>--</v>
          </cell>
          <cell r="I123">
            <v>0.70840264432023803</v>
          </cell>
          <cell r="J123">
            <v>46.171764372699002</v>
          </cell>
          <cell r="K123">
            <v>44.898832354645201</v>
          </cell>
        </row>
        <row r="124">
          <cell r="A124" t="str">
            <v>Period 8</v>
          </cell>
          <cell r="B124" t="str">
            <v>--</v>
          </cell>
          <cell r="C124">
            <v>4.2437505395228001</v>
          </cell>
          <cell r="D124" t="str">
            <v>--</v>
          </cell>
          <cell r="E124">
            <v>4.5441189146480196</v>
          </cell>
          <cell r="F124" t="str">
            <v>--</v>
          </cell>
          <cell r="G124">
            <v>-0.30036837512522102</v>
          </cell>
          <cell r="H124" t="str">
            <v>--</v>
          </cell>
          <cell r="I124">
            <v>2.6327482868412799</v>
          </cell>
          <cell r="J124">
            <v>46.099210285223002</v>
          </cell>
          <cell r="K124">
            <v>44.884439056509699</v>
          </cell>
        </row>
        <row r="125">
          <cell r="A125" t="str">
            <v>Period 9</v>
          </cell>
          <cell r="B125" t="str">
            <v>--</v>
          </cell>
          <cell r="C125">
            <v>3.9525005470319599</v>
          </cell>
          <cell r="D125" t="str">
            <v>--</v>
          </cell>
          <cell r="E125">
            <v>3.9418844788345502</v>
          </cell>
          <cell r="F125" t="str">
            <v>--</v>
          </cell>
          <cell r="G125">
            <v>1.0616068197409E-2</v>
          </cell>
          <cell r="H125" t="str">
            <v>--</v>
          </cell>
          <cell r="I125">
            <v>2.83382770020566</v>
          </cell>
          <cell r="J125">
            <v>45.840901320938997</v>
          </cell>
          <cell r="K125">
            <v>44.575042552065497</v>
          </cell>
        </row>
        <row r="126">
          <cell r="A126" t="str">
            <v>Period 10</v>
          </cell>
          <cell r="B126" t="str">
            <v>--</v>
          </cell>
          <cell r="C126" t="str">
            <v>--</v>
          </cell>
          <cell r="D126" t="str">
            <v>--</v>
          </cell>
          <cell r="E126" t="str">
            <v>--</v>
          </cell>
          <cell r="F126" t="str">
            <v>--</v>
          </cell>
          <cell r="G126" t="str">
            <v>--</v>
          </cell>
          <cell r="H126" t="str">
            <v>--</v>
          </cell>
          <cell r="I126" t="str">
            <v>--</v>
          </cell>
          <cell r="J126" t="str">
            <v>--</v>
          </cell>
          <cell r="K126" t="str">
            <v>--</v>
          </cell>
        </row>
        <row r="127">
          <cell r="A127" t="str">
            <v>Period 11</v>
          </cell>
          <cell r="B127" t="str">
            <v>--</v>
          </cell>
          <cell r="C127" t="str">
            <v>--</v>
          </cell>
          <cell r="D127" t="str">
            <v>--</v>
          </cell>
          <cell r="E127" t="str">
            <v>--</v>
          </cell>
          <cell r="F127" t="str">
            <v>--</v>
          </cell>
          <cell r="G127" t="str">
            <v>--</v>
          </cell>
          <cell r="H127" t="str">
            <v>--</v>
          </cell>
          <cell r="I127" t="str">
            <v>--</v>
          </cell>
          <cell r="J127" t="str">
            <v>--</v>
          </cell>
          <cell r="K127" t="str">
            <v>--</v>
          </cell>
        </row>
        <row r="128">
          <cell r="A128" t="str">
            <v>Period 12</v>
          </cell>
          <cell r="B128" t="str">
            <v>--</v>
          </cell>
          <cell r="C128" t="str">
            <v>--</v>
          </cell>
          <cell r="D128" t="str">
            <v>--</v>
          </cell>
          <cell r="E128" t="str">
            <v>--</v>
          </cell>
          <cell r="F128" t="str">
            <v>--</v>
          </cell>
          <cell r="G128" t="str">
            <v>--</v>
          </cell>
          <cell r="H128" t="str">
            <v>--</v>
          </cell>
          <cell r="I128" t="str">
            <v>--</v>
          </cell>
          <cell r="J128" t="str">
            <v>--</v>
          </cell>
          <cell r="K128" t="str">
            <v>--</v>
          </cell>
        </row>
        <row r="129">
          <cell r="A129" t="str">
            <v>Period 13</v>
          </cell>
          <cell r="B129" t="str">
            <v>--</v>
          </cell>
          <cell r="C129" t="str">
            <v>--</v>
          </cell>
          <cell r="D129" t="str">
            <v>--</v>
          </cell>
          <cell r="E129" t="str">
            <v>--</v>
          </cell>
          <cell r="F129" t="str">
            <v>--</v>
          </cell>
          <cell r="G129" t="str">
            <v>--</v>
          </cell>
          <cell r="H129" t="str">
            <v>--</v>
          </cell>
          <cell r="I129" t="str">
            <v>--</v>
          </cell>
          <cell r="J129" t="str">
            <v>--</v>
          </cell>
          <cell r="K129" t="str">
            <v>--</v>
          </cell>
        </row>
        <row r="131">
          <cell r="B131" t="str">
            <v>KELLOGG CO CRACKERS</v>
          </cell>
        </row>
        <row r="132">
          <cell r="B132" t="str">
            <v>Yr/Yr % Change</v>
          </cell>
        </row>
        <row r="133">
          <cell r="B133" t="str">
            <v>Sales</v>
          </cell>
          <cell r="D133" t="str">
            <v>Volume</v>
          </cell>
          <cell r="F133" t="str">
            <v>Price/Mix</v>
          </cell>
          <cell r="H133" t="str">
            <v>$ Merchandising</v>
          </cell>
          <cell r="J133" t="str">
            <v>$ Share</v>
          </cell>
        </row>
        <row r="134">
          <cell r="A134" t="str">
            <v>Date</v>
          </cell>
          <cell r="B134">
            <v>2005</v>
          </cell>
          <cell r="C134">
            <v>2006</v>
          </cell>
          <cell r="D134">
            <v>2005</v>
          </cell>
          <cell r="E134">
            <v>2006</v>
          </cell>
          <cell r="F134">
            <v>2005</v>
          </cell>
          <cell r="G134">
            <v>2006</v>
          </cell>
          <cell r="H134">
            <v>2005</v>
          </cell>
          <cell r="I134">
            <v>2006</v>
          </cell>
          <cell r="J134">
            <v>2005</v>
          </cell>
          <cell r="K134">
            <v>2006</v>
          </cell>
        </row>
        <row r="135">
          <cell r="A135" t="str">
            <v>Period 1</v>
          </cell>
          <cell r="B135" t="str">
            <v>--</v>
          </cell>
          <cell r="C135" t="str">
            <v>--</v>
          </cell>
          <cell r="D135" t="str">
            <v>--</v>
          </cell>
          <cell r="E135" t="str">
            <v>--</v>
          </cell>
          <cell r="F135" t="str">
            <v>--</v>
          </cell>
          <cell r="G135" t="str">
            <v>--</v>
          </cell>
          <cell r="H135" t="str">
            <v>--</v>
          </cell>
          <cell r="I135" t="str">
            <v>--</v>
          </cell>
          <cell r="J135" t="str">
            <v>--</v>
          </cell>
          <cell r="K135" t="str">
            <v>--</v>
          </cell>
        </row>
        <row r="136">
          <cell r="A136" t="str">
            <v>Period 2</v>
          </cell>
          <cell r="B136" t="str">
            <v>--</v>
          </cell>
          <cell r="C136" t="str">
            <v>--</v>
          </cell>
          <cell r="D136" t="str">
            <v>--</v>
          </cell>
          <cell r="E136" t="str">
            <v>--</v>
          </cell>
          <cell r="F136" t="str">
            <v>--</v>
          </cell>
          <cell r="G136" t="str">
            <v>--</v>
          </cell>
          <cell r="H136" t="str">
            <v>--</v>
          </cell>
          <cell r="I136" t="str">
            <v>--</v>
          </cell>
          <cell r="J136" t="str">
            <v>--</v>
          </cell>
          <cell r="K136">
            <v>26.133441236513001</v>
          </cell>
        </row>
        <row r="137">
          <cell r="A137" t="str">
            <v>Period 3</v>
          </cell>
          <cell r="B137" t="str">
            <v>--</v>
          </cell>
          <cell r="C137">
            <v>2.7974245581278998</v>
          </cell>
          <cell r="D137" t="str">
            <v>--</v>
          </cell>
          <cell r="E137">
            <v>-2.3872446986650799</v>
          </cell>
          <cell r="F137" t="str">
            <v>--</v>
          </cell>
          <cell r="G137">
            <v>5.1846692567929802</v>
          </cell>
          <cell r="H137" t="str">
            <v>--</v>
          </cell>
          <cell r="I137">
            <v>-2.79795303942652</v>
          </cell>
          <cell r="J137">
            <v>25.013182106294799</v>
          </cell>
          <cell r="K137">
            <v>25.751780677524199</v>
          </cell>
        </row>
        <row r="138">
          <cell r="A138" t="str">
            <v>Period 4</v>
          </cell>
          <cell r="B138" t="str">
            <v>--</v>
          </cell>
          <cell r="C138">
            <v>6.1339257281936304</v>
          </cell>
          <cell r="D138" t="str">
            <v>--</v>
          </cell>
          <cell r="E138">
            <v>2.3959540796044601</v>
          </cell>
          <cell r="F138" t="str">
            <v>--</v>
          </cell>
          <cell r="G138">
            <v>3.7379716485891801</v>
          </cell>
          <cell r="H138" t="str">
            <v>--</v>
          </cell>
          <cell r="I138">
            <v>-1.76593240394849</v>
          </cell>
          <cell r="J138">
            <v>24.815476112712101</v>
          </cell>
          <cell r="K138">
            <v>25.431835577107499</v>
          </cell>
        </row>
        <row r="139">
          <cell r="A139" t="str">
            <v>Period 5</v>
          </cell>
          <cell r="B139" t="str">
            <v>--</v>
          </cell>
          <cell r="C139">
            <v>6.0734967903879999</v>
          </cell>
          <cell r="D139" t="str">
            <v>--</v>
          </cell>
          <cell r="E139">
            <v>1.2346991835833401</v>
          </cell>
          <cell r="F139" t="str">
            <v>--</v>
          </cell>
          <cell r="G139">
            <v>4.8387976068046603</v>
          </cell>
          <cell r="H139" t="str">
            <v>--</v>
          </cell>
          <cell r="I139">
            <v>-2.42538129670882</v>
          </cell>
          <cell r="J139">
            <v>24.650774127658998</v>
          </cell>
          <cell r="K139">
            <v>25.0785331027874</v>
          </cell>
        </row>
        <row r="140">
          <cell r="A140" t="str">
            <v>Period 6</v>
          </cell>
          <cell r="B140" t="str">
            <v>--</v>
          </cell>
          <cell r="C140">
            <v>7.3727799028907999</v>
          </cell>
          <cell r="D140" t="str">
            <v>--</v>
          </cell>
          <cell r="E140">
            <v>4.5468323434396298</v>
          </cell>
          <cell r="F140" t="str">
            <v>--</v>
          </cell>
          <cell r="G140">
            <v>2.8259475594511798</v>
          </cell>
          <cell r="H140" t="str">
            <v>--</v>
          </cell>
          <cell r="I140">
            <v>-1.1898699854961501</v>
          </cell>
          <cell r="J140">
            <v>24.677386618147001</v>
          </cell>
          <cell r="K140">
            <v>24.919108738741102</v>
          </cell>
        </row>
        <row r="141">
          <cell r="A141" t="str">
            <v>Period 7</v>
          </cell>
          <cell r="B141" t="str">
            <v>--</v>
          </cell>
          <cell r="C141">
            <v>6.9635707392087003</v>
          </cell>
          <cell r="D141" t="str">
            <v>--</v>
          </cell>
          <cell r="E141">
            <v>4.2653479022272602</v>
          </cell>
          <cell r="F141" t="str">
            <v>--</v>
          </cell>
          <cell r="G141">
            <v>2.6982228369814298</v>
          </cell>
          <cell r="H141" t="str">
            <v>--</v>
          </cell>
          <cell r="I141">
            <v>-1.88460780185985</v>
          </cell>
          <cell r="J141">
            <v>24.8622911356556</v>
          </cell>
          <cell r="K141">
            <v>25.010119809613599</v>
          </cell>
        </row>
        <row r="142">
          <cell r="A142" t="str">
            <v>Period 8</v>
          </cell>
          <cell r="B142" t="str">
            <v>--</v>
          </cell>
          <cell r="C142">
            <v>7.20339728863161</v>
          </cell>
          <cell r="D142" t="str">
            <v>--</v>
          </cell>
          <cell r="E142">
            <v>5.7321526332836203</v>
          </cell>
          <cell r="F142" t="str">
            <v>--</v>
          </cell>
          <cell r="G142">
            <v>1.4712446553480001</v>
          </cell>
          <cell r="H142" t="str">
            <v>--</v>
          </cell>
          <cell r="I142">
            <v>-1.1231802351071001</v>
          </cell>
          <cell r="J142">
            <v>25.079540723805199</v>
          </cell>
          <cell r="K142">
            <v>25.111948702485499</v>
          </cell>
        </row>
        <row r="143">
          <cell r="A143" t="str">
            <v>Period 9</v>
          </cell>
          <cell r="B143" t="str">
            <v>--</v>
          </cell>
          <cell r="C143">
            <v>5.9770794960418803</v>
          </cell>
          <cell r="D143" t="str">
            <v>--</v>
          </cell>
          <cell r="E143">
            <v>3.9264310973492398</v>
          </cell>
          <cell r="F143" t="str">
            <v>--</v>
          </cell>
          <cell r="G143">
            <v>2.0506483986926498</v>
          </cell>
          <cell r="H143" t="str">
            <v>--</v>
          </cell>
          <cell r="I143">
            <v>-1.5753305873680199</v>
          </cell>
          <cell r="J143">
            <v>25.1576560755787</v>
          </cell>
          <cell r="K143">
            <v>24.9393884931964</v>
          </cell>
        </row>
        <row r="144">
          <cell r="A144" t="str">
            <v>Period 10</v>
          </cell>
          <cell r="B144" t="str">
            <v>--</v>
          </cell>
          <cell r="C144" t="str">
            <v>--</v>
          </cell>
          <cell r="D144" t="str">
            <v>--</v>
          </cell>
          <cell r="E144" t="str">
            <v>--</v>
          </cell>
          <cell r="F144" t="str">
            <v>--</v>
          </cell>
          <cell r="G144" t="str">
            <v>--</v>
          </cell>
          <cell r="H144" t="str">
            <v>--</v>
          </cell>
          <cell r="I144" t="str">
            <v>--</v>
          </cell>
          <cell r="J144" t="str">
            <v>--</v>
          </cell>
          <cell r="K144" t="str">
            <v>--</v>
          </cell>
        </row>
        <row r="145">
          <cell r="A145" t="str">
            <v>Period 11</v>
          </cell>
          <cell r="B145" t="str">
            <v>--</v>
          </cell>
          <cell r="C145" t="str">
            <v>--</v>
          </cell>
          <cell r="D145" t="str">
            <v>--</v>
          </cell>
          <cell r="E145" t="str">
            <v>--</v>
          </cell>
          <cell r="F145" t="str">
            <v>--</v>
          </cell>
          <cell r="G145" t="str">
            <v>--</v>
          </cell>
          <cell r="H145" t="str">
            <v>--</v>
          </cell>
          <cell r="I145" t="str">
            <v>--</v>
          </cell>
          <cell r="J145" t="str">
            <v>--</v>
          </cell>
          <cell r="K145" t="str">
            <v>--</v>
          </cell>
        </row>
        <row r="146">
          <cell r="A146" t="str">
            <v>Period 12</v>
          </cell>
          <cell r="B146" t="str">
            <v>--</v>
          </cell>
          <cell r="C146" t="str">
            <v>--</v>
          </cell>
          <cell r="D146" t="str">
            <v>--</v>
          </cell>
          <cell r="E146" t="str">
            <v>--</v>
          </cell>
          <cell r="F146" t="str">
            <v>--</v>
          </cell>
          <cell r="G146" t="str">
            <v>--</v>
          </cell>
          <cell r="H146" t="str">
            <v>--</v>
          </cell>
          <cell r="I146" t="str">
            <v>--</v>
          </cell>
          <cell r="J146" t="str">
            <v>--</v>
          </cell>
          <cell r="K146" t="str">
            <v>--</v>
          </cell>
        </row>
        <row r="147">
          <cell r="A147" t="str">
            <v>Period 13</v>
          </cell>
          <cell r="B147" t="str">
            <v>--</v>
          </cell>
          <cell r="C147" t="str">
            <v>--</v>
          </cell>
          <cell r="D147" t="str">
            <v>--</v>
          </cell>
          <cell r="E147" t="str">
            <v>--</v>
          </cell>
          <cell r="F147" t="str">
            <v>--</v>
          </cell>
          <cell r="G147" t="str">
            <v>--</v>
          </cell>
          <cell r="H147" t="str">
            <v>--</v>
          </cell>
          <cell r="I147" t="str">
            <v>--</v>
          </cell>
          <cell r="J147" t="str">
            <v>--</v>
          </cell>
          <cell r="K147" t="str">
            <v>--</v>
          </cell>
        </row>
        <row r="149">
          <cell r="B149" t="str">
            <v>CAMPBELL SOUP CO CRACKERS</v>
          </cell>
        </row>
        <row r="150">
          <cell r="B150" t="str">
            <v>Yr/Yr % Change</v>
          </cell>
        </row>
        <row r="151">
          <cell r="B151" t="str">
            <v>Sales</v>
          </cell>
          <cell r="D151" t="str">
            <v>Volume</v>
          </cell>
          <cell r="F151" t="str">
            <v>Price/Mix</v>
          </cell>
          <cell r="H151" t="str">
            <v>$ Merchandising</v>
          </cell>
          <cell r="J151" t="str">
            <v>$ Share</v>
          </cell>
        </row>
        <row r="152">
          <cell r="A152" t="str">
            <v>Date</v>
          </cell>
          <cell r="B152">
            <v>2005</v>
          </cell>
          <cell r="C152">
            <v>2006</v>
          </cell>
          <cell r="D152">
            <v>2005</v>
          </cell>
          <cell r="E152">
            <v>2006</v>
          </cell>
          <cell r="F152">
            <v>2005</v>
          </cell>
          <cell r="G152">
            <v>2006</v>
          </cell>
          <cell r="H152">
            <v>2005</v>
          </cell>
          <cell r="I152">
            <v>2006</v>
          </cell>
          <cell r="J152">
            <v>2005</v>
          </cell>
          <cell r="K152">
            <v>2006</v>
          </cell>
        </row>
        <row r="153">
          <cell r="A153" t="str">
            <v>Period 1</v>
          </cell>
          <cell r="B153" t="str">
            <v>--</v>
          </cell>
          <cell r="C153" t="str">
            <v>--</v>
          </cell>
          <cell r="D153" t="str">
            <v>--</v>
          </cell>
          <cell r="E153" t="str">
            <v>--</v>
          </cell>
          <cell r="F153" t="str">
            <v>--</v>
          </cell>
          <cell r="G153" t="str">
            <v>--</v>
          </cell>
          <cell r="H153" t="str">
            <v>--</v>
          </cell>
          <cell r="I153" t="str">
            <v>--</v>
          </cell>
          <cell r="J153" t="str">
            <v>--</v>
          </cell>
          <cell r="K153" t="str">
            <v>--</v>
          </cell>
        </row>
        <row r="154">
          <cell r="A154" t="str">
            <v>Period 2</v>
          </cell>
          <cell r="B154" t="str">
            <v>--</v>
          </cell>
          <cell r="C154" t="str">
            <v>--</v>
          </cell>
          <cell r="D154" t="str">
            <v>--</v>
          </cell>
          <cell r="E154" t="str">
            <v>--</v>
          </cell>
          <cell r="F154" t="str">
            <v>--</v>
          </cell>
          <cell r="G154" t="str">
            <v>--</v>
          </cell>
          <cell r="H154" t="str">
            <v>--</v>
          </cell>
          <cell r="I154" t="str">
            <v>--</v>
          </cell>
          <cell r="J154" t="str">
            <v>--</v>
          </cell>
          <cell r="K154">
            <v>8.3112659704203704</v>
          </cell>
        </row>
        <row r="155">
          <cell r="A155" t="str">
            <v>Period 3</v>
          </cell>
          <cell r="B155" t="str">
            <v>--</v>
          </cell>
          <cell r="C155">
            <v>11.0018172680055</v>
          </cell>
          <cell r="D155" t="str">
            <v>--</v>
          </cell>
          <cell r="E155">
            <v>3.3683430879852598</v>
          </cell>
          <cell r="F155" t="str">
            <v>--</v>
          </cell>
          <cell r="G155">
            <v>7.6334741800202099</v>
          </cell>
          <cell r="H155" t="str">
            <v>--</v>
          </cell>
          <cell r="I155">
            <v>-2.5349241879805602</v>
          </cell>
          <cell r="J155">
            <v>8.2713348709180696</v>
          </cell>
          <cell r="K155">
            <v>9.1952126779401695</v>
          </cell>
        </row>
        <row r="156">
          <cell r="A156" t="str">
            <v>Period 4</v>
          </cell>
          <cell r="B156" t="str">
            <v>--</v>
          </cell>
          <cell r="C156">
            <v>15.0436205389523</v>
          </cell>
          <cell r="D156" t="str">
            <v>--</v>
          </cell>
          <cell r="E156">
            <v>5.4241947943232001</v>
          </cell>
          <cell r="F156" t="str">
            <v>--</v>
          </cell>
          <cell r="G156">
            <v>9.6194257446291207</v>
          </cell>
          <cell r="H156" t="str">
            <v>--</v>
          </cell>
          <cell r="I156">
            <v>-1.8621592653437</v>
          </cell>
          <cell r="J156">
            <v>7.9538289312585198</v>
          </cell>
          <cell r="K156">
            <v>8.8356733865244408</v>
          </cell>
        </row>
        <row r="157">
          <cell r="A157" t="str">
            <v>Period 5</v>
          </cell>
          <cell r="B157" t="str">
            <v>--</v>
          </cell>
          <cell r="C157">
            <v>18.798927269721698</v>
          </cell>
          <cell r="D157" t="str">
            <v>--</v>
          </cell>
          <cell r="E157">
            <v>8.5615323076368206</v>
          </cell>
          <cell r="F157" t="str">
            <v>--</v>
          </cell>
          <cell r="G157">
            <v>10.237394962084901</v>
          </cell>
          <cell r="H157" t="str">
            <v>--</v>
          </cell>
          <cell r="I157">
            <v>0.46223841333080901</v>
          </cell>
          <cell r="J157">
            <v>8.1100321504971493</v>
          </cell>
          <cell r="K157">
            <v>9.2405916072525098</v>
          </cell>
        </row>
        <row r="158">
          <cell r="A158" t="str">
            <v>Period 6</v>
          </cell>
          <cell r="B158" t="str">
            <v>--</v>
          </cell>
          <cell r="C158">
            <v>17.741118448979801</v>
          </cell>
          <cell r="D158" t="str">
            <v>--</v>
          </cell>
          <cell r="E158">
            <v>8.9434787647243201</v>
          </cell>
          <cell r="F158" t="str">
            <v>--</v>
          </cell>
          <cell r="G158">
            <v>8.7976396842554792</v>
          </cell>
          <cell r="H158" t="str">
            <v>--</v>
          </cell>
          <cell r="I158">
            <v>0.67465477792106299</v>
          </cell>
          <cell r="J158">
            <v>8.2558873740288892</v>
          </cell>
          <cell r="K158">
            <v>9.1417861851564499</v>
          </cell>
        </row>
        <row r="159">
          <cell r="A159" t="str">
            <v>Period 7</v>
          </cell>
          <cell r="B159" t="str">
            <v>--</v>
          </cell>
          <cell r="C159">
            <v>19.705839055187599</v>
          </cell>
          <cell r="D159" t="str">
            <v>--</v>
          </cell>
          <cell r="E159">
            <v>14.656590194757801</v>
          </cell>
          <cell r="F159" t="str">
            <v>--</v>
          </cell>
          <cell r="G159">
            <v>5.0492488604297696</v>
          </cell>
          <cell r="H159" t="str">
            <v>--</v>
          </cell>
          <cell r="I159">
            <v>3.2347743253086199</v>
          </cell>
          <cell r="J159">
            <v>8.3469383327807396</v>
          </cell>
          <cell r="K159">
            <v>9.3968278812224693</v>
          </cell>
        </row>
        <row r="160">
          <cell r="A160" t="str">
            <v>Period 8</v>
          </cell>
          <cell r="B160" t="str">
            <v>--</v>
          </cell>
          <cell r="C160">
            <v>21.296387230297299</v>
          </cell>
          <cell r="D160" t="str">
            <v>--</v>
          </cell>
          <cell r="E160">
            <v>19.685013844875499</v>
          </cell>
          <cell r="F160" t="str">
            <v>--</v>
          </cell>
          <cell r="G160">
            <v>1.6113733854218</v>
          </cell>
          <cell r="H160" t="str">
            <v>--</v>
          </cell>
          <cell r="I160">
            <v>3.7589901785311399</v>
          </cell>
          <cell r="J160">
            <v>8.2069366855135701</v>
          </cell>
          <cell r="K160">
            <v>9.2978221940518004</v>
          </cell>
        </row>
        <row r="161">
          <cell r="A161" t="str">
            <v>Period 9</v>
          </cell>
          <cell r="B161" t="str">
            <v>--</v>
          </cell>
          <cell r="C161">
            <v>23.9798652112448</v>
          </cell>
          <cell r="D161" t="str">
            <v>--</v>
          </cell>
          <cell r="E161">
            <v>23.1780604007627</v>
          </cell>
          <cell r="F161" t="str">
            <v>--</v>
          </cell>
          <cell r="G161">
            <v>0.80180481048206098</v>
          </cell>
          <cell r="H161" t="str">
            <v>--</v>
          </cell>
          <cell r="I161">
            <v>4.1366156244515997</v>
          </cell>
          <cell r="J161">
            <v>8.3439945141966199</v>
          </cell>
          <cell r="K161">
            <v>9.6767349889567704</v>
          </cell>
        </row>
        <row r="162">
          <cell r="A162" t="str">
            <v>Period 10</v>
          </cell>
          <cell r="B162" t="str">
            <v>--</v>
          </cell>
          <cell r="C162" t="str">
            <v>--</v>
          </cell>
          <cell r="D162" t="str">
            <v>--</v>
          </cell>
          <cell r="E162" t="str">
            <v>--</v>
          </cell>
          <cell r="F162" t="str">
            <v>--</v>
          </cell>
          <cell r="G162" t="str">
            <v>--</v>
          </cell>
          <cell r="H162" t="str">
            <v>--</v>
          </cell>
          <cell r="I162" t="str">
            <v>--</v>
          </cell>
          <cell r="J162" t="str">
            <v>--</v>
          </cell>
          <cell r="K162" t="str">
            <v>--</v>
          </cell>
        </row>
        <row r="163">
          <cell r="A163" t="str">
            <v>Period 11</v>
          </cell>
          <cell r="B163" t="str">
            <v>--</v>
          </cell>
          <cell r="C163" t="str">
            <v>--</v>
          </cell>
          <cell r="D163" t="str">
            <v>--</v>
          </cell>
          <cell r="E163" t="str">
            <v>--</v>
          </cell>
          <cell r="F163" t="str">
            <v>--</v>
          </cell>
          <cell r="G163" t="str">
            <v>--</v>
          </cell>
          <cell r="H163" t="str">
            <v>--</v>
          </cell>
          <cell r="I163" t="str">
            <v>--</v>
          </cell>
          <cell r="J163" t="str">
            <v>--</v>
          </cell>
          <cell r="K163" t="str">
            <v>--</v>
          </cell>
        </row>
        <row r="164">
          <cell r="A164" t="str">
            <v>Period 12</v>
          </cell>
          <cell r="B164" t="str">
            <v>--</v>
          </cell>
          <cell r="C164" t="str">
            <v>--</v>
          </cell>
          <cell r="D164" t="str">
            <v>--</v>
          </cell>
          <cell r="E164" t="str">
            <v>--</v>
          </cell>
          <cell r="F164" t="str">
            <v>--</v>
          </cell>
          <cell r="G164" t="str">
            <v>--</v>
          </cell>
          <cell r="H164" t="str">
            <v>--</v>
          </cell>
          <cell r="I164" t="str">
            <v>--</v>
          </cell>
          <cell r="J164" t="str">
            <v>--</v>
          </cell>
          <cell r="K164" t="str">
            <v>--</v>
          </cell>
        </row>
        <row r="165">
          <cell r="A165" t="str">
            <v>Period 13</v>
          </cell>
          <cell r="B165" t="str">
            <v>--</v>
          </cell>
          <cell r="C165" t="str">
            <v>--</v>
          </cell>
          <cell r="D165" t="str">
            <v>--</v>
          </cell>
          <cell r="E165" t="str">
            <v>--</v>
          </cell>
          <cell r="F165" t="str">
            <v>--</v>
          </cell>
          <cell r="G165" t="str">
            <v>--</v>
          </cell>
          <cell r="H165" t="str">
            <v>--</v>
          </cell>
          <cell r="I165" t="str">
            <v>--</v>
          </cell>
          <cell r="J165" t="str">
            <v>--</v>
          </cell>
          <cell r="K165" t="str">
            <v>--</v>
          </cell>
        </row>
        <row r="167">
          <cell r="B167" t="str">
            <v>PRIVATE LABEL CRACKERS</v>
          </cell>
        </row>
        <row r="168">
          <cell r="B168" t="str">
            <v>Yr/Yr % Change</v>
          </cell>
        </row>
        <row r="169">
          <cell r="B169" t="str">
            <v>Sales</v>
          </cell>
          <cell r="D169" t="str">
            <v>Volume</v>
          </cell>
          <cell r="F169" t="str">
            <v>Price/Mix</v>
          </cell>
          <cell r="H169" t="str">
            <v>$ Merchandising</v>
          </cell>
          <cell r="J169" t="str">
            <v>$ Share</v>
          </cell>
        </row>
        <row r="170">
          <cell r="A170" t="str">
            <v>Date</v>
          </cell>
          <cell r="B170">
            <v>2005</v>
          </cell>
          <cell r="C170">
            <v>2006</v>
          </cell>
          <cell r="D170">
            <v>2005</v>
          </cell>
          <cell r="E170">
            <v>2006</v>
          </cell>
          <cell r="F170">
            <v>2005</v>
          </cell>
          <cell r="G170">
            <v>2006</v>
          </cell>
          <cell r="H170">
            <v>2005</v>
          </cell>
          <cell r="I170">
            <v>2006</v>
          </cell>
          <cell r="J170">
            <v>2005</v>
          </cell>
          <cell r="K170">
            <v>2006</v>
          </cell>
        </row>
        <row r="171">
          <cell r="A171" t="str">
            <v>Period 1</v>
          </cell>
          <cell r="B171" t="str">
            <v>--</v>
          </cell>
          <cell r="C171" t="str">
            <v>--</v>
          </cell>
          <cell r="D171" t="str">
            <v>--</v>
          </cell>
          <cell r="E171" t="str">
            <v>--</v>
          </cell>
          <cell r="F171" t="str">
            <v>--</v>
          </cell>
          <cell r="G171" t="str">
            <v>--</v>
          </cell>
          <cell r="H171" t="str">
            <v>--</v>
          </cell>
          <cell r="I171" t="str">
            <v>--</v>
          </cell>
          <cell r="J171" t="str">
            <v>--</v>
          </cell>
          <cell r="K171" t="str">
            <v>--</v>
          </cell>
        </row>
        <row r="172">
          <cell r="A172" t="str">
            <v>Period 2</v>
          </cell>
          <cell r="B172" t="str">
            <v>--</v>
          </cell>
          <cell r="C172" t="str">
            <v>--</v>
          </cell>
          <cell r="D172" t="str">
            <v>--</v>
          </cell>
          <cell r="E172" t="str">
            <v>--</v>
          </cell>
          <cell r="F172" t="str">
            <v>--</v>
          </cell>
          <cell r="G172" t="str">
            <v>--</v>
          </cell>
          <cell r="H172" t="str">
            <v>--</v>
          </cell>
          <cell r="I172" t="str">
            <v>--</v>
          </cell>
          <cell r="J172" t="str">
            <v>--</v>
          </cell>
          <cell r="K172">
            <v>6.8523436379122096</v>
          </cell>
        </row>
        <row r="173">
          <cell r="A173" t="str">
            <v>Period 3</v>
          </cell>
          <cell r="B173" t="str">
            <v>--</v>
          </cell>
          <cell r="C173">
            <v>-0.54123361857644103</v>
          </cell>
          <cell r="D173" t="str">
            <v>--</v>
          </cell>
          <cell r="E173">
            <v>-3.0645276518380098</v>
          </cell>
          <cell r="F173" t="str">
            <v>--</v>
          </cell>
          <cell r="G173">
            <v>2.5232940332615699</v>
          </cell>
          <cell r="H173" t="str">
            <v>--</v>
          </cell>
          <cell r="I173">
            <v>-5.2246106853524002E-2</v>
          </cell>
          <cell r="J173">
            <v>6.8978691288671996</v>
          </cell>
          <cell r="K173">
            <v>6.87090753978271</v>
          </cell>
        </row>
        <row r="174">
          <cell r="A174" t="str">
            <v>Period 4</v>
          </cell>
          <cell r="B174" t="str">
            <v>--</v>
          </cell>
          <cell r="C174">
            <v>0.66788175410755302</v>
          </cell>
          <cell r="D174" t="str">
            <v>--</v>
          </cell>
          <cell r="E174">
            <v>-1.45501959354625</v>
          </cell>
          <cell r="F174" t="str">
            <v>--</v>
          </cell>
          <cell r="G174">
            <v>2.1229013476538001</v>
          </cell>
          <cell r="H174" t="str">
            <v>--</v>
          </cell>
          <cell r="I174">
            <v>-0.91756063516670805</v>
          </cell>
          <cell r="J174">
            <v>6.6195638786243203</v>
          </cell>
          <cell r="K174">
            <v>6.43459436684598</v>
          </cell>
        </row>
        <row r="175">
          <cell r="A175" t="str">
            <v>Period 5</v>
          </cell>
          <cell r="B175" t="str">
            <v>--</v>
          </cell>
          <cell r="C175">
            <v>1.1229604413805501</v>
          </cell>
          <cell r="D175" t="str">
            <v>--</v>
          </cell>
          <cell r="E175">
            <v>-2.4974707893390602</v>
          </cell>
          <cell r="F175" t="str">
            <v>--</v>
          </cell>
          <cell r="G175">
            <v>3.62043123071961</v>
          </cell>
          <cell r="H175" t="str">
            <v>--</v>
          </cell>
          <cell r="I175">
            <v>-2.2578257234664401</v>
          </cell>
          <cell r="J175">
            <v>6.4609259418150602</v>
          </cell>
          <cell r="K175">
            <v>6.2662716801937401</v>
          </cell>
        </row>
        <row r="176">
          <cell r="A176" t="str">
            <v>Period 6</v>
          </cell>
          <cell r="B176" t="str">
            <v>--</v>
          </cell>
          <cell r="C176">
            <v>1.4783873425832501</v>
          </cell>
          <cell r="D176" t="str">
            <v>--</v>
          </cell>
          <cell r="E176">
            <v>-3.24496475893823</v>
          </cell>
          <cell r="F176" t="str">
            <v>--</v>
          </cell>
          <cell r="G176">
            <v>4.7233521015214901</v>
          </cell>
          <cell r="H176" t="str">
            <v>--</v>
          </cell>
          <cell r="I176">
            <v>-2.6464199861967201</v>
          </cell>
          <cell r="J176">
            <v>6.37256795842573</v>
          </cell>
          <cell r="K176">
            <v>6.0817305560347403</v>
          </cell>
        </row>
        <row r="177">
          <cell r="A177" t="str">
            <v>Period 7</v>
          </cell>
          <cell r="B177" t="str">
            <v>--</v>
          </cell>
          <cell r="C177">
            <v>2.5028889600237898</v>
          </cell>
          <cell r="D177" t="str">
            <v>--</v>
          </cell>
          <cell r="E177">
            <v>-3.4013244384480701</v>
          </cell>
          <cell r="F177" t="str">
            <v>--</v>
          </cell>
          <cell r="G177">
            <v>5.9042133984718603</v>
          </cell>
          <cell r="H177" t="str">
            <v>--</v>
          </cell>
          <cell r="I177">
            <v>-3.6550283075136001</v>
          </cell>
          <cell r="J177">
            <v>6.4449193683472501</v>
          </cell>
          <cell r="K177">
            <v>6.2128708549889096</v>
          </cell>
        </row>
        <row r="178">
          <cell r="A178" t="str">
            <v>Period 8</v>
          </cell>
          <cell r="B178" t="str">
            <v>--</v>
          </cell>
          <cell r="C178">
            <v>2.6088209408349301</v>
          </cell>
          <cell r="D178" t="str">
            <v>--</v>
          </cell>
          <cell r="E178">
            <v>-3.3385258505892201</v>
          </cell>
          <cell r="F178" t="str">
            <v>--</v>
          </cell>
          <cell r="G178">
            <v>5.9473467914241498</v>
          </cell>
          <cell r="H178" t="str">
            <v>--</v>
          </cell>
          <cell r="I178">
            <v>-2.2602853811277601</v>
          </cell>
          <cell r="J178">
            <v>6.5009152080686796</v>
          </cell>
          <cell r="K178">
            <v>6.2303362604587802</v>
          </cell>
        </row>
        <row r="179">
          <cell r="A179" t="str">
            <v>Period 9</v>
          </cell>
          <cell r="B179" t="str">
            <v>--</v>
          </cell>
          <cell r="C179">
            <v>2.6359638022554401</v>
          </cell>
          <cell r="D179" t="str">
            <v>--</v>
          </cell>
          <cell r="E179">
            <v>-2.18785922515658</v>
          </cell>
          <cell r="F179" t="str">
            <v>--</v>
          </cell>
          <cell r="G179">
            <v>4.8238230274120202</v>
          </cell>
          <cell r="H179" t="str">
            <v>--</v>
          </cell>
          <cell r="I179">
            <v>-1.4817608310274899</v>
          </cell>
          <cell r="J179">
            <v>6.5072470582169597</v>
          </cell>
          <cell r="K179">
            <v>6.2474176232957896</v>
          </cell>
        </row>
        <row r="180">
          <cell r="A180" t="str">
            <v>Period 10</v>
          </cell>
          <cell r="B180" t="str">
            <v>--</v>
          </cell>
          <cell r="C180" t="str">
            <v>--</v>
          </cell>
          <cell r="D180" t="str">
            <v>--</v>
          </cell>
          <cell r="E180" t="str">
            <v>--</v>
          </cell>
          <cell r="F180" t="str">
            <v>--</v>
          </cell>
          <cell r="G180" t="str">
            <v>--</v>
          </cell>
          <cell r="H180" t="str">
            <v>--</v>
          </cell>
          <cell r="I180" t="str">
            <v>--</v>
          </cell>
          <cell r="J180" t="str">
            <v>--</v>
          </cell>
          <cell r="K180" t="str">
            <v>--</v>
          </cell>
        </row>
        <row r="181">
          <cell r="A181" t="str">
            <v>Period 11</v>
          </cell>
          <cell r="B181" t="str">
            <v>--</v>
          </cell>
          <cell r="C181" t="str">
            <v>--</v>
          </cell>
          <cell r="D181" t="str">
            <v>--</v>
          </cell>
          <cell r="E181" t="str">
            <v>--</v>
          </cell>
          <cell r="F181" t="str">
            <v>--</v>
          </cell>
          <cell r="G181" t="str">
            <v>--</v>
          </cell>
          <cell r="H181" t="str">
            <v>--</v>
          </cell>
          <cell r="I181" t="str">
            <v>--</v>
          </cell>
          <cell r="J181" t="str">
            <v>--</v>
          </cell>
          <cell r="K181" t="str">
            <v>--</v>
          </cell>
        </row>
        <row r="182">
          <cell r="A182" t="str">
            <v>Period 12</v>
          </cell>
          <cell r="B182" t="str">
            <v>--</v>
          </cell>
          <cell r="C182" t="str">
            <v>--</v>
          </cell>
          <cell r="D182" t="str">
            <v>--</v>
          </cell>
          <cell r="E182" t="str">
            <v>--</v>
          </cell>
          <cell r="F182" t="str">
            <v>--</v>
          </cell>
          <cell r="G182" t="str">
            <v>--</v>
          </cell>
          <cell r="H182" t="str">
            <v>--</v>
          </cell>
          <cell r="I182" t="str">
            <v>--</v>
          </cell>
          <cell r="J182" t="str">
            <v>--</v>
          </cell>
          <cell r="K182" t="str">
            <v>--</v>
          </cell>
        </row>
        <row r="183">
          <cell r="A183" t="str">
            <v>Period 13</v>
          </cell>
          <cell r="B183" t="str">
            <v>--</v>
          </cell>
          <cell r="C183" t="str">
            <v>--</v>
          </cell>
          <cell r="D183" t="str">
            <v>--</v>
          </cell>
          <cell r="E183" t="str">
            <v>--</v>
          </cell>
          <cell r="F183" t="str">
            <v>--</v>
          </cell>
          <cell r="G183" t="str">
            <v>--</v>
          </cell>
          <cell r="H183" t="str">
            <v>--</v>
          </cell>
          <cell r="I183" t="str">
            <v>--</v>
          </cell>
          <cell r="J183" t="str">
            <v>--</v>
          </cell>
          <cell r="K183" t="str">
            <v>--</v>
          </cell>
        </row>
        <row r="185">
          <cell r="A185" t="str">
            <v>CATEGORY - CRACKERS - Historical Statistics - 52 Week Data - TOTAL U.S. - FD / DG / MM</v>
          </cell>
        </row>
        <row r="187">
          <cell r="B187" t="str">
            <v>Category</v>
          </cell>
        </row>
        <row r="188">
          <cell r="B188" t="str">
            <v>Yr/Yr % Change</v>
          </cell>
        </row>
        <row r="189">
          <cell r="B189" t="str">
            <v>Sales</v>
          </cell>
          <cell r="D189" t="str">
            <v>Volume</v>
          </cell>
          <cell r="F189" t="str">
            <v>Price/Mix</v>
          </cell>
          <cell r="H189" t="str">
            <v>$ Merchandising</v>
          </cell>
        </row>
        <row r="190">
          <cell r="A190" t="str">
            <v>Date</v>
          </cell>
          <cell r="B190">
            <v>2005</v>
          </cell>
          <cell r="C190">
            <v>2006</v>
          </cell>
          <cell r="D190">
            <v>2005</v>
          </cell>
          <cell r="E190">
            <v>2006</v>
          </cell>
          <cell r="F190">
            <v>2005</v>
          </cell>
          <cell r="G190">
            <v>2006</v>
          </cell>
          <cell r="H190">
            <v>2005</v>
          </cell>
          <cell r="I190">
            <v>2006</v>
          </cell>
        </row>
        <row r="191">
          <cell r="A191" t="str">
            <v>Period 1</v>
          </cell>
          <cell r="B191" t="str">
            <v>--</v>
          </cell>
          <cell r="C191" t="str">
            <v>--</v>
          </cell>
          <cell r="D191" t="str">
            <v>--</v>
          </cell>
          <cell r="E191" t="str">
            <v>--</v>
          </cell>
          <cell r="F191" t="str">
            <v>--</v>
          </cell>
          <cell r="G191" t="str">
            <v>--</v>
          </cell>
          <cell r="H191" t="str">
            <v>--</v>
          </cell>
          <cell r="I191" t="str">
            <v>--</v>
          </cell>
        </row>
        <row r="192">
          <cell r="A192" t="str">
            <v>Period 2</v>
          </cell>
          <cell r="B192" t="str">
            <v>--</v>
          </cell>
          <cell r="C192" t="str">
            <v>--</v>
          </cell>
          <cell r="D192" t="str">
            <v>--</v>
          </cell>
          <cell r="E192" t="str">
            <v>--</v>
          </cell>
          <cell r="F192" t="str">
            <v>--</v>
          </cell>
          <cell r="G192" t="str">
            <v>--</v>
          </cell>
          <cell r="H192" t="str">
            <v>--</v>
          </cell>
          <cell r="I192" t="str">
            <v>--</v>
          </cell>
        </row>
        <row r="193">
          <cell r="A193" t="str">
            <v>Period 3</v>
          </cell>
          <cell r="B193" t="str">
            <v>--</v>
          </cell>
          <cell r="C193">
            <v>-0.37051075203179501</v>
          </cell>
          <cell r="D193" t="str">
            <v>--</v>
          </cell>
          <cell r="E193">
            <v>-3.7117898386596799</v>
          </cell>
          <cell r="F193" t="str">
            <v>--</v>
          </cell>
          <cell r="G193">
            <v>3.3412790866278899</v>
          </cell>
          <cell r="H193" t="str">
            <v>--</v>
          </cell>
          <cell r="I193">
            <v>-0.66177070961431606</v>
          </cell>
        </row>
        <row r="194">
          <cell r="A194" t="str">
            <v>Period 4</v>
          </cell>
          <cell r="B194" t="str">
            <v>--</v>
          </cell>
          <cell r="C194">
            <v>0.106204410592561</v>
          </cell>
          <cell r="D194" t="str">
            <v>--</v>
          </cell>
          <cell r="E194">
            <v>-3.30890927365347</v>
          </cell>
          <cell r="F194" t="str">
            <v>--</v>
          </cell>
          <cell r="G194">
            <v>3.4151136842460299</v>
          </cell>
          <cell r="H194" t="str">
            <v>--</v>
          </cell>
          <cell r="I194">
            <v>-0.28930105830148301</v>
          </cell>
        </row>
        <row r="195">
          <cell r="A195" t="str">
            <v>Period 5</v>
          </cell>
          <cell r="B195" t="str">
            <v>--</v>
          </cell>
          <cell r="C195">
            <v>0.312928712486087</v>
          </cell>
          <cell r="D195" t="str">
            <v>--</v>
          </cell>
          <cell r="E195">
            <v>-3.4271613215026999</v>
          </cell>
          <cell r="F195" t="str">
            <v>--</v>
          </cell>
          <cell r="G195">
            <v>3.7400900339887801</v>
          </cell>
          <cell r="H195" t="str">
            <v>--</v>
          </cell>
          <cell r="I195">
            <v>-0.37494019207934998</v>
          </cell>
        </row>
        <row r="196">
          <cell r="A196" t="str">
            <v>Period 6</v>
          </cell>
          <cell r="B196" t="str">
            <v>--</v>
          </cell>
          <cell r="C196">
            <v>0.83695976655650794</v>
          </cell>
          <cell r="D196" t="str">
            <v>--</v>
          </cell>
          <cell r="E196">
            <v>-2.9151077641016601</v>
          </cell>
          <cell r="F196" t="str">
            <v>--</v>
          </cell>
          <cell r="G196">
            <v>3.7520675306581701</v>
          </cell>
          <cell r="H196" t="str">
            <v>--</v>
          </cell>
          <cell r="I196">
            <v>-0.26102080407227402</v>
          </cell>
        </row>
        <row r="197">
          <cell r="A197" t="str">
            <v>Period 7</v>
          </cell>
          <cell r="B197" t="str">
            <v>--</v>
          </cell>
          <cell r="C197">
            <v>1.58549248682919</v>
          </cell>
          <cell r="D197" t="str">
            <v>--</v>
          </cell>
          <cell r="E197">
            <v>-2.1451177553075098</v>
          </cell>
          <cell r="F197" t="str">
            <v>--</v>
          </cell>
          <cell r="G197">
            <v>3.7306102421367102</v>
          </cell>
          <cell r="H197" t="str">
            <v>--</v>
          </cell>
          <cell r="I197">
            <v>-4.7661949955191997E-2</v>
          </cell>
        </row>
        <row r="198">
          <cell r="A198" t="str">
            <v>Period 8</v>
          </cell>
          <cell r="B198" t="str">
            <v>--</v>
          </cell>
          <cell r="C198">
            <v>2.3087592919631401</v>
          </cell>
          <cell r="D198" t="str">
            <v>--</v>
          </cell>
          <cell r="E198">
            <v>-1.44737621658488</v>
          </cell>
          <cell r="F198" t="str">
            <v>--</v>
          </cell>
          <cell r="G198">
            <v>3.7561355085480201</v>
          </cell>
          <cell r="H198" t="str">
            <v>--</v>
          </cell>
          <cell r="I198">
            <v>3.9405896115085E-2</v>
          </cell>
        </row>
        <row r="199">
          <cell r="A199" t="str">
            <v>Period 9</v>
          </cell>
          <cell r="B199" t="str">
            <v>--</v>
          </cell>
          <cell r="C199">
            <v>2.9824689285991801</v>
          </cell>
          <cell r="D199" t="str">
            <v>--</v>
          </cell>
          <cell r="E199">
            <v>-0.76797565860025196</v>
          </cell>
          <cell r="F199" t="str">
            <v>--</v>
          </cell>
          <cell r="G199">
            <v>3.7504445871994401</v>
          </cell>
          <cell r="H199" t="str">
            <v>--</v>
          </cell>
          <cell r="I199">
            <v>2.0612851397196E-2</v>
          </cell>
        </row>
        <row r="200">
          <cell r="A200" t="str">
            <v>Period 10</v>
          </cell>
          <cell r="B200" t="str">
            <v>--</v>
          </cell>
          <cell r="C200" t="str">
            <v>--</v>
          </cell>
          <cell r="D200" t="str">
            <v>--</v>
          </cell>
          <cell r="E200" t="str">
            <v>--</v>
          </cell>
          <cell r="F200" t="str">
            <v>--</v>
          </cell>
          <cell r="G200" t="str">
            <v>--</v>
          </cell>
          <cell r="H200" t="str">
            <v>--</v>
          </cell>
          <cell r="I200" t="str">
            <v>--</v>
          </cell>
        </row>
        <row r="201">
          <cell r="A201" t="str">
            <v>Period 11</v>
          </cell>
          <cell r="B201" t="str">
            <v>--</v>
          </cell>
          <cell r="C201" t="str">
            <v>--</v>
          </cell>
          <cell r="D201" t="str">
            <v>--</v>
          </cell>
          <cell r="E201" t="str">
            <v>--</v>
          </cell>
          <cell r="F201" t="str">
            <v>--</v>
          </cell>
          <cell r="G201" t="str">
            <v>--</v>
          </cell>
          <cell r="H201" t="str">
            <v>--</v>
          </cell>
          <cell r="I201" t="str">
            <v>--</v>
          </cell>
        </row>
        <row r="202">
          <cell r="A202" t="str">
            <v>Period 12</v>
          </cell>
          <cell r="B202" t="str">
            <v>--</v>
          </cell>
          <cell r="C202" t="str">
            <v>--</v>
          </cell>
          <cell r="D202" t="str">
            <v>--</v>
          </cell>
          <cell r="E202" t="str">
            <v>--</v>
          </cell>
          <cell r="F202" t="str">
            <v>--</v>
          </cell>
          <cell r="G202" t="str">
            <v>--</v>
          </cell>
          <cell r="H202" t="str">
            <v>--</v>
          </cell>
          <cell r="I202" t="str">
            <v>--</v>
          </cell>
        </row>
        <row r="203">
          <cell r="A203" t="str">
            <v>Period 13</v>
          </cell>
          <cell r="B203" t="str">
            <v>--</v>
          </cell>
          <cell r="C203" t="str">
            <v>--</v>
          </cell>
          <cell r="D203" t="str">
            <v>--</v>
          </cell>
          <cell r="E203" t="str">
            <v>--</v>
          </cell>
          <cell r="F203" t="str">
            <v>--</v>
          </cell>
          <cell r="G203" t="str">
            <v>--</v>
          </cell>
          <cell r="H203" t="str">
            <v>--</v>
          </cell>
          <cell r="I203" t="str">
            <v>--</v>
          </cell>
        </row>
        <row r="205">
          <cell r="B205" t="str">
            <v>ALTRIA GROUP CRACKERS</v>
          </cell>
        </row>
        <row r="206">
          <cell r="B206" t="str">
            <v>Yr/Yr % Change</v>
          </cell>
        </row>
        <row r="207">
          <cell r="B207" t="str">
            <v>Sales</v>
          </cell>
          <cell r="D207" t="str">
            <v>Volume</v>
          </cell>
          <cell r="F207" t="str">
            <v>Price/Mix</v>
          </cell>
          <cell r="H207" t="str">
            <v>$ Merchandising</v>
          </cell>
          <cell r="J207" t="str">
            <v>$ Share</v>
          </cell>
        </row>
        <row r="208">
          <cell r="A208" t="str">
            <v>Date</v>
          </cell>
          <cell r="B208">
            <v>2005</v>
          </cell>
          <cell r="C208">
            <v>2006</v>
          </cell>
          <cell r="D208">
            <v>2005</v>
          </cell>
          <cell r="E208">
            <v>2006</v>
          </cell>
          <cell r="F208">
            <v>2005</v>
          </cell>
          <cell r="G208">
            <v>2006</v>
          </cell>
          <cell r="H208">
            <v>2005</v>
          </cell>
          <cell r="I208">
            <v>2006</v>
          </cell>
          <cell r="J208">
            <v>2005</v>
          </cell>
          <cell r="K208">
            <v>2006</v>
          </cell>
        </row>
        <row r="209">
          <cell r="A209" t="str">
            <v>Period 1</v>
          </cell>
          <cell r="B209" t="str">
            <v>--</v>
          </cell>
          <cell r="C209" t="str">
            <v>--</v>
          </cell>
          <cell r="D209" t="str">
            <v>--</v>
          </cell>
          <cell r="E209" t="str">
            <v>--</v>
          </cell>
          <cell r="F209" t="str">
            <v>--</v>
          </cell>
          <cell r="G209" t="str">
            <v>--</v>
          </cell>
          <cell r="H209" t="str">
            <v>--</v>
          </cell>
          <cell r="I209" t="str">
            <v>--</v>
          </cell>
          <cell r="J209" t="str">
            <v>--</v>
          </cell>
          <cell r="K209">
            <v>45.667211231948301</v>
          </cell>
        </row>
        <row r="210">
          <cell r="A210" t="str">
            <v>Period 2</v>
          </cell>
          <cell r="B210" t="str">
            <v>--</v>
          </cell>
          <cell r="C210" t="str">
            <v>--</v>
          </cell>
          <cell r="D210" t="str">
            <v>--</v>
          </cell>
          <cell r="E210" t="str">
            <v>--</v>
          </cell>
          <cell r="F210" t="str">
            <v>--</v>
          </cell>
          <cell r="G210" t="str">
            <v>--</v>
          </cell>
          <cell r="H210" t="str">
            <v>--</v>
          </cell>
          <cell r="I210" t="str">
            <v>--</v>
          </cell>
          <cell r="J210" t="str">
            <v>--</v>
          </cell>
          <cell r="K210">
            <v>45.527767168802498</v>
          </cell>
        </row>
        <row r="211">
          <cell r="A211" t="str">
            <v>Period 3</v>
          </cell>
          <cell r="B211" t="str">
            <v>--</v>
          </cell>
          <cell r="C211">
            <v>-3.5685685283753399</v>
          </cell>
          <cell r="D211" t="str">
            <v>--</v>
          </cell>
          <cell r="E211">
            <v>-6.0281262131352902</v>
          </cell>
          <cell r="F211" t="str">
            <v>--</v>
          </cell>
          <cell r="G211">
            <v>2.4595576847599498</v>
          </cell>
          <cell r="H211" t="str">
            <v>--</v>
          </cell>
          <cell r="I211">
            <v>-0.25007355841832202</v>
          </cell>
          <cell r="J211">
            <v>46.777245398761501</v>
          </cell>
          <cell r="K211">
            <v>45.2757187470378</v>
          </cell>
        </row>
        <row r="212">
          <cell r="A212" t="str">
            <v>Period 4</v>
          </cell>
          <cell r="B212" t="str">
            <v>--</v>
          </cell>
          <cell r="C212">
            <v>-3.1329907959212502</v>
          </cell>
          <cell r="D212" t="str">
            <v>--</v>
          </cell>
          <cell r="E212">
            <v>-5.0830855934508596</v>
          </cell>
          <cell r="F212" t="str">
            <v>--</v>
          </cell>
          <cell r="G212">
            <v>1.9500947975296099</v>
          </cell>
          <cell r="H212" t="str">
            <v>--</v>
          </cell>
          <cell r="I212">
            <v>0.61639344357432402</v>
          </cell>
          <cell r="J212">
            <v>46.724149741308899</v>
          </cell>
          <cell r="K212">
            <v>45.212269006627203</v>
          </cell>
        </row>
        <row r="213">
          <cell r="A213" t="str">
            <v>Period 5</v>
          </cell>
          <cell r="B213" t="str">
            <v>--</v>
          </cell>
          <cell r="C213">
            <v>-3.1393778501735898</v>
          </cell>
          <cell r="D213" t="str">
            <v>--</v>
          </cell>
          <cell r="E213">
            <v>-5.1838771057370501</v>
          </cell>
          <cell r="F213" t="str">
            <v>--</v>
          </cell>
          <cell r="G213">
            <v>2.0444992555634598</v>
          </cell>
          <cell r="H213" t="str">
            <v>--</v>
          </cell>
          <cell r="I213">
            <v>0.382681573014715</v>
          </cell>
          <cell r="J213">
            <v>46.691203875279697</v>
          </cell>
          <cell r="K213">
            <v>45.084308815729401</v>
          </cell>
        </row>
        <row r="214">
          <cell r="A214" t="str">
            <v>Period 6</v>
          </cell>
          <cell r="B214" t="str">
            <v>--</v>
          </cell>
          <cell r="C214">
            <v>-2.6293734812716698</v>
          </cell>
          <cell r="D214" t="str">
            <v>--</v>
          </cell>
          <cell r="E214">
            <v>-4.4335424735345503</v>
          </cell>
          <cell r="F214" t="str">
            <v>--</v>
          </cell>
          <cell r="G214">
            <v>1.8041689922628801</v>
          </cell>
          <cell r="H214" t="str">
            <v>--</v>
          </cell>
          <cell r="I214">
            <v>0.54671011290739102</v>
          </cell>
          <cell r="J214">
            <v>46.6299197931679</v>
          </cell>
          <cell r="K214">
            <v>45.026987280160597</v>
          </cell>
        </row>
        <row r="215">
          <cell r="A215" t="str">
            <v>Period 7</v>
          </cell>
          <cell r="B215" t="str">
            <v>--</v>
          </cell>
          <cell r="C215">
            <v>-1.96183082932746</v>
          </cell>
          <cell r="D215" t="str">
            <v>--</v>
          </cell>
          <cell r="E215">
            <v>-3.5826083619195699</v>
          </cell>
          <cell r="F215" t="str">
            <v>--</v>
          </cell>
          <cell r="G215">
            <v>1.6207775325921101</v>
          </cell>
          <cell r="H215" t="str">
            <v>--</v>
          </cell>
          <cell r="I215">
            <v>0.85891644357395303</v>
          </cell>
          <cell r="J215">
            <v>46.5344313999299</v>
          </cell>
          <cell r="K215">
            <v>44.909468332191999</v>
          </cell>
        </row>
        <row r="216">
          <cell r="A216" t="str">
            <v>Period 8</v>
          </cell>
          <cell r="B216" t="str">
            <v>--</v>
          </cell>
          <cell r="C216">
            <v>-1.19148975478928</v>
          </cell>
          <cell r="D216" t="str">
            <v>--</v>
          </cell>
          <cell r="E216">
            <v>-2.66402558510319</v>
          </cell>
          <cell r="F216" t="str">
            <v>--</v>
          </cell>
          <cell r="G216">
            <v>1.47253583031391</v>
          </cell>
          <cell r="H216" t="str">
            <v>--</v>
          </cell>
          <cell r="I216">
            <v>1.1161080189296699</v>
          </cell>
          <cell r="J216">
            <v>46.392382693511699</v>
          </cell>
          <cell r="K216">
            <v>44.805178485158997</v>
          </cell>
        </row>
        <row r="217">
          <cell r="A217" t="str">
            <v>Period 9</v>
          </cell>
          <cell r="B217" t="str">
            <v>--</v>
          </cell>
          <cell r="C217">
            <v>-0.433253590346731</v>
          </cell>
          <cell r="D217" t="str">
            <v>--</v>
          </cell>
          <cell r="E217">
            <v>-1.81324011538241</v>
          </cell>
          <cell r="F217" t="str">
            <v>--</v>
          </cell>
          <cell r="G217">
            <v>1.37998652503568</v>
          </cell>
          <cell r="H217" t="str">
            <v>--</v>
          </cell>
          <cell r="I217">
            <v>1.2914563458355099</v>
          </cell>
          <cell r="J217">
            <v>46.2684122636173</v>
          </cell>
          <cell r="K217">
            <v>44.733781570365203</v>
          </cell>
        </row>
        <row r="218">
          <cell r="A218" t="str">
            <v>Period 10</v>
          </cell>
          <cell r="B218" t="str">
            <v>--</v>
          </cell>
          <cell r="C218" t="str">
            <v>--</v>
          </cell>
          <cell r="D218" t="str">
            <v>--</v>
          </cell>
          <cell r="E218" t="str">
            <v>--</v>
          </cell>
          <cell r="F218" t="str">
            <v>--</v>
          </cell>
          <cell r="G218" t="str">
            <v>--</v>
          </cell>
          <cell r="H218" t="str">
            <v>--</v>
          </cell>
          <cell r="I218" t="str">
            <v>--</v>
          </cell>
          <cell r="J218">
            <v>46.258955182924304</v>
          </cell>
          <cell r="K218" t="str">
            <v>--</v>
          </cell>
        </row>
        <row r="219">
          <cell r="A219" t="str">
            <v>Period 11</v>
          </cell>
          <cell r="B219" t="str">
            <v>--</v>
          </cell>
          <cell r="C219" t="str">
            <v>--</v>
          </cell>
          <cell r="D219" t="str">
            <v>--</v>
          </cell>
          <cell r="E219" t="str">
            <v>--</v>
          </cell>
          <cell r="F219" t="str">
            <v>--</v>
          </cell>
          <cell r="G219" t="str">
            <v>--</v>
          </cell>
          <cell r="H219" t="str">
            <v>--</v>
          </cell>
          <cell r="I219" t="str">
            <v>--</v>
          </cell>
          <cell r="J219">
            <v>46.175718759592399</v>
          </cell>
          <cell r="K219" t="str">
            <v>--</v>
          </cell>
        </row>
        <row r="220">
          <cell r="A220" t="str">
            <v>Period 12</v>
          </cell>
          <cell r="B220" t="str">
            <v>--</v>
          </cell>
          <cell r="C220" t="str">
            <v>--</v>
          </cell>
          <cell r="D220" t="str">
            <v>--</v>
          </cell>
          <cell r="E220" t="str">
            <v>--</v>
          </cell>
          <cell r="F220" t="str">
            <v>--</v>
          </cell>
          <cell r="G220" t="str">
            <v>--</v>
          </cell>
          <cell r="H220" t="str">
            <v>--</v>
          </cell>
          <cell r="I220" t="str">
            <v>--</v>
          </cell>
          <cell r="J220">
            <v>46.031663239648097</v>
          </cell>
          <cell r="K220" t="str">
            <v>--</v>
          </cell>
        </row>
        <row r="221">
          <cell r="A221" t="str">
            <v>Period 13</v>
          </cell>
          <cell r="B221" t="str">
            <v>--</v>
          </cell>
          <cell r="C221" t="str">
            <v>--</v>
          </cell>
          <cell r="D221" t="str">
            <v>--</v>
          </cell>
          <cell r="E221" t="str">
            <v>--</v>
          </cell>
          <cell r="F221" t="str">
            <v>--</v>
          </cell>
          <cell r="G221" t="str">
            <v>--</v>
          </cell>
          <cell r="H221" t="str">
            <v>--</v>
          </cell>
          <cell r="I221" t="str">
            <v>--</v>
          </cell>
          <cell r="J221">
            <v>45.871819288023502</v>
          </cell>
          <cell r="K221" t="str">
            <v>--</v>
          </cell>
        </row>
        <row r="223">
          <cell r="B223" t="str">
            <v>KELLOGG CO CRACKERS</v>
          </cell>
        </row>
        <row r="224">
          <cell r="B224" t="str">
            <v>Yr/Yr % Change</v>
          </cell>
        </row>
        <row r="225">
          <cell r="B225" t="str">
            <v>Sales</v>
          </cell>
          <cell r="D225" t="str">
            <v>Volume</v>
          </cell>
          <cell r="F225" t="str">
            <v>Price/Mix</v>
          </cell>
          <cell r="H225" t="str">
            <v>$ Merchandising</v>
          </cell>
          <cell r="J225" t="str">
            <v>$ Share</v>
          </cell>
        </row>
        <row r="226">
          <cell r="A226" t="str">
            <v>Date</v>
          </cell>
          <cell r="B226">
            <v>2005</v>
          </cell>
          <cell r="C226">
            <v>2006</v>
          </cell>
          <cell r="D226">
            <v>2005</v>
          </cell>
          <cell r="E226">
            <v>2006</v>
          </cell>
          <cell r="F226">
            <v>2005</v>
          </cell>
          <cell r="G226">
            <v>2006</v>
          </cell>
          <cell r="H226">
            <v>2005</v>
          </cell>
          <cell r="I226">
            <v>2006</v>
          </cell>
          <cell r="J226">
            <v>2005</v>
          </cell>
          <cell r="K226">
            <v>2006</v>
          </cell>
        </row>
        <row r="227">
          <cell r="A227" t="str">
            <v>Period 1</v>
          </cell>
          <cell r="B227" t="str">
            <v>--</v>
          </cell>
          <cell r="C227" t="str">
            <v>--</v>
          </cell>
          <cell r="D227" t="str">
            <v>--</v>
          </cell>
          <cell r="E227" t="str">
            <v>--</v>
          </cell>
          <cell r="F227" t="str">
            <v>--</v>
          </cell>
          <cell r="G227" t="str">
            <v>--</v>
          </cell>
          <cell r="H227" t="str">
            <v>--</v>
          </cell>
          <cell r="I227" t="str">
            <v>--</v>
          </cell>
          <cell r="J227" t="str">
            <v>--</v>
          </cell>
          <cell r="K227">
            <v>25.407134221234202</v>
          </cell>
        </row>
        <row r="228">
          <cell r="A228" t="str">
            <v>Period 2</v>
          </cell>
          <cell r="B228" t="str">
            <v>--</v>
          </cell>
          <cell r="C228" t="str">
            <v>--</v>
          </cell>
          <cell r="D228" t="str">
            <v>--</v>
          </cell>
          <cell r="E228" t="str">
            <v>--</v>
          </cell>
          <cell r="F228" t="str">
            <v>--</v>
          </cell>
          <cell r="G228" t="str">
            <v>--</v>
          </cell>
          <cell r="H228" t="str">
            <v>--</v>
          </cell>
          <cell r="I228" t="str">
            <v>--</v>
          </cell>
          <cell r="J228" t="str">
            <v>--</v>
          </cell>
          <cell r="K228">
            <v>25.479405966152299</v>
          </cell>
        </row>
        <row r="229">
          <cell r="A229" t="str">
            <v>Period 3</v>
          </cell>
          <cell r="B229" t="str">
            <v>--</v>
          </cell>
          <cell r="C229">
            <v>1.14214221389881</v>
          </cell>
          <cell r="D229" t="str">
            <v>--</v>
          </cell>
          <cell r="E229">
            <v>-1.0773892187566401</v>
          </cell>
          <cell r="F229" t="str">
            <v>--</v>
          </cell>
          <cell r="G229">
            <v>2.2195314326554501</v>
          </cell>
          <cell r="H229" t="str">
            <v>--</v>
          </cell>
          <cell r="I229">
            <v>-1.28827026813024</v>
          </cell>
          <cell r="J229">
            <v>25.1533871388833</v>
          </cell>
          <cell r="K229">
            <v>25.5352855702216</v>
          </cell>
        </row>
        <row r="230">
          <cell r="A230" t="str">
            <v>Period 4</v>
          </cell>
          <cell r="B230" t="str">
            <v>--</v>
          </cell>
          <cell r="C230">
            <v>1.89640372463842</v>
          </cell>
          <cell r="D230" t="str">
            <v>--</v>
          </cell>
          <cell r="E230">
            <v>-0.47139250389815801</v>
          </cell>
          <cell r="F230" t="str">
            <v>--</v>
          </cell>
          <cell r="G230">
            <v>2.3677962285365801</v>
          </cell>
          <cell r="H230" t="str">
            <v>--</v>
          </cell>
          <cell r="I230">
            <v>-1.20567241460972</v>
          </cell>
          <cell r="J230">
            <v>25.099192966654201</v>
          </cell>
          <cell r="K230">
            <v>25.548041849663701</v>
          </cell>
        </row>
        <row r="231">
          <cell r="A231" t="str">
            <v>Period 5</v>
          </cell>
          <cell r="B231" t="str">
            <v>--</v>
          </cell>
          <cell r="C231">
            <v>2.3949250237941899</v>
          </cell>
          <cell r="D231" t="str">
            <v>--</v>
          </cell>
          <cell r="E231">
            <v>-0.41905316653869801</v>
          </cell>
          <cell r="F231" t="str">
            <v>--</v>
          </cell>
          <cell r="G231">
            <v>2.81397819033289</v>
          </cell>
          <cell r="H231" t="str">
            <v>--</v>
          </cell>
          <cell r="I231">
            <v>-1.27408956956812</v>
          </cell>
          <cell r="J231">
            <v>25.051593604972702</v>
          </cell>
          <cell r="K231">
            <v>25.571539798822101</v>
          </cell>
        </row>
        <row r="232">
          <cell r="A232" t="str">
            <v>Period 6</v>
          </cell>
          <cell r="B232" t="str">
            <v>--</v>
          </cell>
          <cell r="C232">
            <v>2.7663390015587801</v>
          </cell>
          <cell r="D232" t="str">
            <v>--</v>
          </cell>
          <cell r="E232">
            <v>-0.218688921645281</v>
          </cell>
          <cell r="F232" t="str">
            <v>--</v>
          </cell>
          <cell r="G232">
            <v>2.98502792320406</v>
          </cell>
          <cell r="H232" t="str">
            <v>--</v>
          </cell>
          <cell r="I232">
            <v>-1.3473618360472099</v>
          </cell>
          <cell r="J232">
            <v>25.099400876462902</v>
          </cell>
          <cell r="K232">
            <v>25.5796440628318</v>
          </cell>
        </row>
        <row r="233">
          <cell r="A233" t="str">
            <v>Period 7</v>
          </cell>
          <cell r="B233" t="str">
            <v>--</v>
          </cell>
          <cell r="C233">
            <v>3.3691371058059199</v>
          </cell>
          <cell r="D233" t="str">
            <v>--</v>
          </cell>
          <cell r="E233">
            <v>0.45023206491261802</v>
          </cell>
          <cell r="F233" t="str">
            <v>--</v>
          </cell>
          <cell r="G233">
            <v>2.9189050408932999</v>
          </cell>
          <cell r="H233" t="str">
            <v>--</v>
          </cell>
          <cell r="I233">
            <v>-1.41452926925672</v>
          </cell>
          <cell r="J233">
            <v>25.108759991325599</v>
          </cell>
          <cell r="K233">
            <v>25.549621216204901</v>
          </cell>
        </row>
        <row r="234">
          <cell r="A234" t="str">
            <v>Period 8</v>
          </cell>
          <cell r="B234" t="str">
            <v>--</v>
          </cell>
          <cell r="C234">
            <v>3.7496764240512199</v>
          </cell>
          <cell r="D234" t="str">
            <v>--</v>
          </cell>
          <cell r="E234">
            <v>0.58467536379517804</v>
          </cell>
          <cell r="F234" t="str">
            <v>--</v>
          </cell>
          <cell r="G234">
            <v>3.1650010602560399</v>
          </cell>
          <cell r="H234" t="str">
            <v>--</v>
          </cell>
          <cell r="I234">
            <v>-1.7120858764314699</v>
          </cell>
          <cell r="J234">
            <v>25.196011730893201</v>
          </cell>
          <cell r="K234">
            <v>25.550872499556501</v>
          </cell>
        </row>
        <row r="235">
          <cell r="A235" t="str">
            <v>Period 9</v>
          </cell>
          <cell r="B235" t="str">
            <v>--</v>
          </cell>
          <cell r="C235">
            <v>4.0639919566266496</v>
          </cell>
          <cell r="D235" t="str">
            <v>--</v>
          </cell>
          <cell r="E235">
            <v>0.88200385995082797</v>
          </cell>
          <cell r="F235" t="str">
            <v>--</v>
          </cell>
          <cell r="G235">
            <v>3.1819880966758198</v>
          </cell>
          <cell r="H235" t="str">
            <v>--</v>
          </cell>
          <cell r="I235">
            <v>-1.91520679996999</v>
          </cell>
          <cell r="J235">
            <v>25.240166671988099</v>
          </cell>
          <cell r="K235">
            <v>25.505239181620102</v>
          </cell>
        </row>
        <row r="236">
          <cell r="A236" t="str">
            <v>Period 10</v>
          </cell>
          <cell r="B236" t="str">
            <v>--</v>
          </cell>
          <cell r="C236" t="str">
            <v>--</v>
          </cell>
          <cell r="D236" t="str">
            <v>--</v>
          </cell>
          <cell r="E236" t="str">
            <v>--</v>
          </cell>
          <cell r="F236" t="str">
            <v>--</v>
          </cell>
          <cell r="G236" t="str">
            <v>--</v>
          </cell>
          <cell r="H236" t="str">
            <v>--</v>
          </cell>
          <cell r="I236" t="str">
            <v>--</v>
          </cell>
          <cell r="J236">
            <v>25.250690843474299</v>
          </cell>
          <cell r="K236" t="str">
            <v>--</v>
          </cell>
        </row>
        <row r="237">
          <cell r="A237" t="str">
            <v>Period 11</v>
          </cell>
          <cell r="B237" t="str">
            <v>--</v>
          </cell>
          <cell r="C237" t="str">
            <v>--</v>
          </cell>
          <cell r="D237" t="str">
            <v>--</v>
          </cell>
          <cell r="E237" t="str">
            <v>--</v>
          </cell>
          <cell r="F237" t="str">
            <v>--</v>
          </cell>
          <cell r="G237" t="str">
            <v>--</v>
          </cell>
          <cell r="H237" t="str">
            <v>--</v>
          </cell>
          <cell r="I237" t="str">
            <v>--</v>
          </cell>
          <cell r="J237">
            <v>25.286283541643499</v>
          </cell>
          <cell r="K237" t="str">
            <v>--</v>
          </cell>
        </row>
        <row r="238">
          <cell r="A238" t="str">
            <v>Period 12</v>
          </cell>
          <cell r="B238" t="str">
            <v>--</v>
          </cell>
          <cell r="C238" t="str">
            <v>--</v>
          </cell>
          <cell r="D238" t="str">
            <v>--</v>
          </cell>
          <cell r="E238" t="str">
            <v>--</v>
          </cell>
          <cell r="F238" t="str">
            <v>--</v>
          </cell>
          <cell r="G238" t="str">
            <v>--</v>
          </cell>
          <cell r="H238" t="str">
            <v>--</v>
          </cell>
          <cell r="I238" t="str">
            <v>--</v>
          </cell>
          <cell r="J238">
            <v>25.333103567315302</v>
          </cell>
          <cell r="K238" t="str">
            <v>--</v>
          </cell>
        </row>
        <row r="239">
          <cell r="A239" t="str">
            <v>Period 13</v>
          </cell>
          <cell r="B239" t="str">
            <v>--</v>
          </cell>
          <cell r="C239" t="str">
            <v>--</v>
          </cell>
          <cell r="D239" t="str">
            <v>--</v>
          </cell>
          <cell r="E239" t="str">
            <v>--</v>
          </cell>
          <cell r="F239" t="str">
            <v>--</v>
          </cell>
          <cell r="G239" t="str">
            <v>--</v>
          </cell>
          <cell r="H239" t="str">
            <v>--</v>
          </cell>
          <cell r="I239" t="str">
            <v>--</v>
          </cell>
          <cell r="J239">
            <v>25.361898637248601</v>
          </cell>
          <cell r="K239" t="str">
            <v>--</v>
          </cell>
        </row>
        <row r="241">
          <cell r="B241" t="str">
            <v>CAMPBELL SOUP CO CRACKERS</v>
          </cell>
        </row>
        <row r="242">
          <cell r="B242" t="str">
            <v>Yr/Yr % Change</v>
          </cell>
        </row>
        <row r="243">
          <cell r="B243" t="str">
            <v>Sales</v>
          </cell>
          <cell r="D243" t="str">
            <v>Volume</v>
          </cell>
          <cell r="F243" t="str">
            <v>Price/Mix</v>
          </cell>
          <cell r="H243" t="str">
            <v>$ Merchandising</v>
          </cell>
          <cell r="J243" t="str">
            <v>$ Share</v>
          </cell>
        </row>
        <row r="244">
          <cell r="A244" t="str">
            <v>Date</v>
          </cell>
          <cell r="B244">
            <v>2005</v>
          </cell>
          <cell r="C244">
            <v>2006</v>
          </cell>
          <cell r="D244">
            <v>2005</v>
          </cell>
          <cell r="E244">
            <v>2006</v>
          </cell>
          <cell r="F244">
            <v>2005</v>
          </cell>
          <cell r="G244">
            <v>2006</v>
          </cell>
          <cell r="H244">
            <v>2005</v>
          </cell>
          <cell r="I244">
            <v>2006</v>
          </cell>
          <cell r="J244">
            <v>2005</v>
          </cell>
          <cell r="K244">
            <v>2006</v>
          </cell>
        </row>
        <row r="245">
          <cell r="A245" t="str">
            <v>Period 1</v>
          </cell>
          <cell r="B245" t="str">
            <v>--</v>
          </cell>
          <cell r="C245" t="str">
            <v>--</v>
          </cell>
          <cell r="D245" t="str">
            <v>--</v>
          </cell>
          <cell r="E245" t="str">
            <v>--</v>
          </cell>
          <cell r="F245" t="str">
            <v>--</v>
          </cell>
          <cell r="G245" t="str">
            <v>--</v>
          </cell>
          <cell r="H245" t="str">
            <v>--</v>
          </cell>
          <cell r="I245" t="str">
            <v>--</v>
          </cell>
          <cell r="J245" t="str">
            <v>--</v>
          </cell>
          <cell r="K245">
            <v>8.21684258190359</v>
          </cell>
        </row>
        <row r="246">
          <cell r="A246" t="str">
            <v>Period 2</v>
          </cell>
          <cell r="B246" t="str">
            <v>--</v>
          </cell>
          <cell r="C246" t="str">
            <v>--</v>
          </cell>
          <cell r="D246" t="str">
            <v>--</v>
          </cell>
          <cell r="E246" t="str">
            <v>--</v>
          </cell>
          <cell r="F246" t="str">
            <v>--</v>
          </cell>
          <cell r="G246" t="str">
            <v>--</v>
          </cell>
          <cell r="H246" t="str">
            <v>--</v>
          </cell>
          <cell r="I246" t="str">
            <v>--</v>
          </cell>
          <cell r="J246" t="str">
            <v>--</v>
          </cell>
          <cell r="K246">
            <v>8.2477777132014101</v>
          </cell>
        </row>
        <row r="247">
          <cell r="A247" t="str">
            <v>Period 3</v>
          </cell>
          <cell r="B247" t="str">
            <v>--</v>
          </cell>
          <cell r="C247">
            <v>3.8780880691450599</v>
          </cell>
          <cell r="D247" t="str">
            <v>--</v>
          </cell>
          <cell r="E247">
            <v>-2.3461687524814399</v>
          </cell>
          <cell r="F247" t="str">
            <v>--</v>
          </cell>
          <cell r="G247">
            <v>6.2242568216264997</v>
          </cell>
          <cell r="H247" t="str">
            <v>--</v>
          </cell>
          <cell r="I247">
            <v>-3.9926066465625598</v>
          </cell>
          <cell r="J247">
            <v>8.0046524207801895</v>
          </cell>
          <cell r="K247">
            <v>8.3460027287619205</v>
          </cell>
        </row>
        <row r="248">
          <cell r="A248" t="str">
            <v>Period 4</v>
          </cell>
          <cell r="B248" t="str">
            <v>--</v>
          </cell>
          <cell r="C248">
            <v>5.6305566986883697</v>
          </cell>
          <cell r="D248" t="str">
            <v>--</v>
          </cell>
          <cell r="E248">
            <v>-0.95150509859890697</v>
          </cell>
          <cell r="F248" t="str">
            <v>--</v>
          </cell>
          <cell r="G248">
            <v>6.5820617972872704</v>
          </cell>
          <cell r="H248" t="str">
            <v>--</v>
          </cell>
          <cell r="I248">
            <v>-3.4887195217949398</v>
          </cell>
          <cell r="J248">
            <v>7.9826650592296096</v>
          </cell>
          <cell r="K248">
            <v>8.4231877445587102</v>
          </cell>
        </row>
        <row r="249">
          <cell r="A249" t="str">
            <v>Period 5</v>
          </cell>
          <cell r="B249" t="str">
            <v>--</v>
          </cell>
          <cell r="C249">
            <v>6.5800804606000201</v>
          </cell>
          <cell r="D249" t="str">
            <v>--</v>
          </cell>
          <cell r="E249">
            <v>-1.0495721259557</v>
          </cell>
          <cell r="F249" t="str">
            <v>--</v>
          </cell>
          <cell r="G249">
            <v>7.6296525865557099</v>
          </cell>
          <cell r="H249" t="str">
            <v>--</v>
          </cell>
          <cell r="I249">
            <v>-3.2559716906522902</v>
          </cell>
          <cell r="J249">
            <v>8.0104592910708696</v>
          </cell>
          <cell r="K249">
            <v>8.5109208426732597</v>
          </cell>
        </row>
        <row r="250">
          <cell r="A250" t="str">
            <v>Period 6</v>
          </cell>
          <cell r="B250" t="str">
            <v>--</v>
          </cell>
          <cell r="C250">
            <v>7.9287573853694804</v>
          </cell>
          <cell r="D250" t="str">
            <v>--</v>
          </cell>
          <cell r="E250">
            <v>0.52351845277581399</v>
          </cell>
          <cell r="F250" t="str">
            <v>--</v>
          </cell>
          <cell r="G250">
            <v>7.4052389325936696</v>
          </cell>
          <cell r="H250" t="str">
            <v>--</v>
          </cell>
          <cell r="I250">
            <v>-2.8458560677560998</v>
          </cell>
          <cell r="J250">
            <v>7.9890208926495996</v>
          </cell>
          <cell r="K250">
            <v>8.5508835219306008</v>
          </cell>
        </row>
        <row r="251">
          <cell r="A251" t="str">
            <v>Period 7</v>
          </cell>
          <cell r="B251" t="str">
            <v>--</v>
          </cell>
          <cell r="C251">
            <v>10.564498493744701</v>
          </cell>
          <cell r="D251" t="str">
            <v>--</v>
          </cell>
          <cell r="E251">
            <v>4.2752298611739104</v>
          </cell>
          <cell r="F251" t="str">
            <v>--</v>
          </cell>
          <cell r="G251">
            <v>6.2892686325707698</v>
          </cell>
          <cell r="H251" t="str">
            <v>--</v>
          </cell>
          <cell r="I251">
            <v>-0.865861200147229</v>
          </cell>
          <cell r="J251">
            <v>7.94533687130233</v>
          </cell>
          <cell r="K251">
            <v>8.6476145858454796</v>
          </cell>
        </row>
        <row r="252">
          <cell r="A252" t="str">
            <v>Period 8</v>
          </cell>
          <cell r="B252" t="str">
            <v>--</v>
          </cell>
          <cell r="C252">
            <v>12.450441636567399</v>
          </cell>
          <cell r="D252" t="str">
            <v>--</v>
          </cell>
          <cell r="E252">
            <v>6.48616762237668</v>
          </cell>
          <cell r="F252" t="str">
            <v>--</v>
          </cell>
          <cell r="G252">
            <v>5.9642740141906696</v>
          </cell>
          <cell r="H252" t="str">
            <v>--</v>
          </cell>
          <cell r="I252">
            <v>0.15378337354028601</v>
          </cell>
          <cell r="J252">
            <v>7.9500300249454803</v>
          </cell>
          <cell r="K252">
            <v>8.7381021284588698</v>
          </cell>
        </row>
        <row r="253">
          <cell r="A253" t="str">
            <v>Period 9</v>
          </cell>
          <cell r="B253" t="str">
            <v>--</v>
          </cell>
          <cell r="C253">
            <v>14.0062677989441</v>
          </cell>
          <cell r="D253" t="str">
            <v>--</v>
          </cell>
          <cell r="E253">
            <v>8.0877048180298008</v>
          </cell>
          <cell r="F253" t="str">
            <v>--</v>
          </cell>
          <cell r="G253">
            <v>5.9185629809143503</v>
          </cell>
          <cell r="H253" t="str">
            <v>--</v>
          </cell>
          <cell r="I253">
            <v>-0.321815247954369</v>
          </cell>
          <cell r="J253">
            <v>7.9825466786387897</v>
          </cell>
          <cell r="K253">
            <v>8.8370415259070807</v>
          </cell>
        </row>
        <row r="254">
          <cell r="A254" t="str">
            <v>Period 10</v>
          </cell>
          <cell r="B254" t="str">
            <v>--</v>
          </cell>
          <cell r="C254" t="str">
            <v>--</v>
          </cell>
          <cell r="D254" t="str">
            <v>--</v>
          </cell>
          <cell r="E254" t="str">
            <v>--</v>
          </cell>
          <cell r="F254" t="str">
            <v>--</v>
          </cell>
          <cell r="G254" t="str">
            <v>--</v>
          </cell>
          <cell r="H254" t="str">
            <v>--</v>
          </cell>
          <cell r="I254" t="str">
            <v>--</v>
          </cell>
          <cell r="J254">
            <v>8.0050809110087506</v>
          </cell>
          <cell r="K254" t="str">
            <v>--</v>
          </cell>
        </row>
        <row r="255">
          <cell r="A255" t="str">
            <v>Period 11</v>
          </cell>
          <cell r="B255" t="str">
            <v>--</v>
          </cell>
          <cell r="C255" t="str">
            <v>--</v>
          </cell>
          <cell r="D255" t="str">
            <v>--</v>
          </cell>
          <cell r="E255" t="str">
            <v>--</v>
          </cell>
          <cell r="F255" t="str">
            <v>--</v>
          </cell>
          <cell r="G255" t="str">
            <v>--</v>
          </cell>
          <cell r="H255" t="str">
            <v>--</v>
          </cell>
          <cell r="I255" t="str">
            <v>--</v>
          </cell>
          <cell r="J255">
            <v>8.0405220905466699</v>
          </cell>
          <cell r="K255" t="str">
            <v>--</v>
          </cell>
        </row>
        <row r="256">
          <cell r="A256" t="str">
            <v>Period 12</v>
          </cell>
          <cell r="B256" t="str">
            <v>--</v>
          </cell>
          <cell r="C256" t="str">
            <v>--</v>
          </cell>
          <cell r="D256" t="str">
            <v>--</v>
          </cell>
          <cell r="E256" t="str">
            <v>--</v>
          </cell>
          <cell r="F256" t="str">
            <v>--</v>
          </cell>
          <cell r="G256" t="str">
            <v>--</v>
          </cell>
          <cell r="H256" t="str">
            <v>--</v>
          </cell>
          <cell r="I256" t="str">
            <v>--</v>
          </cell>
          <cell r="J256">
            <v>8.0859410331707302</v>
          </cell>
          <cell r="K256" t="str">
            <v>--</v>
          </cell>
        </row>
        <row r="257">
          <cell r="A257" t="str">
            <v>Period 13</v>
          </cell>
          <cell r="B257" t="str">
            <v>--</v>
          </cell>
          <cell r="C257" t="str">
            <v>--</v>
          </cell>
          <cell r="D257" t="str">
            <v>--</v>
          </cell>
          <cell r="E257" t="str">
            <v>--</v>
          </cell>
          <cell r="F257" t="str">
            <v>--</v>
          </cell>
          <cell r="G257" t="str">
            <v>--</v>
          </cell>
          <cell r="H257" t="str">
            <v>--</v>
          </cell>
          <cell r="I257" t="str">
            <v>--</v>
          </cell>
          <cell r="J257">
            <v>8.1293266781559801</v>
          </cell>
          <cell r="K257" t="str">
            <v>--</v>
          </cell>
        </row>
        <row r="259">
          <cell r="B259" t="str">
            <v>PRIVATE LABEL CRACKERS</v>
          </cell>
        </row>
        <row r="260">
          <cell r="B260" t="str">
            <v>Yr/Yr % Change</v>
          </cell>
        </row>
        <row r="261">
          <cell r="B261" t="str">
            <v>Sales</v>
          </cell>
          <cell r="D261" t="str">
            <v>Volume</v>
          </cell>
          <cell r="F261" t="str">
            <v>Price/Mix</v>
          </cell>
          <cell r="H261" t="str">
            <v>$ Merchandising</v>
          </cell>
          <cell r="J261" t="str">
            <v>$ Share</v>
          </cell>
        </row>
        <row r="262">
          <cell r="A262" t="str">
            <v>Date</v>
          </cell>
          <cell r="B262">
            <v>2005</v>
          </cell>
          <cell r="C262">
            <v>2006</v>
          </cell>
          <cell r="D262">
            <v>2005</v>
          </cell>
          <cell r="E262">
            <v>2006</v>
          </cell>
          <cell r="F262">
            <v>2005</v>
          </cell>
          <cell r="G262">
            <v>2006</v>
          </cell>
          <cell r="H262">
            <v>2005</v>
          </cell>
          <cell r="I262">
            <v>2006</v>
          </cell>
          <cell r="J262">
            <v>2005</v>
          </cell>
          <cell r="K262">
            <v>2006</v>
          </cell>
        </row>
        <row r="263">
          <cell r="A263" t="str">
            <v>Period 1</v>
          </cell>
          <cell r="B263" t="str">
            <v>--</v>
          </cell>
          <cell r="C263" t="str">
            <v>--</v>
          </cell>
          <cell r="D263" t="str">
            <v>--</v>
          </cell>
          <cell r="E263" t="str">
            <v>--</v>
          </cell>
          <cell r="F263" t="str">
            <v>--</v>
          </cell>
          <cell r="G263" t="str">
            <v>--</v>
          </cell>
          <cell r="H263" t="str">
            <v>--</v>
          </cell>
          <cell r="I263" t="str">
            <v>--</v>
          </cell>
          <cell r="J263" t="str">
            <v>--</v>
          </cell>
          <cell r="K263">
            <v>6.6530678526525397</v>
          </cell>
        </row>
        <row r="264">
          <cell r="A264" t="str">
            <v>Period 2</v>
          </cell>
          <cell r="B264" t="str">
            <v>--</v>
          </cell>
          <cell r="C264" t="str">
            <v>--</v>
          </cell>
          <cell r="D264" t="str">
            <v>--</v>
          </cell>
          <cell r="E264" t="str">
            <v>--</v>
          </cell>
          <cell r="F264" t="str">
            <v>--</v>
          </cell>
          <cell r="G264" t="str">
            <v>--</v>
          </cell>
          <cell r="H264" t="str">
            <v>--</v>
          </cell>
          <cell r="I264" t="str">
            <v>--</v>
          </cell>
          <cell r="J264" t="str">
            <v>--</v>
          </cell>
          <cell r="K264">
            <v>6.6523703386133297</v>
          </cell>
        </row>
        <row r="265">
          <cell r="A265" t="str">
            <v>Period 3</v>
          </cell>
          <cell r="B265" t="str">
            <v>--</v>
          </cell>
          <cell r="C265">
            <v>0.94098550535727499</v>
          </cell>
          <cell r="D265" t="str">
            <v>--</v>
          </cell>
          <cell r="E265">
            <v>-2.9422242857802998</v>
          </cell>
          <cell r="F265" t="str">
            <v>--</v>
          </cell>
          <cell r="G265">
            <v>3.88320979113757</v>
          </cell>
          <cell r="H265" t="str">
            <v>--</v>
          </cell>
          <cell r="I265">
            <v>-0.46299210139304098</v>
          </cell>
          <cell r="J265">
            <v>6.5707263749246296</v>
          </cell>
          <cell r="K265">
            <v>6.6572216798196902</v>
          </cell>
        </row>
        <row r="266">
          <cell r="A266" t="str">
            <v>Period 4</v>
          </cell>
          <cell r="B266" t="str">
            <v>--</v>
          </cell>
          <cell r="C266">
            <v>0.29933680763863202</v>
          </cell>
          <cell r="D266" t="str">
            <v>--</v>
          </cell>
          <cell r="E266">
            <v>-3.6487455920987899</v>
          </cell>
          <cell r="F266" t="str">
            <v>--</v>
          </cell>
          <cell r="G266">
            <v>3.9480823997374301</v>
          </cell>
          <cell r="H266" t="str">
            <v>--</v>
          </cell>
          <cell r="I266">
            <v>-0.86041449555751404</v>
          </cell>
          <cell r="J266">
            <v>6.5963388545606501</v>
          </cell>
          <cell r="K266">
            <v>6.60906500617343</v>
          </cell>
        </row>
        <row r="267">
          <cell r="A267" t="str">
            <v>Period 5</v>
          </cell>
          <cell r="B267" t="str">
            <v>--</v>
          </cell>
          <cell r="C267">
            <v>0.25297052972402001</v>
          </cell>
          <cell r="D267" t="str">
            <v>--</v>
          </cell>
          <cell r="E267">
            <v>-3.6826844290507901</v>
          </cell>
          <cell r="F267" t="str">
            <v>--</v>
          </cell>
          <cell r="G267">
            <v>3.9356549587748102</v>
          </cell>
          <cell r="H267" t="str">
            <v>--</v>
          </cell>
          <cell r="I267">
            <v>-1.0043348079794301</v>
          </cell>
          <cell r="J267">
            <v>6.6089551950035803</v>
          </cell>
          <cell r="K267">
            <v>6.6050049470292196</v>
          </cell>
        </row>
        <row r="268">
          <cell r="A268" t="str">
            <v>Period 6</v>
          </cell>
          <cell r="B268" t="str">
            <v>--</v>
          </cell>
          <cell r="C268">
            <v>0.35933434221480498</v>
          </cell>
          <cell r="D268" t="str">
            <v>--</v>
          </cell>
          <cell r="E268">
            <v>-3.59986603389246</v>
          </cell>
          <cell r="F268" t="str">
            <v>--</v>
          </cell>
          <cell r="G268">
            <v>3.9592003761072601</v>
          </cell>
          <cell r="H268" t="str">
            <v>--</v>
          </cell>
          <cell r="I268">
            <v>-0.813847371014226</v>
          </cell>
          <cell r="J268">
            <v>6.6169483565364304</v>
          </cell>
          <cell r="K268">
            <v>6.58560644803429</v>
          </cell>
        </row>
        <row r="269">
          <cell r="A269" t="str">
            <v>Period 7</v>
          </cell>
          <cell r="B269" t="str">
            <v>--</v>
          </cell>
          <cell r="C269">
            <v>0.45865940700100699</v>
          </cell>
          <cell r="D269" t="str">
            <v>--</v>
          </cell>
          <cell r="E269">
            <v>-3.8212388380366198</v>
          </cell>
          <cell r="F269" t="str">
            <v>--</v>
          </cell>
          <cell r="G269">
            <v>4.2798982450376197</v>
          </cell>
          <cell r="H269" t="str">
            <v>--</v>
          </cell>
          <cell r="I269">
            <v>-1.43944930450898</v>
          </cell>
          <cell r="J269">
            <v>6.6404921759041899</v>
          </cell>
          <cell r="K269">
            <v>6.5668327776282096</v>
          </cell>
        </row>
        <row r="270">
          <cell r="A270" t="str">
            <v>Period 8</v>
          </cell>
          <cell r="B270" t="str">
            <v>--</v>
          </cell>
          <cell r="C270">
            <v>0.87702358248497603</v>
          </cell>
          <cell r="D270" t="str">
            <v>--</v>
          </cell>
          <cell r="E270">
            <v>-3.2993774102765201</v>
          </cell>
          <cell r="F270" t="str">
            <v>--</v>
          </cell>
          <cell r="G270">
            <v>4.17640099276149</v>
          </cell>
          <cell r="H270" t="str">
            <v>--</v>
          </cell>
          <cell r="I270">
            <v>-1.4669475569591099</v>
          </cell>
          <cell r="J270">
            <v>6.6476947255113998</v>
          </cell>
          <cell r="K270">
            <v>6.55466513557118</v>
          </cell>
        </row>
        <row r="271">
          <cell r="A271" t="str">
            <v>Period 9</v>
          </cell>
          <cell r="B271" t="str">
            <v>--</v>
          </cell>
          <cell r="C271">
            <v>1.0004662708507599</v>
          </cell>
          <cell r="D271" t="str">
            <v>--</v>
          </cell>
          <cell r="E271">
            <v>-2.97853990259039</v>
          </cell>
          <cell r="F271" t="str">
            <v>--</v>
          </cell>
          <cell r="G271">
            <v>3.9790061734411499</v>
          </cell>
          <cell r="H271" t="str">
            <v>--</v>
          </cell>
          <cell r="I271">
            <v>-1.151484449417</v>
          </cell>
          <cell r="J271">
            <v>6.6648995318882802</v>
          </cell>
          <cell r="K271">
            <v>6.5366267421284299</v>
          </cell>
        </row>
        <row r="272">
          <cell r="A272" t="str">
            <v>Period 10</v>
          </cell>
          <cell r="B272" t="str">
            <v>--</v>
          </cell>
          <cell r="C272" t="str">
            <v>--</v>
          </cell>
          <cell r="D272" t="str">
            <v>--</v>
          </cell>
          <cell r="E272" t="str">
            <v>--</v>
          </cell>
          <cell r="F272" t="str">
            <v>--</v>
          </cell>
          <cell r="G272" t="str">
            <v>--</v>
          </cell>
          <cell r="H272" t="str">
            <v>--</v>
          </cell>
          <cell r="I272" t="str">
            <v>--</v>
          </cell>
          <cell r="J272">
            <v>6.6738078577640403</v>
          </cell>
          <cell r="K272" t="str">
            <v>--</v>
          </cell>
        </row>
        <row r="273">
          <cell r="A273" t="str">
            <v>Period 11</v>
          </cell>
          <cell r="B273" t="str">
            <v>--</v>
          </cell>
          <cell r="C273" t="str">
            <v>--</v>
          </cell>
          <cell r="D273" t="str">
            <v>--</v>
          </cell>
          <cell r="E273" t="str">
            <v>--</v>
          </cell>
          <cell r="F273" t="str">
            <v>--</v>
          </cell>
          <cell r="G273" t="str">
            <v>--</v>
          </cell>
          <cell r="H273" t="str">
            <v>--</v>
          </cell>
          <cell r="I273" t="str">
            <v>--</v>
          </cell>
          <cell r="J273">
            <v>6.6521132012225603</v>
          </cell>
          <cell r="K273" t="str">
            <v>--</v>
          </cell>
        </row>
        <row r="274">
          <cell r="A274" t="str">
            <v>Period 12</v>
          </cell>
          <cell r="B274" t="str">
            <v>--</v>
          </cell>
          <cell r="C274" t="str">
            <v>--</v>
          </cell>
          <cell r="D274" t="str">
            <v>--</v>
          </cell>
          <cell r="E274" t="str">
            <v>--</v>
          </cell>
          <cell r="F274" t="str">
            <v>--</v>
          </cell>
          <cell r="G274" t="str">
            <v>--</v>
          </cell>
          <cell r="H274" t="str">
            <v>--</v>
          </cell>
          <cell r="I274" t="str">
            <v>--</v>
          </cell>
          <cell r="J274">
            <v>6.6528379934756003</v>
          </cell>
          <cell r="K274" t="str">
            <v>--</v>
          </cell>
        </row>
        <row r="275">
          <cell r="A275" t="str">
            <v>Period 13</v>
          </cell>
          <cell r="B275" t="str">
            <v>--</v>
          </cell>
          <cell r="C275" t="str">
            <v>--</v>
          </cell>
          <cell r="D275" t="str">
            <v>--</v>
          </cell>
          <cell r="E275" t="str">
            <v>--</v>
          </cell>
          <cell r="F275" t="str">
            <v>--</v>
          </cell>
          <cell r="G275" t="str">
            <v>--</v>
          </cell>
          <cell r="H275" t="str">
            <v>--</v>
          </cell>
          <cell r="I275" t="str">
            <v>--</v>
          </cell>
          <cell r="J275">
            <v>6.6636294705835297</v>
          </cell>
          <cell r="K275" t="str">
            <v>--</v>
          </cell>
        </row>
      </sheetData>
      <sheetData sheetId="32" refreshError="1">
        <row r="1">
          <cell r="A1" t="str">
            <v>CATEGORY - COOKIES - Historical Statistics - 4 Week Data - TOTAL U.S. - FD / DG / MM</v>
          </cell>
        </row>
        <row r="3">
          <cell r="B3" t="str">
            <v>Category</v>
          </cell>
        </row>
        <row r="4">
          <cell r="B4" t="str">
            <v>Yr/Yr % Change</v>
          </cell>
        </row>
        <row r="5">
          <cell r="B5" t="str">
            <v>Sales</v>
          </cell>
          <cell r="E5" t="str">
            <v>Volume</v>
          </cell>
          <cell r="H5" t="str">
            <v>Price/Mix</v>
          </cell>
          <cell r="K5" t="str">
            <v>$ Merchandising</v>
          </cell>
        </row>
        <row r="6">
          <cell r="A6" t="str">
            <v>Date</v>
          </cell>
          <cell r="B6">
            <v>2004</v>
          </cell>
          <cell r="C6">
            <v>2005</v>
          </cell>
          <cell r="D6">
            <v>2006</v>
          </cell>
          <cell r="E6">
            <v>2004</v>
          </cell>
          <cell r="F6">
            <v>2005</v>
          </cell>
          <cell r="G6">
            <v>2006</v>
          </cell>
          <cell r="H6">
            <v>2004</v>
          </cell>
          <cell r="I6">
            <v>2005</v>
          </cell>
          <cell r="J6">
            <v>2006</v>
          </cell>
          <cell r="K6">
            <v>2004</v>
          </cell>
          <cell r="L6">
            <v>2005</v>
          </cell>
          <cell r="M6">
            <v>2006</v>
          </cell>
        </row>
        <row r="7">
          <cell r="A7" t="str">
            <v>Period 1</v>
          </cell>
          <cell r="B7" t="str">
            <v>--</v>
          </cell>
          <cell r="C7" t="str">
            <v>--</v>
          </cell>
          <cell r="D7">
            <v>-5.0637279010538201</v>
          </cell>
          <cell r="E7" t="str">
            <v>--</v>
          </cell>
          <cell r="F7" t="str">
            <v>--</v>
          </cell>
          <cell r="G7">
            <v>-9.3201629403217705</v>
          </cell>
          <cell r="H7" t="str">
            <v>--</v>
          </cell>
          <cell r="I7" t="str">
            <v>--</v>
          </cell>
          <cell r="J7">
            <v>4.2564350392679504</v>
          </cell>
          <cell r="K7" t="str">
            <v>--</v>
          </cell>
          <cell r="L7" t="str">
            <v>--</v>
          </cell>
          <cell r="M7">
            <v>-0.38517680173548302</v>
          </cell>
        </row>
        <row r="8">
          <cell r="A8" t="str">
            <v>Period 2</v>
          </cell>
          <cell r="B8" t="str">
            <v>--</v>
          </cell>
          <cell r="C8" t="str">
            <v>--</v>
          </cell>
          <cell r="D8">
            <v>0.386116089364961</v>
          </cell>
          <cell r="E8" t="str">
            <v>--</v>
          </cell>
          <cell r="F8" t="str">
            <v>--</v>
          </cell>
          <cell r="G8">
            <v>-3.90503174347988</v>
          </cell>
          <cell r="H8" t="str">
            <v>--</v>
          </cell>
          <cell r="I8" t="str">
            <v>--</v>
          </cell>
          <cell r="J8">
            <v>4.2911478328448398</v>
          </cell>
          <cell r="K8" t="str">
            <v>--</v>
          </cell>
          <cell r="L8" t="str">
            <v>--</v>
          </cell>
          <cell r="M8">
            <v>-1.3573336528987801</v>
          </cell>
        </row>
        <row r="9">
          <cell r="A9" t="str">
            <v>Period 3</v>
          </cell>
          <cell r="B9" t="str">
            <v>--</v>
          </cell>
          <cell r="C9">
            <v>2.6776027751714602</v>
          </cell>
          <cell r="D9">
            <v>0.49941366290586398</v>
          </cell>
          <cell r="E9" t="str">
            <v>--</v>
          </cell>
          <cell r="F9">
            <v>2.1423717971393899</v>
          </cell>
          <cell r="G9">
            <v>-3.1195713133668899</v>
          </cell>
          <cell r="H9" t="str">
            <v>--</v>
          </cell>
          <cell r="I9">
            <v>0.53523097803207698</v>
          </cell>
          <cell r="J9">
            <v>3.61898497627275</v>
          </cell>
          <cell r="K9" t="str">
            <v>--</v>
          </cell>
          <cell r="L9">
            <v>0.66293761071829505</v>
          </cell>
          <cell r="M9">
            <v>-0.22847090212214</v>
          </cell>
        </row>
        <row r="10">
          <cell r="A10" t="str">
            <v>Period 4</v>
          </cell>
          <cell r="B10" t="str">
            <v>--</v>
          </cell>
          <cell r="C10">
            <v>3.83747217989696</v>
          </cell>
          <cell r="D10">
            <v>-3.0714266376994002</v>
          </cell>
          <cell r="E10" t="str">
            <v>--</v>
          </cell>
          <cell r="F10">
            <v>5.3534459933456304</v>
          </cell>
          <cell r="G10">
            <v>-8.2137587526964992</v>
          </cell>
          <cell r="H10" t="str">
            <v>--</v>
          </cell>
          <cell r="I10">
            <v>-1.51597381344867</v>
          </cell>
          <cell r="J10">
            <v>5.1423321149971004</v>
          </cell>
          <cell r="K10" t="str">
            <v>--</v>
          </cell>
          <cell r="L10">
            <v>0.88803580602533605</v>
          </cell>
          <cell r="M10">
            <v>-2.87712738487842</v>
          </cell>
        </row>
        <row r="11">
          <cell r="A11" t="str">
            <v>Period 5</v>
          </cell>
          <cell r="B11" t="str">
            <v>--</v>
          </cell>
          <cell r="C11">
            <v>2.9344283752742899</v>
          </cell>
          <cell r="D11">
            <v>-2.02552900182453</v>
          </cell>
          <cell r="E11" t="str">
            <v>--</v>
          </cell>
          <cell r="F11">
            <v>1.4446146565903999</v>
          </cell>
          <cell r="G11">
            <v>-6.0232278745356904</v>
          </cell>
          <cell r="H11" t="str">
            <v>--</v>
          </cell>
          <cell r="I11">
            <v>1.4898137186839</v>
          </cell>
          <cell r="J11">
            <v>3.9976988727111702</v>
          </cell>
          <cell r="K11" t="str">
            <v>--</v>
          </cell>
          <cell r="L11">
            <v>-1.3068917656437999</v>
          </cell>
          <cell r="M11">
            <v>-0.75777324027680504</v>
          </cell>
        </row>
        <row r="12">
          <cell r="A12" t="str">
            <v>Period 6</v>
          </cell>
          <cell r="B12" t="str">
            <v>--</v>
          </cell>
          <cell r="C12">
            <v>1.1126019586337501</v>
          </cell>
          <cell r="D12">
            <v>-2.7455690362083698</v>
          </cell>
          <cell r="E12" t="str">
            <v>--</v>
          </cell>
          <cell r="F12">
            <v>-0.96655816781128601</v>
          </cell>
          <cell r="G12">
            <v>-7.5146045590197303</v>
          </cell>
          <cell r="H12" t="str">
            <v>--</v>
          </cell>
          <cell r="I12">
            <v>2.0791601264450299</v>
          </cell>
          <cell r="J12">
            <v>4.7690355228113699</v>
          </cell>
          <cell r="K12" t="str">
            <v>--</v>
          </cell>
          <cell r="L12">
            <v>-0.25295831771717298</v>
          </cell>
          <cell r="M12">
            <v>-2.52164292543321</v>
          </cell>
        </row>
        <row r="13">
          <cell r="A13" t="str">
            <v>Period 7</v>
          </cell>
          <cell r="B13" t="str">
            <v>--</v>
          </cell>
          <cell r="C13">
            <v>0.114177900959107</v>
          </cell>
          <cell r="D13">
            <v>-2.19879923533012</v>
          </cell>
          <cell r="E13" t="str">
            <v>--</v>
          </cell>
          <cell r="F13">
            <v>-1.48333988111561</v>
          </cell>
          <cell r="G13">
            <v>-5.9977226381836504</v>
          </cell>
          <cell r="H13" t="str">
            <v>--</v>
          </cell>
          <cell r="I13">
            <v>1.5975177820747199</v>
          </cell>
          <cell r="J13">
            <v>3.7989234028535299</v>
          </cell>
          <cell r="K13" t="str">
            <v>--</v>
          </cell>
          <cell r="L13">
            <v>-0.59490625664486196</v>
          </cell>
          <cell r="M13">
            <v>-2.65656634436785</v>
          </cell>
        </row>
        <row r="14">
          <cell r="A14" t="str">
            <v>Period 8</v>
          </cell>
          <cell r="B14" t="str">
            <v>--</v>
          </cell>
          <cell r="C14">
            <v>-2.82414208060153</v>
          </cell>
          <cell r="D14">
            <v>-2.9470177187298999E-2</v>
          </cell>
          <cell r="E14" t="str">
            <v>--</v>
          </cell>
          <cell r="F14">
            <v>-3.9634408468781199</v>
          </cell>
          <cell r="G14">
            <v>-3.8594470003812198</v>
          </cell>
          <cell r="H14" t="str">
            <v>--</v>
          </cell>
          <cell r="I14">
            <v>1.1392987662765901</v>
          </cell>
          <cell r="J14">
            <v>3.82997682319392</v>
          </cell>
          <cell r="K14" t="str">
            <v>--</v>
          </cell>
          <cell r="L14">
            <v>-1.14570276953747</v>
          </cell>
          <cell r="M14">
            <v>-1.9976257457244</v>
          </cell>
        </row>
        <row r="15">
          <cell r="A15" t="str">
            <v>Period 9</v>
          </cell>
          <cell r="B15" t="str">
            <v>--</v>
          </cell>
          <cell r="C15">
            <v>-2.1957879020993398</v>
          </cell>
          <cell r="D15">
            <v>-0.103719277439347</v>
          </cell>
          <cell r="E15" t="str">
            <v>--</v>
          </cell>
          <cell r="F15">
            <v>-3.9089525919765999</v>
          </cell>
          <cell r="G15">
            <v>-4.74609705452042</v>
          </cell>
          <cell r="H15" t="str">
            <v>--</v>
          </cell>
          <cell r="I15">
            <v>1.7131646898772599</v>
          </cell>
          <cell r="J15">
            <v>4.6423777770810704</v>
          </cell>
          <cell r="K15" t="str">
            <v>--</v>
          </cell>
          <cell r="L15">
            <v>0.57220673306455405</v>
          </cell>
          <cell r="M15">
            <v>-1.2552736524417401</v>
          </cell>
        </row>
        <row r="16">
          <cell r="A16" t="str">
            <v>Period 10</v>
          </cell>
          <cell r="B16" t="str">
            <v>--</v>
          </cell>
          <cell r="C16">
            <v>-1.5778217839628601</v>
          </cell>
          <cell r="D16" t="str">
            <v>--</v>
          </cell>
          <cell r="E16" t="str">
            <v>--</v>
          </cell>
          <cell r="F16">
            <v>-3.9207938782886802</v>
          </cell>
          <cell r="G16" t="str">
            <v>--</v>
          </cell>
          <cell r="H16" t="str">
            <v>--</v>
          </cell>
          <cell r="I16">
            <v>2.3429720943258201</v>
          </cell>
          <cell r="J16" t="str">
            <v>--</v>
          </cell>
          <cell r="K16" t="str">
            <v>--</v>
          </cell>
          <cell r="L16">
            <v>0.98506492619195296</v>
          </cell>
          <cell r="M16" t="str">
            <v>--</v>
          </cell>
        </row>
        <row r="17">
          <cell r="A17" t="str">
            <v>Period 11</v>
          </cell>
          <cell r="B17" t="str">
            <v>--</v>
          </cell>
          <cell r="C17">
            <v>-2.2222148822251899</v>
          </cell>
          <cell r="D17" t="str">
            <v>--</v>
          </cell>
          <cell r="E17" t="str">
            <v>--</v>
          </cell>
          <cell r="F17">
            <v>-5.1040064590967198</v>
          </cell>
          <cell r="G17" t="str">
            <v>--</v>
          </cell>
          <cell r="H17" t="str">
            <v>--</v>
          </cell>
          <cell r="I17">
            <v>2.8817915768715299</v>
          </cell>
          <cell r="J17" t="str">
            <v>--</v>
          </cell>
          <cell r="K17" t="str">
            <v>--</v>
          </cell>
          <cell r="L17">
            <v>-0.458317886652502</v>
          </cell>
          <cell r="M17" t="str">
            <v>--</v>
          </cell>
        </row>
        <row r="18">
          <cell r="A18" t="str">
            <v>Period 12</v>
          </cell>
          <cell r="B18" t="str">
            <v>--</v>
          </cell>
          <cell r="C18">
            <v>-3.9490997399200798</v>
          </cell>
          <cell r="D18" t="str">
            <v>--</v>
          </cell>
          <cell r="E18" t="str">
            <v>--</v>
          </cell>
          <cell r="F18">
            <v>-7.44367036771777</v>
          </cell>
          <cell r="G18" t="str">
            <v>--</v>
          </cell>
          <cell r="H18" t="str">
            <v>--</v>
          </cell>
          <cell r="I18">
            <v>3.4945706277976898</v>
          </cell>
          <cell r="J18" t="str">
            <v>--</v>
          </cell>
          <cell r="K18" t="str">
            <v>--</v>
          </cell>
          <cell r="L18">
            <v>-1.84842610486798</v>
          </cell>
          <cell r="M18" t="str">
            <v>--</v>
          </cell>
        </row>
        <row r="19">
          <cell r="A19" t="str">
            <v>Period 13</v>
          </cell>
          <cell r="B19" t="str">
            <v>--</v>
          </cell>
          <cell r="C19">
            <v>-0.79921287222968995</v>
          </cell>
          <cell r="D19" t="str">
            <v>--</v>
          </cell>
          <cell r="E19" t="str">
            <v>--</v>
          </cell>
          <cell r="F19">
            <v>-3.37434021479377</v>
          </cell>
          <cell r="G19" t="str">
            <v>--</v>
          </cell>
          <cell r="H19" t="str">
            <v>--</v>
          </cell>
          <cell r="I19">
            <v>2.5751273425640799</v>
          </cell>
          <cell r="J19" t="str">
            <v>--</v>
          </cell>
          <cell r="K19" t="str">
            <v>--</v>
          </cell>
          <cell r="L19">
            <v>0.67637701852570598</v>
          </cell>
          <cell r="M19" t="str">
            <v>--</v>
          </cell>
        </row>
        <row r="21">
          <cell r="B21" t="str">
            <v>ALTRIA GROUP COOKIES PART II</v>
          </cell>
        </row>
        <row r="22">
          <cell r="B22" t="str">
            <v>Yr/Yr % Change</v>
          </cell>
        </row>
        <row r="23">
          <cell r="B23" t="str">
            <v>Sales</v>
          </cell>
          <cell r="E23" t="str">
            <v>Volume</v>
          </cell>
          <cell r="H23" t="str">
            <v>Price/Mix</v>
          </cell>
          <cell r="K23" t="str">
            <v>$ Merchandising</v>
          </cell>
          <cell r="N23" t="str">
            <v>$ Share</v>
          </cell>
        </row>
        <row r="24">
          <cell r="A24" t="str">
            <v>Date</v>
          </cell>
          <cell r="B24">
            <v>2004</v>
          </cell>
          <cell r="C24">
            <v>2005</v>
          </cell>
          <cell r="D24">
            <v>2006</v>
          </cell>
          <cell r="E24">
            <v>2004</v>
          </cell>
          <cell r="F24">
            <v>2005</v>
          </cell>
          <cell r="G24">
            <v>2006</v>
          </cell>
          <cell r="H24">
            <v>2004</v>
          </cell>
          <cell r="I24">
            <v>2005</v>
          </cell>
          <cell r="J24">
            <v>2006</v>
          </cell>
          <cell r="K24">
            <v>2004</v>
          </cell>
          <cell r="L24">
            <v>2005</v>
          </cell>
          <cell r="M24">
            <v>2006</v>
          </cell>
          <cell r="N24">
            <v>2004</v>
          </cell>
          <cell r="O24">
            <v>2005</v>
          </cell>
          <cell r="P24">
            <v>2006</v>
          </cell>
          <cell r="S24" t="str">
            <v>4 Week Sales</v>
          </cell>
          <cell r="AF24" t="str">
            <v>4 Week Price/Mix</v>
          </cell>
        </row>
        <row r="25">
          <cell r="A25" t="str">
            <v>Period 1</v>
          </cell>
          <cell r="B25" t="str">
            <v>--</v>
          </cell>
          <cell r="C25" t="str">
            <v>--</v>
          </cell>
          <cell r="D25">
            <v>-2.2236094732960399</v>
          </cell>
          <cell r="E25" t="str">
            <v>--</v>
          </cell>
          <cell r="F25" t="str">
            <v>--</v>
          </cell>
          <cell r="G25">
            <v>-6.2838663051884804</v>
          </cell>
          <cell r="H25" t="str">
            <v>--</v>
          </cell>
          <cell r="I25" t="str">
            <v>--</v>
          </cell>
          <cell r="J25">
            <v>4.0602568318924401</v>
          </cell>
          <cell r="K25" t="str">
            <v>--</v>
          </cell>
          <cell r="L25" t="str">
            <v>--</v>
          </cell>
          <cell r="M25">
            <v>1.56274890298405</v>
          </cell>
          <cell r="N25" t="str">
            <v>--</v>
          </cell>
          <cell r="O25">
            <v>38.055971195525402</v>
          </cell>
          <cell r="P25">
            <v>39.194455598683597</v>
          </cell>
        </row>
        <row r="26">
          <cell r="A26" t="str">
            <v>Period 2</v>
          </cell>
          <cell r="B26" t="str">
            <v>--</v>
          </cell>
          <cell r="C26" t="str">
            <v>--</v>
          </cell>
          <cell r="D26">
            <v>2.5398431122124201</v>
          </cell>
          <cell r="E26" t="str">
            <v>--</v>
          </cell>
          <cell r="F26" t="str">
            <v>--</v>
          </cell>
          <cell r="G26">
            <v>0.34293987611629301</v>
          </cell>
          <cell r="H26" t="str">
            <v>--</v>
          </cell>
          <cell r="I26" t="str">
            <v>--</v>
          </cell>
          <cell r="J26">
            <v>2.19690323609613</v>
          </cell>
          <cell r="K26" t="str">
            <v>--</v>
          </cell>
          <cell r="L26" t="str">
            <v>--</v>
          </cell>
          <cell r="M26">
            <v>-0.80128293607991496</v>
          </cell>
          <cell r="N26" t="str">
            <v>--</v>
          </cell>
          <cell r="O26">
            <v>36.428458227104997</v>
          </cell>
          <cell r="P26">
            <v>37.210010078503899</v>
          </cell>
          <cell r="T26" t="str">
            <v>CPB</v>
          </cell>
          <cell r="AG26" t="str">
            <v>CPB</v>
          </cell>
        </row>
        <row r="27">
          <cell r="A27" t="str">
            <v>Period 3</v>
          </cell>
          <cell r="B27" t="str">
            <v>--</v>
          </cell>
          <cell r="C27">
            <v>-1.69646608981848</v>
          </cell>
          <cell r="D27">
            <v>5.4684439654133801</v>
          </cell>
          <cell r="E27" t="str">
            <v>--</v>
          </cell>
          <cell r="F27">
            <v>-5.1057153568210998</v>
          </cell>
          <cell r="G27">
            <v>5.1926609045282497</v>
          </cell>
          <cell r="H27" t="str">
            <v>--</v>
          </cell>
          <cell r="I27">
            <v>3.40924926700262</v>
          </cell>
          <cell r="J27">
            <v>0.275783060885125</v>
          </cell>
          <cell r="K27" t="str">
            <v>--</v>
          </cell>
          <cell r="L27">
            <v>-3.7546749603995302</v>
          </cell>
          <cell r="M27">
            <v>2.40856518133889</v>
          </cell>
          <cell r="N27">
            <v>36.969634958415398</v>
          </cell>
          <cell r="O27">
            <v>35.394727433784801</v>
          </cell>
          <cell r="P27">
            <v>37.144762252469398</v>
          </cell>
          <cell r="S27" t="str">
            <v>Period 3-05</v>
          </cell>
          <cell r="T27">
            <v>-1.69646608981848</v>
          </cell>
          <cell r="AF27" t="str">
            <v>Period 3-05</v>
          </cell>
          <cell r="AG27">
            <v>3.40924926700262</v>
          </cell>
        </row>
        <row r="28">
          <cell r="A28" t="str">
            <v>Period 4</v>
          </cell>
          <cell r="B28" t="str">
            <v>--</v>
          </cell>
          <cell r="C28">
            <v>5.77543153855955</v>
          </cell>
          <cell r="D28">
            <v>-4.9193307681849401</v>
          </cell>
          <cell r="E28" t="str">
            <v>--</v>
          </cell>
          <cell r="F28">
            <v>7.5378898402063896</v>
          </cell>
          <cell r="G28">
            <v>-8.3310868461635295</v>
          </cell>
          <cell r="H28" t="str">
            <v>--</v>
          </cell>
          <cell r="I28">
            <v>-1.76245830164685</v>
          </cell>
          <cell r="J28">
            <v>3.4117560779785898</v>
          </cell>
          <cell r="K28" t="str">
            <v>--</v>
          </cell>
          <cell r="L28">
            <v>0.73673305078110496</v>
          </cell>
          <cell r="M28">
            <v>-2.9567870067538502</v>
          </cell>
          <cell r="N28">
            <v>36.155158539997501</v>
          </cell>
          <cell r="O28">
            <v>36.829936405690603</v>
          </cell>
          <cell r="P28">
            <v>36.127788532790298</v>
          </cell>
          <cell r="S28" t="str">
            <v>Period 4-05</v>
          </cell>
          <cell r="T28">
            <v>5.77543153855955</v>
          </cell>
          <cell r="AF28" t="str">
            <v>Period 4-05</v>
          </cell>
          <cell r="AG28">
            <v>-1.76245830164685</v>
          </cell>
        </row>
        <row r="29">
          <cell r="A29" t="str">
            <v>Period 5</v>
          </cell>
          <cell r="B29" t="str">
            <v>--</v>
          </cell>
          <cell r="C29">
            <v>2.6369844362726398</v>
          </cell>
          <cell r="D29">
            <v>-1.6312721096859299</v>
          </cell>
          <cell r="E29" t="str">
            <v>--</v>
          </cell>
          <cell r="F29">
            <v>0.98561479833739496</v>
          </cell>
          <cell r="G29">
            <v>-2.7315623800213502</v>
          </cell>
          <cell r="H29" t="str">
            <v>--</v>
          </cell>
          <cell r="I29">
            <v>1.6513696379352401</v>
          </cell>
          <cell r="J29">
            <v>1.10029027033542</v>
          </cell>
          <cell r="K29" t="str">
            <v>--</v>
          </cell>
          <cell r="L29">
            <v>-1.0161043731393899</v>
          </cell>
          <cell r="M29">
            <v>0.10169458734606</v>
          </cell>
          <cell r="N29">
            <v>38.266059260589998</v>
          </cell>
          <cell r="O29">
            <v>38.155483940202103</v>
          </cell>
          <cell r="P29">
            <v>38.309024575461997</v>
          </cell>
          <cell r="S29" t="str">
            <v>Period 5-05</v>
          </cell>
          <cell r="T29">
            <v>2.6369844362726398</v>
          </cell>
          <cell r="AF29" t="str">
            <v>Period 5-05</v>
          </cell>
          <cell r="AG29">
            <v>1.6513696379352401</v>
          </cell>
        </row>
        <row r="30">
          <cell r="A30" t="str">
            <v>Period 6</v>
          </cell>
          <cell r="B30" t="str">
            <v>--</v>
          </cell>
          <cell r="C30">
            <v>-1.78739680537838</v>
          </cell>
          <cell r="D30">
            <v>-0.36213288993649601</v>
          </cell>
          <cell r="E30" t="str">
            <v>--</v>
          </cell>
          <cell r="F30">
            <v>-3.3667931116644998</v>
          </cell>
          <cell r="G30">
            <v>-4.7999608103229496</v>
          </cell>
          <cell r="H30" t="str">
            <v>--</v>
          </cell>
          <cell r="I30">
            <v>1.57939630628612</v>
          </cell>
          <cell r="J30">
            <v>4.4378279203864501</v>
          </cell>
          <cell r="K30" t="str">
            <v>--</v>
          </cell>
          <cell r="L30">
            <v>-0.89450351738830103</v>
          </cell>
          <cell r="M30">
            <v>-1.93920231867443</v>
          </cell>
          <cell r="N30">
            <v>37.509642495040403</v>
          </cell>
          <cell r="O30">
            <v>36.433832805970603</v>
          </cell>
          <cell r="P30">
            <v>37.326724915835598</v>
          </cell>
          <cell r="S30" t="str">
            <v>Period 6-05</v>
          </cell>
          <cell r="T30">
            <v>-1.78739680537838</v>
          </cell>
          <cell r="AF30" t="str">
            <v>Period 6-05</v>
          </cell>
          <cell r="AG30">
            <v>1.57939630628612</v>
          </cell>
        </row>
        <row r="31">
          <cell r="A31" t="str">
            <v>Period 7</v>
          </cell>
          <cell r="B31" t="str">
            <v>--</v>
          </cell>
          <cell r="C31">
            <v>1.46361565640589</v>
          </cell>
          <cell r="D31">
            <v>-9.3705689182879998E-2</v>
          </cell>
          <cell r="E31" t="str">
            <v>--</v>
          </cell>
          <cell r="F31">
            <v>1.61128458449628</v>
          </cell>
          <cell r="G31">
            <v>-1.4337817915731801</v>
          </cell>
          <cell r="H31" t="str">
            <v>--</v>
          </cell>
          <cell r="I31">
            <v>-0.147668928090394</v>
          </cell>
          <cell r="J31">
            <v>1.3400761023903001</v>
          </cell>
          <cell r="K31" t="str">
            <v>--</v>
          </cell>
          <cell r="L31">
            <v>0.93754376845439702</v>
          </cell>
          <cell r="M31">
            <v>-2.35144632899503</v>
          </cell>
          <cell r="N31">
            <v>36.719346511989002</v>
          </cell>
          <cell r="O31">
            <v>37.214286125713102</v>
          </cell>
          <cell r="P31">
            <v>38.015294221065801</v>
          </cell>
          <cell r="S31" t="str">
            <v>Period 7-05</v>
          </cell>
          <cell r="T31">
            <v>1.46361565640589</v>
          </cell>
          <cell r="AF31" t="str">
            <v>Period 7-05</v>
          </cell>
          <cell r="AG31">
            <v>-0.147668928090394</v>
          </cell>
        </row>
        <row r="32">
          <cell r="A32" t="str">
            <v>Period 8</v>
          </cell>
          <cell r="B32" t="str">
            <v>--</v>
          </cell>
          <cell r="C32">
            <v>-3.6976582433420102</v>
          </cell>
          <cell r="D32">
            <v>1.38449778856507</v>
          </cell>
          <cell r="E32" t="str">
            <v>--</v>
          </cell>
          <cell r="F32">
            <v>-3.0517766719912802</v>
          </cell>
          <cell r="G32">
            <v>0.72938567301962098</v>
          </cell>
          <cell r="H32" t="str">
            <v>--</v>
          </cell>
          <cell r="I32">
            <v>-0.64588157135072699</v>
          </cell>
          <cell r="J32">
            <v>0.65511211554544901</v>
          </cell>
          <cell r="K32" t="str">
            <v>--</v>
          </cell>
          <cell r="L32">
            <v>1.28462759579416</v>
          </cell>
          <cell r="M32">
            <v>-0.80114777808541504</v>
          </cell>
          <cell r="N32">
            <v>38.2788009628661</v>
          </cell>
          <cell r="O32">
            <v>37.934711885112598</v>
          </cell>
          <cell r="P32">
            <v>38.471254679180603</v>
          </cell>
          <cell r="S32" t="str">
            <v>Period 8-05</v>
          </cell>
          <cell r="T32">
            <v>-3.6976582433420102</v>
          </cell>
          <cell r="AF32" t="str">
            <v>Period 8-05</v>
          </cell>
          <cell r="AG32">
            <v>-0.64588157135072699</v>
          </cell>
        </row>
        <row r="33">
          <cell r="A33" t="str">
            <v>Period 9</v>
          </cell>
          <cell r="B33" t="str">
            <v>--</v>
          </cell>
          <cell r="C33">
            <v>-1.64222562748001</v>
          </cell>
          <cell r="D33">
            <v>-0.163605055397581</v>
          </cell>
          <cell r="E33" t="str">
            <v>--</v>
          </cell>
          <cell r="F33">
            <v>0.71865645442380199</v>
          </cell>
          <cell r="G33">
            <v>-4.8112228639660399</v>
          </cell>
          <cell r="H33" t="str">
            <v>--</v>
          </cell>
          <cell r="I33">
            <v>-2.3608820819038199</v>
          </cell>
          <cell r="J33">
            <v>4.6476178085684596</v>
          </cell>
          <cell r="K33" t="str">
            <v>--</v>
          </cell>
          <cell r="L33">
            <v>2.1510496274106599</v>
          </cell>
          <cell r="M33">
            <v>4.8578173519295997E-2</v>
          </cell>
          <cell r="N33">
            <v>37.755993933622499</v>
          </cell>
          <cell r="O33">
            <v>37.969689166517803</v>
          </cell>
          <cell r="P33">
            <v>37.946927114135903</v>
          </cell>
          <cell r="S33" t="str">
            <v>Period 9-05</v>
          </cell>
          <cell r="T33">
            <v>-1.64222562748001</v>
          </cell>
          <cell r="AF33" t="str">
            <v>Period 9-05</v>
          </cell>
          <cell r="AG33">
            <v>-2.3608820819038199</v>
          </cell>
        </row>
        <row r="34">
          <cell r="A34" t="str">
            <v>Period 10</v>
          </cell>
          <cell r="B34" t="str">
            <v>--</v>
          </cell>
          <cell r="C34">
            <v>1.64098195839566</v>
          </cell>
          <cell r="D34" t="str">
            <v>--</v>
          </cell>
          <cell r="E34" t="str">
            <v>--</v>
          </cell>
          <cell r="F34">
            <v>2.0348084301403602</v>
          </cell>
          <cell r="G34" t="str">
            <v>--</v>
          </cell>
          <cell r="H34" t="str">
            <v>--</v>
          </cell>
          <cell r="I34">
            <v>-0.39382647174469998</v>
          </cell>
          <cell r="J34" t="str">
            <v>--</v>
          </cell>
          <cell r="K34" t="str">
            <v>--</v>
          </cell>
          <cell r="L34">
            <v>2.96082799172301</v>
          </cell>
          <cell r="M34" t="str">
            <v>--</v>
          </cell>
          <cell r="N34">
            <v>36.496098945913502</v>
          </cell>
          <cell r="O34">
            <v>37.689669155371099</v>
          </cell>
          <cell r="P34" t="str">
            <v>--</v>
          </cell>
          <cell r="S34" t="str">
            <v>Period 10-05</v>
          </cell>
          <cell r="T34">
            <v>1.64098195839566</v>
          </cell>
          <cell r="AF34" t="str">
            <v>Period 10-05</v>
          </cell>
          <cell r="AG34">
            <v>-0.39382647174469998</v>
          </cell>
        </row>
        <row r="35">
          <cell r="A35" t="str">
            <v>Period 11</v>
          </cell>
          <cell r="B35" t="str">
            <v>--</v>
          </cell>
          <cell r="C35">
            <v>-0.66730195054851105</v>
          </cell>
          <cell r="D35" t="str">
            <v>--</v>
          </cell>
          <cell r="E35" t="str">
            <v>--</v>
          </cell>
          <cell r="F35">
            <v>-1.4057166283095699</v>
          </cell>
          <cell r="G35" t="str">
            <v>--</v>
          </cell>
          <cell r="H35" t="str">
            <v>--</v>
          </cell>
          <cell r="I35">
            <v>0.73841467776105696</v>
          </cell>
          <cell r="J35" t="str">
            <v>--</v>
          </cell>
          <cell r="K35" t="str">
            <v>--</v>
          </cell>
          <cell r="L35">
            <v>0.77685364828511905</v>
          </cell>
          <cell r="M35" t="str">
            <v>--</v>
          </cell>
          <cell r="N35">
            <v>35.673552282366799</v>
          </cell>
          <cell r="O35">
            <v>36.240851569171902</v>
          </cell>
          <cell r="P35" t="str">
            <v>--</v>
          </cell>
          <cell r="S35" t="str">
            <v>Period 11-05</v>
          </cell>
          <cell r="T35">
            <v>-0.66730195054851105</v>
          </cell>
          <cell r="AF35" t="str">
            <v>Period 11-05</v>
          </cell>
          <cell r="AG35">
            <v>0.73841467776105696</v>
          </cell>
        </row>
        <row r="36">
          <cell r="A36" t="str">
            <v>Period 12</v>
          </cell>
          <cell r="B36" t="str">
            <v>--</v>
          </cell>
          <cell r="C36">
            <v>-3.90204695356642</v>
          </cell>
          <cell r="D36" t="str">
            <v>--</v>
          </cell>
          <cell r="E36" t="str">
            <v>--</v>
          </cell>
          <cell r="F36">
            <v>-4.3699530135298996</v>
          </cell>
          <cell r="G36" t="str">
            <v>--</v>
          </cell>
          <cell r="H36" t="str">
            <v>--</v>
          </cell>
          <cell r="I36">
            <v>0.467906059963479</v>
          </cell>
          <cell r="J36" t="str">
            <v>--</v>
          </cell>
          <cell r="K36" t="str">
            <v>--</v>
          </cell>
          <cell r="L36">
            <v>-1.3474585306237199</v>
          </cell>
          <cell r="M36" t="str">
            <v>--</v>
          </cell>
          <cell r="N36">
            <v>32.2904833163308</v>
          </cell>
          <cell r="O36">
            <v>32.3063015669523</v>
          </cell>
          <cell r="P36" t="str">
            <v>--</v>
          </cell>
          <cell r="S36" t="str">
            <v>Period 12-05</v>
          </cell>
          <cell r="T36">
            <v>-3.90204695356642</v>
          </cell>
          <cell r="AF36" t="str">
            <v>Period 12-05</v>
          </cell>
          <cell r="AG36">
            <v>0.467906059963479</v>
          </cell>
        </row>
        <row r="37">
          <cell r="A37" t="str">
            <v>Period 13</v>
          </cell>
          <cell r="B37" t="str">
            <v>--</v>
          </cell>
          <cell r="C37">
            <v>1.7888627791695499</v>
          </cell>
          <cell r="D37" t="str">
            <v>--</v>
          </cell>
          <cell r="E37" t="str">
            <v>--</v>
          </cell>
          <cell r="F37">
            <v>6.5368680829991002</v>
          </cell>
          <cell r="G37" t="str">
            <v>--</v>
          </cell>
          <cell r="H37" t="str">
            <v>--</v>
          </cell>
          <cell r="I37">
            <v>-4.74800530382955</v>
          </cell>
          <cell r="J37" t="str">
            <v>--</v>
          </cell>
          <cell r="K37" t="str">
            <v>--</v>
          </cell>
          <cell r="L37">
            <v>4.2675677392207501</v>
          </cell>
          <cell r="M37" t="str">
            <v>--</v>
          </cell>
          <cell r="N37">
            <v>27.628595175308099</v>
          </cell>
          <cell r="O37">
            <v>28.349404924161</v>
          </cell>
          <cell r="P37" t="str">
            <v>--</v>
          </cell>
          <cell r="S37" t="str">
            <v>Period 13-05</v>
          </cell>
          <cell r="T37">
            <v>1.7888627791695499</v>
          </cell>
          <cell r="AF37" t="str">
            <v>Period 13-05</v>
          </cell>
          <cell r="AG37">
            <v>-4.74800530382955</v>
          </cell>
        </row>
        <row r="38">
          <cell r="S38" t="str">
            <v>Period 1-06</v>
          </cell>
          <cell r="T38">
            <v>-2.2236094732960399</v>
          </cell>
          <cell r="AF38" t="str">
            <v>Period 1-06</v>
          </cell>
          <cell r="AG38">
            <v>4.0602568318924401</v>
          </cell>
        </row>
        <row r="39">
          <cell r="B39" t="str">
            <v>KELLOGG CO COOKIES</v>
          </cell>
          <cell r="S39" t="str">
            <v>Period 2-06</v>
          </cell>
          <cell r="T39">
            <v>2.5398431122124201</v>
          </cell>
          <cell r="AF39" t="str">
            <v>Period 2-06</v>
          </cell>
          <cell r="AG39">
            <v>2.19690323609613</v>
          </cell>
        </row>
        <row r="40">
          <cell r="B40" t="str">
            <v>Yr/Yr % Change</v>
          </cell>
          <cell r="S40" t="str">
            <v>Period 3-06</v>
          </cell>
          <cell r="T40">
            <v>5.4684439654133801</v>
          </cell>
          <cell r="AF40" t="str">
            <v>Period 3-06</v>
          </cell>
          <cell r="AG40">
            <v>0.275783060885125</v>
          </cell>
        </row>
        <row r="41">
          <cell r="B41" t="str">
            <v>Sales</v>
          </cell>
          <cell r="E41" t="str">
            <v>Volume</v>
          </cell>
          <cell r="H41" t="str">
            <v>Price/Mix</v>
          </cell>
          <cell r="K41" t="str">
            <v>$ Merchandising</v>
          </cell>
          <cell r="N41" t="str">
            <v>$ Share</v>
          </cell>
          <cell r="S41" t="str">
            <v>Period 4-06</v>
          </cell>
          <cell r="T41">
            <v>-4.9193307681849401</v>
          </cell>
          <cell r="AF41" t="str">
            <v>Period 4-06</v>
          </cell>
          <cell r="AG41">
            <v>3.4117560779785898</v>
          </cell>
        </row>
        <row r="42">
          <cell r="A42" t="str">
            <v>Date</v>
          </cell>
          <cell r="B42">
            <v>2004</v>
          </cell>
          <cell r="C42">
            <v>2005</v>
          </cell>
          <cell r="D42">
            <v>2006</v>
          </cell>
          <cell r="E42">
            <v>2004</v>
          </cell>
          <cell r="F42">
            <v>2005</v>
          </cell>
          <cell r="G42">
            <v>2006</v>
          </cell>
          <cell r="H42">
            <v>2004</v>
          </cell>
          <cell r="I42">
            <v>2005</v>
          </cell>
          <cell r="J42">
            <v>2006</v>
          </cell>
          <cell r="K42">
            <v>2004</v>
          </cell>
          <cell r="L42">
            <v>2005</v>
          </cell>
          <cell r="M42">
            <v>2006</v>
          </cell>
          <cell r="N42">
            <v>2004</v>
          </cell>
          <cell r="O42">
            <v>2005</v>
          </cell>
          <cell r="P42">
            <v>2006</v>
          </cell>
          <cell r="S42" t="str">
            <v>Period 5-06</v>
          </cell>
          <cell r="T42">
            <v>-1.6312721096859299</v>
          </cell>
          <cell r="AF42" t="str">
            <v>Period 5-06</v>
          </cell>
          <cell r="AG42">
            <v>1.10029027033542</v>
          </cell>
        </row>
        <row r="43">
          <cell r="A43" t="str">
            <v>Period 1</v>
          </cell>
          <cell r="B43" t="str">
            <v>--</v>
          </cell>
          <cell r="C43" t="str">
            <v>--</v>
          </cell>
          <cell r="D43">
            <v>-99.888294540081006</v>
          </cell>
          <cell r="E43" t="str">
            <v>--</v>
          </cell>
          <cell r="F43" t="str">
            <v>--</v>
          </cell>
          <cell r="G43">
            <v>-99.903280530128995</v>
          </cell>
          <cell r="H43" t="str">
            <v>--</v>
          </cell>
          <cell r="I43" t="str">
            <v>--</v>
          </cell>
          <cell r="J43">
            <v>1.4985990048046001E-2</v>
          </cell>
          <cell r="K43" t="str">
            <v>--</v>
          </cell>
          <cell r="L43" t="str">
            <v>--</v>
          </cell>
          <cell r="M43">
            <v>-9.8023030027248694</v>
          </cell>
          <cell r="N43" t="str">
            <v>--</v>
          </cell>
          <cell r="O43">
            <v>3.7486950381210001E-3</v>
          </cell>
          <cell r="P43">
            <v>4.4108505010000003E-6</v>
          </cell>
          <cell r="S43" t="str">
            <v>Period 6-06</v>
          </cell>
          <cell r="T43">
            <v>-0.36213288993649601</v>
          </cell>
          <cell r="AF43" t="str">
            <v>Period 6-06</v>
          </cell>
          <cell r="AG43">
            <v>4.4378279203864501</v>
          </cell>
        </row>
        <row r="44">
          <cell r="A44" t="str">
            <v>Period 2</v>
          </cell>
          <cell r="B44" t="str">
            <v>--</v>
          </cell>
          <cell r="C44" t="str">
            <v>--</v>
          </cell>
          <cell r="D44">
            <v>-100</v>
          </cell>
          <cell r="E44" t="str">
            <v>--</v>
          </cell>
          <cell r="F44" t="str">
            <v>--</v>
          </cell>
          <cell r="G44">
            <v>-100</v>
          </cell>
          <cell r="H44" t="str">
            <v>--</v>
          </cell>
          <cell r="I44" t="str">
            <v>--</v>
          </cell>
          <cell r="J44">
            <v>0</v>
          </cell>
          <cell r="K44" t="str">
            <v>--</v>
          </cell>
          <cell r="L44" t="str">
            <v>--</v>
          </cell>
          <cell r="M44" t="str">
            <v>--</v>
          </cell>
          <cell r="N44" t="str">
            <v>--</v>
          </cell>
          <cell r="O44">
            <v>1.4530055657790001E-3</v>
          </cell>
          <cell r="P44">
            <v>0</v>
          </cell>
          <cell r="S44" t="str">
            <v>Period 7-06</v>
          </cell>
          <cell r="T44">
            <v>-9.3705689182879998E-2</v>
          </cell>
          <cell r="AF44" t="str">
            <v>Period 7-06</v>
          </cell>
          <cell r="AG44">
            <v>1.3400761023903001</v>
          </cell>
        </row>
        <row r="45">
          <cell r="A45" t="str">
            <v>Period 3</v>
          </cell>
          <cell r="B45" t="str">
            <v>--</v>
          </cell>
          <cell r="C45">
            <v>274.65470962384001</v>
          </cell>
          <cell r="D45">
            <v>-100</v>
          </cell>
          <cell r="E45" t="str">
            <v>--</v>
          </cell>
          <cell r="F45">
            <v>291.52501696995398</v>
          </cell>
          <cell r="G45">
            <v>-100</v>
          </cell>
          <cell r="H45" t="str">
            <v>--</v>
          </cell>
          <cell r="I45">
            <v>-16.870307346114799</v>
          </cell>
          <cell r="J45">
            <v>0</v>
          </cell>
          <cell r="K45" t="str">
            <v>--</v>
          </cell>
          <cell r="L45">
            <v>0</v>
          </cell>
          <cell r="M45" t="str">
            <v>--</v>
          </cell>
          <cell r="N45">
            <v>1.65228925084E-4</v>
          </cell>
          <cell r="O45">
            <v>6.0289482102899997E-4</v>
          </cell>
          <cell r="P45">
            <v>0</v>
          </cell>
          <cell r="S45" t="str">
            <v>Period 8-06</v>
          </cell>
          <cell r="T45">
            <v>1.38449778856507</v>
          </cell>
          <cell r="AF45" t="str">
            <v>Period 8-06</v>
          </cell>
          <cell r="AG45">
            <v>0.65511211554544901</v>
          </cell>
        </row>
        <row r="46">
          <cell r="A46" t="str">
            <v>Period 4</v>
          </cell>
          <cell r="B46" t="str">
            <v>--</v>
          </cell>
          <cell r="C46">
            <v>1025.1927813601901</v>
          </cell>
          <cell r="D46">
            <v>-100</v>
          </cell>
          <cell r="E46" t="str">
            <v>--</v>
          </cell>
          <cell r="F46">
            <v>1023.8550037753801</v>
          </cell>
          <cell r="G46">
            <v>-100</v>
          </cell>
          <cell r="H46" t="str">
            <v>--</v>
          </cell>
          <cell r="I46">
            <v>1.3377775848136899</v>
          </cell>
          <cell r="J46">
            <v>0</v>
          </cell>
          <cell r="K46" t="str">
            <v>--</v>
          </cell>
          <cell r="L46">
            <v>1.0947260611357601</v>
          </cell>
          <cell r="M46" t="str">
            <v>--</v>
          </cell>
          <cell r="N46">
            <v>3.3624416063E-5</v>
          </cell>
          <cell r="O46">
            <v>3.6435738888399998E-4</v>
          </cell>
          <cell r="P46">
            <v>0</v>
          </cell>
          <cell r="S46" t="str">
            <v>Period 9-06</v>
          </cell>
          <cell r="T46">
            <v>-0.163605055397581</v>
          </cell>
          <cell r="AF46" t="str">
            <v>Period 9-06</v>
          </cell>
          <cell r="AG46">
            <v>4.6476178085684596</v>
          </cell>
        </row>
        <row r="47">
          <cell r="A47" t="str">
            <v>Period 5</v>
          </cell>
          <cell r="B47" t="str">
            <v>--</v>
          </cell>
          <cell r="C47">
            <v>7052.2757419367099</v>
          </cell>
          <cell r="D47">
            <v>-100</v>
          </cell>
          <cell r="E47" t="str">
            <v>--</v>
          </cell>
          <cell r="F47">
            <v>12269.3150389895</v>
          </cell>
          <cell r="G47">
            <v>-100</v>
          </cell>
          <cell r="H47" t="str">
            <v>--</v>
          </cell>
          <cell r="I47">
            <v>-5217.0392970527701</v>
          </cell>
          <cell r="J47">
            <v>0</v>
          </cell>
          <cell r="K47" t="str">
            <v>--</v>
          </cell>
          <cell r="L47">
            <v>4.7347792403721396</v>
          </cell>
          <cell r="M47" t="str">
            <v>--</v>
          </cell>
          <cell r="N47">
            <v>2.7394286477999999E-5</v>
          </cell>
          <cell r="O47">
            <v>1.9034592578740001E-3</v>
          </cell>
          <cell r="P47">
            <v>0</v>
          </cell>
          <cell r="S47" t="str">
            <v>Period 10-06</v>
          </cell>
          <cell r="T47" t="str">
            <v>--</v>
          </cell>
          <cell r="AF47" t="str">
            <v>Period 10-06</v>
          </cell>
          <cell r="AG47" t="str">
            <v>--</v>
          </cell>
        </row>
        <row r="48">
          <cell r="A48" t="str">
            <v>Period 6</v>
          </cell>
          <cell r="B48" t="str">
            <v>--</v>
          </cell>
          <cell r="C48">
            <v>-99.545065439752193</v>
          </cell>
          <cell r="D48">
            <v>-100</v>
          </cell>
          <cell r="E48" t="str">
            <v>--</v>
          </cell>
          <cell r="F48">
            <v>-99.4046199307449</v>
          </cell>
          <cell r="G48">
            <v>-100</v>
          </cell>
          <cell r="H48" t="str">
            <v>--</v>
          </cell>
          <cell r="I48">
            <v>-0.14044550900733599</v>
          </cell>
          <cell r="J48">
            <v>0</v>
          </cell>
          <cell r="K48" t="str">
            <v>--</v>
          </cell>
          <cell r="L48">
            <v>-34.275452520794502</v>
          </cell>
          <cell r="M48" t="str">
            <v>--</v>
          </cell>
          <cell r="N48">
            <v>8.2460413851574002E-2</v>
          </cell>
          <cell r="O48">
            <v>3.7101302297399999E-4</v>
          </cell>
          <cell r="P48">
            <v>0</v>
          </cell>
          <cell r="S48" t="str">
            <v>Period 11-06</v>
          </cell>
          <cell r="T48" t="str">
            <v>--</v>
          </cell>
          <cell r="AF48" t="str">
            <v>Period 11-06</v>
          </cell>
          <cell r="AG48" t="str">
            <v>--</v>
          </cell>
        </row>
        <row r="49">
          <cell r="A49" t="str">
            <v>Period 7</v>
          </cell>
          <cell r="B49" t="str">
            <v>--</v>
          </cell>
          <cell r="C49">
            <v>-99.830120112947</v>
          </cell>
          <cell r="D49">
            <v>-100</v>
          </cell>
          <cell r="E49" t="str">
            <v>--</v>
          </cell>
          <cell r="F49">
            <v>-99.850784700851804</v>
          </cell>
          <cell r="G49">
            <v>-100</v>
          </cell>
          <cell r="H49" t="str">
            <v>--</v>
          </cell>
          <cell r="I49">
            <v>2.0664587904888999E-2</v>
          </cell>
          <cell r="J49">
            <v>0</v>
          </cell>
          <cell r="K49" t="str">
            <v>--</v>
          </cell>
          <cell r="L49">
            <v>-55.397108751334102</v>
          </cell>
          <cell r="M49" t="str">
            <v>--</v>
          </cell>
          <cell r="N49">
            <v>0.193411065892406</v>
          </cell>
          <cell r="O49">
            <v>3.2819177780299999E-4</v>
          </cell>
          <cell r="P49">
            <v>0</v>
          </cell>
          <cell r="S49" t="str">
            <v>Period 12-06</v>
          </cell>
          <cell r="T49" t="str">
            <v>--</v>
          </cell>
          <cell r="AF49" t="str">
            <v>Period 12-06</v>
          </cell>
          <cell r="AG49" t="str">
            <v>--</v>
          </cell>
        </row>
        <row r="50">
          <cell r="A50" t="str">
            <v>Period 8</v>
          </cell>
          <cell r="B50" t="str">
            <v>--</v>
          </cell>
          <cell r="C50">
            <v>-99.883527106244003</v>
          </cell>
          <cell r="D50">
            <v>-96.942288471608705</v>
          </cell>
          <cell r="E50" t="str">
            <v>--</v>
          </cell>
          <cell r="F50">
            <v>-99.900089010017993</v>
          </cell>
          <cell r="G50">
            <v>-97.644322223782396</v>
          </cell>
          <cell r="H50" t="str">
            <v>--</v>
          </cell>
          <cell r="I50">
            <v>1.656190377399E-2</v>
          </cell>
          <cell r="J50">
            <v>0.70203375217369102</v>
          </cell>
          <cell r="K50" t="str">
            <v>--</v>
          </cell>
          <cell r="L50">
            <v>-57.553864629996497</v>
          </cell>
          <cell r="M50">
            <v>0</v>
          </cell>
          <cell r="N50">
            <v>0.18685991141425201</v>
          </cell>
          <cell r="O50">
            <v>2.2396627182300001E-4</v>
          </cell>
          <cell r="P50">
            <v>6.850261297E-6</v>
          </cell>
          <cell r="S50" t="str">
            <v>Period 13-06</v>
          </cell>
          <cell r="T50" t="str">
            <v>--</v>
          </cell>
          <cell r="AF50" t="str">
            <v>Period 13-06</v>
          </cell>
          <cell r="AG50" t="str">
            <v>--</v>
          </cell>
        </row>
        <row r="51">
          <cell r="A51" t="str">
            <v>Period 9</v>
          </cell>
          <cell r="B51" t="str">
            <v>--</v>
          </cell>
          <cell r="C51">
            <v>-99.770645080497701</v>
          </cell>
          <cell r="D51">
            <v>4313.7901917961999</v>
          </cell>
          <cell r="E51" t="str">
            <v>--</v>
          </cell>
          <cell r="F51">
            <v>-99.798983597934907</v>
          </cell>
          <cell r="G51">
            <v>3294.9905442458999</v>
          </cell>
          <cell r="H51" t="str">
            <v>--</v>
          </cell>
          <cell r="I51">
            <v>2.8338517437263001E-2</v>
          </cell>
          <cell r="J51">
            <v>1018.7996475503001</v>
          </cell>
          <cell r="K51" t="str">
            <v>--</v>
          </cell>
          <cell r="L51">
            <v>-55.137328500141997</v>
          </cell>
          <cell r="M51">
            <v>29.7596811493374</v>
          </cell>
          <cell r="N51">
            <v>0.15894002264025001</v>
          </cell>
          <cell r="O51">
            <v>3.72720921895E-4</v>
          </cell>
          <cell r="P51">
            <v>1.6468200191623001E-2</v>
          </cell>
        </row>
        <row r="52">
          <cell r="A52" t="str">
            <v>Period 10</v>
          </cell>
          <cell r="B52" t="str">
            <v>--</v>
          </cell>
          <cell r="C52">
            <v>-99.827939527024199</v>
          </cell>
          <cell r="D52" t="str">
            <v>--</v>
          </cell>
          <cell r="E52" t="str">
            <v>--</v>
          </cell>
          <cell r="F52">
            <v>-99.842656578078802</v>
          </cell>
          <cell r="G52" t="str">
            <v>--</v>
          </cell>
          <cell r="H52" t="str">
            <v>--</v>
          </cell>
          <cell r="I52">
            <v>1.4717051054602999E-2</v>
          </cell>
          <cell r="J52" t="str">
            <v>--</v>
          </cell>
          <cell r="K52" t="str">
            <v>--</v>
          </cell>
          <cell r="L52">
            <v>-37.574585051965698</v>
          </cell>
          <cell r="M52" t="str">
            <v>--</v>
          </cell>
          <cell r="N52">
            <v>0.120560565183914</v>
          </cell>
          <cell r="O52">
            <v>2.10762535881E-4</v>
          </cell>
          <cell r="P52" t="str">
            <v>--</v>
          </cell>
        </row>
        <row r="53">
          <cell r="A53" t="str">
            <v>Period 11</v>
          </cell>
          <cell r="B53" t="str">
            <v>--</v>
          </cell>
          <cell r="C53">
            <v>-99.960859283386</v>
          </cell>
          <cell r="D53" t="str">
            <v>--</v>
          </cell>
          <cell r="E53" t="str">
            <v>--</v>
          </cell>
          <cell r="F53">
            <v>-99.966011706628507</v>
          </cell>
          <cell r="G53" t="str">
            <v>--</v>
          </cell>
          <cell r="H53" t="str">
            <v>--</v>
          </cell>
          <cell r="I53">
            <v>5.152423242464E-3</v>
          </cell>
          <cell r="J53" t="str">
            <v>--</v>
          </cell>
          <cell r="K53" t="str">
            <v>--</v>
          </cell>
          <cell r="L53">
            <v>-53.195369559455997</v>
          </cell>
          <cell r="M53" t="str">
            <v>--</v>
          </cell>
          <cell r="N53">
            <v>0.118606651106568</v>
          </cell>
          <cell r="O53">
            <v>4.7478569021999999E-5</v>
          </cell>
          <cell r="P53" t="str">
            <v>--</v>
          </cell>
        </row>
        <row r="54">
          <cell r="A54" t="str">
            <v>Period 12</v>
          </cell>
          <cell r="B54" t="str">
            <v>--</v>
          </cell>
          <cell r="C54">
            <v>-99.828007249512396</v>
          </cell>
          <cell r="D54" t="str">
            <v>--</v>
          </cell>
          <cell r="E54" t="str">
            <v>--</v>
          </cell>
          <cell r="F54">
            <v>-99.836787747154304</v>
          </cell>
          <cell r="G54" t="str">
            <v>--</v>
          </cell>
          <cell r="H54" t="str">
            <v>--</v>
          </cell>
          <cell r="I54">
            <v>8.7804976419219999E-3</v>
          </cell>
          <cell r="J54" t="str">
            <v>--</v>
          </cell>
          <cell r="K54" t="str">
            <v>--</v>
          </cell>
          <cell r="L54">
            <v>-19.2613608642177</v>
          </cell>
          <cell r="M54" t="str">
            <v>--</v>
          </cell>
          <cell r="N54">
            <v>5.0941604580146002E-2</v>
          </cell>
          <cell r="O54">
            <v>9.1218163101999998E-5</v>
          </cell>
          <cell r="P54" t="str">
            <v>--</v>
          </cell>
        </row>
        <row r="55">
          <cell r="A55" t="str">
            <v>Period 13</v>
          </cell>
          <cell r="B55" t="str">
            <v>--</v>
          </cell>
          <cell r="C55">
            <v>-99.634530264941006</v>
          </cell>
          <cell r="D55" t="str">
            <v>--</v>
          </cell>
          <cell r="E55" t="str">
            <v>--</v>
          </cell>
          <cell r="F55">
            <v>-99.656074080287894</v>
          </cell>
          <cell r="G55" t="str">
            <v>--</v>
          </cell>
          <cell r="H55" t="str">
            <v>--</v>
          </cell>
          <cell r="I55">
            <v>2.1543815346817E-2</v>
          </cell>
          <cell r="J55" t="str">
            <v>--</v>
          </cell>
          <cell r="K55" t="str">
            <v>--</v>
          </cell>
          <cell r="L55">
            <v>-14.7475613802035</v>
          </cell>
          <cell r="M55" t="str">
            <v>--</v>
          </cell>
          <cell r="N55">
            <v>1.1887504312799E-2</v>
          </cell>
          <cell r="O55">
            <v>4.3795247774999997E-5</v>
          </cell>
          <cell r="P55" t="str">
            <v>--</v>
          </cell>
        </row>
        <row r="57">
          <cell r="B57" t="str">
            <v>CAMPBELL SOUP CO COOKIES</v>
          </cell>
        </row>
        <row r="58">
          <cell r="B58" t="str">
            <v>Yr/Yr % Change</v>
          </cell>
        </row>
        <row r="59">
          <cell r="B59" t="str">
            <v>Sales</v>
          </cell>
          <cell r="E59" t="str">
            <v>Volume</v>
          </cell>
          <cell r="H59" t="str">
            <v>Price/Mix</v>
          </cell>
          <cell r="K59" t="str">
            <v>$ Merchandising</v>
          </cell>
          <cell r="N59" t="str">
            <v>$ Share</v>
          </cell>
        </row>
        <row r="60">
          <cell r="A60" t="str">
            <v>Date</v>
          </cell>
          <cell r="B60">
            <v>2004</v>
          </cell>
          <cell r="C60">
            <v>2005</v>
          </cell>
          <cell r="D60">
            <v>2006</v>
          </cell>
          <cell r="E60">
            <v>2004</v>
          </cell>
          <cell r="F60">
            <v>2005</v>
          </cell>
          <cell r="G60">
            <v>2006</v>
          </cell>
          <cell r="H60">
            <v>2004</v>
          </cell>
          <cell r="I60">
            <v>2005</v>
          </cell>
          <cell r="J60">
            <v>2006</v>
          </cell>
          <cell r="K60">
            <v>2004</v>
          </cell>
          <cell r="L60">
            <v>2005</v>
          </cell>
          <cell r="M60">
            <v>2006</v>
          </cell>
          <cell r="N60">
            <v>2004</v>
          </cell>
          <cell r="O60">
            <v>2005</v>
          </cell>
          <cell r="P60">
            <v>2006</v>
          </cell>
        </row>
        <row r="61">
          <cell r="A61" t="str">
            <v>Period 1</v>
          </cell>
          <cell r="B61" t="str">
            <v>--</v>
          </cell>
          <cell r="C61" t="str">
            <v>--</v>
          </cell>
          <cell r="D61">
            <v>-6.4666414211723504</v>
          </cell>
          <cell r="E61" t="str">
            <v>--</v>
          </cell>
          <cell r="F61" t="str">
            <v>--</v>
          </cell>
          <cell r="G61">
            <v>-4.7729073231093597</v>
          </cell>
          <cell r="H61" t="str">
            <v>--</v>
          </cell>
          <cell r="I61" t="str">
            <v>--</v>
          </cell>
          <cell r="J61">
            <v>-1.693734098063</v>
          </cell>
          <cell r="K61" t="str">
            <v>--</v>
          </cell>
          <cell r="L61" t="str">
            <v>--</v>
          </cell>
          <cell r="M61">
            <v>-2.2869310209824598</v>
          </cell>
          <cell r="N61" t="str">
            <v>--</v>
          </cell>
          <cell r="O61">
            <v>6.7455121475692597</v>
          </cell>
          <cell r="P61">
            <v>6.6458308562911999</v>
          </cell>
        </row>
        <row r="62">
          <cell r="A62" t="str">
            <v>Period 2</v>
          </cell>
          <cell r="B62" t="str">
            <v>--</v>
          </cell>
          <cell r="C62" t="str">
            <v>--</v>
          </cell>
          <cell r="D62">
            <v>1.56348657453467</v>
          </cell>
          <cell r="E62" t="str">
            <v>--</v>
          </cell>
          <cell r="F62" t="str">
            <v>--</v>
          </cell>
          <cell r="G62">
            <v>4.2502637308771698</v>
          </cell>
          <cell r="H62" t="str">
            <v>--</v>
          </cell>
          <cell r="I62" t="str">
            <v>--</v>
          </cell>
          <cell r="J62">
            <v>-2.6867771563425</v>
          </cell>
          <cell r="K62" t="str">
            <v>--</v>
          </cell>
          <cell r="L62" t="str">
            <v>--</v>
          </cell>
          <cell r="M62">
            <v>-4.4994467589959002E-2</v>
          </cell>
          <cell r="N62" t="str">
            <v>--</v>
          </cell>
          <cell r="O62">
            <v>7.4847911615357798</v>
          </cell>
          <cell r="P62">
            <v>7.5725759324238799</v>
          </cell>
        </row>
        <row r="63">
          <cell r="A63" t="str">
            <v>Period 3</v>
          </cell>
          <cell r="B63" t="str">
            <v>--</v>
          </cell>
          <cell r="C63">
            <v>23.45294494266</v>
          </cell>
          <cell r="D63">
            <v>-2.0115567447653699</v>
          </cell>
          <cell r="E63" t="str">
            <v>--</v>
          </cell>
          <cell r="F63">
            <v>22.286142963097301</v>
          </cell>
          <cell r="G63">
            <v>-0.913573934119428</v>
          </cell>
          <cell r="H63" t="str">
            <v>--</v>
          </cell>
          <cell r="I63">
            <v>1.1668019795626701</v>
          </cell>
          <cell r="J63">
            <v>-1.0979828106459499</v>
          </cell>
          <cell r="K63" t="str">
            <v>--</v>
          </cell>
          <cell r="L63">
            <v>6.5965147926880698</v>
          </cell>
          <cell r="M63">
            <v>-0.73567470653881595</v>
          </cell>
          <cell r="N63">
            <v>6.2331773448910504</v>
          </cell>
          <cell r="O63">
            <v>7.4943714965922998</v>
          </cell>
          <cell r="P63">
            <v>7.30712517976146</v>
          </cell>
        </row>
        <row r="64">
          <cell r="A64" t="str">
            <v>Period 4</v>
          </cell>
          <cell r="B64" t="str">
            <v>--</v>
          </cell>
          <cell r="C64">
            <v>16.4761424667794</v>
          </cell>
          <cell r="D64">
            <v>-10.2553824813078</v>
          </cell>
          <cell r="E64" t="str">
            <v>--</v>
          </cell>
          <cell r="F64">
            <v>11.7347919513882</v>
          </cell>
          <cell r="G64">
            <v>-12.150117560580499</v>
          </cell>
          <cell r="H64" t="str">
            <v>--</v>
          </cell>
          <cell r="I64">
            <v>4.7413505153911304</v>
          </cell>
          <cell r="J64">
            <v>1.89473507927277</v>
          </cell>
          <cell r="K64" t="str">
            <v>--</v>
          </cell>
          <cell r="L64">
            <v>1.91635566519411</v>
          </cell>
          <cell r="M64">
            <v>-8.6917688684251395</v>
          </cell>
          <cell r="N64">
            <v>6.8031729906385703</v>
          </cell>
          <cell r="O64">
            <v>7.6312272424248597</v>
          </cell>
          <cell r="P64">
            <v>7.0656313851825798</v>
          </cell>
        </row>
        <row r="65">
          <cell r="A65" t="str">
            <v>Period 5</v>
          </cell>
          <cell r="B65" t="str">
            <v>--</v>
          </cell>
          <cell r="C65">
            <v>8.2556991329224196</v>
          </cell>
          <cell r="D65">
            <v>5.0428238382245896</v>
          </cell>
          <cell r="E65" t="str">
            <v>--</v>
          </cell>
          <cell r="F65">
            <v>2.6444993740727001</v>
          </cell>
          <cell r="G65">
            <v>5.73864488923852</v>
          </cell>
          <cell r="H65" t="str">
            <v>--</v>
          </cell>
          <cell r="I65">
            <v>5.61119975884972</v>
          </cell>
          <cell r="J65">
            <v>-0.69582105101392699</v>
          </cell>
          <cell r="K65" t="str">
            <v>--</v>
          </cell>
          <cell r="L65">
            <v>-4.7871467116376802</v>
          </cell>
          <cell r="M65">
            <v>2.27816962874524</v>
          </cell>
          <cell r="N65">
            <v>6.6257696305516696</v>
          </cell>
          <cell r="O65">
            <v>6.9682936503424697</v>
          </cell>
          <cell r="P65">
            <v>7.4710201025691099</v>
          </cell>
        </row>
        <row r="66">
          <cell r="A66" t="str">
            <v>Period 6</v>
          </cell>
          <cell r="B66" t="str">
            <v>--</v>
          </cell>
          <cell r="C66">
            <v>8.3970609889666505</v>
          </cell>
          <cell r="D66">
            <v>5.2834728171934504</v>
          </cell>
          <cell r="E66" t="str">
            <v>--</v>
          </cell>
          <cell r="F66">
            <v>0.266181033105089</v>
          </cell>
          <cell r="G66">
            <v>9.0375564814361091</v>
          </cell>
          <cell r="H66" t="str">
            <v>--</v>
          </cell>
          <cell r="I66">
            <v>8.1308799558615608</v>
          </cell>
          <cell r="J66">
            <v>-3.7540836642426498</v>
          </cell>
          <cell r="K66" t="str">
            <v>--</v>
          </cell>
          <cell r="L66">
            <v>-5.7790136552517604</v>
          </cell>
          <cell r="M66">
            <v>2.7494253120083201</v>
          </cell>
          <cell r="N66">
            <v>6.3645408980649902</v>
          </cell>
          <cell r="O66">
            <v>6.8230617601608996</v>
          </cell>
          <cell r="P66">
            <v>7.3863538168598204</v>
          </cell>
        </row>
        <row r="67">
          <cell r="A67" t="str">
            <v>Period 7</v>
          </cell>
          <cell r="B67" t="str">
            <v>--</v>
          </cell>
          <cell r="C67">
            <v>1.9257195311873601</v>
          </cell>
          <cell r="D67">
            <v>-1.54777923983932</v>
          </cell>
          <cell r="E67" t="str">
            <v>--</v>
          </cell>
          <cell r="F67">
            <v>-8.6814574507606608</v>
          </cell>
          <cell r="G67">
            <v>3.2534983605816401</v>
          </cell>
          <cell r="H67" t="str">
            <v>--</v>
          </cell>
          <cell r="I67">
            <v>10.607176981947999</v>
          </cell>
          <cell r="J67">
            <v>-4.8012776004209599</v>
          </cell>
          <cell r="K67" t="str">
            <v>--</v>
          </cell>
          <cell r="L67">
            <v>-12.223878038495201</v>
          </cell>
          <cell r="M67">
            <v>-0.64500559792586298</v>
          </cell>
          <cell r="N67">
            <v>6.6011321520569401</v>
          </cell>
          <cell r="O67">
            <v>6.7205780282636001</v>
          </cell>
          <cell r="P67">
            <v>6.7653139890028102</v>
          </cell>
        </row>
        <row r="68">
          <cell r="A68" t="str">
            <v>Period 8</v>
          </cell>
          <cell r="B68" t="str">
            <v>--</v>
          </cell>
          <cell r="C68">
            <v>-2.6649414168872201</v>
          </cell>
          <cell r="D68">
            <v>10.328424768150199</v>
          </cell>
          <cell r="E68" t="str">
            <v>--</v>
          </cell>
          <cell r="F68">
            <v>-12.6179724809004</v>
          </cell>
          <cell r="G68">
            <v>13.331602781608201</v>
          </cell>
          <cell r="H68" t="str">
            <v>--</v>
          </cell>
          <cell r="I68">
            <v>9.9530310640131496</v>
          </cell>
          <cell r="J68">
            <v>-3.00317801345797</v>
          </cell>
          <cell r="K68" t="str">
            <v>--</v>
          </cell>
          <cell r="L68">
            <v>-11.038782145668799</v>
          </cell>
          <cell r="M68">
            <v>1.73392874045095</v>
          </cell>
          <cell r="N68">
            <v>6.66956744183239</v>
          </cell>
          <cell r="O68">
            <v>6.68049401954584</v>
          </cell>
          <cell r="P68">
            <v>7.3726565534451201</v>
          </cell>
        </row>
        <row r="69">
          <cell r="A69" t="str">
            <v>Period 9</v>
          </cell>
          <cell r="B69" t="str">
            <v>--</v>
          </cell>
          <cell r="C69">
            <v>4.8331105624536201</v>
          </cell>
          <cell r="D69">
            <v>7.32394472688833</v>
          </cell>
          <cell r="E69" t="str">
            <v>--</v>
          </cell>
          <cell r="F69">
            <v>-0.53104832501620802</v>
          </cell>
          <cell r="G69">
            <v>10.7485146985171</v>
          </cell>
          <cell r="H69" t="str">
            <v>--</v>
          </cell>
          <cell r="I69">
            <v>5.3641588874698201</v>
          </cell>
          <cell r="J69">
            <v>-3.4245699716287299</v>
          </cell>
          <cell r="K69" t="str">
            <v>--</v>
          </cell>
          <cell r="L69">
            <v>5.1530358312501603</v>
          </cell>
          <cell r="M69">
            <v>1.72940145515683</v>
          </cell>
          <cell r="N69">
            <v>6.7344788775900097</v>
          </cell>
          <cell r="O69">
            <v>7.2184658882401704</v>
          </cell>
          <cell r="P69">
            <v>7.7551859628689304</v>
          </cell>
        </row>
        <row r="70">
          <cell r="A70" t="str">
            <v>Period 10</v>
          </cell>
          <cell r="B70" t="str">
            <v>--</v>
          </cell>
          <cell r="C70">
            <v>-2.11564826848524</v>
          </cell>
          <cell r="D70" t="str">
            <v>--</v>
          </cell>
          <cell r="E70" t="str">
            <v>--</v>
          </cell>
          <cell r="F70">
            <v>-6.8194889544839601</v>
          </cell>
          <cell r="G70" t="str">
            <v>--</v>
          </cell>
          <cell r="H70" t="str">
            <v>--</v>
          </cell>
          <cell r="I70">
            <v>4.7038406859987196</v>
          </cell>
          <cell r="J70" t="str">
            <v>--</v>
          </cell>
          <cell r="K70" t="str">
            <v>--</v>
          </cell>
          <cell r="L70">
            <v>-0.45474366014415302</v>
          </cell>
          <cell r="M70" t="str">
            <v>--</v>
          </cell>
          <cell r="N70">
            <v>7.3916121243503401</v>
          </cell>
          <cell r="O70">
            <v>7.3512207731747301</v>
          </cell>
          <cell r="P70" t="str">
            <v>--</v>
          </cell>
        </row>
        <row r="71">
          <cell r="A71" t="str">
            <v>Period 11</v>
          </cell>
          <cell r="B71" t="str">
            <v>--</v>
          </cell>
          <cell r="C71">
            <v>-0.38187134535554301</v>
          </cell>
          <cell r="D71" t="str">
            <v>--</v>
          </cell>
          <cell r="E71" t="str">
            <v>--</v>
          </cell>
          <cell r="F71">
            <v>-0.46355959746994102</v>
          </cell>
          <cell r="G71" t="str">
            <v>--</v>
          </cell>
          <cell r="H71" t="str">
            <v>--</v>
          </cell>
          <cell r="I71">
            <v>8.1688252114396995E-2</v>
          </cell>
          <cell r="J71" t="str">
            <v>--</v>
          </cell>
          <cell r="K71" t="str">
            <v>--</v>
          </cell>
          <cell r="L71">
            <v>-3.1885151932497098</v>
          </cell>
          <cell r="M71" t="str">
            <v>--</v>
          </cell>
          <cell r="N71">
            <v>7.1607799061756596</v>
          </cell>
          <cell r="O71">
            <v>7.29555791330072</v>
          </cell>
          <cell r="P71" t="str">
            <v>--</v>
          </cell>
        </row>
        <row r="72">
          <cell r="A72" t="str">
            <v>Period 12</v>
          </cell>
          <cell r="B72" t="str">
            <v>--</v>
          </cell>
          <cell r="C72">
            <v>-5.4584297180486798</v>
          </cell>
          <cell r="D72" t="str">
            <v>--</v>
          </cell>
          <cell r="E72" t="str">
            <v>--</v>
          </cell>
          <cell r="F72">
            <v>-8.5270842123644393</v>
          </cell>
          <cell r="G72" t="str">
            <v>--</v>
          </cell>
          <cell r="H72" t="str">
            <v>--</v>
          </cell>
          <cell r="I72">
            <v>3.0686544943157599</v>
          </cell>
          <cell r="J72" t="str">
            <v>--</v>
          </cell>
          <cell r="K72" t="str">
            <v>--</v>
          </cell>
          <cell r="L72">
            <v>-6.4438626359175002</v>
          </cell>
          <cell r="M72" t="str">
            <v>--</v>
          </cell>
          <cell r="N72">
            <v>8.9304905729570105</v>
          </cell>
          <cell r="O72">
            <v>8.7901581335455994</v>
          </cell>
          <cell r="P72" t="str">
            <v>--</v>
          </cell>
        </row>
        <row r="73">
          <cell r="A73" t="str">
            <v>Period 13</v>
          </cell>
          <cell r="B73" t="str">
            <v>--</v>
          </cell>
          <cell r="C73">
            <v>-0.82746928313619295</v>
          </cell>
          <cell r="D73" t="str">
            <v>--</v>
          </cell>
          <cell r="E73" t="str">
            <v>--</v>
          </cell>
          <cell r="F73">
            <v>-5.4647281088107196</v>
          </cell>
          <cell r="G73" t="str">
            <v>--</v>
          </cell>
          <cell r="H73" t="str">
            <v>--</v>
          </cell>
          <cell r="I73">
            <v>4.6372588256745297</v>
          </cell>
          <cell r="J73" t="str">
            <v>--</v>
          </cell>
          <cell r="K73" t="str">
            <v>--</v>
          </cell>
          <cell r="L73">
            <v>-1.0621309444601501</v>
          </cell>
          <cell r="M73" t="str">
            <v>--</v>
          </cell>
          <cell r="N73">
            <v>9.5208163807648702</v>
          </cell>
          <cell r="O73">
            <v>9.5181044657931295</v>
          </cell>
          <cell r="P73" t="str">
            <v>--</v>
          </cell>
        </row>
        <row r="75">
          <cell r="B75" t="str">
            <v>PRIVATE LABEL COOKIES</v>
          </cell>
        </row>
        <row r="76">
          <cell r="B76" t="str">
            <v>Yr/Yr % Change</v>
          </cell>
        </row>
        <row r="77">
          <cell r="B77" t="str">
            <v>Sales</v>
          </cell>
          <cell r="E77" t="str">
            <v>Volume</v>
          </cell>
          <cell r="H77" t="str">
            <v>Price/Mix</v>
          </cell>
          <cell r="K77" t="str">
            <v>$ Merchandising</v>
          </cell>
          <cell r="N77" t="str">
            <v>$ Share</v>
          </cell>
        </row>
        <row r="78">
          <cell r="A78" t="str">
            <v>Date</v>
          </cell>
          <cell r="B78">
            <v>2004</v>
          </cell>
          <cell r="C78">
            <v>2005</v>
          </cell>
          <cell r="D78">
            <v>2006</v>
          </cell>
          <cell r="E78">
            <v>2004</v>
          </cell>
          <cell r="F78">
            <v>2005</v>
          </cell>
          <cell r="G78">
            <v>2006</v>
          </cell>
          <cell r="H78">
            <v>2004</v>
          </cell>
          <cell r="I78">
            <v>2005</v>
          </cell>
          <cell r="J78">
            <v>2006</v>
          </cell>
          <cell r="K78">
            <v>2004</v>
          </cell>
          <cell r="L78">
            <v>2005</v>
          </cell>
          <cell r="M78">
            <v>2006</v>
          </cell>
          <cell r="N78">
            <v>2004</v>
          </cell>
          <cell r="O78">
            <v>2005</v>
          </cell>
          <cell r="P78">
            <v>2006</v>
          </cell>
        </row>
        <row r="79">
          <cell r="A79" t="str">
            <v>Period 1</v>
          </cell>
          <cell r="B79" t="str">
            <v>--</v>
          </cell>
          <cell r="C79" t="str">
            <v>--</v>
          </cell>
          <cell r="D79">
            <v>-6.5058774316841097</v>
          </cell>
          <cell r="E79" t="str">
            <v>--</v>
          </cell>
          <cell r="F79" t="str">
            <v>--</v>
          </cell>
          <cell r="G79">
            <v>-12.953581091490801</v>
          </cell>
          <cell r="H79" t="str">
            <v>--</v>
          </cell>
          <cell r="I79" t="str">
            <v>--</v>
          </cell>
          <cell r="J79">
            <v>6.4477036598067299</v>
          </cell>
          <cell r="K79" t="str">
            <v>--</v>
          </cell>
          <cell r="L79" t="str">
            <v>--</v>
          </cell>
          <cell r="M79">
            <v>-2.3752406273295299</v>
          </cell>
          <cell r="N79" t="str">
            <v>--</v>
          </cell>
          <cell r="O79">
            <v>10.472989232326499</v>
          </cell>
          <cell r="P79">
            <v>10.313897073220501</v>
          </cell>
        </row>
        <row r="80">
          <cell r="A80" t="str">
            <v>Period 2</v>
          </cell>
          <cell r="B80" t="str">
            <v>--</v>
          </cell>
          <cell r="C80" t="str">
            <v>--</v>
          </cell>
          <cell r="D80">
            <v>0.98840194744034604</v>
          </cell>
          <cell r="E80" t="str">
            <v>--</v>
          </cell>
          <cell r="F80" t="str">
            <v>--</v>
          </cell>
          <cell r="G80">
            <v>-2.5344448314646599</v>
          </cell>
          <cell r="H80" t="str">
            <v>--</v>
          </cell>
          <cell r="I80" t="str">
            <v>--</v>
          </cell>
          <cell r="J80">
            <v>3.522846778905</v>
          </cell>
          <cell r="K80" t="str">
            <v>--</v>
          </cell>
          <cell r="L80" t="str">
            <v>--</v>
          </cell>
          <cell r="M80">
            <v>-0.17439531474473599</v>
          </cell>
          <cell r="N80" t="str">
            <v>--</v>
          </cell>
          <cell r="O80">
            <v>10.7640533540131</v>
          </cell>
          <cell r="P80">
            <v>10.8286343674365</v>
          </cell>
        </row>
        <row r="81">
          <cell r="A81" t="str">
            <v>Period 3</v>
          </cell>
          <cell r="B81" t="str">
            <v>--</v>
          </cell>
          <cell r="C81">
            <v>15.859323422498999</v>
          </cell>
          <cell r="D81">
            <v>1.4446303737897901</v>
          </cell>
          <cell r="E81" t="str">
            <v>--</v>
          </cell>
          <cell r="F81">
            <v>12.3454639552644</v>
          </cell>
          <cell r="G81">
            <v>-2.1554765553722901</v>
          </cell>
          <cell r="H81" t="str">
            <v>--</v>
          </cell>
          <cell r="I81">
            <v>3.5138594672346399</v>
          </cell>
          <cell r="J81">
            <v>3.60010692916208</v>
          </cell>
          <cell r="K81" t="str">
            <v>--</v>
          </cell>
          <cell r="L81">
            <v>8.1435738162270006</v>
          </cell>
          <cell r="M81">
            <v>2.02193274727043</v>
          </cell>
          <cell r="N81">
            <v>9.8845881814029308</v>
          </cell>
          <cell r="O81">
            <v>11.153568724379101</v>
          </cell>
          <cell r="P81">
            <v>11.258470227383301</v>
          </cell>
        </row>
        <row r="82">
          <cell r="A82" t="str">
            <v>Period 4</v>
          </cell>
          <cell r="B82" t="str">
            <v>--</v>
          </cell>
          <cell r="C82">
            <v>10.940674715317099</v>
          </cell>
          <cell r="D82">
            <v>-0.73075365400583203</v>
          </cell>
          <cell r="E82" t="str">
            <v>--</v>
          </cell>
          <cell r="F82">
            <v>11.941859576664401</v>
          </cell>
          <cell r="G82">
            <v>-8.5310111952352798</v>
          </cell>
          <cell r="H82" t="str">
            <v>--</v>
          </cell>
          <cell r="I82">
            <v>-1.00118486134732</v>
          </cell>
          <cell r="J82">
            <v>7.8002575412294499</v>
          </cell>
          <cell r="K82" t="str">
            <v>--</v>
          </cell>
          <cell r="L82">
            <v>4.6776600467140002</v>
          </cell>
          <cell r="M82">
            <v>-3.12065485415288</v>
          </cell>
          <cell r="N82">
            <v>9.76520069126944</v>
          </cell>
          <cell r="O82">
            <v>10.4332080767819</v>
          </cell>
          <cell r="P82">
            <v>10.685153684062101</v>
          </cell>
        </row>
        <row r="83">
          <cell r="A83" t="str">
            <v>Period 5</v>
          </cell>
          <cell r="B83" t="str">
            <v>--</v>
          </cell>
          <cell r="C83">
            <v>15.485623513213699</v>
          </cell>
          <cell r="D83">
            <v>4.5126222392203301</v>
          </cell>
          <cell r="E83" t="str">
            <v>--</v>
          </cell>
          <cell r="F83">
            <v>9.3166749613144404</v>
          </cell>
          <cell r="G83">
            <v>-1.4224570330375901</v>
          </cell>
          <cell r="H83" t="str">
            <v>--</v>
          </cell>
          <cell r="I83">
            <v>6.1689485518992697</v>
          </cell>
          <cell r="J83">
            <v>5.9350792722579202</v>
          </cell>
          <cell r="K83" t="str">
            <v>--</v>
          </cell>
          <cell r="L83">
            <v>3.0624900911444199</v>
          </cell>
          <cell r="M83">
            <v>0.28663587412469799</v>
          </cell>
          <cell r="N83">
            <v>9.7387882248771298</v>
          </cell>
          <cell r="O83">
            <v>10.9262765448381</v>
          </cell>
          <cell r="P83">
            <v>11.6554220847305</v>
          </cell>
        </row>
        <row r="84">
          <cell r="A84" t="str">
            <v>Period 6</v>
          </cell>
          <cell r="B84" t="str">
            <v>--</v>
          </cell>
          <cell r="C84">
            <v>8.9630846210711805</v>
          </cell>
          <cell r="D84">
            <v>2.8669728295872798</v>
          </cell>
          <cell r="E84" t="str">
            <v>--</v>
          </cell>
          <cell r="F84">
            <v>4.3993316241233504</v>
          </cell>
          <cell r="G84">
            <v>-4.21477095415361</v>
          </cell>
          <cell r="H84" t="str">
            <v>--</v>
          </cell>
          <cell r="I84">
            <v>4.5637529969478203</v>
          </cell>
          <cell r="J84">
            <v>7.0817437837408903</v>
          </cell>
          <cell r="K84" t="str">
            <v>--</v>
          </cell>
          <cell r="L84">
            <v>3.94823731375473</v>
          </cell>
          <cell r="M84">
            <v>-5.1107113093385097</v>
          </cell>
          <cell r="N84">
            <v>10.441512542186601</v>
          </cell>
          <cell r="O84">
            <v>11.252201928021901</v>
          </cell>
          <cell r="P84">
            <v>11.901565188673001</v>
          </cell>
        </row>
        <row r="85">
          <cell r="A85" t="str">
            <v>Period 7</v>
          </cell>
          <cell r="B85" t="str">
            <v>--</v>
          </cell>
          <cell r="C85">
            <v>4.1050536154336301</v>
          </cell>
          <cell r="D85">
            <v>6.5469351935088502</v>
          </cell>
          <cell r="E85" t="str">
            <v>--</v>
          </cell>
          <cell r="F85">
            <v>-0.60105350003728297</v>
          </cell>
          <cell r="G85">
            <v>-1.97877091285075</v>
          </cell>
          <cell r="H85" t="str">
            <v>--</v>
          </cell>
          <cell r="I85">
            <v>4.7061071154709104</v>
          </cell>
          <cell r="J85">
            <v>8.5257061063595891</v>
          </cell>
          <cell r="K85" t="str">
            <v>--</v>
          </cell>
          <cell r="L85">
            <v>0.28389436308891902</v>
          </cell>
          <cell r="M85">
            <v>-0.15677335945797199</v>
          </cell>
          <cell r="N85">
            <v>10.712527046771299</v>
          </cell>
          <cell r="O85">
            <v>11.139563106278301</v>
          </cell>
          <cell r="P85">
            <v>12.1357028245955</v>
          </cell>
        </row>
        <row r="86">
          <cell r="A86" t="str">
            <v>Period 8</v>
          </cell>
          <cell r="B86" t="str">
            <v>--</v>
          </cell>
          <cell r="C86">
            <v>3.7822494661546902</v>
          </cell>
          <cell r="D86">
            <v>5.4240845597859604</v>
          </cell>
          <cell r="E86" t="str">
            <v>--</v>
          </cell>
          <cell r="F86">
            <v>1.4201263898796801</v>
          </cell>
          <cell r="G86">
            <v>-1.25719116880657</v>
          </cell>
          <cell r="H86" t="str">
            <v>--</v>
          </cell>
          <cell r="I86">
            <v>2.3621230762750001</v>
          </cell>
          <cell r="J86">
            <v>6.6812757285925297</v>
          </cell>
          <cell r="K86" t="str">
            <v>--</v>
          </cell>
          <cell r="L86">
            <v>0.87612363677923399</v>
          </cell>
          <cell r="M86">
            <v>-2.4840142885240399</v>
          </cell>
          <cell r="N86">
            <v>10.231659596338799</v>
          </cell>
          <cell r="O86">
            <v>10.9272474811672</v>
          </cell>
          <cell r="P86">
            <v>11.5233465752565</v>
          </cell>
        </row>
        <row r="87">
          <cell r="A87" t="str">
            <v>Period 9</v>
          </cell>
          <cell r="B87" t="str">
            <v>--</v>
          </cell>
          <cell r="C87">
            <v>2.15325172726974</v>
          </cell>
          <cell r="D87">
            <v>6.1278858606951401</v>
          </cell>
          <cell r="E87" t="str">
            <v>--</v>
          </cell>
          <cell r="F87">
            <v>-1.2009534737254199</v>
          </cell>
          <cell r="G87">
            <v>-0.61556797276733199</v>
          </cell>
          <cell r="H87" t="str">
            <v>--</v>
          </cell>
          <cell r="I87">
            <v>3.35420520099516</v>
          </cell>
          <cell r="J87">
            <v>6.7434538334624703</v>
          </cell>
          <cell r="K87" t="str">
            <v>--</v>
          </cell>
          <cell r="L87">
            <v>-1.43639028092861</v>
          </cell>
          <cell r="M87">
            <v>-0.35889672203721501</v>
          </cell>
          <cell r="N87">
            <v>10.9878818862139</v>
          </cell>
          <cell r="O87">
            <v>11.476477752802399</v>
          </cell>
          <cell r="P87">
            <v>12.1923890681662</v>
          </cell>
        </row>
        <row r="88">
          <cell r="A88" t="str">
            <v>Period 10</v>
          </cell>
          <cell r="B88" t="str">
            <v>--</v>
          </cell>
          <cell r="C88">
            <v>-1.3760008261241301</v>
          </cell>
          <cell r="D88" t="str">
            <v>--</v>
          </cell>
          <cell r="E88" t="str">
            <v>--</v>
          </cell>
          <cell r="F88">
            <v>-5.4245071306301602</v>
          </cell>
          <cell r="G88" t="str">
            <v>--</v>
          </cell>
          <cell r="H88" t="str">
            <v>--</v>
          </cell>
          <cell r="I88">
            <v>4.0485063045060299</v>
          </cell>
          <cell r="J88" t="str">
            <v>--</v>
          </cell>
          <cell r="K88" t="str">
            <v>--</v>
          </cell>
          <cell r="L88">
            <v>0.68622635698065404</v>
          </cell>
          <cell r="M88" t="str">
            <v>--</v>
          </cell>
          <cell r="N88">
            <v>10.512600053419201</v>
          </cell>
          <cell r="O88">
            <v>10.534156810753901</v>
          </cell>
          <cell r="P88" t="str">
            <v>--</v>
          </cell>
        </row>
        <row r="89">
          <cell r="A89" t="str">
            <v>Period 11</v>
          </cell>
          <cell r="B89" t="str">
            <v>--</v>
          </cell>
          <cell r="C89">
            <v>-2.4789080545972699</v>
          </cell>
          <cell r="D89" t="str">
            <v>--</v>
          </cell>
          <cell r="E89" t="str">
            <v>--</v>
          </cell>
          <cell r="F89">
            <v>-4.3733951830794204</v>
          </cell>
          <cell r="G89" t="str">
            <v>--</v>
          </cell>
          <cell r="H89" t="str">
            <v>--</v>
          </cell>
          <cell r="I89">
            <v>1.8944871284821501</v>
          </cell>
          <cell r="J89" t="str">
            <v>--</v>
          </cell>
          <cell r="K89" t="str">
            <v>--</v>
          </cell>
          <cell r="L89">
            <v>1.59073197392702</v>
          </cell>
          <cell r="M89" t="str">
            <v>--</v>
          </cell>
          <cell r="N89">
            <v>11.0993407747407</v>
          </cell>
          <cell r="O89">
            <v>11.070201998573101</v>
          </cell>
          <cell r="P89" t="str">
            <v>--</v>
          </cell>
        </row>
        <row r="90">
          <cell r="A90" t="str">
            <v>Period 12</v>
          </cell>
          <cell r="B90" t="str">
            <v>--</v>
          </cell>
          <cell r="C90">
            <v>-4.9284468908261996</v>
          </cell>
          <cell r="D90" t="str">
            <v>--</v>
          </cell>
          <cell r="E90" t="str">
            <v>--</v>
          </cell>
          <cell r="F90">
            <v>-8.6965458786131808</v>
          </cell>
          <cell r="G90" t="str">
            <v>--</v>
          </cell>
          <cell r="H90" t="str">
            <v>--</v>
          </cell>
          <cell r="I90">
            <v>3.7680989877869799</v>
          </cell>
          <cell r="J90" t="str">
            <v>--</v>
          </cell>
          <cell r="K90" t="str">
            <v>--</v>
          </cell>
          <cell r="L90">
            <v>-1.6409165260198799</v>
          </cell>
          <cell r="M90" t="str">
            <v>--</v>
          </cell>
          <cell r="N90">
            <v>10.714511291665801</v>
          </cell>
          <cell r="O90">
            <v>10.6052647767614</v>
          </cell>
          <cell r="P90" t="str">
            <v>--</v>
          </cell>
        </row>
        <row r="91">
          <cell r="A91" t="str">
            <v>Period 13</v>
          </cell>
          <cell r="B91" t="str">
            <v>--</v>
          </cell>
          <cell r="C91">
            <v>1.58134432201479</v>
          </cell>
          <cell r="D91" t="str">
            <v>--</v>
          </cell>
          <cell r="E91" t="str">
            <v>--</v>
          </cell>
          <cell r="F91">
            <v>-4.6024802525150301</v>
          </cell>
          <cell r="G91" t="str">
            <v>--</v>
          </cell>
          <cell r="H91" t="str">
            <v>--</v>
          </cell>
          <cell r="I91">
            <v>6.1838245745298197</v>
          </cell>
          <cell r="J91" t="str">
            <v>--</v>
          </cell>
          <cell r="K91" t="str">
            <v>--</v>
          </cell>
          <cell r="L91">
            <v>-0.73698810729212705</v>
          </cell>
          <cell r="M91" t="str">
            <v>--</v>
          </cell>
          <cell r="N91">
            <v>11.088949044919399</v>
          </cell>
          <cell r="O91">
            <v>11.355054568774699</v>
          </cell>
          <cell r="P91" t="str">
            <v>--</v>
          </cell>
        </row>
        <row r="93">
          <cell r="A93" t="str">
            <v>CATEGORY - COOKIES - Historical Statistics - 12 Week Data - TOTAL U.S. - FD / DG / MM</v>
          </cell>
        </row>
        <row r="95">
          <cell r="B95" t="str">
            <v>Category</v>
          </cell>
        </row>
        <row r="96">
          <cell r="B96" t="str">
            <v>Yr/Yr % Change</v>
          </cell>
        </row>
        <row r="97">
          <cell r="B97" t="str">
            <v>Sales</v>
          </cell>
          <cell r="D97" t="str">
            <v>Volume</v>
          </cell>
          <cell r="F97" t="str">
            <v>Price/Mix</v>
          </cell>
          <cell r="H97" t="str">
            <v>$ Merchandising</v>
          </cell>
        </row>
        <row r="98">
          <cell r="A98" t="str">
            <v>Date</v>
          </cell>
          <cell r="B98">
            <v>2005</v>
          </cell>
          <cell r="C98">
            <v>2006</v>
          </cell>
          <cell r="D98">
            <v>2005</v>
          </cell>
          <cell r="E98">
            <v>2006</v>
          </cell>
          <cell r="F98">
            <v>2005</v>
          </cell>
          <cell r="G98">
            <v>2006</v>
          </cell>
          <cell r="H98">
            <v>2005</v>
          </cell>
          <cell r="I98">
            <v>2006</v>
          </cell>
        </row>
        <row r="99">
          <cell r="A99" t="str">
            <v>Period 1</v>
          </cell>
          <cell r="B99" t="str">
            <v>--</v>
          </cell>
          <cell r="C99" t="str">
            <v>--</v>
          </cell>
          <cell r="D99" t="str">
            <v>--</v>
          </cell>
          <cell r="E99" t="str">
            <v>--</v>
          </cell>
          <cell r="F99" t="str">
            <v>--</v>
          </cell>
          <cell r="G99" t="str">
            <v>--</v>
          </cell>
          <cell r="H99" t="str">
            <v>--</v>
          </cell>
          <cell r="I99" t="str">
            <v>--</v>
          </cell>
        </row>
        <row r="100">
          <cell r="A100" t="str">
            <v>Period 2</v>
          </cell>
          <cell r="B100" t="str">
            <v>--</v>
          </cell>
          <cell r="C100" t="str">
            <v>--</v>
          </cell>
          <cell r="D100" t="str">
            <v>--</v>
          </cell>
          <cell r="E100" t="str">
            <v>--</v>
          </cell>
          <cell r="F100" t="str">
            <v>--</v>
          </cell>
          <cell r="G100" t="str">
            <v>--</v>
          </cell>
          <cell r="H100" t="str">
            <v>--</v>
          </cell>
          <cell r="I100" t="str">
            <v>--</v>
          </cell>
        </row>
        <row r="101">
          <cell r="A101" t="str">
            <v>Period 3</v>
          </cell>
          <cell r="B101" t="str">
            <v>--</v>
          </cell>
          <cell r="C101">
            <v>-1.3554464344756501</v>
          </cell>
          <cell r="D101" t="str">
            <v>--</v>
          </cell>
          <cell r="E101">
            <v>-5.4147666516271604</v>
          </cell>
          <cell r="F101" t="str">
            <v>--</v>
          </cell>
          <cell r="G101">
            <v>4.0593202171515097</v>
          </cell>
          <cell r="H101" t="str">
            <v>--</v>
          </cell>
          <cell r="I101">
            <v>-0.63560228555842702</v>
          </cell>
        </row>
        <row r="102">
          <cell r="A102" t="str">
            <v>Period 4</v>
          </cell>
          <cell r="B102" t="str">
            <v>--</v>
          </cell>
          <cell r="C102">
            <v>-0.72580568031131798</v>
          </cell>
          <cell r="D102" t="str">
            <v>--</v>
          </cell>
          <cell r="E102">
            <v>-5.0745395303225198</v>
          </cell>
          <cell r="F102" t="str">
            <v>--</v>
          </cell>
          <cell r="G102">
            <v>4.3487338500112003</v>
          </cell>
          <cell r="H102" t="str">
            <v>--</v>
          </cell>
          <cell r="I102">
            <v>-1.47200498084</v>
          </cell>
        </row>
        <row r="103">
          <cell r="A103" t="str">
            <v>Period 5</v>
          </cell>
          <cell r="B103" t="str">
            <v>--</v>
          </cell>
          <cell r="C103">
            <v>-1.48217982600122</v>
          </cell>
          <cell r="D103" t="str">
            <v>--</v>
          </cell>
          <cell r="E103">
            <v>-5.7369221919655899</v>
          </cell>
          <cell r="F103" t="str">
            <v>--</v>
          </cell>
          <cell r="G103">
            <v>4.2547423659643702</v>
          </cell>
          <cell r="H103" t="str">
            <v>--</v>
          </cell>
          <cell r="I103">
            <v>-1.26823321843782</v>
          </cell>
        </row>
        <row r="104">
          <cell r="A104" t="str">
            <v>Period 6</v>
          </cell>
          <cell r="B104" t="str">
            <v>--</v>
          </cell>
          <cell r="C104">
            <v>-2.5454149487443001</v>
          </cell>
          <cell r="D104" t="str">
            <v>--</v>
          </cell>
          <cell r="E104">
            <v>-7.1788095442868496</v>
          </cell>
          <cell r="F104" t="str">
            <v>--</v>
          </cell>
          <cell r="G104">
            <v>4.6333945955425504</v>
          </cell>
          <cell r="H104" t="str">
            <v>--</v>
          </cell>
          <cell r="I104">
            <v>-2.0329957854089802</v>
          </cell>
        </row>
        <row r="105">
          <cell r="A105" t="str">
            <v>Period 7</v>
          </cell>
          <cell r="B105" t="str">
            <v>--</v>
          </cell>
          <cell r="C105">
            <v>-2.3221774555577799</v>
          </cell>
          <cell r="D105" t="str">
            <v>--</v>
          </cell>
          <cell r="E105">
            <v>-6.5137287809159803</v>
          </cell>
          <cell r="F105" t="str">
            <v>--</v>
          </cell>
          <cell r="G105">
            <v>4.1915513253582004</v>
          </cell>
          <cell r="H105" t="str">
            <v>--</v>
          </cell>
          <cell r="I105">
            <v>-1.95489933270105</v>
          </cell>
        </row>
        <row r="106">
          <cell r="A106" t="str">
            <v>Period 8</v>
          </cell>
          <cell r="B106" t="str">
            <v>--</v>
          </cell>
          <cell r="C106">
            <v>-1.67464459349313</v>
          </cell>
          <cell r="D106" t="str">
            <v>--</v>
          </cell>
          <cell r="E106">
            <v>-5.8189294295124698</v>
          </cell>
          <cell r="F106" t="str">
            <v>--</v>
          </cell>
          <cell r="G106">
            <v>4.1442848360193398</v>
          </cell>
          <cell r="H106" t="str">
            <v>--</v>
          </cell>
          <cell r="I106">
            <v>-2.3841525852087599</v>
          </cell>
        </row>
        <row r="107">
          <cell r="A107" t="str">
            <v>Period 9</v>
          </cell>
          <cell r="B107" t="str">
            <v>--</v>
          </cell>
          <cell r="C107">
            <v>-0.77249057390388998</v>
          </cell>
          <cell r="D107" t="str">
            <v>--</v>
          </cell>
          <cell r="E107">
            <v>-4.8693505306132501</v>
          </cell>
          <cell r="F107" t="str">
            <v>--</v>
          </cell>
          <cell r="G107">
            <v>4.09685995670936</v>
          </cell>
          <cell r="H107" t="str">
            <v>--</v>
          </cell>
          <cell r="I107">
            <v>-1.9467914911919699</v>
          </cell>
        </row>
        <row r="108">
          <cell r="A108" t="str">
            <v>Period 10</v>
          </cell>
          <cell r="B108" t="str">
            <v>--</v>
          </cell>
          <cell r="C108" t="str">
            <v>--</v>
          </cell>
          <cell r="D108" t="str">
            <v>--</v>
          </cell>
          <cell r="E108" t="str">
            <v>--</v>
          </cell>
          <cell r="F108" t="str">
            <v>--</v>
          </cell>
          <cell r="G108" t="str">
            <v>--</v>
          </cell>
          <cell r="H108" t="str">
            <v>--</v>
          </cell>
          <cell r="I108" t="str">
            <v>--</v>
          </cell>
        </row>
        <row r="109">
          <cell r="A109" t="str">
            <v>Period 11</v>
          </cell>
          <cell r="B109" t="str">
            <v>--</v>
          </cell>
          <cell r="C109" t="str">
            <v>--</v>
          </cell>
          <cell r="D109" t="str">
            <v>--</v>
          </cell>
          <cell r="E109" t="str">
            <v>--</v>
          </cell>
          <cell r="F109" t="str">
            <v>--</v>
          </cell>
          <cell r="G109" t="str">
            <v>--</v>
          </cell>
          <cell r="H109" t="str">
            <v>--</v>
          </cell>
          <cell r="I109" t="str">
            <v>--</v>
          </cell>
        </row>
        <row r="110">
          <cell r="A110" t="str">
            <v>Period 12</v>
          </cell>
          <cell r="B110" t="str">
            <v>--</v>
          </cell>
          <cell r="C110" t="str">
            <v>--</v>
          </cell>
          <cell r="D110" t="str">
            <v>--</v>
          </cell>
          <cell r="E110" t="str">
            <v>--</v>
          </cell>
          <cell r="F110" t="str">
            <v>--</v>
          </cell>
          <cell r="G110" t="str">
            <v>--</v>
          </cell>
          <cell r="H110" t="str">
            <v>--</v>
          </cell>
          <cell r="I110" t="str">
            <v>--</v>
          </cell>
        </row>
        <row r="111">
          <cell r="A111" t="str">
            <v>Period 13</v>
          </cell>
          <cell r="B111" t="str">
            <v>--</v>
          </cell>
          <cell r="C111" t="str">
            <v>--</v>
          </cell>
          <cell r="D111" t="str">
            <v>--</v>
          </cell>
          <cell r="E111" t="str">
            <v>--</v>
          </cell>
          <cell r="F111" t="str">
            <v>--</v>
          </cell>
          <cell r="G111" t="str">
            <v>--</v>
          </cell>
          <cell r="H111" t="str">
            <v>--</v>
          </cell>
          <cell r="I111" t="str">
            <v>--</v>
          </cell>
        </row>
        <row r="113">
          <cell r="B113" t="str">
            <v>ALTRIA GROUP COOKIES PART II</v>
          </cell>
        </row>
        <row r="114">
          <cell r="B114" t="str">
            <v>Yr/Yr % Change</v>
          </cell>
        </row>
        <row r="115">
          <cell r="B115" t="str">
            <v>Sales</v>
          </cell>
          <cell r="D115" t="str">
            <v>Volume</v>
          </cell>
          <cell r="F115" t="str">
            <v>Price/Mix</v>
          </cell>
          <cell r="H115" t="str">
            <v>$ Merchandising</v>
          </cell>
          <cell r="J115" t="str">
            <v>$ Share</v>
          </cell>
        </row>
        <row r="116">
          <cell r="A116" t="str">
            <v>Date</v>
          </cell>
          <cell r="B116">
            <v>2005</v>
          </cell>
          <cell r="C116">
            <v>2006</v>
          </cell>
          <cell r="D116">
            <v>2005</v>
          </cell>
          <cell r="E116">
            <v>2006</v>
          </cell>
          <cell r="F116">
            <v>2005</v>
          </cell>
          <cell r="G116">
            <v>2006</v>
          </cell>
          <cell r="H116">
            <v>2005</v>
          </cell>
          <cell r="I116">
            <v>2006</v>
          </cell>
          <cell r="J116">
            <v>2005</v>
          </cell>
          <cell r="K116">
            <v>2006</v>
          </cell>
        </row>
        <row r="117">
          <cell r="A117" t="str">
            <v>Period 1</v>
          </cell>
          <cell r="B117" t="str">
            <v>--</v>
          </cell>
          <cell r="C117" t="str">
            <v>--</v>
          </cell>
          <cell r="D117" t="str">
            <v>--</v>
          </cell>
          <cell r="E117" t="str">
            <v>--</v>
          </cell>
          <cell r="F117" t="str">
            <v>--</v>
          </cell>
          <cell r="G117" t="str">
            <v>--</v>
          </cell>
          <cell r="H117" t="str">
            <v>--</v>
          </cell>
          <cell r="I117" t="str">
            <v>--</v>
          </cell>
          <cell r="J117" t="str">
            <v>--</v>
          </cell>
          <cell r="K117" t="str">
            <v>--</v>
          </cell>
        </row>
        <row r="118">
          <cell r="A118" t="str">
            <v>Period 2</v>
          </cell>
          <cell r="B118" t="str">
            <v>--</v>
          </cell>
          <cell r="C118" t="str">
            <v>--</v>
          </cell>
          <cell r="D118" t="str">
            <v>--</v>
          </cell>
          <cell r="E118" t="str">
            <v>--</v>
          </cell>
          <cell r="F118" t="str">
            <v>--</v>
          </cell>
          <cell r="G118" t="str">
            <v>--</v>
          </cell>
          <cell r="H118" t="str">
            <v>--</v>
          </cell>
          <cell r="I118" t="str">
            <v>--</v>
          </cell>
          <cell r="J118" t="str">
            <v>--</v>
          </cell>
          <cell r="K118">
            <v>34.788591345704901</v>
          </cell>
        </row>
        <row r="119">
          <cell r="A119" t="str">
            <v>Period 3</v>
          </cell>
          <cell r="B119" t="str">
            <v>--</v>
          </cell>
          <cell r="C119">
            <v>1.8739956792405901</v>
          </cell>
          <cell r="D119" t="str">
            <v>--</v>
          </cell>
          <cell r="E119">
            <v>-0.27783450463633302</v>
          </cell>
          <cell r="F119" t="str">
            <v>--</v>
          </cell>
          <cell r="G119">
            <v>2.1518301838769198</v>
          </cell>
          <cell r="H119" t="str">
            <v>--</v>
          </cell>
          <cell r="I119">
            <v>1.0525108186724901</v>
          </cell>
          <cell r="J119">
            <v>36.6126986550616</v>
          </cell>
          <cell r="K119">
            <v>37.811331389051503</v>
          </cell>
        </row>
        <row r="120">
          <cell r="A120" t="str">
            <v>Period 4</v>
          </cell>
          <cell r="B120" t="str">
            <v>--</v>
          </cell>
          <cell r="C120">
            <v>0.97057470612666596</v>
          </cell>
          <cell r="D120" t="str">
            <v>--</v>
          </cell>
          <cell r="E120">
            <v>-1.00540550935814</v>
          </cell>
          <cell r="F120" t="str">
            <v>--</v>
          </cell>
          <cell r="G120">
            <v>1.9759802154848101</v>
          </cell>
          <cell r="H120" t="str">
            <v>--</v>
          </cell>
          <cell r="I120">
            <v>-0.45143348596180699</v>
          </cell>
          <cell r="J120">
            <v>36.217800495422402</v>
          </cell>
          <cell r="K120">
            <v>36.836684051429998</v>
          </cell>
        </row>
        <row r="121">
          <cell r="A121" t="str">
            <v>Period 5</v>
          </cell>
          <cell r="B121" t="str">
            <v>--</v>
          </cell>
          <cell r="C121">
            <v>-0.47350482787488801</v>
          </cell>
          <cell r="D121" t="str">
            <v>--</v>
          </cell>
          <cell r="E121">
            <v>-2.0662977738986301</v>
          </cell>
          <cell r="F121" t="str">
            <v>--</v>
          </cell>
          <cell r="G121">
            <v>1.59279294602375</v>
          </cell>
          <cell r="H121" t="str">
            <v>--</v>
          </cell>
          <cell r="I121">
            <v>-0.139943640748911</v>
          </cell>
          <cell r="J121">
            <v>36.819647177742503</v>
          </cell>
          <cell r="K121">
            <v>37.196625246100297</v>
          </cell>
        </row>
        <row r="122">
          <cell r="A122" t="str">
            <v>Period 6</v>
          </cell>
          <cell r="B122" t="str">
            <v>--</v>
          </cell>
          <cell r="C122">
            <v>-2.2700749210884599</v>
          </cell>
          <cell r="D122" t="str">
            <v>--</v>
          </cell>
          <cell r="E122">
            <v>-5.1850095460807797</v>
          </cell>
          <cell r="F122" t="str">
            <v>--</v>
          </cell>
          <cell r="G122">
            <v>2.9149346249923198</v>
          </cell>
          <cell r="H122" t="str">
            <v>--</v>
          </cell>
          <cell r="I122">
            <v>-1.54241336332097</v>
          </cell>
          <cell r="J122">
            <v>37.152300482122897</v>
          </cell>
          <cell r="K122">
            <v>37.257267482257802</v>
          </cell>
        </row>
        <row r="123">
          <cell r="A123" t="str">
            <v>Period 7</v>
          </cell>
          <cell r="B123" t="str">
            <v>--</v>
          </cell>
          <cell r="C123">
            <v>-0.72265974851440695</v>
          </cell>
          <cell r="D123" t="str">
            <v>--</v>
          </cell>
          <cell r="E123">
            <v>-2.99512140562826</v>
          </cell>
          <cell r="F123" t="str">
            <v>--</v>
          </cell>
          <cell r="G123">
            <v>2.2724616571138601</v>
          </cell>
          <cell r="H123" t="str">
            <v>--</v>
          </cell>
          <cell r="I123">
            <v>-1.36881928780097</v>
          </cell>
          <cell r="J123">
            <v>37.2767669287987</v>
          </cell>
          <cell r="K123">
            <v>37.887190535823898</v>
          </cell>
        </row>
        <row r="124">
          <cell r="A124" t="str">
            <v>Period 8</v>
          </cell>
          <cell r="B124" t="str">
            <v>--</v>
          </cell>
          <cell r="C124">
            <v>0.310789411339293</v>
          </cell>
          <cell r="D124" t="str">
            <v>--</v>
          </cell>
          <cell r="E124">
            <v>-1.8515988640135701</v>
          </cell>
          <cell r="F124" t="str">
            <v>--</v>
          </cell>
          <cell r="G124">
            <v>2.1623882753528698</v>
          </cell>
          <cell r="H124" t="str">
            <v>--</v>
          </cell>
          <cell r="I124">
            <v>-1.67371033579371</v>
          </cell>
          <cell r="J124">
            <v>37.183107733658801</v>
          </cell>
          <cell r="K124">
            <v>37.9339273589176</v>
          </cell>
        </row>
        <row r="125">
          <cell r="A125" t="str">
            <v>Period 9</v>
          </cell>
          <cell r="B125" t="str">
            <v>--</v>
          </cell>
          <cell r="C125">
            <v>0.37254013855336898</v>
          </cell>
          <cell r="D125" t="str">
            <v>--</v>
          </cell>
          <cell r="E125">
            <v>-1.8839437964718</v>
          </cell>
          <cell r="F125" t="str">
            <v>--</v>
          </cell>
          <cell r="G125">
            <v>2.25648393502517</v>
          </cell>
          <cell r="H125" t="str">
            <v>--</v>
          </cell>
          <cell r="I125">
            <v>-1.0133339919567601</v>
          </cell>
          <cell r="J125">
            <v>37.708199844178999</v>
          </cell>
          <cell r="K125">
            <v>38.143331665815801</v>
          </cell>
        </row>
        <row r="126">
          <cell r="A126" t="str">
            <v>Period 10</v>
          </cell>
          <cell r="B126" t="str">
            <v>--</v>
          </cell>
          <cell r="C126" t="str">
            <v>--</v>
          </cell>
          <cell r="D126" t="str">
            <v>--</v>
          </cell>
          <cell r="E126" t="str">
            <v>--</v>
          </cell>
          <cell r="F126" t="str">
            <v>--</v>
          </cell>
          <cell r="G126" t="str">
            <v>--</v>
          </cell>
          <cell r="H126" t="str">
            <v>--</v>
          </cell>
          <cell r="I126" t="str">
            <v>--</v>
          </cell>
          <cell r="J126" t="str">
            <v>--</v>
          </cell>
          <cell r="K126" t="str">
            <v>--</v>
          </cell>
        </row>
        <row r="127">
          <cell r="A127" t="str">
            <v>Period 11</v>
          </cell>
          <cell r="B127" t="str">
            <v>--</v>
          </cell>
          <cell r="C127" t="str">
            <v>--</v>
          </cell>
          <cell r="D127" t="str">
            <v>--</v>
          </cell>
          <cell r="E127" t="str">
            <v>--</v>
          </cell>
          <cell r="F127" t="str">
            <v>--</v>
          </cell>
          <cell r="G127" t="str">
            <v>--</v>
          </cell>
          <cell r="H127" t="str">
            <v>--</v>
          </cell>
          <cell r="I127" t="str">
            <v>--</v>
          </cell>
          <cell r="J127" t="str">
            <v>--</v>
          </cell>
          <cell r="K127" t="str">
            <v>--</v>
          </cell>
        </row>
        <row r="128">
          <cell r="A128" t="str">
            <v>Period 12</v>
          </cell>
          <cell r="B128" t="str">
            <v>--</v>
          </cell>
          <cell r="C128" t="str">
            <v>--</v>
          </cell>
          <cell r="D128" t="str">
            <v>--</v>
          </cell>
          <cell r="E128" t="str">
            <v>--</v>
          </cell>
          <cell r="F128" t="str">
            <v>--</v>
          </cell>
          <cell r="G128" t="str">
            <v>--</v>
          </cell>
          <cell r="H128" t="str">
            <v>--</v>
          </cell>
          <cell r="I128" t="str">
            <v>--</v>
          </cell>
          <cell r="J128" t="str">
            <v>--</v>
          </cell>
          <cell r="K128" t="str">
            <v>--</v>
          </cell>
        </row>
        <row r="129">
          <cell r="A129" t="str">
            <v>Period 13</v>
          </cell>
          <cell r="B129" t="str">
            <v>--</v>
          </cell>
          <cell r="C129" t="str">
            <v>--</v>
          </cell>
          <cell r="D129" t="str">
            <v>--</v>
          </cell>
          <cell r="E129" t="str">
            <v>--</v>
          </cell>
          <cell r="F129" t="str">
            <v>--</v>
          </cell>
          <cell r="G129" t="str">
            <v>--</v>
          </cell>
          <cell r="H129" t="str">
            <v>--</v>
          </cell>
          <cell r="I129" t="str">
            <v>--</v>
          </cell>
          <cell r="J129" t="str">
            <v>--</v>
          </cell>
          <cell r="K129" t="str">
            <v>--</v>
          </cell>
        </row>
        <row r="131">
          <cell r="B131" t="str">
            <v>KELLOGG CO COOKIES</v>
          </cell>
        </row>
        <row r="132">
          <cell r="B132" t="str">
            <v>Yr/Yr % Change</v>
          </cell>
        </row>
        <row r="133">
          <cell r="B133" t="str">
            <v>Sales</v>
          </cell>
          <cell r="D133" t="str">
            <v>Volume</v>
          </cell>
          <cell r="F133" t="str">
            <v>Price/Mix</v>
          </cell>
          <cell r="H133" t="str">
            <v>$ Merchandising</v>
          </cell>
          <cell r="J133" t="str">
            <v>$ Share</v>
          </cell>
        </row>
        <row r="134">
          <cell r="A134" t="str">
            <v>Date</v>
          </cell>
          <cell r="B134">
            <v>2005</v>
          </cell>
          <cell r="C134">
            <v>2006</v>
          </cell>
          <cell r="D134">
            <v>2005</v>
          </cell>
          <cell r="E134">
            <v>2006</v>
          </cell>
          <cell r="F134">
            <v>2005</v>
          </cell>
          <cell r="G134">
            <v>2006</v>
          </cell>
          <cell r="H134">
            <v>2005</v>
          </cell>
          <cell r="I134">
            <v>2006</v>
          </cell>
          <cell r="J134">
            <v>2005</v>
          </cell>
          <cell r="K134">
            <v>2006</v>
          </cell>
        </row>
        <row r="135">
          <cell r="A135" t="str">
            <v>Period 1</v>
          </cell>
          <cell r="B135" t="str">
            <v>--</v>
          </cell>
          <cell r="C135" t="str">
            <v>--</v>
          </cell>
          <cell r="D135" t="str">
            <v>--</v>
          </cell>
          <cell r="E135" t="str">
            <v>--</v>
          </cell>
          <cell r="F135" t="str">
            <v>--</v>
          </cell>
          <cell r="G135" t="str">
            <v>--</v>
          </cell>
          <cell r="H135" t="str">
            <v>--</v>
          </cell>
          <cell r="I135" t="str">
            <v>--</v>
          </cell>
          <cell r="J135" t="str">
            <v>--</v>
          </cell>
          <cell r="K135" t="str">
            <v>--</v>
          </cell>
        </row>
        <row r="136">
          <cell r="A136" t="str">
            <v>Period 2</v>
          </cell>
          <cell r="B136" t="str">
            <v>--</v>
          </cell>
          <cell r="C136" t="str">
            <v>--</v>
          </cell>
          <cell r="D136" t="str">
            <v>--</v>
          </cell>
          <cell r="E136" t="str">
            <v>--</v>
          </cell>
          <cell r="F136" t="str">
            <v>--</v>
          </cell>
          <cell r="G136" t="str">
            <v>--</v>
          </cell>
          <cell r="H136" t="str">
            <v>--</v>
          </cell>
          <cell r="I136" t="str">
            <v>--</v>
          </cell>
          <cell r="J136" t="str">
            <v>--</v>
          </cell>
          <cell r="K136">
            <v>1.6428081329000002E-5</v>
          </cell>
        </row>
        <row r="137">
          <cell r="A137" t="str">
            <v>Period 3</v>
          </cell>
          <cell r="B137" t="str">
            <v>--</v>
          </cell>
          <cell r="C137">
            <v>-99.928673407773999</v>
          </cell>
          <cell r="D137" t="str">
            <v>--</v>
          </cell>
          <cell r="E137">
            <v>-99.938425247557106</v>
          </cell>
          <cell r="F137" t="str">
            <v>--</v>
          </cell>
          <cell r="G137">
            <v>9.7518397830640008E-3</v>
          </cell>
          <cell r="H137" t="str">
            <v>--</v>
          </cell>
          <cell r="I137">
            <v>-8.3524792838674493</v>
          </cell>
          <cell r="J137">
            <v>1.9171083271850001E-3</v>
          </cell>
          <cell r="K137">
            <v>1.3861972E-6</v>
          </cell>
        </row>
        <row r="138">
          <cell r="A138" t="str">
            <v>Period 4</v>
          </cell>
          <cell r="B138" t="str">
            <v>--</v>
          </cell>
          <cell r="C138">
            <v>-100</v>
          </cell>
          <cell r="D138" t="str">
            <v>--</v>
          </cell>
          <cell r="E138">
            <v>-100</v>
          </cell>
          <cell r="F138" t="str">
            <v>--</v>
          </cell>
          <cell r="G138">
            <v>0</v>
          </cell>
          <cell r="H138" t="str">
            <v>--</v>
          </cell>
          <cell r="I138" t="str">
            <v>--</v>
          </cell>
          <cell r="J138">
            <v>8.0800973970499999E-4</v>
          </cell>
          <cell r="K138">
            <v>0</v>
          </cell>
        </row>
        <row r="139">
          <cell r="A139" t="str">
            <v>Period 5</v>
          </cell>
          <cell r="B139" t="str">
            <v>--</v>
          </cell>
          <cell r="C139">
            <v>-100</v>
          </cell>
          <cell r="D139" t="str">
            <v>--</v>
          </cell>
          <cell r="E139">
            <v>-100</v>
          </cell>
          <cell r="F139" t="str">
            <v>--</v>
          </cell>
          <cell r="G139">
            <v>0</v>
          </cell>
          <cell r="H139" t="str">
            <v>--</v>
          </cell>
          <cell r="I139" t="str">
            <v>--</v>
          </cell>
          <cell r="J139">
            <v>9.7541145708900003E-4</v>
          </cell>
          <cell r="K139">
            <v>0</v>
          </cell>
        </row>
        <row r="140">
          <cell r="A140" t="str">
            <v>Period 6</v>
          </cell>
          <cell r="B140" t="str">
            <v>--</v>
          </cell>
          <cell r="C140">
            <v>-100</v>
          </cell>
          <cell r="D140" t="str">
            <v>--</v>
          </cell>
          <cell r="E140">
            <v>-100</v>
          </cell>
          <cell r="F140" t="str">
            <v>--</v>
          </cell>
          <cell r="G140">
            <v>0</v>
          </cell>
          <cell r="H140" t="str">
            <v>--</v>
          </cell>
          <cell r="I140" t="str">
            <v>--</v>
          </cell>
          <cell r="J140">
            <v>8.9434843866999995E-4</v>
          </cell>
          <cell r="K140">
            <v>0</v>
          </cell>
        </row>
        <row r="141">
          <cell r="A141" t="str">
            <v>Period 7</v>
          </cell>
          <cell r="B141" t="str">
            <v>--</v>
          </cell>
          <cell r="C141">
            <v>-100</v>
          </cell>
          <cell r="D141" t="str">
            <v>--</v>
          </cell>
          <cell r="E141">
            <v>-100</v>
          </cell>
          <cell r="F141" t="str">
            <v>--</v>
          </cell>
          <cell r="G141">
            <v>0</v>
          </cell>
          <cell r="H141" t="str">
            <v>--</v>
          </cell>
          <cell r="I141" t="str">
            <v>--</v>
          </cell>
          <cell r="J141">
            <v>8.8419589441099996E-4</v>
          </cell>
          <cell r="K141">
            <v>0</v>
          </cell>
        </row>
        <row r="142">
          <cell r="A142" t="str">
            <v>Period 8</v>
          </cell>
          <cell r="B142" t="str">
            <v>--</v>
          </cell>
          <cell r="C142">
            <v>-99.272326421060697</v>
          </cell>
          <cell r="D142" t="str">
            <v>--</v>
          </cell>
          <cell r="E142">
            <v>-99.5517745738413</v>
          </cell>
          <cell r="F142" t="str">
            <v>--</v>
          </cell>
          <cell r="G142">
            <v>0.27944815278056001</v>
          </cell>
          <cell r="H142" t="str">
            <v>--</v>
          </cell>
          <cell r="I142">
            <v>-9.5360796326862296</v>
          </cell>
          <cell r="J142">
            <v>3.08681788661E-4</v>
          </cell>
          <cell r="K142">
            <v>2.284452276E-6</v>
          </cell>
        </row>
        <row r="143">
          <cell r="A143" t="str">
            <v>Period 9</v>
          </cell>
          <cell r="B143" t="str">
            <v>--</v>
          </cell>
          <cell r="C143">
            <v>1708.53620963105</v>
          </cell>
          <cell r="D143" t="str">
            <v>--</v>
          </cell>
          <cell r="E143">
            <v>1316.1090935242501</v>
          </cell>
          <cell r="F143" t="str">
            <v>--</v>
          </cell>
          <cell r="G143">
            <v>392.427116106798</v>
          </cell>
          <cell r="H143" t="str">
            <v>--</v>
          </cell>
          <cell r="I143">
            <v>29.759680544461698</v>
          </cell>
          <cell r="J143">
            <v>3.0895775635299998E-4</v>
          </cell>
          <cell r="K143">
            <v>5.6311127110030001E-3</v>
          </cell>
        </row>
        <row r="144">
          <cell r="A144" t="str">
            <v>Period 10</v>
          </cell>
          <cell r="B144" t="str">
            <v>--</v>
          </cell>
          <cell r="C144" t="str">
            <v>--</v>
          </cell>
          <cell r="D144" t="str">
            <v>--</v>
          </cell>
          <cell r="E144" t="str">
            <v>--</v>
          </cell>
          <cell r="F144" t="str">
            <v>--</v>
          </cell>
          <cell r="G144" t="str">
            <v>--</v>
          </cell>
          <cell r="H144" t="str">
            <v>--</v>
          </cell>
          <cell r="I144" t="str">
            <v>--</v>
          </cell>
          <cell r="J144" t="str">
            <v>--</v>
          </cell>
          <cell r="K144" t="str">
            <v>--</v>
          </cell>
        </row>
        <row r="145">
          <cell r="A145" t="str">
            <v>Period 11</v>
          </cell>
          <cell r="B145" t="str">
            <v>--</v>
          </cell>
          <cell r="C145" t="str">
            <v>--</v>
          </cell>
          <cell r="D145" t="str">
            <v>--</v>
          </cell>
          <cell r="E145" t="str">
            <v>--</v>
          </cell>
          <cell r="F145" t="str">
            <v>--</v>
          </cell>
          <cell r="G145" t="str">
            <v>--</v>
          </cell>
          <cell r="H145" t="str">
            <v>--</v>
          </cell>
          <cell r="I145" t="str">
            <v>--</v>
          </cell>
          <cell r="J145" t="str">
            <v>--</v>
          </cell>
          <cell r="K145" t="str">
            <v>--</v>
          </cell>
        </row>
        <row r="146">
          <cell r="A146" t="str">
            <v>Period 12</v>
          </cell>
          <cell r="B146" t="str">
            <v>--</v>
          </cell>
          <cell r="C146" t="str">
            <v>--</v>
          </cell>
          <cell r="D146" t="str">
            <v>--</v>
          </cell>
          <cell r="E146" t="str">
            <v>--</v>
          </cell>
          <cell r="F146" t="str">
            <v>--</v>
          </cell>
          <cell r="G146" t="str">
            <v>--</v>
          </cell>
          <cell r="H146" t="str">
            <v>--</v>
          </cell>
          <cell r="I146" t="str">
            <v>--</v>
          </cell>
          <cell r="J146" t="str">
            <v>--</v>
          </cell>
          <cell r="K146" t="str">
            <v>--</v>
          </cell>
        </row>
        <row r="147">
          <cell r="A147" t="str">
            <v>Period 13</v>
          </cell>
          <cell r="B147" t="str">
            <v>--</v>
          </cell>
          <cell r="C147" t="str">
            <v>--</v>
          </cell>
          <cell r="D147" t="str">
            <v>--</v>
          </cell>
          <cell r="E147" t="str">
            <v>--</v>
          </cell>
          <cell r="F147" t="str">
            <v>--</v>
          </cell>
          <cell r="G147" t="str">
            <v>--</v>
          </cell>
          <cell r="H147" t="str">
            <v>--</v>
          </cell>
          <cell r="I147" t="str">
            <v>--</v>
          </cell>
          <cell r="J147" t="str">
            <v>--</v>
          </cell>
          <cell r="K147" t="str">
            <v>--</v>
          </cell>
        </row>
        <row r="149">
          <cell r="B149" t="str">
            <v>CAMPBELL SOUP CO COOKIES</v>
          </cell>
        </row>
        <row r="150">
          <cell r="B150" t="str">
            <v>Yr/Yr % Change</v>
          </cell>
        </row>
        <row r="151">
          <cell r="B151" t="str">
            <v>Sales</v>
          </cell>
          <cell r="D151" t="str">
            <v>Volume</v>
          </cell>
          <cell r="F151" t="str">
            <v>Price/Mix</v>
          </cell>
          <cell r="H151" t="str">
            <v>$ Merchandising</v>
          </cell>
          <cell r="J151" t="str">
            <v>$ Share</v>
          </cell>
        </row>
        <row r="152">
          <cell r="A152" t="str">
            <v>Date</v>
          </cell>
          <cell r="B152">
            <v>2005</v>
          </cell>
          <cell r="C152">
            <v>2006</v>
          </cell>
          <cell r="D152">
            <v>2005</v>
          </cell>
          <cell r="E152">
            <v>2006</v>
          </cell>
          <cell r="F152">
            <v>2005</v>
          </cell>
          <cell r="G152">
            <v>2006</v>
          </cell>
          <cell r="H152">
            <v>2005</v>
          </cell>
          <cell r="I152">
            <v>2006</v>
          </cell>
          <cell r="J152">
            <v>2005</v>
          </cell>
          <cell r="K152">
            <v>2006</v>
          </cell>
        </row>
        <row r="153">
          <cell r="A153" t="str">
            <v>Period 1</v>
          </cell>
          <cell r="B153" t="str">
            <v>--</v>
          </cell>
          <cell r="C153" t="str">
            <v>--</v>
          </cell>
          <cell r="D153" t="str">
            <v>--</v>
          </cell>
          <cell r="E153" t="str">
            <v>--</v>
          </cell>
          <cell r="F153" t="str">
            <v>--</v>
          </cell>
          <cell r="G153" t="str">
            <v>--</v>
          </cell>
          <cell r="H153" t="str">
            <v>--</v>
          </cell>
          <cell r="I153" t="str">
            <v>--</v>
          </cell>
          <cell r="J153" t="str">
            <v>--</v>
          </cell>
          <cell r="K153" t="str">
            <v>--</v>
          </cell>
        </row>
        <row r="154">
          <cell r="A154" t="str">
            <v>Period 2</v>
          </cell>
          <cell r="B154" t="str">
            <v>--</v>
          </cell>
          <cell r="C154" t="str">
            <v>--</v>
          </cell>
          <cell r="D154" t="str">
            <v>--</v>
          </cell>
          <cell r="E154" t="str">
            <v>--</v>
          </cell>
          <cell r="F154" t="str">
            <v>--</v>
          </cell>
          <cell r="G154" t="str">
            <v>--</v>
          </cell>
          <cell r="H154" t="str">
            <v>--</v>
          </cell>
          <cell r="I154" t="str">
            <v>--</v>
          </cell>
          <cell r="J154" t="str">
            <v>--</v>
          </cell>
          <cell r="K154">
            <v>7.9502441808522599</v>
          </cell>
        </row>
        <row r="155">
          <cell r="A155" t="str">
            <v>Period 3</v>
          </cell>
          <cell r="B155" t="str">
            <v>--</v>
          </cell>
          <cell r="C155">
            <v>-2.11927882836045</v>
          </cell>
          <cell r="D155" t="str">
            <v>--</v>
          </cell>
          <cell r="E155">
            <v>-0.22883411765983699</v>
          </cell>
          <cell r="F155" t="str">
            <v>--</v>
          </cell>
          <cell r="G155">
            <v>-1.8904447107006099</v>
          </cell>
          <cell r="H155" t="str">
            <v>--</v>
          </cell>
          <cell r="I155">
            <v>-0.694820902321027</v>
          </cell>
          <cell r="J155">
            <v>7.2466011845584504</v>
          </cell>
          <cell r="K155">
            <v>7.19048872289423</v>
          </cell>
        </row>
        <row r="156">
          <cell r="A156" t="str">
            <v>Period 4</v>
          </cell>
          <cell r="B156" t="str">
            <v>--</v>
          </cell>
          <cell r="C156">
            <v>-3.5991299323293702</v>
          </cell>
          <cell r="D156" t="str">
            <v>--</v>
          </cell>
          <cell r="E156">
            <v>-2.9697743067122802</v>
          </cell>
          <cell r="F156" t="str">
            <v>--</v>
          </cell>
          <cell r="G156">
            <v>-0.62935562561708402</v>
          </cell>
          <cell r="H156" t="str">
            <v>--</v>
          </cell>
          <cell r="I156">
            <v>-2.85646244964025</v>
          </cell>
          <cell r="J156">
            <v>7.5366703882421797</v>
          </cell>
          <cell r="K156">
            <v>7.3185341650836602</v>
          </cell>
        </row>
        <row r="157">
          <cell r="A157" t="str">
            <v>Period 5</v>
          </cell>
          <cell r="B157" t="str">
            <v>--</v>
          </cell>
          <cell r="C157">
            <v>-2.4904936360533299</v>
          </cell>
          <cell r="D157" t="str">
            <v>--</v>
          </cell>
          <cell r="E157">
            <v>-2.5721698181472399</v>
          </cell>
          <cell r="F157" t="str">
            <v>--</v>
          </cell>
          <cell r="G157">
            <v>8.1676182093910005E-2</v>
          </cell>
          <cell r="H157" t="str">
            <v>--</v>
          </cell>
          <cell r="I157">
            <v>-2.3766628359248898</v>
          </cell>
          <cell r="J157">
            <v>7.3568733772585704</v>
          </cell>
          <cell r="K157">
            <v>7.2815769789826801</v>
          </cell>
        </row>
        <row r="158">
          <cell r="A158" t="str">
            <v>Period 6</v>
          </cell>
          <cell r="B158" t="str">
            <v>--</v>
          </cell>
          <cell r="C158">
            <v>-0.17241195413517199</v>
          </cell>
          <cell r="D158" t="str">
            <v>--</v>
          </cell>
          <cell r="E158">
            <v>0.46238109972958702</v>
          </cell>
          <cell r="F158" t="str">
            <v>--</v>
          </cell>
          <cell r="G158">
            <v>-0.63479305386475904</v>
          </cell>
          <cell r="H158" t="str">
            <v>--</v>
          </cell>
          <cell r="I158">
            <v>-1.3544454279667599</v>
          </cell>
          <cell r="J158">
            <v>7.13422044576755</v>
          </cell>
          <cell r="K158">
            <v>7.3079375312500297</v>
          </cell>
        </row>
        <row r="159">
          <cell r="A159" t="str">
            <v>Period 7</v>
          </cell>
          <cell r="B159" t="str">
            <v>--</v>
          </cell>
          <cell r="C159">
            <v>3.0411985375513502</v>
          </cell>
          <cell r="D159" t="str">
            <v>--</v>
          </cell>
          <cell r="E159">
            <v>6.0836231190449102</v>
          </cell>
          <cell r="F159" t="str">
            <v>--</v>
          </cell>
          <cell r="G159">
            <v>-3.04242458149356</v>
          </cell>
          <cell r="H159" t="str">
            <v>--</v>
          </cell>
          <cell r="I159">
            <v>1.6584024990855899</v>
          </cell>
          <cell r="J159">
            <v>6.84005168815579</v>
          </cell>
          <cell r="K159">
            <v>7.2156309963369099</v>
          </cell>
        </row>
        <row r="160">
          <cell r="A160" t="str">
            <v>Period 8</v>
          </cell>
          <cell r="B160" t="str">
            <v>--</v>
          </cell>
          <cell r="C160">
            <v>4.68084513410792</v>
          </cell>
          <cell r="D160" t="str">
            <v>--</v>
          </cell>
          <cell r="E160">
            <v>8.5830522995879193</v>
          </cell>
          <cell r="F160" t="str">
            <v>--</v>
          </cell>
          <cell r="G160">
            <v>-3.9022071654800001</v>
          </cell>
          <cell r="H160" t="str">
            <v>--</v>
          </cell>
          <cell r="I160">
            <v>1.4408052689758399</v>
          </cell>
          <cell r="J160">
            <v>6.7425535037184599</v>
          </cell>
          <cell r="K160">
            <v>7.1783742475491801</v>
          </cell>
        </row>
        <row r="161">
          <cell r="A161" t="str">
            <v>Period 9</v>
          </cell>
          <cell r="B161" t="str">
            <v>--</v>
          </cell>
          <cell r="C161">
            <v>5.4169338924993804</v>
          </cell>
          <cell r="D161" t="str">
            <v>--</v>
          </cell>
          <cell r="E161">
            <v>9.2258443522099007</v>
          </cell>
          <cell r="F161" t="str">
            <v>--</v>
          </cell>
          <cell r="G161">
            <v>-3.8089104597105199</v>
          </cell>
          <cell r="H161" t="str">
            <v>--</v>
          </cell>
          <cell r="I161">
            <v>1.17888861600117</v>
          </cell>
          <cell r="J161">
            <v>6.8764053200503099</v>
          </cell>
          <cell r="K161">
            <v>7.30532862544199</v>
          </cell>
        </row>
        <row r="162">
          <cell r="A162" t="str">
            <v>Period 10</v>
          </cell>
          <cell r="B162" t="str">
            <v>--</v>
          </cell>
          <cell r="C162" t="str">
            <v>--</v>
          </cell>
          <cell r="D162" t="str">
            <v>--</v>
          </cell>
          <cell r="E162" t="str">
            <v>--</v>
          </cell>
          <cell r="F162" t="str">
            <v>--</v>
          </cell>
          <cell r="G162" t="str">
            <v>--</v>
          </cell>
          <cell r="H162" t="str">
            <v>--</v>
          </cell>
          <cell r="I162" t="str">
            <v>--</v>
          </cell>
          <cell r="J162" t="str">
            <v>--</v>
          </cell>
          <cell r="K162" t="str">
            <v>--</v>
          </cell>
        </row>
        <row r="163">
          <cell r="A163" t="str">
            <v>Period 11</v>
          </cell>
          <cell r="B163" t="str">
            <v>--</v>
          </cell>
          <cell r="C163" t="str">
            <v>--</v>
          </cell>
          <cell r="D163" t="str">
            <v>--</v>
          </cell>
          <cell r="E163" t="str">
            <v>--</v>
          </cell>
          <cell r="F163" t="str">
            <v>--</v>
          </cell>
          <cell r="G163" t="str">
            <v>--</v>
          </cell>
          <cell r="H163" t="str">
            <v>--</v>
          </cell>
          <cell r="I163" t="str">
            <v>--</v>
          </cell>
          <cell r="J163" t="str">
            <v>--</v>
          </cell>
          <cell r="K163" t="str">
            <v>--</v>
          </cell>
        </row>
        <row r="164">
          <cell r="A164" t="str">
            <v>Period 12</v>
          </cell>
          <cell r="B164" t="str">
            <v>--</v>
          </cell>
          <cell r="C164" t="str">
            <v>--</v>
          </cell>
          <cell r="D164" t="str">
            <v>--</v>
          </cell>
          <cell r="E164" t="str">
            <v>--</v>
          </cell>
          <cell r="F164" t="str">
            <v>--</v>
          </cell>
          <cell r="G164" t="str">
            <v>--</v>
          </cell>
          <cell r="H164" t="str">
            <v>--</v>
          </cell>
          <cell r="I164" t="str">
            <v>--</v>
          </cell>
          <cell r="J164" t="str">
            <v>--</v>
          </cell>
          <cell r="K164" t="str">
            <v>--</v>
          </cell>
        </row>
        <row r="165">
          <cell r="A165" t="str">
            <v>Period 13</v>
          </cell>
          <cell r="B165" t="str">
            <v>--</v>
          </cell>
          <cell r="C165" t="str">
            <v>--</v>
          </cell>
          <cell r="D165" t="str">
            <v>--</v>
          </cell>
          <cell r="E165" t="str">
            <v>--</v>
          </cell>
          <cell r="F165" t="str">
            <v>--</v>
          </cell>
          <cell r="G165" t="str">
            <v>--</v>
          </cell>
          <cell r="H165" t="str">
            <v>--</v>
          </cell>
          <cell r="I165" t="str">
            <v>--</v>
          </cell>
          <cell r="J165" t="str">
            <v>--</v>
          </cell>
          <cell r="K165" t="str">
            <v>--</v>
          </cell>
        </row>
        <row r="167">
          <cell r="B167" t="str">
            <v>PRIVATE LABEL COOKIES</v>
          </cell>
        </row>
        <row r="168">
          <cell r="B168" t="str">
            <v>Yr/Yr % Change</v>
          </cell>
        </row>
        <row r="169">
          <cell r="B169" t="str">
            <v>Sales</v>
          </cell>
          <cell r="D169" t="str">
            <v>Volume</v>
          </cell>
          <cell r="F169" t="str">
            <v>Price/Mix</v>
          </cell>
          <cell r="H169" t="str">
            <v>$ Merchandising</v>
          </cell>
          <cell r="J169" t="str">
            <v>$ Share</v>
          </cell>
        </row>
        <row r="170">
          <cell r="A170" t="str">
            <v>Date</v>
          </cell>
          <cell r="B170">
            <v>2005</v>
          </cell>
          <cell r="C170">
            <v>2006</v>
          </cell>
          <cell r="D170">
            <v>2005</v>
          </cell>
          <cell r="E170">
            <v>2006</v>
          </cell>
          <cell r="F170">
            <v>2005</v>
          </cell>
          <cell r="G170">
            <v>2006</v>
          </cell>
          <cell r="H170">
            <v>2005</v>
          </cell>
          <cell r="I170">
            <v>2006</v>
          </cell>
          <cell r="J170">
            <v>2005</v>
          </cell>
          <cell r="K170">
            <v>2006</v>
          </cell>
        </row>
        <row r="171">
          <cell r="A171" t="str">
            <v>Period 1</v>
          </cell>
          <cell r="B171" t="str">
            <v>--</v>
          </cell>
          <cell r="C171" t="str">
            <v>--</v>
          </cell>
          <cell r="D171" t="str">
            <v>--</v>
          </cell>
          <cell r="E171" t="str">
            <v>--</v>
          </cell>
          <cell r="F171" t="str">
            <v>--</v>
          </cell>
          <cell r="G171" t="str">
            <v>--</v>
          </cell>
          <cell r="H171" t="str">
            <v>--</v>
          </cell>
          <cell r="I171" t="str">
            <v>--</v>
          </cell>
          <cell r="J171" t="str">
            <v>--</v>
          </cell>
          <cell r="K171" t="str">
            <v>--</v>
          </cell>
        </row>
        <row r="172">
          <cell r="A172" t="str">
            <v>Period 2</v>
          </cell>
          <cell r="B172" t="str">
            <v>--</v>
          </cell>
          <cell r="C172" t="str">
            <v>--</v>
          </cell>
          <cell r="D172" t="str">
            <v>--</v>
          </cell>
          <cell r="E172" t="str">
            <v>--</v>
          </cell>
          <cell r="F172" t="str">
            <v>--</v>
          </cell>
          <cell r="G172" t="str">
            <v>--</v>
          </cell>
          <cell r="H172" t="str">
            <v>--</v>
          </cell>
          <cell r="I172" t="str">
            <v>--</v>
          </cell>
          <cell r="J172" t="str">
            <v>--</v>
          </cell>
          <cell r="K172">
            <v>10.848029479580701</v>
          </cell>
        </row>
        <row r="173">
          <cell r="A173" t="str">
            <v>Period 3</v>
          </cell>
          <cell r="B173" t="str">
            <v>--</v>
          </cell>
          <cell r="C173">
            <v>-1.22648632321984</v>
          </cell>
          <cell r="D173" t="str">
            <v>--</v>
          </cell>
          <cell r="E173">
            <v>-5.8131381562450803</v>
          </cell>
          <cell r="F173" t="str">
            <v>--</v>
          </cell>
          <cell r="G173">
            <v>4.5866518330252397</v>
          </cell>
          <cell r="H173" t="str">
            <v>--</v>
          </cell>
          <cell r="I173">
            <v>2.6551540123265001E-2</v>
          </cell>
          <cell r="J173">
            <v>10.7998419614322</v>
          </cell>
          <cell r="K173">
            <v>10.8139608232502</v>
          </cell>
        </row>
        <row r="174">
          <cell r="A174" t="str">
            <v>Period 4</v>
          </cell>
          <cell r="B174" t="str">
            <v>--</v>
          </cell>
          <cell r="C174">
            <v>0.59244929173542304</v>
          </cell>
          <cell r="D174" t="str">
            <v>--</v>
          </cell>
          <cell r="E174">
            <v>-4.3871910918575496</v>
          </cell>
          <cell r="F174" t="str">
            <v>--</v>
          </cell>
          <cell r="G174">
            <v>4.9796403835929697</v>
          </cell>
          <cell r="H174" t="str">
            <v>--</v>
          </cell>
          <cell r="I174">
            <v>-0.33484946106067798</v>
          </cell>
          <cell r="J174">
            <v>10.783724809040701</v>
          </cell>
          <cell r="K174">
            <v>10.9269211244993</v>
          </cell>
        </row>
        <row r="175">
          <cell r="A175" t="str">
            <v>Period 5</v>
          </cell>
          <cell r="B175" t="str">
            <v>--</v>
          </cell>
          <cell r="C175">
            <v>2.1380349389228499</v>
          </cell>
          <cell r="D175" t="str">
            <v>--</v>
          </cell>
          <cell r="E175">
            <v>-3.7525997316367601</v>
          </cell>
          <cell r="F175" t="str">
            <v>--</v>
          </cell>
          <cell r="G175">
            <v>5.89063467055961</v>
          </cell>
          <cell r="H175" t="str">
            <v>--</v>
          </cell>
          <cell r="I175">
            <v>-0.205074973598109</v>
          </cell>
          <cell r="J175">
            <v>10.8395604049434</v>
          </cell>
          <cell r="K175">
            <v>11.2378795775962</v>
          </cell>
        </row>
        <row r="176">
          <cell r="A176" t="str">
            <v>Period 6</v>
          </cell>
          <cell r="B176" t="str">
            <v>--</v>
          </cell>
          <cell r="C176">
            <v>2.6199679030052501</v>
          </cell>
          <cell r="D176" t="str">
            <v>--</v>
          </cell>
          <cell r="E176">
            <v>-4.4309584641214697</v>
          </cell>
          <cell r="F176" t="str">
            <v>--</v>
          </cell>
          <cell r="G176">
            <v>7.0509263671267197</v>
          </cell>
          <cell r="H176" t="str">
            <v>--</v>
          </cell>
          <cell r="I176">
            <v>-2.6286519651771201</v>
          </cell>
          <cell r="J176">
            <v>10.875581415789</v>
          </cell>
          <cell r="K176">
            <v>11.452019576378101</v>
          </cell>
        </row>
        <row r="177">
          <cell r="A177" t="str">
            <v>Period 7</v>
          </cell>
          <cell r="B177" t="str">
            <v>--</v>
          </cell>
          <cell r="C177">
            <v>4.6107527917867701</v>
          </cell>
          <cell r="D177" t="str">
            <v>--</v>
          </cell>
          <cell r="E177">
            <v>-2.5512354378451101</v>
          </cell>
          <cell r="F177" t="str">
            <v>--</v>
          </cell>
          <cell r="G177">
            <v>7.1619882296318798</v>
          </cell>
          <cell r="H177" t="str">
            <v>--</v>
          </cell>
          <cell r="I177">
            <v>-1.68219752460421</v>
          </cell>
          <cell r="J177">
            <v>11.1039134338106</v>
          </cell>
          <cell r="K177">
            <v>11.892041744862301</v>
          </cell>
        </row>
        <row r="178">
          <cell r="A178" t="str">
            <v>Period 8</v>
          </cell>
          <cell r="B178" t="str">
            <v>--</v>
          </cell>
          <cell r="C178">
            <v>4.9071610803376098</v>
          </cell>
          <cell r="D178" t="str">
            <v>--</v>
          </cell>
          <cell r="E178">
            <v>-2.51564959970599</v>
          </cell>
          <cell r="F178" t="str">
            <v>--</v>
          </cell>
          <cell r="G178">
            <v>7.4228106800436002</v>
          </cell>
          <cell r="H178" t="str">
            <v>--</v>
          </cell>
          <cell r="I178">
            <v>-2.6261988565882399</v>
          </cell>
          <cell r="J178">
            <v>11.108527845424501</v>
          </cell>
          <cell r="K178">
            <v>11.8521221227972</v>
          </cell>
        </row>
        <row r="179">
          <cell r="A179" t="str">
            <v>Period 9</v>
          </cell>
          <cell r="B179" t="str">
            <v>--</v>
          </cell>
          <cell r="C179">
            <v>6.03934483552485</v>
          </cell>
          <cell r="D179" t="str">
            <v>--</v>
          </cell>
          <cell r="E179">
            <v>-1.2704999044946399</v>
          </cell>
          <cell r="F179" t="str">
            <v>--</v>
          </cell>
          <cell r="G179">
            <v>7.3098447400194901</v>
          </cell>
          <cell r="H179" t="str">
            <v>--</v>
          </cell>
          <cell r="I179">
            <v>-0.97430986701455402</v>
          </cell>
          <cell r="J179">
            <v>11.1839722376913</v>
          </cell>
          <cell r="K179">
            <v>11.9517369286263</v>
          </cell>
        </row>
        <row r="180">
          <cell r="A180" t="str">
            <v>Period 10</v>
          </cell>
          <cell r="B180" t="str">
            <v>--</v>
          </cell>
          <cell r="C180" t="str">
            <v>--</v>
          </cell>
          <cell r="D180" t="str">
            <v>--</v>
          </cell>
          <cell r="E180" t="str">
            <v>--</v>
          </cell>
          <cell r="F180" t="str">
            <v>--</v>
          </cell>
          <cell r="G180" t="str">
            <v>--</v>
          </cell>
          <cell r="H180" t="str">
            <v>--</v>
          </cell>
          <cell r="I180" t="str">
            <v>--</v>
          </cell>
          <cell r="J180" t="str">
            <v>--</v>
          </cell>
          <cell r="K180" t="str">
            <v>--</v>
          </cell>
        </row>
        <row r="181">
          <cell r="A181" t="str">
            <v>Period 11</v>
          </cell>
          <cell r="B181" t="str">
            <v>--</v>
          </cell>
          <cell r="C181" t="str">
            <v>--</v>
          </cell>
          <cell r="D181" t="str">
            <v>--</v>
          </cell>
          <cell r="E181" t="str">
            <v>--</v>
          </cell>
          <cell r="F181" t="str">
            <v>--</v>
          </cell>
          <cell r="G181" t="str">
            <v>--</v>
          </cell>
          <cell r="H181" t="str">
            <v>--</v>
          </cell>
          <cell r="I181" t="str">
            <v>--</v>
          </cell>
          <cell r="J181" t="str">
            <v>--</v>
          </cell>
          <cell r="K181" t="str">
            <v>--</v>
          </cell>
        </row>
        <row r="182">
          <cell r="A182" t="str">
            <v>Period 12</v>
          </cell>
          <cell r="B182" t="str">
            <v>--</v>
          </cell>
          <cell r="C182" t="str">
            <v>--</v>
          </cell>
          <cell r="D182" t="str">
            <v>--</v>
          </cell>
          <cell r="E182" t="str">
            <v>--</v>
          </cell>
          <cell r="F182" t="str">
            <v>--</v>
          </cell>
          <cell r="G182" t="str">
            <v>--</v>
          </cell>
          <cell r="H182" t="str">
            <v>--</v>
          </cell>
          <cell r="I182" t="str">
            <v>--</v>
          </cell>
          <cell r="J182" t="str">
            <v>--</v>
          </cell>
          <cell r="K182" t="str">
            <v>--</v>
          </cell>
        </row>
        <row r="183">
          <cell r="A183" t="str">
            <v>Period 13</v>
          </cell>
          <cell r="B183" t="str">
            <v>--</v>
          </cell>
          <cell r="C183" t="str">
            <v>--</v>
          </cell>
          <cell r="D183" t="str">
            <v>--</v>
          </cell>
          <cell r="E183" t="str">
            <v>--</v>
          </cell>
          <cell r="F183" t="str">
            <v>--</v>
          </cell>
          <cell r="G183" t="str">
            <v>--</v>
          </cell>
          <cell r="H183" t="str">
            <v>--</v>
          </cell>
          <cell r="I183" t="str">
            <v>--</v>
          </cell>
          <cell r="J183" t="str">
            <v>--</v>
          </cell>
          <cell r="K183" t="str">
            <v>--</v>
          </cell>
        </row>
        <row r="185">
          <cell r="A185" t="str">
            <v>CATEGORY - COOKIES - Historical Statistics - 52 Week Data - TOTAL U.S. - FD / DG / MM</v>
          </cell>
        </row>
        <row r="187">
          <cell r="B187" t="str">
            <v>Category</v>
          </cell>
        </row>
        <row r="188">
          <cell r="B188" t="str">
            <v>Yr/Yr % Change</v>
          </cell>
        </row>
        <row r="189">
          <cell r="B189" t="str">
            <v>Sales</v>
          </cell>
          <cell r="D189" t="str">
            <v>Volume</v>
          </cell>
          <cell r="F189" t="str">
            <v>Price/Mix</v>
          </cell>
          <cell r="H189" t="str">
            <v>$ Merchandising</v>
          </cell>
        </row>
        <row r="190">
          <cell r="A190" t="str">
            <v>Date</v>
          </cell>
          <cell r="B190">
            <v>2005</v>
          </cell>
          <cell r="C190">
            <v>2006</v>
          </cell>
          <cell r="D190">
            <v>2005</v>
          </cell>
          <cell r="E190">
            <v>2006</v>
          </cell>
          <cell r="F190">
            <v>2005</v>
          </cell>
          <cell r="G190">
            <v>2006</v>
          </cell>
          <cell r="H190">
            <v>2005</v>
          </cell>
          <cell r="I190">
            <v>2006</v>
          </cell>
        </row>
        <row r="191">
          <cell r="A191" t="str">
            <v>Period 1</v>
          </cell>
          <cell r="B191" t="str">
            <v>--</v>
          </cell>
          <cell r="C191" t="str">
            <v>--</v>
          </cell>
          <cell r="D191" t="str">
            <v>--</v>
          </cell>
          <cell r="E191" t="str">
            <v>--</v>
          </cell>
          <cell r="F191" t="str">
            <v>--</v>
          </cell>
          <cell r="G191" t="str">
            <v>--</v>
          </cell>
          <cell r="H191" t="str">
            <v>--</v>
          </cell>
          <cell r="I191" t="str">
            <v>--</v>
          </cell>
        </row>
        <row r="192">
          <cell r="A192" t="str">
            <v>Period 2</v>
          </cell>
          <cell r="B192" t="str">
            <v>--</v>
          </cell>
          <cell r="C192" t="str">
            <v>--</v>
          </cell>
          <cell r="D192" t="str">
            <v>--</v>
          </cell>
          <cell r="E192" t="str">
            <v>--</v>
          </cell>
          <cell r="F192" t="str">
            <v>--</v>
          </cell>
          <cell r="G192" t="str">
            <v>--</v>
          </cell>
          <cell r="H192" t="str">
            <v>--</v>
          </cell>
          <cell r="I192" t="str">
            <v>--</v>
          </cell>
        </row>
        <row r="193">
          <cell r="A193" t="str">
            <v>Period 3</v>
          </cell>
          <cell r="B193" t="str">
            <v>--</v>
          </cell>
          <cell r="C193">
            <v>-0.75232425326522401</v>
          </cell>
          <cell r="D193" t="str">
            <v>--</v>
          </cell>
          <cell r="E193">
            <v>-3.0301552996186101</v>
          </cell>
          <cell r="F193" t="str">
            <v>--</v>
          </cell>
          <cell r="G193">
            <v>2.2778310463533802</v>
          </cell>
          <cell r="H193" t="str">
            <v>--</v>
          </cell>
          <cell r="I193">
            <v>-0.32251566689077998</v>
          </cell>
        </row>
        <row r="194">
          <cell r="A194" t="str">
            <v>Period 4</v>
          </cell>
          <cell r="B194" t="str">
            <v>--</v>
          </cell>
          <cell r="C194">
            <v>-1.26562645787229</v>
          </cell>
          <cell r="D194" t="str">
            <v>--</v>
          </cell>
          <cell r="E194">
            <v>-4.0371108178819997</v>
          </cell>
          <cell r="F194" t="str">
            <v>--</v>
          </cell>
          <cell r="G194">
            <v>2.7714843600097101</v>
          </cell>
          <cell r="H194" t="str">
            <v>--</v>
          </cell>
          <cell r="I194">
            <v>-0.60936112413587995</v>
          </cell>
        </row>
        <row r="195">
          <cell r="A195" t="str">
            <v>Period 5</v>
          </cell>
          <cell r="B195" t="str">
            <v>--</v>
          </cell>
          <cell r="C195">
            <v>-1.6418532989107899</v>
          </cell>
          <cell r="D195" t="str">
            <v>--</v>
          </cell>
          <cell r="E195">
            <v>-4.6313304237072197</v>
          </cell>
          <cell r="F195" t="str">
            <v>--</v>
          </cell>
          <cell r="G195">
            <v>2.98947712479643</v>
          </cell>
          <cell r="H195" t="str">
            <v>--</v>
          </cell>
          <cell r="I195">
            <v>-0.57469330870366497</v>
          </cell>
        </row>
        <row r="196">
          <cell r="A196" t="str">
            <v>Period 6</v>
          </cell>
          <cell r="B196" t="str">
            <v>--</v>
          </cell>
          <cell r="C196">
            <v>-1.9417353498529299</v>
          </cell>
          <cell r="D196" t="str">
            <v>--</v>
          </cell>
          <cell r="E196">
            <v>-5.1554178358761602</v>
          </cell>
          <cell r="F196" t="str">
            <v>--</v>
          </cell>
          <cell r="G196">
            <v>3.2136824860232398</v>
          </cell>
          <cell r="H196" t="str">
            <v>--</v>
          </cell>
          <cell r="I196">
            <v>-0.75142579127693698</v>
          </cell>
        </row>
        <row r="197">
          <cell r="A197" t="str">
            <v>Period 7</v>
          </cell>
          <cell r="B197" t="str">
            <v>--</v>
          </cell>
          <cell r="C197">
            <v>-2.11565055387462</v>
          </cell>
          <cell r="D197" t="str">
            <v>--</v>
          </cell>
          <cell r="E197">
            <v>-5.5051946650687196</v>
          </cell>
          <cell r="F197" t="str">
            <v>--</v>
          </cell>
          <cell r="G197">
            <v>3.3895441111941</v>
          </cell>
          <cell r="H197" t="str">
            <v>--</v>
          </cell>
          <cell r="I197">
            <v>-0.90628881112091597</v>
          </cell>
        </row>
        <row r="198">
          <cell r="A198" t="str">
            <v>Period 8</v>
          </cell>
          <cell r="B198" t="str">
            <v>--</v>
          </cell>
          <cell r="C198">
            <v>-1.9041237455147799</v>
          </cell>
          <cell r="D198" t="str">
            <v>--</v>
          </cell>
          <cell r="E198">
            <v>-5.5021182119714798</v>
          </cell>
          <cell r="F198" t="str">
            <v>--</v>
          </cell>
          <cell r="G198">
            <v>3.5979944664566901</v>
          </cell>
          <cell r="H198" t="str">
            <v>--</v>
          </cell>
          <cell r="I198">
            <v>-0.96885694400158695</v>
          </cell>
        </row>
        <row r="199">
          <cell r="A199" t="str">
            <v>Period 9</v>
          </cell>
          <cell r="B199" t="str">
            <v>--</v>
          </cell>
          <cell r="C199">
            <v>-1.74141581918864</v>
          </cell>
          <cell r="D199" t="str">
            <v>--</v>
          </cell>
          <cell r="E199">
            <v>-5.5733393039585097</v>
          </cell>
          <cell r="F199" t="str">
            <v>--</v>
          </cell>
          <cell r="G199">
            <v>3.83192348476988</v>
          </cell>
          <cell r="H199" t="str">
            <v>--</v>
          </cell>
          <cell r="I199">
            <v>-1.1084051400042201</v>
          </cell>
        </row>
        <row r="200">
          <cell r="A200" t="str">
            <v>Period 10</v>
          </cell>
          <cell r="B200" t="str">
            <v>--</v>
          </cell>
          <cell r="C200" t="str">
            <v>--</v>
          </cell>
          <cell r="D200" t="str">
            <v>--</v>
          </cell>
          <cell r="E200" t="str">
            <v>--</v>
          </cell>
          <cell r="F200" t="str">
            <v>--</v>
          </cell>
          <cell r="G200" t="str">
            <v>--</v>
          </cell>
          <cell r="H200" t="str">
            <v>--</v>
          </cell>
          <cell r="I200" t="str">
            <v>--</v>
          </cell>
        </row>
        <row r="201">
          <cell r="A201" t="str">
            <v>Period 11</v>
          </cell>
          <cell r="B201" t="str">
            <v>--</v>
          </cell>
          <cell r="C201" t="str">
            <v>--</v>
          </cell>
          <cell r="D201" t="str">
            <v>--</v>
          </cell>
          <cell r="E201" t="str">
            <v>--</v>
          </cell>
          <cell r="F201" t="str">
            <v>--</v>
          </cell>
          <cell r="G201" t="str">
            <v>--</v>
          </cell>
          <cell r="H201" t="str">
            <v>--</v>
          </cell>
          <cell r="I201" t="str">
            <v>--</v>
          </cell>
        </row>
        <row r="202">
          <cell r="A202" t="str">
            <v>Period 12</v>
          </cell>
          <cell r="B202" t="str">
            <v>--</v>
          </cell>
          <cell r="C202" t="str">
            <v>--</v>
          </cell>
          <cell r="D202" t="str">
            <v>--</v>
          </cell>
          <cell r="E202" t="str">
            <v>--</v>
          </cell>
          <cell r="F202" t="str">
            <v>--</v>
          </cell>
          <cell r="G202" t="str">
            <v>--</v>
          </cell>
          <cell r="H202" t="str">
            <v>--</v>
          </cell>
          <cell r="I202" t="str">
            <v>--</v>
          </cell>
        </row>
        <row r="203">
          <cell r="A203" t="str">
            <v>Period 13</v>
          </cell>
          <cell r="B203" t="str">
            <v>--</v>
          </cell>
          <cell r="C203" t="str">
            <v>--</v>
          </cell>
          <cell r="D203" t="str">
            <v>--</v>
          </cell>
          <cell r="E203" t="str">
            <v>--</v>
          </cell>
          <cell r="F203" t="str">
            <v>--</v>
          </cell>
          <cell r="G203" t="str">
            <v>--</v>
          </cell>
          <cell r="H203" t="str">
            <v>--</v>
          </cell>
          <cell r="I203" t="str">
            <v>--</v>
          </cell>
        </row>
        <row r="205">
          <cell r="B205" t="str">
            <v>ALTRIA GROUP COOKIES PART II</v>
          </cell>
        </row>
        <row r="206">
          <cell r="B206" t="str">
            <v>Yr/Yr % Change</v>
          </cell>
        </row>
        <row r="207">
          <cell r="B207" t="str">
            <v>Sales</v>
          </cell>
          <cell r="D207" t="str">
            <v>Volume</v>
          </cell>
          <cell r="F207" t="str">
            <v>Price/Mix</v>
          </cell>
          <cell r="H207" t="str">
            <v>$ Merchandising</v>
          </cell>
          <cell r="J207" t="str">
            <v>$ Share</v>
          </cell>
        </row>
        <row r="208">
          <cell r="A208" t="str">
            <v>Date</v>
          </cell>
          <cell r="B208">
            <v>2005</v>
          </cell>
          <cell r="C208">
            <v>2006</v>
          </cell>
          <cell r="D208">
            <v>2005</v>
          </cell>
          <cell r="E208">
            <v>2006</v>
          </cell>
          <cell r="F208">
            <v>2005</v>
          </cell>
          <cell r="G208">
            <v>2006</v>
          </cell>
          <cell r="H208">
            <v>2005</v>
          </cell>
          <cell r="I208">
            <v>2006</v>
          </cell>
          <cell r="J208">
            <v>2005</v>
          </cell>
          <cell r="K208">
            <v>2006</v>
          </cell>
        </row>
        <row r="209">
          <cell r="A209" t="str">
            <v>Period 1</v>
          </cell>
          <cell r="B209" t="str">
            <v>--</v>
          </cell>
          <cell r="C209" t="str">
            <v>--</v>
          </cell>
          <cell r="D209" t="str">
            <v>--</v>
          </cell>
          <cell r="E209" t="str">
            <v>--</v>
          </cell>
          <cell r="F209" t="str">
            <v>--</v>
          </cell>
          <cell r="G209" t="str">
            <v>--</v>
          </cell>
          <cell r="H209" t="str">
            <v>--</v>
          </cell>
          <cell r="I209" t="str">
            <v>--</v>
          </cell>
          <cell r="J209" t="str">
            <v>--</v>
          </cell>
          <cell r="K209">
            <v>36.161507198809701</v>
          </cell>
        </row>
        <row r="210">
          <cell r="A210" t="str">
            <v>Period 2</v>
          </cell>
          <cell r="B210" t="str">
            <v>--</v>
          </cell>
          <cell r="C210" t="str">
            <v>--</v>
          </cell>
          <cell r="D210" t="str">
            <v>--</v>
          </cell>
          <cell r="E210" t="str">
            <v>--</v>
          </cell>
          <cell r="F210" t="str">
            <v>--</v>
          </cell>
          <cell r="G210" t="str">
            <v>--</v>
          </cell>
          <cell r="H210" t="str">
            <v>--</v>
          </cell>
          <cell r="I210" t="str">
            <v>--</v>
          </cell>
          <cell r="J210" t="str">
            <v>--</v>
          </cell>
          <cell r="K210">
            <v>36.222368250678102</v>
          </cell>
        </row>
        <row r="211">
          <cell r="A211" t="str">
            <v>Period 3</v>
          </cell>
          <cell r="B211" t="str">
            <v>--</v>
          </cell>
          <cell r="C211">
            <v>0.52760801468042096</v>
          </cell>
          <cell r="D211" t="str">
            <v>--</v>
          </cell>
          <cell r="E211">
            <v>0.35422884116698</v>
          </cell>
          <cell r="F211" t="str">
            <v>--</v>
          </cell>
          <cell r="G211">
            <v>0.17337917351344101</v>
          </cell>
          <cell r="H211" t="str">
            <v>--</v>
          </cell>
          <cell r="I211">
            <v>0.975813333899474</v>
          </cell>
          <cell r="J211">
            <v>35.8946633609701</v>
          </cell>
          <cell r="K211">
            <v>36.357573323718199</v>
          </cell>
        </row>
        <row r="212">
          <cell r="A212" t="str">
            <v>Period 4</v>
          </cell>
          <cell r="B212" t="str">
            <v>--</v>
          </cell>
          <cell r="C212">
            <v>-0.28461179193573899</v>
          </cell>
          <cell r="D212" t="str">
            <v>--</v>
          </cell>
          <cell r="E212">
            <v>-0.85844364786996696</v>
          </cell>
          <cell r="F212" t="str">
            <v>--</v>
          </cell>
          <cell r="G212">
            <v>0.57383185593422703</v>
          </cell>
          <cell r="H212" t="str">
            <v>--</v>
          </cell>
          <cell r="I212">
            <v>0.68156846678988403</v>
          </cell>
          <cell r="J212">
            <v>35.946790915403298</v>
          </cell>
          <cell r="K212">
            <v>36.303954563849601</v>
          </cell>
        </row>
        <row r="213">
          <cell r="A213" t="str">
            <v>Period 5</v>
          </cell>
          <cell r="B213" t="str">
            <v>--</v>
          </cell>
          <cell r="C213">
            <v>-0.64327309657163101</v>
          </cell>
          <cell r="D213" t="str">
            <v>--</v>
          </cell>
          <cell r="E213">
            <v>-1.1850974550726101</v>
          </cell>
          <cell r="F213" t="str">
            <v>--</v>
          </cell>
          <cell r="G213">
            <v>0.54182435850097599</v>
          </cell>
          <cell r="H213" t="str">
            <v>--</v>
          </cell>
          <cell r="I213">
            <v>0.76071444634977303</v>
          </cell>
          <cell r="J213">
            <v>35.943208201236899</v>
          </cell>
          <cell r="K213">
            <v>36.308121300172999</v>
          </cell>
        </row>
        <row r="214">
          <cell r="A214" t="str">
            <v>Period 6</v>
          </cell>
          <cell r="B214" t="str">
            <v>--</v>
          </cell>
          <cell r="C214">
            <v>-0.52817104810526505</v>
          </cell>
          <cell r="D214" t="str">
            <v>--</v>
          </cell>
          <cell r="E214">
            <v>-1.2961978714950699</v>
          </cell>
          <cell r="F214" t="str">
            <v>--</v>
          </cell>
          <cell r="G214">
            <v>0.76802682338980699</v>
          </cell>
          <cell r="H214" t="str">
            <v>--</v>
          </cell>
          <cell r="I214">
            <v>0.67986238445296698</v>
          </cell>
          <cell r="J214">
            <v>35.860276579227303</v>
          </cell>
          <cell r="K214">
            <v>36.377222366551202</v>
          </cell>
        </row>
        <row r="215">
          <cell r="A215" t="str">
            <v>Period 7</v>
          </cell>
          <cell r="B215" t="str">
            <v>--</v>
          </cell>
          <cell r="C215">
            <v>-0.64744290335107801</v>
          </cell>
          <cell r="D215" t="str">
            <v>--</v>
          </cell>
          <cell r="E215">
            <v>-1.5348349659770699</v>
          </cell>
          <cell r="F215" t="str">
            <v>--</v>
          </cell>
          <cell r="G215">
            <v>0.88739206262599601</v>
          </cell>
          <cell r="H215" t="str">
            <v>--</v>
          </cell>
          <cell r="I215">
            <v>0.42068839470872599</v>
          </cell>
          <cell r="J215">
            <v>35.897602641647303</v>
          </cell>
          <cell r="K215">
            <v>36.436045560583203</v>
          </cell>
        </row>
        <row r="216">
          <cell r="A216" t="str">
            <v>Period 8</v>
          </cell>
          <cell r="B216" t="str">
            <v>--</v>
          </cell>
          <cell r="C216">
            <v>-0.23427267030913401</v>
          </cell>
          <cell r="D216" t="str">
            <v>--</v>
          </cell>
          <cell r="E216">
            <v>-1.2257911470734799</v>
          </cell>
          <cell r="F216" t="str">
            <v>--</v>
          </cell>
          <cell r="G216">
            <v>0.99151847676434302</v>
          </cell>
          <cell r="H216" t="str">
            <v>--</v>
          </cell>
          <cell r="I216">
            <v>0.27192530419250699</v>
          </cell>
          <cell r="J216">
            <v>35.866551062371897</v>
          </cell>
          <cell r="K216">
            <v>36.477094554537103</v>
          </cell>
        </row>
        <row r="217">
          <cell r="A217" t="str">
            <v>Period 9</v>
          </cell>
          <cell r="B217" t="str">
            <v>--</v>
          </cell>
          <cell r="C217">
            <v>-0.11102492013457101</v>
          </cell>
          <cell r="D217" t="str">
            <v>--</v>
          </cell>
          <cell r="E217">
            <v>-1.6906514811101001</v>
          </cell>
          <cell r="F217" t="str">
            <v>--</v>
          </cell>
          <cell r="G217">
            <v>1.57962656097553</v>
          </cell>
          <cell r="H217" t="str">
            <v>--</v>
          </cell>
          <cell r="I217">
            <v>0.103648203814558</v>
          </cell>
          <cell r="J217">
            <v>35.879828561406597</v>
          </cell>
          <cell r="K217">
            <v>36.475177521844401</v>
          </cell>
        </row>
        <row r="218">
          <cell r="A218" t="str">
            <v>Period 10</v>
          </cell>
          <cell r="B218" t="str">
            <v>--</v>
          </cell>
          <cell r="C218" t="str">
            <v>--</v>
          </cell>
          <cell r="D218" t="str">
            <v>--</v>
          </cell>
          <cell r="E218" t="str">
            <v>--</v>
          </cell>
          <cell r="F218" t="str">
            <v>--</v>
          </cell>
          <cell r="G218" t="str">
            <v>--</v>
          </cell>
          <cell r="H218" t="str">
            <v>--</v>
          </cell>
          <cell r="I218" t="str">
            <v>--</v>
          </cell>
          <cell r="J218">
            <v>35.971630979485298</v>
          </cell>
          <cell r="K218" t="str">
            <v>--</v>
          </cell>
        </row>
        <row r="219">
          <cell r="A219" t="str">
            <v>Period 11</v>
          </cell>
          <cell r="B219" t="str">
            <v>--</v>
          </cell>
          <cell r="C219" t="str">
            <v>--</v>
          </cell>
          <cell r="D219" t="str">
            <v>--</v>
          </cell>
          <cell r="E219" t="str">
            <v>--</v>
          </cell>
          <cell r="F219" t="str">
            <v>--</v>
          </cell>
          <cell r="G219" t="str">
            <v>--</v>
          </cell>
          <cell r="H219" t="str">
            <v>--</v>
          </cell>
          <cell r="I219" t="str">
            <v>--</v>
          </cell>
          <cell r="J219">
            <v>36.0142140502833</v>
          </cell>
          <cell r="K219" t="str">
            <v>--</v>
          </cell>
        </row>
        <row r="220">
          <cell r="A220" t="str">
            <v>Period 12</v>
          </cell>
          <cell r="B220" t="str">
            <v>--</v>
          </cell>
          <cell r="C220" t="str">
            <v>--</v>
          </cell>
          <cell r="D220" t="str">
            <v>--</v>
          </cell>
          <cell r="E220" t="str">
            <v>--</v>
          </cell>
          <cell r="F220" t="str">
            <v>--</v>
          </cell>
          <cell r="G220" t="str">
            <v>--</v>
          </cell>
          <cell r="H220" t="str">
            <v>--</v>
          </cell>
          <cell r="I220" t="str">
            <v>--</v>
          </cell>
          <cell r="J220">
            <v>36.026729188504802</v>
          </cell>
          <cell r="K220" t="str">
            <v>--</v>
          </cell>
        </row>
        <row r="221">
          <cell r="A221" t="str">
            <v>Period 13</v>
          </cell>
          <cell r="B221" t="str">
            <v>--</v>
          </cell>
          <cell r="C221" t="str">
            <v>--</v>
          </cell>
          <cell r="D221" t="str">
            <v>--</v>
          </cell>
          <cell r="E221" t="str">
            <v>--</v>
          </cell>
          <cell r="F221" t="str">
            <v>--</v>
          </cell>
          <cell r="G221" t="str">
            <v>--</v>
          </cell>
          <cell r="H221" t="str">
            <v>--</v>
          </cell>
          <cell r="I221" t="str">
            <v>--</v>
          </cell>
          <cell r="J221">
            <v>36.087953650722199</v>
          </cell>
          <cell r="K221" t="str">
            <v>--</v>
          </cell>
        </row>
        <row r="223">
          <cell r="B223" t="str">
            <v>KELLOGG CO COOKIES</v>
          </cell>
        </row>
        <row r="224">
          <cell r="B224" t="str">
            <v>Yr/Yr % Change</v>
          </cell>
        </row>
        <row r="225">
          <cell r="B225" t="str">
            <v>Sales</v>
          </cell>
          <cell r="D225" t="str">
            <v>Volume</v>
          </cell>
          <cell r="F225" t="str">
            <v>Price/Mix</v>
          </cell>
          <cell r="H225" t="str">
            <v>$ Merchandising</v>
          </cell>
          <cell r="J225" t="str">
            <v>$ Share</v>
          </cell>
        </row>
        <row r="226">
          <cell r="A226" t="str">
            <v>Date</v>
          </cell>
          <cell r="B226">
            <v>2005</v>
          </cell>
          <cell r="C226">
            <v>2006</v>
          </cell>
          <cell r="D226">
            <v>2005</v>
          </cell>
          <cell r="E226">
            <v>2006</v>
          </cell>
          <cell r="F226">
            <v>2005</v>
          </cell>
          <cell r="G226">
            <v>2006</v>
          </cell>
          <cell r="H226">
            <v>2005</v>
          </cell>
          <cell r="I226">
            <v>2006</v>
          </cell>
          <cell r="J226">
            <v>2005</v>
          </cell>
          <cell r="K226">
            <v>2006</v>
          </cell>
        </row>
        <row r="227">
          <cell r="A227" t="str">
            <v>Period 1</v>
          </cell>
          <cell r="B227" t="str">
            <v>--</v>
          </cell>
          <cell r="C227" t="str">
            <v>--</v>
          </cell>
          <cell r="D227" t="str">
            <v>--</v>
          </cell>
          <cell r="E227" t="str">
            <v>--</v>
          </cell>
          <cell r="F227" t="str">
            <v>--</v>
          </cell>
          <cell r="G227" t="str">
            <v>--</v>
          </cell>
          <cell r="H227" t="str">
            <v>--</v>
          </cell>
          <cell r="I227" t="str">
            <v>--</v>
          </cell>
          <cell r="J227" t="str">
            <v>--</v>
          </cell>
          <cell r="K227">
            <v>4.7391018812999999E-4</v>
          </cell>
        </row>
        <row r="228">
          <cell r="A228" t="str">
            <v>Period 2</v>
          </cell>
          <cell r="B228" t="str">
            <v>--</v>
          </cell>
          <cell r="C228" t="str">
            <v>--</v>
          </cell>
          <cell r="D228" t="str">
            <v>--</v>
          </cell>
          <cell r="E228" t="str">
            <v>--</v>
          </cell>
          <cell r="F228" t="str">
            <v>--</v>
          </cell>
          <cell r="G228" t="str">
            <v>--</v>
          </cell>
          <cell r="H228" t="str">
            <v>--</v>
          </cell>
          <cell r="I228" t="str">
            <v>--</v>
          </cell>
          <cell r="J228" t="str">
            <v>--</v>
          </cell>
          <cell r="K228">
            <v>3.6120415386100001E-4</v>
          </cell>
        </row>
        <row r="229">
          <cell r="A229" t="str">
            <v>Period 3</v>
          </cell>
          <cell r="B229" t="str">
            <v>--</v>
          </cell>
          <cell r="C229">
            <v>-99.566139782353304</v>
          </cell>
          <cell r="D229" t="str">
            <v>--</v>
          </cell>
          <cell r="E229">
            <v>-99.460847747678002</v>
          </cell>
          <cell r="F229" t="str">
            <v>--</v>
          </cell>
          <cell r="G229">
            <v>-0.105292034675372</v>
          </cell>
          <cell r="H229" t="str">
            <v>--</v>
          </cell>
          <cell r="I229">
            <v>-45.939044933513998</v>
          </cell>
          <cell r="J229">
            <v>7.1968223868241005E-2</v>
          </cell>
          <cell r="K229">
            <v>3.1460836776500001E-4</v>
          </cell>
        </row>
        <row r="230">
          <cell r="A230" t="str">
            <v>Period 4</v>
          </cell>
          <cell r="B230" t="str">
            <v>--</v>
          </cell>
          <cell r="C230">
            <v>-99.604948407540206</v>
          </cell>
          <cell r="D230" t="str">
            <v>--</v>
          </cell>
          <cell r="E230">
            <v>-99.494984489582905</v>
          </cell>
          <cell r="F230" t="str">
            <v>--</v>
          </cell>
          <cell r="G230">
            <v>-0.109963917957245</v>
          </cell>
          <cell r="H230" t="str">
            <v>--</v>
          </cell>
          <cell r="I230">
            <v>-45.539717923323003</v>
          </cell>
          <cell r="J230">
            <v>7.1790928743664995E-2</v>
          </cell>
          <cell r="K230">
            <v>2.8724667718899998E-4</v>
          </cell>
        </row>
        <row r="231">
          <cell r="A231" t="str">
            <v>Period 5</v>
          </cell>
          <cell r="B231" t="str">
            <v>--</v>
          </cell>
          <cell r="C231">
            <v>-99.819457657463104</v>
          </cell>
          <cell r="D231" t="str">
            <v>--</v>
          </cell>
          <cell r="E231">
            <v>-99.820578272642294</v>
          </cell>
          <cell r="F231" t="str">
            <v>--</v>
          </cell>
          <cell r="G231">
            <v>1.120615179161E-3</v>
          </cell>
          <cell r="H231" t="str">
            <v>--</v>
          </cell>
          <cell r="I231">
            <v>-44.6806407227321</v>
          </cell>
          <cell r="J231">
            <v>7.1777251649429996E-2</v>
          </cell>
          <cell r="K231">
            <v>1.3175149784999999E-4</v>
          </cell>
        </row>
        <row r="232">
          <cell r="A232" t="str">
            <v>Period 6</v>
          </cell>
          <cell r="B232" t="str">
            <v>--</v>
          </cell>
          <cell r="C232">
            <v>-99.846362389625199</v>
          </cell>
          <cell r="D232" t="str">
            <v>--</v>
          </cell>
          <cell r="E232">
            <v>-99.864515635167393</v>
          </cell>
          <cell r="F232" t="str">
            <v>--</v>
          </cell>
          <cell r="G232">
            <v>1.8153245542123001E-2</v>
          </cell>
          <cell r="H232" t="str">
            <v>--</v>
          </cell>
          <cell r="I232">
            <v>-49.754154658882598</v>
          </cell>
          <cell r="J232">
            <v>6.5355335767289996E-2</v>
          </cell>
          <cell r="K232">
            <v>1.02398687641E-4</v>
          </cell>
        </row>
        <row r="233">
          <cell r="A233" t="str">
            <v>Period 7</v>
          </cell>
          <cell r="B233" t="str">
            <v>--</v>
          </cell>
          <cell r="C233">
            <v>-99.851083115053996</v>
          </cell>
          <cell r="D233" t="str">
            <v>--</v>
          </cell>
          <cell r="E233">
            <v>-99.868456699320902</v>
          </cell>
          <cell r="F233" t="str">
            <v>--</v>
          </cell>
          <cell r="G233">
            <v>1.7373584266821E-2</v>
          </cell>
          <cell r="H233" t="str">
            <v>--</v>
          </cell>
          <cell r="I233">
            <v>-48.115822900192597</v>
          </cell>
          <cell r="J233">
            <v>5.0833619290778002E-2</v>
          </cell>
          <cell r="K233">
            <v>7.7336001905999995E-5</v>
          </cell>
        </row>
        <row r="234">
          <cell r="A234" t="str">
            <v>Period 8</v>
          </cell>
          <cell r="B234" t="str">
            <v>--</v>
          </cell>
          <cell r="C234">
            <v>-99.836905083274502</v>
          </cell>
          <cell r="D234" t="str">
            <v>--</v>
          </cell>
          <cell r="E234">
            <v>-99.854736818061795</v>
          </cell>
          <cell r="F234" t="str">
            <v>--</v>
          </cell>
          <cell r="G234">
            <v>1.7831734787336E-2</v>
          </cell>
          <cell r="H234" t="str">
            <v>--</v>
          </cell>
          <cell r="I234">
            <v>-44.3591898787163</v>
          </cell>
          <cell r="J234">
            <v>3.6513670023802E-2</v>
          </cell>
          <cell r="K234">
            <v>6.0707893127000003E-5</v>
          </cell>
        </row>
        <row r="235">
          <cell r="A235" t="str">
            <v>Period 9</v>
          </cell>
          <cell r="B235" t="str">
            <v>--</v>
          </cell>
          <cell r="C235">
            <v>-94.558927483022103</v>
          </cell>
          <cell r="D235" t="str">
            <v>--</v>
          </cell>
          <cell r="E235">
            <v>-96.133783771301296</v>
          </cell>
          <cell r="F235" t="str">
            <v>--</v>
          </cell>
          <cell r="G235">
            <v>1.5748562882791599</v>
          </cell>
          <cell r="H235" t="str">
            <v>--</v>
          </cell>
          <cell r="I235">
            <v>-9.5902298606645697</v>
          </cell>
          <cell r="J235">
            <v>2.4006743242912E-2</v>
          </cell>
          <cell r="K235">
            <v>1.3293742421609999E-3</v>
          </cell>
        </row>
        <row r="236">
          <cell r="A236" t="str">
            <v>Period 10</v>
          </cell>
          <cell r="B236" t="str">
            <v>--</v>
          </cell>
          <cell r="C236" t="str">
            <v>--</v>
          </cell>
          <cell r="D236" t="str">
            <v>--</v>
          </cell>
          <cell r="E236" t="str">
            <v>--</v>
          </cell>
          <cell r="F236" t="str">
            <v>--</v>
          </cell>
          <cell r="G236" t="str">
            <v>--</v>
          </cell>
          <cell r="H236" t="str">
            <v>--</v>
          </cell>
          <cell r="I236" t="str">
            <v>--</v>
          </cell>
          <cell r="J236">
            <v>1.4553053782108E-2</v>
          </cell>
          <cell r="K236" t="str">
            <v>--</v>
          </cell>
        </row>
        <row r="237">
          <cell r="A237" t="str">
            <v>Period 11</v>
          </cell>
          <cell r="B237" t="str">
            <v>--</v>
          </cell>
          <cell r="C237" t="str">
            <v>--</v>
          </cell>
          <cell r="D237" t="str">
            <v>--</v>
          </cell>
          <cell r="E237" t="str">
            <v>--</v>
          </cell>
          <cell r="F237" t="str">
            <v>--</v>
          </cell>
          <cell r="G237" t="str">
            <v>--</v>
          </cell>
          <cell r="H237" t="str">
            <v>--</v>
          </cell>
          <cell r="I237" t="str">
            <v>--</v>
          </cell>
          <cell r="J237">
            <v>5.5826871060320003E-3</v>
          </cell>
          <cell r="K237" t="str">
            <v>--</v>
          </cell>
        </row>
        <row r="238">
          <cell r="A238" t="str">
            <v>Period 12</v>
          </cell>
          <cell r="B238" t="str">
            <v>--</v>
          </cell>
          <cell r="C238" t="str">
            <v>--</v>
          </cell>
          <cell r="D238" t="str">
            <v>--</v>
          </cell>
          <cell r="E238" t="str">
            <v>--</v>
          </cell>
          <cell r="F238" t="str">
            <v>--</v>
          </cell>
          <cell r="G238" t="str">
            <v>--</v>
          </cell>
          <cell r="H238" t="str">
            <v>--</v>
          </cell>
          <cell r="I238" t="str">
            <v>--</v>
          </cell>
          <cell r="J238">
            <v>1.677848387783E-3</v>
          </cell>
          <cell r="K238" t="str">
            <v>--</v>
          </cell>
        </row>
        <row r="239">
          <cell r="A239" t="str">
            <v>Period 13</v>
          </cell>
          <cell r="B239" t="str">
            <v>--</v>
          </cell>
          <cell r="C239" t="str">
            <v>--</v>
          </cell>
          <cell r="D239" t="str">
            <v>--</v>
          </cell>
          <cell r="E239" t="str">
            <v>--</v>
          </cell>
          <cell r="F239" t="str">
            <v>--</v>
          </cell>
          <cell r="G239" t="str">
            <v>--</v>
          </cell>
          <cell r="H239" t="str">
            <v>--</v>
          </cell>
          <cell r="I239" t="str">
            <v>--</v>
          </cell>
          <cell r="J239">
            <v>7.5175834118799999E-4</v>
          </cell>
          <cell r="K239" t="str">
            <v>--</v>
          </cell>
        </row>
        <row r="241">
          <cell r="B241" t="str">
            <v>CAMPBELL SOUP CO COOKIES</v>
          </cell>
        </row>
        <row r="242">
          <cell r="B242" t="str">
            <v>Yr/Yr % Change</v>
          </cell>
        </row>
        <row r="243">
          <cell r="B243" t="str">
            <v>Sales</v>
          </cell>
          <cell r="D243" t="str">
            <v>Volume</v>
          </cell>
          <cell r="F243" t="str">
            <v>Price/Mix</v>
          </cell>
          <cell r="H243" t="str">
            <v>$ Merchandising</v>
          </cell>
          <cell r="J243" t="str">
            <v>$ Share</v>
          </cell>
        </row>
        <row r="244">
          <cell r="A244" t="str">
            <v>Date</v>
          </cell>
          <cell r="B244">
            <v>2005</v>
          </cell>
          <cell r="C244">
            <v>2006</v>
          </cell>
          <cell r="D244">
            <v>2005</v>
          </cell>
          <cell r="E244">
            <v>2006</v>
          </cell>
          <cell r="F244">
            <v>2005</v>
          </cell>
          <cell r="G244">
            <v>2006</v>
          </cell>
          <cell r="H244">
            <v>2005</v>
          </cell>
          <cell r="I244">
            <v>2006</v>
          </cell>
          <cell r="J244">
            <v>2005</v>
          </cell>
          <cell r="K244">
            <v>2006</v>
          </cell>
        </row>
        <row r="245">
          <cell r="A245" t="str">
            <v>Period 1</v>
          </cell>
          <cell r="B245" t="str">
            <v>--</v>
          </cell>
          <cell r="C245" t="str">
            <v>--</v>
          </cell>
          <cell r="D245" t="str">
            <v>--</v>
          </cell>
          <cell r="E245" t="str">
            <v>--</v>
          </cell>
          <cell r="F245" t="str">
            <v>--</v>
          </cell>
          <cell r="G245" t="str">
            <v>--</v>
          </cell>
          <cell r="H245" t="str">
            <v>--</v>
          </cell>
          <cell r="I245" t="str">
            <v>--</v>
          </cell>
          <cell r="J245" t="str">
            <v>--</v>
          </cell>
          <cell r="K245">
            <v>7.4329771830994904</v>
          </cell>
        </row>
        <row r="246">
          <cell r="A246" t="str">
            <v>Period 2</v>
          </cell>
          <cell r="B246" t="str">
            <v>--</v>
          </cell>
          <cell r="C246" t="str">
            <v>--</v>
          </cell>
          <cell r="D246" t="str">
            <v>--</v>
          </cell>
          <cell r="E246" t="str">
            <v>--</v>
          </cell>
          <cell r="F246" t="str">
            <v>--</v>
          </cell>
          <cell r="G246" t="str">
            <v>--</v>
          </cell>
          <cell r="H246" t="str">
            <v>--</v>
          </cell>
          <cell r="I246" t="str">
            <v>--</v>
          </cell>
          <cell r="J246" t="str">
            <v>--</v>
          </cell>
          <cell r="K246">
            <v>7.4398192764335596</v>
          </cell>
        </row>
        <row r="247">
          <cell r="A247" t="str">
            <v>Period 3</v>
          </cell>
          <cell r="B247" t="str">
            <v>--</v>
          </cell>
          <cell r="C247">
            <v>1.3179071486118601</v>
          </cell>
          <cell r="D247" t="str">
            <v>--</v>
          </cell>
          <cell r="E247">
            <v>-2.5137460275864201</v>
          </cell>
          <cell r="F247" t="str">
            <v>--</v>
          </cell>
          <cell r="G247">
            <v>3.8316531761982802</v>
          </cell>
          <cell r="H247" t="str">
            <v>--</v>
          </cell>
          <cell r="I247">
            <v>-3.1221050956630498</v>
          </cell>
          <cell r="J247">
            <v>7.2736182553748803</v>
          </cell>
          <cell r="K247">
            <v>7.4253404272468897</v>
          </cell>
        </row>
        <row r="248">
          <cell r="A248" t="str">
            <v>Period 4</v>
          </cell>
          <cell r="B248" t="str">
            <v>--</v>
          </cell>
          <cell r="C248">
            <v>-0.63032056704694095</v>
          </cell>
          <cell r="D248" t="str">
            <v>--</v>
          </cell>
          <cell r="E248">
            <v>-4.2608039734914298</v>
          </cell>
          <cell r="F248" t="str">
            <v>--</v>
          </cell>
          <cell r="G248">
            <v>3.63048340644449</v>
          </cell>
          <cell r="H248" t="str">
            <v>--</v>
          </cell>
          <cell r="I248">
            <v>-3.8899097061495902</v>
          </cell>
          <cell r="J248">
            <v>7.3353625626901202</v>
          </cell>
          <cell r="K248">
            <v>7.3825619207275501</v>
          </cell>
        </row>
        <row r="249">
          <cell r="A249" t="str">
            <v>Period 5</v>
          </cell>
          <cell r="B249" t="str">
            <v>--</v>
          </cell>
          <cell r="C249">
            <v>-0.82369810472146698</v>
          </cell>
          <cell r="D249" t="str">
            <v>--</v>
          </cell>
          <cell r="E249">
            <v>-4.0173965740624098</v>
          </cell>
          <cell r="F249" t="str">
            <v>--</v>
          </cell>
          <cell r="G249">
            <v>3.19369846934095</v>
          </cell>
          <cell r="H249" t="str">
            <v>--</v>
          </cell>
          <cell r="I249">
            <v>-3.3351623610286998</v>
          </cell>
          <cell r="J249">
            <v>7.3613315129449104</v>
          </cell>
          <cell r="K249">
            <v>7.4225639762991502</v>
          </cell>
        </row>
        <row r="250">
          <cell r="A250" t="str">
            <v>Period 6</v>
          </cell>
          <cell r="B250" t="str">
            <v>--</v>
          </cell>
          <cell r="C250">
            <v>-0.99709421483009897</v>
          </cell>
          <cell r="D250" t="str">
            <v>--</v>
          </cell>
          <cell r="E250">
            <v>-3.4134108777279901</v>
          </cell>
          <cell r="F250" t="str">
            <v>--</v>
          </cell>
          <cell r="G250">
            <v>2.41631666289789</v>
          </cell>
          <cell r="H250" t="str">
            <v>--</v>
          </cell>
          <cell r="I250">
            <v>-2.7034173331410098</v>
          </cell>
          <cell r="J250">
            <v>7.3963945550528098</v>
          </cell>
          <cell r="K250">
            <v>7.4676474838343898</v>
          </cell>
        </row>
        <row r="251">
          <cell r="A251" t="str">
            <v>Period 7</v>
          </cell>
          <cell r="B251" t="str">
            <v>--</v>
          </cell>
          <cell r="C251">
            <v>-1.2305894964717601</v>
          </cell>
          <cell r="D251" t="str">
            <v>--</v>
          </cell>
          <cell r="E251">
            <v>-2.62887380161999</v>
          </cell>
          <cell r="F251" t="str">
            <v>--</v>
          </cell>
          <cell r="G251">
            <v>1.3982843051482301</v>
          </cell>
          <cell r="H251" t="str">
            <v>--</v>
          </cell>
          <cell r="I251">
            <v>-1.88882945015009</v>
          </cell>
          <cell r="J251">
            <v>7.4053164487206198</v>
          </cell>
          <cell r="K251">
            <v>7.4722746217441296</v>
          </cell>
        </row>
        <row r="252">
          <cell r="A252" t="str">
            <v>Period 8</v>
          </cell>
          <cell r="B252" t="str">
            <v>--</v>
          </cell>
          <cell r="C252">
            <v>-0.34751518226978501</v>
          </cell>
          <cell r="D252" t="str">
            <v>--</v>
          </cell>
          <cell r="E252">
            <v>-0.85428682371589404</v>
          </cell>
          <cell r="F252" t="str">
            <v>--</v>
          </cell>
          <cell r="G252">
            <v>0.50677164144610898</v>
          </cell>
          <cell r="H252" t="str">
            <v>--</v>
          </cell>
          <cell r="I252">
            <v>-1.0929187889379901</v>
          </cell>
          <cell r="J252">
            <v>7.4077442647621599</v>
          </cell>
          <cell r="K252">
            <v>7.5252921026238004</v>
          </cell>
        </row>
        <row r="253">
          <cell r="A253" t="str">
            <v>Period 9</v>
          </cell>
          <cell r="B253" t="str">
            <v>--</v>
          </cell>
          <cell r="C253">
            <v>-0.142356088515353</v>
          </cell>
          <cell r="D253" t="str">
            <v>--</v>
          </cell>
          <cell r="E253">
            <v>-7.2862206646429999E-3</v>
          </cell>
          <cell r="F253" t="str">
            <v>--</v>
          </cell>
          <cell r="G253">
            <v>-0.13506986785071001</v>
          </cell>
          <cell r="H253" t="str">
            <v>--</v>
          </cell>
          <cell r="I253">
            <v>-1.3142878327182499</v>
          </cell>
          <cell r="J253">
            <v>7.4464399474877396</v>
          </cell>
          <cell r="K253">
            <v>7.5676232757045696</v>
          </cell>
        </row>
        <row r="254">
          <cell r="A254" t="str">
            <v>Period 10</v>
          </cell>
          <cell r="B254" t="str">
            <v>--</v>
          </cell>
          <cell r="C254" t="str">
            <v>--</v>
          </cell>
          <cell r="D254" t="str">
            <v>--</v>
          </cell>
          <cell r="E254" t="str">
            <v>--</v>
          </cell>
          <cell r="F254" t="str">
            <v>--</v>
          </cell>
          <cell r="G254" t="str">
            <v>--</v>
          </cell>
          <cell r="H254" t="str">
            <v>--</v>
          </cell>
          <cell r="I254" t="str">
            <v>--</v>
          </cell>
          <cell r="J254">
            <v>7.4433760039541603</v>
          </cell>
          <cell r="K254" t="str">
            <v>--</v>
          </cell>
        </row>
        <row r="255">
          <cell r="A255" t="str">
            <v>Period 11</v>
          </cell>
          <cell r="B255" t="str">
            <v>--</v>
          </cell>
          <cell r="C255" t="str">
            <v>--</v>
          </cell>
          <cell r="D255" t="str">
            <v>--</v>
          </cell>
          <cell r="E255" t="str">
            <v>--</v>
          </cell>
          <cell r="F255" t="str">
            <v>--</v>
          </cell>
          <cell r="G255" t="str">
            <v>--</v>
          </cell>
          <cell r="H255" t="str">
            <v>--</v>
          </cell>
          <cell r="I255" t="str">
            <v>--</v>
          </cell>
          <cell r="J255">
            <v>7.4538498310077603</v>
          </cell>
          <cell r="K255" t="str">
            <v>--</v>
          </cell>
        </row>
        <row r="256">
          <cell r="A256" t="str">
            <v>Period 12</v>
          </cell>
          <cell r="B256" t="str">
            <v>--</v>
          </cell>
          <cell r="C256" t="str">
            <v>--</v>
          </cell>
          <cell r="D256" t="str">
            <v>--</v>
          </cell>
          <cell r="E256" t="str">
            <v>--</v>
          </cell>
          <cell r="F256" t="str">
            <v>--</v>
          </cell>
          <cell r="G256" t="str">
            <v>--</v>
          </cell>
          <cell r="H256" t="str">
            <v>--</v>
          </cell>
          <cell r="I256" t="str">
            <v>--</v>
          </cell>
          <cell r="J256">
            <v>7.43895817981796</v>
          </cell>
          <cell r="K256" t="str">
            <v>--</v>
          </cell>
        </row>
        <row r="257">
          <cell r="A257" t="str">
            <v>Period 13</v>
          </cell>
          <cell r="B257" t="str">
            <v>--</v>
          </cell>
          <cell r="C257" t="str">
            <v>--</v>
          </cell>
          <cell r="D257" t="str">
            <v>--</v>
          </cell>
          <cell r="E257" t="str">
            <v>--</v>
          </cell>
          <cell r="F257" t="str">
            <v>--</v>
          </cell>
          <cell r="G257" t="str">
            <v>--</v>
          </cell>
          <cell r="H257" t="str">
            <v>--</v>
          </cell>
          <cell r="I257" t="str">
            <v>--</v>
          </cell>
          <cell r="J257">
            <v>7.4374448378194602</v>
          </cell>
          <cell r="K257" t="str">
            <v>--</v>
          </cell>
        </row>
        <row r="259">
          <cell r="B259" t="str">
            <v>PRIVATE LABEL COOKIES</v>
          </cell>
        </row>
        <row r="260">
          <cell r="B260" t="str">
            <v>Yr/Yr % Change</v>
          </cell>
        </row>
        <row r="261">
          <cell r="B261" t="str">
            <v>Sales</v>
          </cell>
          <cell r="D261" t="str">
            <v>Volume</v>
          </cell>
          <cell r="F261" t="str">
            <v>Price/Mix</v>
          </cell>
          <cell r="H261" t="str">
            <v>$ Merchandising</v>
          </cell>
          <cell r="J261" t="str">
            <v>$ Share</v>
          </cell>
        </row>
        <row r="262">
          <cell r="A262" t="str">
            <v>Date</v>
          </cell>
          <cell r="B262">
            <v>2005</v>
          </cell>
          <cell r="C262">
            <v>2006</v>
          </cell>
          <cell r="D262">
            <v>2005</v>
          </cell>
          <cell r="E262">
            <v>2006</v>
          </cell>
          <cell r="F262">
            <v>2005</v>
          </cell>
          <cell r="G262">
            <v>2006</v>
          </cell>
          <cell r="H262">
            <v>2005</v>
          </cell>
          <cell r="I262">
            <v>2006</v>
          </cell>
          <cell r="J262">
            <v>2005</v>
          </cell>
          <cell r="K262">
            <v>2006</v>
          </cell>
        </row>
        <row r="263">
          <cell r="A263" t="str">
            <v>Period 1</v>
          </cell>
          <cell r="B263" t="str">
            <v>--</v>
          </cell>
          <cell r="C263" t="str">
            <v>--</v>
          </cell>
          <cell r="D263" t="str">
            <v>--</v>
          </cell>
          <cell r="E263" t="str">
            <v>--</v>
          </cell>
          <cell r="F263" t="str">
            <v>--</v>
          </cell>
          <cell r="G263" t="str">
            <v>--</v>
          </cell>
          <cell r="H263" t="str">
            <v>--</v>
          </cell>
          <cell r="I263" t="str">
            <v>--</v>
          </cell>
          <cell r="J263" t="str">
            <v>--</v>
          </cell>
          <cell r="K263">
            <v>10.924644066398599</v>
          </cell>
        </row>
        <row r="264">
          <cell r="A264" t="str">
            <v>Period 2</v>
          </cell>
          <cell r="B264" t="str">
            <v>--</v>
          </cell>
          <cell r="C264" t="str">
            <v>--</v>
          </cell>
          <cell r="D264" t="str">
            <v>--</v>
          </cell>
          <cell r="E264" t="str">
            <v>--</v>
          </cell>
          <cell r="F264" t="str">
            <v>--</v>
          </cell>
          <cell r="G264" t="str">
            <v>--</v>
          </cell>
          <cell r="H264" t="str">
            <v>--</v>
          </cell>
          <cell r="I264" t="str">
            <v>--</v>
          </cell>
          <cell r="J264" t="str">
            <v>--</v>
          </cell>
          <cell r="K264">
            <v>10.9296176711887</v>
          </cell>
        </row>
        <row r="265">
          <cell r="A265" t="str">
            <v>Period 3</v>
          </cell>
          <cell r="B265" t="str">
            <v>--</v>
          </cell>
          <cell r="C265">
            <v>2.4824989149037502</v>
          </cell>
          <cell r="D265" t="str">
            <v>--</v>
          </cell>
          <cell r="E265">
            <v>-1.2634131959624899</v>
          </cell>
          <cell r="F265" t="str">
            <v>--</v>
          </cell>
          <cell r="G265">
            <v>3.7459121108662399</v>
          </cell>
          <cell r="H265" t="str">
            <v>--</v>
          </cell>
          <cell r="I265">
            <v>0.838182457002418</v>
          </cell>
          <cell r="J265">
            <v>10.592579578001599</v>
          </cell>
          <cell r="K265">
            <v>10.9378281853043</v>
          </cell>
        </row>
        <row r="266">
          <cell r="A266" t="str">
            <v>Period 4</v>
          </cell>
          <cell r="B266" t="str">
            <v>--</v>
          </cell>
          <cell r="C266">
            <v>1.6731991869407901</v>
          </cell>
          <cell r="D266" t="str">
            <v>--</v>
          </cell>
          <cell r="E266">
            <v>-2.70007740780364</v>
          </cell>
          <cell r="F266" t="str">
            <v>--</v>
          </cell>
          <cell r="G266">
            <v>4.3732765947444303</v>
          </cell>
          <cell r="H266" t="str">
            <v>--</v>
          </cell>
          <cell r="I266">
            <v>0.29292171950092399</v>
          </cell>
          <cell r="J266">
            <v>10.641129061358299</v>
          </cell>
          <cell r="K266">
            <v>10.9578619463039</v>
          </cell>
        </row>
        <row r="267">
          <cell r="A267" t="str">
            <v>Period 5</v>
          </cell>
          <cell r="B267" t="str">
            <v>--</v>
          </cell>
          <cell r="C267">
            <v>0.99711474009828505</v>
          </cell>
          <cell r="D267" t="str">
            <v>--</v>
          </cell>
          <cell r="E267">
            <v>-3.44188814850409</v>
          </cell>
          <cell r="F267" t="str">
            <v>--</v>
          </cell>
          <cell r="G267">
            <v>4.4390028886023698</v>
          </cell>
          <cell r="H267" t="str">
            <v>--</v>
          </cell>
          <cell r="I267">
            <v>7.5839655273063994E-2</v>
          </cell>
          <cell r="J267">
            <v>10.734738817719601</v>
          </cell>
          <cell r="K267">
            <v>11.0227539298095</v>
          </cell>
        </row>
        <row r="268">
          <cell r="A268" t="str">
            <v>Period 6</v>
          </cell>
          <cell r="B268" t="str">
            <v>--</v>
          </cell>
          <cell r="C268">
            <v>0.55293676926158797</v>
          </cell>
          <cell r="D268" t="str">
            <v>--</v>
          </cell>
          <cell r="E268">
            <v>-4.12009534555978</v>
          </cell>
          <cell r="F268" t="str">
            <v>--</v>
          </cell>
          <cell r="G268">
            <v>4.6730321148213703</v>
          </cell>
          <cell r="H268" t="str">
            <v>--</v>
          </cell>
          <cell r="I268">
            <v>-0.65777945801320203</v>
          </cell>
          <cell r="J268">
            <v>10.7979979499423</v>
          </cell>
          <cell r="K268">
            <v>11.072706711351501</v>
          </cell>
        </row>
        <row r="269">
          <cell r="A269" t="str">
            <v>Period 7</v>
          </cell>
          <cell r="B269" t="str">
            <v>--</v>
          </cell>
          <cell r="C269">
            <v>0.75282433293347395</v>
          </cell>
          <cell r="D269" t="str">
            <v>--</v>
          </cell>
          <cell r="E269">
            <v>-4.2302576381923096</v>
          </cell>
          <cell r="F269" t="str">
            <v>--</v>
          </cell>
          <cell r="G269">
            <v>4.9830819711257801</v>
          </cell>
          <cell r="H269" t="str">
            <v>--</v>
          </cell>
          <cell r="I269">
            <v>-0.69209763186324103</v>
          </cell>
          <cell r="J269">
            <v>10.830131758015</v>
          </cell>
          <cell r="K269">
            <v>11.1475058953973</v>
          </cell>
        </row>
        <row r="270">
          <cell r="A270" t="str">
            <v>Period 8</v>
          </cell>
          <cell r="B270" t="str">
            <v>--</v>
          </cell>
          <cell r="C270">
            <v>0.88501286545453595</v>
          </cell>
          <cell r="D270" t="str">
            <v>--</v>
          </cell>
          <cell r="E270">
            <v>-4.4301021740255999</v>
          </cell>
          <cell r="F270" t="str">
            <v>--</v>
          </cell>
          <cell r="G270">
            <v>5.3151150394801299</v>
          </cell>
          <cell r="H270" t="str">
            <v>--</v>
          </cell>
          <cell r="I270">
            <v>-0.95151080154464995</v>
          </cell>
          <cell r="J270">
            <v>10.8837018220228</v>
          </cell>
          <cell r="K270">
            <v>11.193155515427099</v>
          </cell>
        </row>
        <row r="271">
          <cell r="A271" t="str">
            <v>Period 9</v>
          </cell>
          <cell r="B271" t="str">
            <v>--</v>
          </cell>
          <cell r="C271">
            <v>1.21100129060902</v>
          </cell>
          <cell r="D271" t="str">
            <v>--</v>
          </cell>
          <cell r="E271">
            <v>-4.3844524825026303</v>
          </cell>
          <cell r="F271" t="str">
            <v>--</v>
          </cell>
          <cell r="G271">
            <v>5.5954537731116503</v>
          </cell>
          <cell r="H271" t="str">
            <v>--</v>
          </cell>
          <cell r="I271">
            <v>-0.85404027973393004</v>
          </cell>
          <cell r="J271">
            <v>10.9214018399924</v>
          </cell>
          <cell r="K271">
            <v>11.249561806108201</v>
          </cell>
        </row>
        <row r="272">
          <cell r="A272" t="str">
            <v>Period 10</v>
          </cell>
          <cell r="B272" t="str">
            <v>--</v>
          </cell>
          <cell r="C272" t="str">
            <v>--</v>
          </cell>
          <cell r="D272" t="str">
            <v>--</v>
          </cell>
          <cell r="E272" t="str">
            <v>--</v>
          </cell>
          <cell r="F272" t="str">
            <v>--</v>
          </cell>
          <cell r="G272" t="str">
            <v>--</v>
          </cell>
          <cell r="H272" t="str">
            <v>--</v>
          </cell>
          <cell r="I272" t="str">
            <v>--</v>
          </cell>
          <cell r="J272">
            <v>10.9235823075526</v>
          </cell>
          <cell r="K272" t="str">
            <v>--</v>
          </cell>
        </row>
        <row r="273">
          <cell r="A273" t="str">
            <v>Period 11</v>
          </cell>
          <cell r="B273" t="str">
            <v>--</v>
          </cell>
          <cell r="C273" t="str">
            <v>--</v>
          </cell>
          <cell r="D273" t="str">
            <v>--</v>
          </cell>
          <cell r="E273" t="str">
            <v>--</v>
          </cell>
          <cell r="F273" t="str">
            <v>--</v>
          </cell>
          <cell r="G273" t="str">
            <v>--</v>
          </cell>
          <cell r="H273" t="str">
            <v>--</v>
          </cell>
          <cell r="I273" t="str">
            <v>--</v>
          </cell>
          <cell r="J273">
            <v>10.921123460820301</v>
          </cell>
          <cell r="K273" t="str">
            <v>--</v>
          </cell>
        </row>
        <row r="274">
          <cell r="A274" t="str">
            <v>Period 12</v>
          </cell>
          <cell r="B274" t="str">
            <v>--</v>
          </cell>
          <cell r="C274" t="str">
            <v>--</v>
          </cell>
          <cell r="D274" t="str">
            <v>--</v>
          </cell>
          <cell r="E274" t="str">
            <v>--</v>
          </cell>
          <cell r="F274" t="str">
            <v>--</v>
          </cell>
          <cell r="G274" t="str">
            <v>--</v>
          </cell>
          <cell r="H274" t="str">
            <v>--</v>
          </cell>
          <cell r="I274" t="str">
            <v>--</v>
          </cell>
          <cell r="J274">
            <v>10.9136610627069</v>
          </cell>
          <cell r="K274" t="str">
            <v>--</v>
          </cell>
        </row>
        <row r="275">
          <cell r="A275" t="str">
            <v>Period 13</v>
          </cell>
          <cell r="B275" t="str">
            <v>--</v>
          </cell>
          <cell r="C275" t="str">
            <v>--</v>
          </cell>
          <cell r="D275" t="str">
            <v>--</v>
          </cell>
          <cell r="E275" t="str">
            <v>--</v>
          </cell>
          <cell r="F275" t="str">
            <v>--</v>
          </cell>
          <cell r="G275" t="str">
            <v>--</v>
          </cell>
          <cell r="H275" t="str">
            <v>--</v>
          </cell>
          <cell r="I275" t="str">
            <v>--</v>
          </cell>
          <cell r="J275">
            <v>10.934215136365999</v>
          </cell>
          <cell r="K275" t="str">
            <v>--</v>
          </cell>
        </row>
      </sheetData>
      <sheetData sheetId="33" refreshError="1">
        <row r="1">
          <cell r="A1" t="str">
            <v>CATEGORY - SOUP - Historical Statistics - 4 Week Data - TOTAL U.S. - FD / DG / MM</v>
          </cell>
        </row>
        <row r="3">
          <cell r="B3" t="str">
            <v>Category</v>
          </cell>
        </row>
        <row r="4">
          <cell r="B4" t="str">
            <v>Yr/Yr % Change</v>
          </cell>
        </row>
        <row r="5">
          <cell r="B5" t="str">
            <v>Sales</v>
          </cell>
          <cell r="E5" t="str">
            <v>Volume</v>
          </cell>
          <cell r="H5" t="str">
            <v>Price/Mix</v>
          </cell>
          <cell r="K5" t="str">
            <v>$ Merchandising</v>
          </cell>
        </row>
        <row r="6">
          <cell r="A6" t="str">
            <v>Date</v>
          </cell>
          <cell r="B6">
            <v>2004</v>
          </cell>
          <cell r="C6">
            <v>2005</v>
          </cell>
          <cell r="D6">
            <v>2006</v>
          </cell>
          <cell r="E6">
            <v>2004</v>
          </cell>
          <cell r="F6">
            <v>2005</v>
          </cell>
          <cell r="G6">
            <v>2006</v>
          </cell>
          <cell r="H6">
            <v>2004</v>
          </cell>
          <cell r="I6">
            <v>2005</v>
          </cell>
          <cell r="J6">
            <v>2006</v>
          </cell>
          <cell r="K6">
            <v>2004</v>
          </cell>
          <cell r="L6">
            <v>2005</v>
          </cell>
          <cell r="M6">
            <v>2006</v>
          </cell>
        </row>
        <row r="7">
          <cell r="A7" t="str">
            <v>Period 1</v>
          </cell>
          <cell r="B7" t="str">
            <v>--</v>
          </cell>
          <cell r="C7" t="str">
            <v>--</v>
          </cell>
          <cell r="D7">
            <v>-5.6102684052731799</v>
          </cell>
          <cell r="E7" t="str">
            <v>--</v>
          </cell>
          <cell r="F7" t="str">
            <v>--</v>
          </cell>
          <cell r="G7">
            <v>-11.4366047287283</v>
          </cell>
          <cell r="H7" t="str">
            <v>--</v>
          </cell>
          <cell r="I7" t="str">
            <v>--</v>
          </cell>
          <cell r="J7">
            <v>5.8263363234551004</v>
          </cell>
          <cell r="K7" t="str">
            <v>--</v>
          </cell>
          <cell r="L7" t="str">
            <v>--</v>
          </cell>
          <cell r="M7">
            <v>2.2610048134831602</v>
          </cell>
        </row>
        <row r="8">
          <cell r="A8" t="str">
            <v>Period 2</v>
          </cell>
          <cell r="B8" t="str">
            <v>--</v>
          </cell>
          <cell r="C8" t="str">
            <v>--</v>
          </cell>
          <cell r="D8">
            <v>1.7110973727202601</v>
          </cell>
          <cell r="E8" t="str">
            <v>--</v>
          </cell>
          <cell r="F8" t="str">
            <v>--</v>
          </cell>
          <cell r="G8">
            <v>-4.3733857787858499</v>
          </cell>
          <cell r="H8" t="str">
            <v>--</v>
          </cell>
          <cell r="I8" t="str">
            <v>--</v>
          </cell>
          <cell r="J8">
            <v>6.0844831515061104</v>
          </cell>
          <cell r="K8" t="str">
            <v>--</v>
          </cell>
          <cell r="L8" t="str">
            <v>--</v>
          </cell>
          <cell r="M8">
            <v>-0.90915780992876405</v>
          </cell>
        </row>
        <row r="9">
          <cell r="A9" t="str">
            <v>Period 3</v>
          </cell>
          <cell r="B9" t="str">
            <v>--</v>
          </cell>
          <cell r="C9">
            <v>9.5957378501710107</v>
          </cell>
          <cell r="D9">
            <v>4.7572705719916399</v>
          </cell>
          <cell r="E9" t="str">
            <v>--</v>
          </cell>
          <cell r="F9">
            <v>5.8183725419312804</v>
          </cell>
          <cell r="G9">
            <v>-0.25025354054213</v>
          </cell>
          <cell r="H9" t="str">
            <v>--</v>
          </cell>
          <cell r="I9">
            <v>3.7773653082397298</v>
          </cell>
          <cell r="J9">
            <v>5.0075241125337699</v>
          </cell>
          <cell r="K9" t="str">
            <v>--</v>
          </cell>
          <cell r="L9">
            <v>-3.7778861653301901</v>
          </cell>
          <cell r="M9">
            <v>1.33961453670978</v>
          </cell>
        </row>
        <row r="10">
          <cell r="A10" t="str">
            <v>Period 4</v>
          </cell>
          <cell r="B10" t="str">
            <v>--</v>
          </cell>
          <cell r="C10">
            <v>-0.63862503903550905</v>
          </cell>
          <cell r="D10">
            <v>8.8846162529845394</v>
          </cell>
          <cell r="E10" t="str">
            <v>--</v>
          </cell>
          <cell r="F10">
            <v>-8.9794750740177705</v>
          </cell>
          <cell r="G10">
            <v>9.1167256492072202</v>
          </cell>
          <cell r="H10" t="str">
            <v>--</v>
          </cell>
          <cell r="I10">
            <v>8.3408500349822603</v>
          </cell>
          <cell r="J10">
            <v>-0.23210939622267701</v>
          </cell>
          <cell r="K10" t="str">
            <v>--</v>
          </cell>
          <cell r="L10">
            <v>-9.0704097503405698</v>
          </cell>
          <cell r="M10">
            <v>5.0326611345064798</v>
          </cell>
        </row>
        <row r="11">
          <cell r="A11" t="str">
            <v>Period 5</v>
          </cell>
          <cell r="B11" t="str">
            <v>--</v>
          </cell>
          <cell r="C11">
            <v>7.5004958395927597</v>
          </cell>
          <cell r="D11">
            <v>3.69265750646719</v>
          </cell>
          <cell r="E11" t="str">
            <v>--</v>
          </cell>
          <cell r="F11">
            <v>1.50202720815316</v>
          </cell>
          <cell r="G11">
            <v>-0.71683978297094697</v>
          </cell>
          <cell r="H11" t="str">
            <v>--</v>
          </cell>
          <cell r="I11">
            <v>5.9984686314396001</v>
          </cell>
          <cell r="J11">
            <v>4.4094972894381304</v>
          </cell>
          <cell r="K11" t="str">
            <v>--</v>
          </cell>
          <cell r="L11">
            <v>-5.6432205566325502</v>
          </cell>
          <cell r="M11">
            <v>1.10581502697807</v>
          </cell>
        </row>
        <row r="12">
          <cell r="A12" t="str">
            <v>Period 6</v>
          </cell>
          <cell r="B12" t="str">
            <v>--</v>
          </cell>
          <cell r="C12">
            <v>-9.6092995817960002E-3</v>
          </cell>
          <cell r="D12">
            <v>4.4722664835057602</v>
          </cell>
          <cell r="E12" t="str">
            <v>--</v>
          </cell>
          <cell r="F12">
            <v>-6.6256573914651202</v>
          </cell>
          <cell r="G12">
            <v>0.86048167723965696</v>
          </cell>
          <cell r="H12" t="str">
            <v>--</v>
          </cell>
          <cell r="I12">
            <v>6.6160480918833304</v>
          </cell>
          <cell r="J12">
            <v>3.6117848062661002</v>
          </cell>
          <cell r="K12" t="str">
            <v>--</v>
          </cell>
          <cell r="L12">
            <v>-5.8021808382397699</v>
          </cell>
          <cell r="M12">
            <v>0.56283982051463599</v>
          </cell>
        </row>
        <row r="13">
          <cell r="A13" t="str">
            <v>Period 7</v>
          </cell>
          <cell r="B13" t="str">
            <v>--</v>
          </cell>
          <cell r="C13">
            <v>-0.24558821500351799</v>
          </cell>
          <cell r="D13">
            <v>3.45729468569633</v>
          </cell>
          <cell r="E13" t="str">
            <v>--</v>
          </cell>
          <cell r="F13">
            <v>-4.5390489973406201</v>
          </cell>
          <cell r="G13">
            <v>-0.81936947285720296</v>
          </cell>
          <cell r="H13" t="str">
            <v>--</v>
          </cell>
          <cell r="I13">
            <v>4.2934607823370996</v>
          </cell>
          <cell r="J13">
            <v>4.2766641585535403</v>
          </cell>
          <cell r="K13" t="str">
            <v>--</v>
          </cell>
          <cell r="L13">
            <v>-0.85580227148086196</v>
          </cell>
          <cell r="M13">
            <v>-1.21507114603294</v>
          </cell>
        </row>
        <row r="14">
          <cell r="A14" t="str">
            <v>Period 8</v>
          </cell>
          <cell r="B14" t="str">
            <v>--</v>
          </cell>
          <cell r="C14">
            <v>-5.9302669596837401</v>
          </cell>
          <cell r="D14">
            <v>2.2163140001846999</v>
          </cell>
          <cell r="E14" t="str">
            <v>--</v>
          </cell>
          <cell r="F14">
            <v>-10.6284779035011</v>
          </cell>
          <cell r="G14">
            <v>-2.1534908889348698</v>
          </cell>
          <cell r="H14" t="str">
            <v>--</v>
          </cell>
          <cell r="I14">
            <v>4.6982109438173199</v>
          </cell>
          <cell r="J14">
            <v>4.3698048891195604</v>
          </cell>
          <cell r="K14" t="str">
            <v>--</v>
          </cell>
          <cell r="L14">
            <v>-4.4171008918998496</v>
          </cell>
          <cell r="M14">
            <v>-0.30715501090429598</v>
          </cell>
        </row>
        <row r="15">
          <cell r="A15" t="str">
            <v>Period 9</v>
          </cell>
          <cell r="B15" t="str">
            <v>--</v>
          </cell>
          <cell r="C15">
            <v>-5.6201272816749697</v>
          </cell>
          <cell r="D15">
            <v>7.8142750646440398</v>
          </cell>
          <cell r="E15" t="str">
            <v>--</v>
          </cell>
          <cell r="F15">
            <v>-12.1036965424552</v>
          </cell>
          <cell r="G15">
            <v>6.2090544657929296</v>
          </cell>
          <cell r="H15" t="str">
            <v>--</v>
          </cell>
          <cell r="I15">
            <v>6.48356926078025</v>
          </cell>
          <cell r="J15">
            <v>1.6052205988511099</v>
          </cell>
          <cell r="K15" t="str">
            <v>--</v>
          </cell>
          <cell r="L15">
            <v>-5.2845043964706102</v>
          </cell>
          <cell r="M15">
            <v>2.4927875245363502</v>
          </cell>
        </row>
        <row r="16">
          <cell r="A16" t="str">
            <v>Period 10</v>
          </cell>
          <cell r="B16" t="str">
            <v>--</v>
          </cell>
          <cell r="C16">
            <v>-5.2449180204320598</v>
          </cell>
          <cell r="D16" t="str">
            <v>--</v>
          </cell>
          <cell r="E16" t="str">
            <v>--</v>
          </cell>
          <cell r="F16">
            <v>-12.314815291373</v>
          </cell>
          <cell r="G16" t="str">
            <v>--</v>
          </cell>
          <cell r="H16" t="str">
            <v>--</v>
          </cell>
          <cell r="I16">
            <v>7.0698972709409</v>
          </cell>
          <cell r="J16" t="str">
            <v>--</v>
          </cell>
          <cell r="K16" t="str">
            <v>--</v>
          </cell>
          <cell r="L16">
            <v>-2.5376680252224602</v>
          </cell>
          <cell r="M16" t="str">
            <v>--</v>
          </cell>
        </row>
        <row r="17">
          <cell r="A17" t="str">
            <v>Period 11</v>
          </cell>
          <cell r="B17" t="str">
            <v>--</v>
          </cell>
          <cell r="C17">
            <v>-0.46095943086775398</v>
          </cell>
          <cell r="D17" t="str">
            <v>--</v>
          </cell>
          <cell r="E17" t="str">
            <v>--</v>
          </cell>
          <cell r="F17">
            <v>-7.3148061753788403</v>
          </cell>
          <cell r="G17" t="str">
            <v>--</v>
          </cell>
          <cell r="H17" t="str">
            <v>--</v>
          </cell>
          <cell r="I17">
            <v>6.85384674451109</v>
          </cell>
          <cell r="J17" t="str">
            <v>--</v>
          </cell>
          <cell r="K17" t="str">
            <v>--</v>
          </cell>
          <cell r="L17">
            <v>-1.5799664885639999</v>
          </cell>
          <cell r="M17" t="str">
            <v>--</v>
          </cell>
        </row>
        <row r="18">
          <cell r="A18" t="str">
            <v>Period 12</v>
          </cell>
          <cell r="B18" t="str">
            <v>--</v>
          </cell>
          <cell r="C18">
            <v>2.2270816520573899</v>
          </cell>
          <cell r="D18" t="str">
            <v>--</v>
          </cell>
          <cell r="E18" t="str">
            <v>--</v>
          </cell>
          <cell r="F18">
            <v>-3.29080996636569</v>
          </cell>
          <cell r="G18" t="str">
            <v>--</v>
          </cell>
          <cell r="H18" t="str">
            <v>--</v>
          </cell>
          <cell r="I18">
            <v>5.5178916184230804</v>
          </cell>
          <cell r="J18" t="str">
            <v>--</v>
          </cell>
          <cell r="K18" t="str">
            <v>--</v>
          </cell>
          <cell r="L18">
            <v>-2.6695283734625601</v>
          </cell>
          <cell r="M18" t="str">
            <v>--</v>
          </cell>
        </row>
        <row r="19">
          <cell r="A19" t="str">
            <v>Period 13</v>
          </cell>
          <cell r="B19" t="str">
            <v>--</v>
          </cell>
          <cell r="C19">
            <v>6.9027325052673296</v>
          </cell>
          <cell r="D19" t="str">
            <v>--</v>
          </cell>
          <cell r="E19" t="str">
            <v>--</v>
          </cell>
          <cell r="F19">
            <v>2.2802356228532399</v>
          </cell>
          <cell r="G19" t="str">
            <v>--</v>
          </cell>
          <cell r="H19" t="str">
            <v>--</v>
          </cell>
          <cell r="I19">
            <v>4.6224968824140902</v>
          </cell>
          <cell r="J19" t="str">
            <v>--</v>
          </cell>
          <cell r="K19" t="str">
            <v>--</v>
          </cell>
          <cell r="L19">
            <v>1.1158795550037399</v>
          </cell>
          <cell r="M19" t="str">
            <v>--</v>
          </cell>
        </row>
        <row r="21">
          <cell r="B21" t="str">
            <v>CAMPBELL SOUP CO RTS WET SOUP</v>
          </cell>
        </row>
        <row r="22">
          <cell r="B22" t="str">
            <v>Yr/Yr % Change</v>
          </cell>
        </row>
        <row r="23">
          <cell r="B23" t="str">
            <v>Sales</v>
          </cell>
          <cell r="E23" t="str">
            <v>Volume</v>
          </cell>
          <cell r="H23" t="str">
            <v>Price/Mix</v>
          </cell>
          <cell r="K23" t="str">
            <v>$ Merchandising</v>
          </cell>
          <cell r="N23" t="str">
            <v>$ Share</v>
          </cell>
        </row>
        <row r="24">
          <cell r="A24" t="str">
            <v>Date</v>
          </cell>
          <cell r="B24">
            <v>2004</v>
          </cell>
          <cell r="C24">
            <v>2005</v>
          </cell>
          <cell r="D24">
            <v>2006</v>
          </cell>
          <cell r="E24">
            <v>2004</v>
          </cell>
          <cell r="F24">
            <v>2005</v>
          </cell>
          <cell r="G24">
            <v>2006</v>
          </cell>
          <cell r="H24">
            <v>2004</v>
          </cell>
          <cell r="I24">
            <v>2005</v>
          </cell>
          <cell r="J24">
            <v>2006</v>
          </cell>
          <cell r="K24">
            <v>2004</v>
          </cell>
          <cell r="L24">
            <v>2005</v>
          </cell>
          <cell r="M24">
            <v>2006</v>
          </cell>
          <cell r="N24">
            <v>2004</v>
          </cell>
          <cell r="O24">
            <v>2005</v>
          </cell>
          <cell r="P24">
            <v>2006</v>
          </cell>
          <cell r="S24" t="str">
            <v>4 Week Sales</v>
          </cell>
          <cell r="AF24" t="str">
            <v>4 Week Price/Mix</v>
          </cell>
        </row>
        <row r="25">
          <cell r="A25" t="str">
            <v>Period 1</v>
          </cell>
          <cell r="B25" t="str">
            <v>--</v>
          </cell>
          <cell r="C25" t="str">
            <v>--</v>
          </cell>
          <cell r="D25">
            <v>-12.0406858452095</v>
          </cell>
          <cell r="E25" t="str">
            <v>--</v>
          </cell>
          <cell r="F25" t="str">
            <v>--</v>
          </cell>
          <cell r="G25">
            <v>-22.034061753246199</v>
          </cell>
          <cell r="H25" t="str">
            <v>--</v>
          </cell>
          <cell r="I25" t="str">
            <v>--</v>
          </cell>
          <cell r="J25">
            <v>9.9933759080367004</v>
          </cell>
          <cell r="K25" t="str">
            <v>--</v>
          </cell>
          <cell r="L25" t="str">
            <v>--</v>
          </cell>
          <cell r="M25">
            <v>-0.38351485646892802</v>
          </cell>
          <cell r="N25" t="str">
            <v>--</v>
          </cell>
          <cell r="O25">
            <v>25.107529128639701</v>
          </cell>
          <cell r="P25">
            <v>23.397047591561801</v>
          </cell>
        </row>
        <row r="26">
          <cell r="A26" t="str">
            <v>Period 2</v>
          </cell>
          <cell r="B26" t="str">
            <v>--</v>
          </cell>
          <cell r="C26" t="str">
            <v>--</v>
          </cell>
          <cell r="D26">
            <v>2.7452675967686302</v>
          </cell>
          <cell r="E26" t="str">
            <v>--</v>
          </cell>
          <cell r="F26" t="str">
            <v>--</v>
          </cell>
          <cell r="G26">
            <v>-3.9589519135166702</v>
          </cell>
          <cell r="H26" t="str">
            <v>--</v>
          </cell>
          <cell r="I26" t="str">
            <v>--</v>
          </cell>
          <cell r="J26">
            <v>6.7042195102852897</v>
          </cell>
          <cell r="K26" t="str">
            <v>--</v>
          </cell>
          <cell r="L26" t="str">
            <v>--</v>
          </cell>
          <cell r="M26">
            <v>0.46848866360320301</v>
          </cell>
          <cell r="N26" t="str">
            <v>--</v>
          </cell>
          <cell r="O26">
            <v>21.4562406183117</v>
          </cell>
          <cell r="P26">
            <v>21.6744017210886</v>
          </cell>
          <cell r="T26" t="str">
            <v>CPB</v>
          </cell>
          <cell r="U26" t="str">
            <v>GIS</v>
          </cell>
          <cell r="AG26" t="str">
            <v>CPB</v>
          </cell>
          <cell r="AH26" t="str">
            <v>GIS</v>
          </cell>
        </row>
        <row r="27">
          <cell r="A27" t="str">
            <v>Period 3</v>
          </cell>
          <cell r="B27" t="str">
            <v>--</v>
          </cell>
          <cell r="C27">
            <v>-13.127676426221401</v>
          </cell>
          <cell r="D27">
            <v>20.1947238010295</v>
          </cell>
          <cell r="E27" t="str">
            <v>--</v>
          </cell>
          <cell r="F27">
            <v>-28.325339126441399</v>
          </cell>
          <cell r="G27">
            <v>25.585404685494101</v>
          </cell>
          <cell r="H27" t="str">
            <v>--</v>
          </cell>
          <cell r="I27">
            <v>15.19766270022</v>
          </cell>
          <cell r="J27">
            <v>-5.3906808844645697</v>
          </cell>
          <cell r="K27" t="str">
            <v>--</v>
          </cell>
          <cell r="L27">
            <v>-19.585436291859899</v>
          </cell>
          <cell r="M27">
            <v>15.7221813873466</v>
          </cell>
          <cell r="N27">
            <v>23.6221011327662</v>
          </cell>
          <cell r="O27">
            <v>18.724330465329199</v>
          </cell>
          <cell r="P27">
            <v>21.483623202007699</v>
          </cell>
          <cell r="S27" t="str">
            <v>Period 3-05</v>
          </cell>
          <cell r="T27">
            <v>-13.127676426221401</v>
          </cell>
          <cell r="U27">
            <v>34.581758685456997</v>
          </cell>
          <cell r="AF27" t="str">
            <v>Period 3-05</v>
          </cell>
          <cell r="AG27">
            <v>15.19766270022</v>
          </cell>
          <cell r="AH27">
            <v>-8.6176911857384901</v>
          </cell>
        </row>
        <row r="28">
          <cell r="A28" t="str">
            <v>Period 4</v>
          </cell>
          <cell r="B28" t="str">
            <v>--</v>
          </cell>
          <cell r="C28">
            <v>-12.4819982515282</v>
          </cell>
          <cell r="D28">
            <v>11.446896647804101</v>
          </cell>
          <cell r="E28" t="str">
            <v>--</v>
          </cell>
          <cell r="F28">
            <v>-23.9592259124984</v>
          </cell>
          <cell r="G28">
            <v>13.7965402244164</v>
          </cell>
          <cell r="H28" t="str">
            <v>--</v>
          </cell>
          <cell r="I28">
            <v>11.4772276609702</v>
          </cell>
          <cell r="J28">
            <v>-2.3496435766122201</v>
          </cell>
          <cell r="K28" t="str">
            <v>--</v>
          </cell>
          <cell r="L28">
            <v>-10.551118114962801</v>
          </cell>
          <cell r="M28">
            <v>7.8057942827162403</v>
          </cell>
          <cell r="N28">
            <v>20.0027071022398</v>
          </cell>
          <cell r="O28">
            <v>17.6184856120977</v>
          </cell>
          <cell r="P28">
            <v>18.033085046102201</v>
          </cell>
          <cell r="S28" t="str">
            <v>Period 4-05</v>
          </cell>
          <cell r="T28">
            <v>-12.4819982515282</v>
          </cell>
          <cell r="U28">
            <v>40.992744162555198</v>
          </cell>
          <cell r="AF28" t="str">
            <v>Period 4-05</v>
          </cell>
          <cell r="AG28">
            <v>11.4772276609702</v>
          </cell>
          <cell r="AH28">
            <v>-12.1188864504271</v>
          </cell>
        </row>
        <row r="29">
          <cell r="A29" t="str">
            <v>Period 5</v>
          </cell>
          <cell r="B29" t="str">
            <v>--</v>
          </cell>
          <cell r="C29">
            <v>-9.5405334336943302</v>
          </cell>
          <cell r="D29">
            <v>3.1603594267446899</v>
          </cell>
          <cell r="E29" t="str">
            <v>--</v>
          </cell>
          <cell r="F29">
            <v>-21.1221412657965</v>
          </cell>
          <cell r="G29">
            <v>0.18489909107251301</v>
          </cell>
          <cell r="H29" t="str">
            <v>--</v>
          </cell>
          <cell r="I29">
            <v>11.5816078321022</v>
          </cell>
          <cell r="J29">
            <v>2.9754603356721701</v>
          </cell>
          <cell r="K29" t="str">
            <v>--</v>
          </cell>
          <cell r="L29">
            <v>-13.5135379435847</v>
          </cell>
          <cell r="M29">
            <v>4.23549982544586</v>
          </cell>
          <cell r="N29">
            <v>20.838231474483599</v>
          </cell>
          <cell r="O29">
            <v>17.534945198575802</v>
          </cell>
          <cell r="P29">
            <v>17.4449309402696</v>
          </cell>
          <cell r="S29" t="str">
            <v>Period 5-05</v>
          </cell>
          <cell r="T29">
            <v>-9.5405334336943302</v>
          </cell>
          <cell r="U29">
            <v>56.045071398360697</v>
          </cell>
          <cell r="AF29" t="str">
            <v>Period 5-05</v>
          </cell>
          <cell r="AG29">
            <v>11.5816078321022</v>
          </cell>
          <cell r="AH29">
            <v>-8.9845994418555399</v>
          </cell>
        </row>
        <row r="30">
          <cell r="A30" t="str">
            <v>Period 6</v>
          </cell>
          <cell r="B30" t="str">
            <v>--</v>
          </cell>
          <cell r="C30">
            <v>-17.5835157200816</v>
          </cell>
          <cell r="D30">
            <v>2.71381586362528</v>
          </cell>
          <cell r="E30" t="str">
            <v>--</v>
          </cell>
          <cell r="F30">
            <v>-30.962344871857301</v>
          </cell>
          <cell r="G30">
            <v>0.34573064459737801</v>
          </cell>
          <cell r="H30" t="str">
            <v>--</v>
          </cell>
          <cell r="I30">
            <v>13.378829151775699</v>
          </cell>
          <cell r="J30">
            <v>2.3680852190279</v>
          </cell>
          <cell r="K30" t="str">
            <v>--</v>
          </cell>
          <cell r="L30">
            <v>-16.835567648634701</v>
          </cell>
          <cell r="M30">
            <v>1.2730768666436101</v>
          </cell>
          <cell r="N30">
            <v>20.4231092553946</v>
          </cell>
          <cell r="O30">
            <v>16.833626222517101</v>
          </cell>
          <cell r="P30">
            <v>16.550286907097</v>
          </cell>
          <cell r="S30" t="str">
            <v>Period 6-05</v>
          </cell>
          <cell r="T30">
            <v>-17.5835157200816</v>
          </cell>
          <cell r="U30">
            <v>24.430581762418601</v>
          </cell>
          <cell r="AF30" t="str">
            <v>Period 6-05</v>
          </cell>
          <cell r="AG30">
            <v>13.378829151775699</v>
          </cell>
          <cell r="AH30">
            <v>10.303500618709799</v>
          </cell>
        </row>
        <row r="31">
          <cell r="A31" t="str">
            <v>Period 7</v>
          </cell>
          <cell r="B31" t="str">
            <v>--</v>
          </cell>
          <cell r="C31">
            <v>-13.701165892987399</v>
          </cell>
          <cell r="D31">
            <v>1.6605137870942801</v>
          </cell>
          <cell r="E31" t="str">
            <v>--</v>
          </cell>
          <cell r="F31">
            <v>-21.364161437319201</v>
          </cell>
          <cell r="G31">
            <v>-2.6283817020031202</v>
          </cell>
          <cell r="H31" t="str">
            <v>--</v>
          </cell>
          <cell r="I31">
            <v>7.6629955443317401</v>
          </cell>
          <cell r="J31">
            <v>4.2888954890974098</v>
          </cell>
          <cell r="K31" t="str">
            <v>--</v>
          </cell>
          <cell r="L31">
            <v>-3.85797992871613</v>
          </cell>
          <cell r="M31">
            <v>-0.37241211090526399</v>
          </cell>
          <cell r="N31">
            <v>18.667237351043301</v>
          </cell>
          <cell r="O31">
            <v>16.149268895154901</v>
          </cell>
          <cell r="P31">
            <v>15.868798600959099</v>
          </cell>
          <cell r="S31" t="str">
            <v>Period 7-05</v>
          </cell>
          <cell r="T31">
            <v>-13.701165892987399</v>
          </cell>
          <cell r="U31">
            <v>16.8520363495415</v>
          </cell>
          <cell r="AF31" t="str">
            <v>Period 7-05</v>
          </cell>
          <cell r="AG31">
            <v>7.6629955443317401</v>
          </cell>
          <cell r="AH31">
            <v>3.2934067456910401</v>
          </cell>
        </row>
        <row r="32">
          <cell r="A32" t="str">
            <v>Period 8</v>
          </cell>
          <cell r="B32" t="str">
            <v>--</v>
          </cell>
          <cell r="C32">
            <v>-19.768146650086798</v>
          </cell>
          <cell r="D32">
            <v>1.7598269647546101</v>
          </cell>
          <cell r="E32" t="str">
            <v>--</v>
          </cell>
          <cell r="F32">
            <v>-27.269296384838999</v>
          </cell>
          <cell r="G32">
            <v>1.94565647355046</v>
          </cell>
          <cell r="H32" t="str">
            <v>--</v>
          </cell>
          <cell r="I32">
            <v>7.5011497347522003</v>
          </cell>
          <cell r="J32">
            <v>-0.185829508795848</v>
          </cell>
          <cell r="K32" t="str">
            <v>--</v>
          </cell>
          <cell r="L32">
            <v>-9.1186349290187003</v>
          </cell>
          <cell r="M32">
            <v>3.3863467341965099</v>
          </cell>
          <cell r="N32">
            <v>19.419282797739299</v>
          </cell>
          <cell r="O32">
            <v>16.562660477849601</v>
          </cell>
          <cell r="P32">
            <v>16.488693422254599</v>
          </cell>
          <cell r="S32" t="str">
            <v>Period 8-05</v>
          </cell>
          <cell r="T32">
            <v>-19.768146650086798</v>
          </cell>
          <cell r="U32">
            <v>31.088170553034001</v>
          </cell>
          <cell r="AF32" t="str">
            <v>Period 8-05</v>
          </cell>
          <cell r="AG32">
            <v>7.5011497347522003</v>
          </cell>
          <cell r="AH32">
            <v>-5.1139105335770898</v>
          </cell>
        </row>
        <row r="33">
          <cell r="A33" t="str">
            <v>Period 9</v>
          </cell>
          <cell r="B33" t="str">
            <v>--</v>
          </cell>
          <cell r="C33">
            <v>-21.084094343977199</v>
          </cell>
          <cell r="D33">
            <v>8.3589950765064902</v>
          </cell>
          <cell r="E33" t="str">
            <v>--</v>
          </cell>
          <cell r="F33">
            <v>-33.537982742929003</v>
          </cell>
          <cell r="G33">
            <v>9.8072392856717805</v>
          </cell>
          <cell r="H33" t="str">
            <v>--</v>
          </cell>
          <cell r="I33">
            <v>12.453888398951801</v>
          </cell>
          <cell r="J33">
            <v>-1.4482442091653001</v>
          </cell>
          <cell r="K33" t="str">
            <v>--</v>
          </cell>
          <cell r="L33">
            <v>-8.89733584120013</v>
          </cell>
          <cell r="M33">
            <v>5.4572451402801496</v>
          </cell>
          <cell r="N33">
            <v>24.792152236355498</v>
          </cell>
          <cell r="O33">
            <v>20.730004083954501</v>
          </cell>
          <cell r="P33">
            <v>20.834740196716499</v>
          </cell>
          <cell r="S33" t="str">
            <v>Period 9-05</v>
          </cell>
          <cell r="T33">
            <v>-21.084094343977199</v>
          </cell>
          <cell r="U33">
            <v>15.820703271672899</v>
          </cell>
          <cell r="AF33" t="str">
            <v>Period 9-05</v>
          </cell>
          <cell r="AG33">
            <v>12.453888398951801</v>
          </cell>
          <cell r="AH33">
            <v>-0.67705936507616105</v>
          </cell>
        </row>
        <row r="34">
          <cell r="A34" t="str">
            <v>Period 10</v>
          </cell>
          <cell r="B34" t="str">
            <v>--</v>
          </cell>
          <cell r="C34">
            <v>-23.948136210909901</v>
          </cell>
          <cell r="D34" t="str">
            <v>--</v>
          </cell>
          <cell r="E34" t="str">
            <v>--</v>
          </cell>
          <cell r="F34">
            <v>-38.516584332762498</v>
          </cell>
          <cell r="G34" t="str">
            <v>--</v>
          </cell>
          <cell r="H34" t="str">
            <v>--</v>
          </cell>
          <cell r="I34">
            <v>14.5684481218525</v>
          </cell>
          <cell r="J34" t="str">
            <v>--</v>
          </cell>
          <cell r="K34" t="str">
            <v>--</v>
          </cell>
          <cell r="L34">
            <v>-5.2989983488519501</v>
          </cell>
          <cell r="M34" t="str">
            <v>--</v>
          </cell>
          <cell r="N34">
            <v>26.9962222846633</v>
          </cell>
          <cell r="O34">
            <v>21.667576842537301</v>
          </cell>
          <cell r="P34" t="str">
            <v>--</v>
          </cell>
          <cell r="S34" t="str">
            <v>Period 10-05</v>
          </cell>
          <cell r="T34">
            <v>-23.948136210909901</v>
          </cell>
          <cell r="U34">
            <v>27.908291678747801</v>
          </cell>
          <cell r="AF34" t="str">
            <v>Period 10-05</v>
          </cell>
          <cell r="AG34">
            <v>14.5684481218525</v>
          </cell>
          <cell r="AH34">
            <v>-8.5436878499828399</v>
          </cell>
        </row>
        <row r="35">
          <cell r="A35" t="str">
            <v>Period 11</v>
          </cell>
          <cell r="B35" t="str">
            <v>--</v>
          </cell>
          <cell r="C35">
            <v>-12.4540978244843</v>
          </cell>
          <cell r="D35" t="str">
            <v>--</v>
          </cell>
          <cell r="E35" t="str">
            <v>--</v>
          </cell>
          <cell r="F35">
            <v>-24.445336005540099</v>
          </cell>
          <cell r="G35" t="str">
            <v>--</v>
          </cell>
          <cell r="H35" t="str">
            <v>--</v>
          </cell>
          <cell r="I35">
            <v>11.991238181055801</v>
          </cell>
          <cell r="J35" t="str">
            <v>--</v>
          </cell>
          <cell r="K35" t="str">
            <v>--</v>
          </cell>
          <cell r="L35">
            <v>-4.0534518417048302</v>
          </cell>
          <cell r="M35" t="str">
            <v>--</v>
          </cell>
          <cell r="N35">
            <v>25.060190696082</v>
          </cell>
          <cell r="O35">
            <v>22.0407690352936</v>
          </cell>
          <cell r="P35" t="str">
            <v>--</v>
          </cell>
          <cell r="S35" t="str">
            <v>Period 11-05</v>
          </cell>
          <cell r="T35">
            <v>-12.4540978244843</v>
          </cell>
          <cell r="U35">
            <v>86.650576804082803</v>
          </cell>
          <cell r="AF35" t="str">
            <v>Period 11-05</v>
          </cell>
          <cell r="AG35">
            <v>11.991238181055801</v>
          </cell>
          <cell r="AH35">
            <v>-26.071629640832199</v>
          </cell>
        </row>
        <row r="36">
          <cell r="A36" t="str">
            <v>Period 12</v>
          </cell>
          <cell r="B36" t="str">
            <v>--</v>
          </cell>
          <cell r="C36">
            <v>-7.4152024752264598</v>
          </cell>
          <cell r="D36" t="str">
            <v>--</v>
          </cell>
          <cell r="E36" t="str">
            <v>--</v>
          </cell>
          <cell r="F36">
            <v>-22.093919562421501</v>
          </cell>
          <cell r="G36" t="str">
            <v>--</v>
          </cell>
          <cell r="H36" t="str">
            <v>--</v>
          </cell>
          <cell r="I36">
            <v>14.678717087195</v>
          </cell>
          <cell r="J36" t="str">
            <v>--</v>
          </cell>
          <cell r="K36" t="str">
            <v>--</v>
          </cell>
          <cell r="L36">
            <v>-7.6961124484331398</v>
          </cell>
          <cell r="M36" t="str">
            <v>--</v>
          </cell>
          <cell r="N36">
            <v>19.128769518813101</v>
          </cell>
          <cell r="O36">
            <v>17.324501728664298</v>
          </cell>
          <cell r="P36" t="str">
            <v>--</v>
          </cell>
          <cell r="S36" t="str">
            <v>Period 12-05</v>
          </cell>
          <cell r="T36">
            <v>-7.4152024752264598</v>
          </cell>
          <cell r="U36">
            <v>22.523948855665601</v>
          </cell>
          <cell r="AF36" t="str">
            <v>Period 12-05</v>
          </cell>
          <cell r="AG36">
            <v>14.678717087195</v>
          </cell>
          <cell r="AH36">
            <v>4.52478942388968</v>
          </cell>
        </row>
        <row r="37">
          <cell r="A37" t="str">
            <v>Period 13</v>
          </cell>
          <cell r="B37" t="str">
            <v>--</v>
          </cell>
          <cell r="C37">
            <v>12.1583230467912</v>
          </cell>
          <cell r="D37" t="str">
            <v>--</v>
          </cell>
          <cell r="E37" t="str">
            <v>--</v>
          </cell>
          <cell r="F37">
            <v>6.4902180985198399</v>
          </cell>
          <cell r="G37" t="str">
            <v>--</v>
          </cell>
          <cell r="H37" t="str">
            <v>--</v>
          </cell>
          <cell r="I37">
            <v>5.6681049482713899</v>
          </cell>
          <cell r="J37" t="str">
            <v>--</v>
          </cell>
          <cell r="K37" t="str">
            <v>--</v>
          </cell>
          <cell r="L37">
            <v>10.618760721672899</v>
          </cell>
          <cell r="M37" t="str">
            <v>--</v>
          </cell>
          <cell r="N37">
            <v>19.6201112612762</v>
          </cell>
          <cell r="O37">
            <v>20.5846822198654</v>
          </cell>
          <cell r="P37" t="str">
            <v>--</v>
          </cell>
          <cell r="S37" t="str">
            <v>Period 13-05</v>
          </cell>
          <cell r="T37">
            <v>12.1583230467912</v>
          </cell>
          <cell r="U37">
            <v>54.619370426688697</v>
          </cell>
          <cell r="AF37" t="str">
            <v>Period 13-05</v>
          </cell>
          <cell r="AG37">
            <v>5.6681049482713899</v>
          </cell>
          <cell r="AH37">
            <v>-7.4489464512250096</v>
          </cell>
        </row>
        <row r="38">
          <cell r="S38" t="str">
            <v>Period 1-06</v>
          </cell>
          <cell r="T38">
            <v>-12.0406858452095</v>
          </cell>
          <cell r="U38">
            <v>5.1598146868940198</v>
          </cell>
          <cell r="AF38" t="str">
            <v>Period 1-06</v>
          </cell>
          <cell r="AG38">
            <v>9.9933759080367004</v>
          </cell>
          <cell r="AH38">
            <v>8.4586769157432808</v>
          </cell>
        </row>
        <row r="39">
          <cell r="B39" t="str">
            <v>GENERAL MILLS RTS WET SOUP</v>
          </cell>
          <cell r="S39" t="str">
            <v>Period 2-06</v>
          </cell>
          <cell r="T39">
            <v>2.7452675967686302</v>
          </cell>
          <cell r="U39">
            <v>16.6538519001687</v>
          </cell>
          <cell r="AF39" t="str">
            <v>Period 2-06</v>
          </cell>
          <cell r="AG39">
            <v>6.7042195102852897</v>
          </cell>
          <cell r="AH39">
            <v>7.6824817845454403</v>
          </cell>
        </row>
        <row r="40">
          <cell r="B40" t="str">
            <v>Yr/Yr % Change</v>
          </cell>
          <cell r="S40" t="str">
            <v>Period 3-06</v>
          </cell>
          <cell r="T40">
            <v>20.1947238010295</v>
          </cell>
          <cell r="U40">
            <v>36.141039459615001</v>
          </cell>
          <cell r="AF40" t="str">
            <v>Period 3-06</v>
          </cell>
          <cell r="AG40">
            <v>-5.3906808844645697</v>
          </cell>
          <cell r="AH40">
            <v>3.0351196049608302</v>
          </cell>
        </row>
        <row r="41">
          <cell r="B41" t="str">
            <v>Sales</v>
          </cell>
          <cell r="E41" t="str">
            <v>Volume</v>
          </cell>
          <cell r="H41" t="str">
            <v>Price/Mix</v>
          </cell>
          <cell r="K41" t="str">
            <v>$ Merchandising</v>
          </cell>
          <cell r="N41" t="str">
            <v>$ Share</v>
          </cell>
          <cell r="S41" t="str">
            <v>Period 4-06</v>
          </cell>
          <cell r="T41">
            <v>11.446896647804101</v>
          </cell>
          <cell r="U41">
            <v>29.816129437375899</v>
          </cell>
          <cell r="AF41" t="str">
            <v>Period 4-06</v>
          </cell>
          <cell r="AG41">
            <v>-2.3496435766122201</v>
          </cell>
          <cell r="AH41">
            <v>1.9755965478189901</v>
          </cell>
        </row>
        <row r="42">
          <cell r="A42" t="str">
            <v>Date</v>
          </cell>
          <cell r="B42">
            <v>2004</v>
          </cell>
          <cell r="C42">
            <v>2005</v>
          </cell>
          <cell r="D42">
            <v>2006</v>
          </cell>
          <cell r="E42">
            <v>2004</v>
          </cell>
          <cell r="F42">
            <v>2005</v>
          </cell>
          <cell r="G42">
            <v>2006</v>
          </cell>
          <cell r="H42">
            <v>2004</v>
          </cell>
          <cell r="I42">
            <v>2005</v>
          </cell>
          <cell r="J42">
            <v>2006</v>
          </cell>
          <cell r="K42">
            <v>2004</v>
          </cell>
          <cell r="L42">
            <v>2005</v>
          </cell>
          <cell r="M42">
            <v>2006</v>
          </cell>
          <cell r="N42">
            <v>2004</v>
          </cell>
          <cell r="O42">
            <v>2005</v>
          </cell>
          <cell r="P42">
            <v>2006</v>
          </cell>
          <cell r="S42" t="str">
            <v>Period 5-06</v>
          </cell>
          <cell r="T42">
            <v>3.1603594267446899</v>
          </cell>
          <cell r="U42">
            <v>15.831470472903399</v>
          </cell>
          <cell r="AF42" t="str">
            <v>Period 5-06</v>
          </cell>
          <cell r="AG42">
            <v>2.9754603356721701</v>
          </cell>
          <cell r="AH42">
            <v>3.5702684271966501</v>
          </cell>
        </row>
        <row r="43">
          <cell r="A43" t="str">
            <v>Period 1</v>
          </cell>
          <cell r="B43" t="str">
            <v>--</v>
          </cell>
          <cell r="C43" t="str">
            <v>--</v>
          </cell>
          <cell r="D43">
            <v>0.74407333782165197</v>
          </cell>
          <cell r="E43" t="str">
            <v>--</v>
          </cell>
          <cell r="F43" t="str">
            <v>--</v>
          </cell>
          <cell r="G43">
            <v>-4.0332260495502199</v>
          </cell>
          <cell r="H43" t="str">
            <v>--</v>
          </cell>
          <cell r="I43" t="str">
            <v>--</v>
          </cell>
          <cell r="J43">
            <v>4.7772993873718699</v>
          </cell>
          <cell r="K43" t="str">
            <v>--</v>
          </cell>
          <cell r="L43" t="str">
            <v>--</v>
          </cell>
          <cell r="M43">
            <v>1.49618883116162</v>
          </cell>
          <cell r="N43" t="str">
            <v>--</v>
          </cell>
          <cell r="O43">
            <v>14.1386532560562</v>
          </cell>
          <cell r="P43">
            <v>15.0904711398261</v>
          </cell>
          <cell r="S43" t="str">
            <v>Period 6-06</v>
          </cell>
          <cell r="T43">
            <v>2.71381586362528</v>
          </cell>
          <cell r="U43">
            <v>27.5697814207909</v>
          </cell>
          <cell r="AF43" t="str">
            <v>Period 6-06</v>
          </cell>
          <cell r="AG43">
            <v>2.3680852190279</v>
          </cell>
          <cell r="AH43">
            <v>0.56701185516124797</v>
          </cell>
        </row>
        <row r="44">
          <cell r="A44" t="str">
            <v>Period 2</v>
          </cell>
          <cell r="B44" t="str">
            <v>--</v>
          </cell>
          <cell r="C44" t="str">
            <v>--</v>
          </cell>
          <cell r="D44">
            <v>0.34338562616934198</v>
          </cell>
          <cell r="E44" t="str">
            <v>--</v>
          </cell>
          <cell r="F44" t="str">
            <v>--</v>
          </cell>
          <cell r="G44">
            <v>-8.8293166906826102</v>
          </cell>
          <cell r="H44" t="str">
            <v>--</v>
          </cell>
          <cell r="I44" t="str">
            <v>--</v>
          </cell>
          <cell r="J44">
            <v>9.1727023168519608</v>
          </cell>
          <cell r="K44" t="str">
            <v>--</v>
          </cell>
          <cell r="L44" t="str">
            <v>--</v>
          </cell>
          <cell r="M44">
            <v>-2.3519844423363598</v>
          </cell>
          <cell r="N44" t="str">
            <v>--</v>
          </cell>
          <cell r="O44">
            <v>15.3515164412043</v>
          </cell>
          <cell r="P44">
            <v>15.145084204149001</v>
          </cell>
          <cell r="S44" t="str">
            <v>Period 7-06</v>
          </cell>
          <cell r="T44">
            <v>1.6605137870942801</v>
          </cell>
          <cell r="U44">
            <v>36.745555726177102</v>
          </cell>
          <cell r="AF44" t="str">
            <v>Period 7-06</v>
          </cell>
          <cell r="AG44">
            <v>4.2888954890974098</v>
          </cell>
          <cell r="AH44">
            <v>2.0774951199878098</v>
          </cell>
        </row>
        <row r="45">
          <cell r="A45" t="str">
            <v>Period 3</v>
          </cell>
          <cell r="B45" t="str">
            <v>--</v>
          </cell>
          <cell r="C45">
            <v>37.021673494536799</v>
          </cell>
          <cell r="D45">
            <v>-6.47938209558572</v>
          </cell>
          <cell r="E45" t="str">
            <v>--</v>
          </cell>
          <cell r="F45">
            <v>39.884770127786901</v>
          </cell>
          <cell r="G45">
            <v>-19.230485929271101</v>
          </cell>
          <cell r="H45" t="str">
            <v>--</v>
          </cell>
          <cell r="I45">
            <v>-2.8630966332500898</v>
          </cell>
          <cell r="J45">
            <v>12.7511038336854</v>
          </cell>
          <cell r="K45" t="str">
            <v>--</v>
          </cell>
          <cell r="L45">
            <v>3.9964833622964</v>
          </cell>
          <cell r="M45">
            <v>-9.1902191939843707</v>
          </cell>
          <cell r="N45">
            <v>10.996229477016501</v>
          </cell>
          <cell r="O45">
            <v>13.7479959953424</v>
          </cell>
          <cell r="P45">
            <v>12.273335047883499</v>
          </cell>
          <cell r="S45" t="str">
            <v>Period 8-06</v>
          </cell>
          <cell r="T45">
            <v>1.7598269647546101</v>
          </cell>
          <cell r="U45">
            <v>5.0132638424323499</v>
          </cell>
          <cell r="AF45" t="str">
            <v>Period 8-06</v>
          </cell>
          <cell r="AG45">
            <v>-0.185829508795848</v>
          </cell>
          <cell r="AH45">
            <v>10.303700018727399</v>
          </cell>
        </row>
        <row r="46">
          <cell r="A46" t="str">
            <v>Period 4</v>
          </cell>
          <cell r="B46" t="str">
            <v>--</v>
          </cell>
          <cell r="C46">
            <v>25.914868629138599</v>
          </cell>
          <cell r="D46">
            <v>2.7091245230553902</v>
          </cell>
          <cell r="E46" t="str">
            <v>--</v>
          </cell>
          <cell r="F46">
            <v>19.507164522106802</v>
          </cell>
          <cell r="G46">
            <v>-4.3144962365234703</v>
          </cell>
          <cell r="H46" t="str">
            <v>--</v>
          </cell>
          <cell r="I46">
            <v>6.4077041070318401</v>
          </cell>
          <cell r="J46">
            <v>7.0236207595788498</v>
          </cell>
          <cell r="K46" t="str">
            <v>--</v>
          </cell>
          <cell r="L46">
            <v>-4.7584401051390097</v>
          </cell>
          <cell r="M46">
            <v>-6.6547494208930296</v>
          </cell>
          <cell r="N46">
            <v>8.0904007499208301</v>
          </cell>
          <cell r="O46">
            <v>10.2524924598072</v>
          </cell>
          <cell r="P46">
            <v>9.6710128663117008</v>
          </cell>
          <cell r="S46" t="str">
            <v>Period 9-06</v>
          </cell>
          <cell r="T46">
            <v>8.3589950765064902</v>
          </cell>
          <cell r="U46">
            <v>75.187892440031803</v>
          </cell>
          <cell r="AF46" t="str">
            <v>Period 9-06</v>
          </cell>
          <cell r="AG46">
            <v>-1.4482442091653001</v>
          </cell>
          <cell r="AH46">
            <v>-27.8973854688758</v>
          </cell>
        </row>
        <row r="47">
          <cell r="A47" t="str">
            <v>Period 5</v>
          </cell>
          <cell r="B47" t="str">
            <v>--</v>
          </cell>
          <cell r="C47">
            <v>29.6607814190623</v>
          </cell>
          <cell r="D47">
            <v>3.6113312796376298</v>
          </cell>
          <cell r="E47" t="str">
            <v>--</v>
          </cell>
          <cell r="F47">
            <v>17.670102653207</v>
          </cell>
          <cell r="G47">
            <v>-5.4367046157330403</v>
          </cell>
          <cell r="H47" t="str">
            <v>--</v>
          </cell>
          <cell r="I47">
            <v>11.9906787658553</v>
          </cell>
          <cell r="J47">
            <v>9.0480358953706705</v>
          </cell>
          <cell r="K47" t="str">
            <v>--</v>
          </cell>
          <cell r="L47">
            <v>-7.7831491833942303</v>
          </cell>
          <cell r="M47">
            <v>-1.25341675130015</v>
          </cell>
          <cell r="N47">
            <v>8.0065304397036794</v>
          </cell>
          <cell r="O47">
            <v>9.6570065575933892</v>
          </cell>
          <cell r="P47">
            <v>9.6494325603144695</v>
          </cell>
          <cell r="S47" t="str">
            <v>Period 10-06</v>
          </cell>
          <cell r="T47" t="str">
            <v>--</v>
          </cell>
          <cell r="U47" t="str">
            <v>--</v>
          </cell>
          <cell r="AF47" t="str">
            <v>Period 10-06</v>
          </cell>
          <cell r="AG47" t="str">
            <v>--</v>
          </cell>
          <cell r="AH47" t="str">
            <v>--</v>
          </cell>
        </row>
        <row r="48">
          <cell r="A48" t="str">
            <v>Period 6</v>
          </cell>
          <cell r="B48" t="str">
            <v>--</v>
          </cell>
          <cell r="C48">
            <v>14.3655695918366</v>
          </cell>
          <cell r="D48">
            <v>14.4528176013911</v>
          </cell>
          <cell r="E48" t="str">
            <v>--</v>
          </cell>
          <cell r="F48">
            <v>-0.756090062210795</v>
          </cell>
          <cell r="G48">
            <v>12.3464582846706</v>
          </cell>
          <cell r="H48" t="str">
            <v>--</v>
          </cell>
          <cell r="I48">
            <v>15.1216596540474</v>
          </cell>
          <cell r="J48">
            <v>2.1063593167205701</v>
          </cell>
          <cell r="K48" t="str">
            <v>--</v>
          </cell>
          <cell r="L48">
            <v>-12.172070572271799</v>
          </cell>
          <cell r="M48">
            <v>8.6440882648482003</v>
          </cell>
          <cell r="N48">
            <v>7.7651314596413297</v>
          </cell>
          <cell r="O48">
            <v>8.8814902723812992</v>
          </cell>
          <cell r="P48">
            <v>9.7299658597325003</v>
          </cell>
          <cell r="S48" t="str">
            <v>Period 11-06</v>
          </cell>
          <cell r="T48" t="str">
            <v>--</v>
          </cell>
          <cell r="U48" t="str">
            <v>--</v>
          </cell>
          <cell r="AF48" t="str">
            <v>Period 11-06</v>
          </cell>
          <cell r="AG48" t="str">
            <v>--</v>
          </cell>
          <cell r="AH48" t="str">
            <v>--</v>
          </cell>
        </row>
        <row r="49">
          <cell r="A49" t="str">
            <v>Period 7</v>
          </cell>
          <cell r="B49" t="str">
            <v>--</v>
          </cell>
          <cell r="C49">
            <v>20.957286127585199</v>
          </cell>
          <cell r="D49">
            <v>5.6845370652385903</v>
          </cell>
          <cell r="E49" t="str">
            <v>--</v>
          </cell>
          <cell r="F49">
            <v>15.5225912584346</v>
          </cell>
          <cell r="G49">
            <v>-0.20673924544750599</v>
          </cell>
          <cell r="H49" t="str">
            <v>--</v>
          </cell>
          <cell r="I49">
            <v>5.4346948691506203</v>
          </cell>
          <cell r="J49">
            <v>5.8912763106860897</v>
          </cell>
          <cell r="K49" t="str">
            <v>--</v>
          </cell>
          <cell r="L49">
            <v>-3.3357816099059798</v>
          </cell>
          <cell r="M49">
            <v>-1.1889288500941999</v>
          </cell>
          <cell r="N49">
            <v>7.2703692929645998</v>
          </cell>
          <cell r="O49">
            <v>8.8156916880802498</v>
          </cell>
          <cell r="P49">
            <v>9.0054770695008806</v>
          </cell>
          <cell r="S49" t="str">
            <v>Period 12-06</v>
          </cell>
          <cell r="T49" t="str">
            <v>--</v>
          </cell>
          <cell r="U49" t="str">
            <v>--</v>
          </cell>
          <cell r="AF49" t="str">
            <v>Period 12-06</v>
          </cell>
          <cell r="AG49" t="str">
            <v>--</v>
          </cell>
          <cell r="AH49" t="str">
            <v>--</v>
          </cell>
        </row>
        <row r="50">
          <cell r="A50" t="str">
            <v>Period 8</v>
          </cell>
          <cell r="B50" t="str">
            <v>--</v>
          </cell>
          <cell r="C50">
            <v>4.7753632563385402</v>
          </cell>
          <cell r="D50">
            <v>3.8955218887446401</v>
          </cell>
          <cell r="E50" t="str">
            <v>--</v>
          </cell>
          <cell r="F50">
            <v>-9.7870883103048006E-2</v>
          </cell>
          <cell r="G50">
            <v>-3.5754289915072301</v>
          </cell>
          <cell r="H50" t="str">
            <v>--</v>
          </cell>
          <cell r="I50">
            <v>4.8732341394415899</v>
          </cell>
          <cell r="J50">
            <v>7.4709508802518698</v>
          </cell>
          <cell r="K50" t="str">
            <v>--</v>
          </cell>
          <cell r="L50">
            <v>1.1081727578171801</v>
          </cell>
          <cell r="M50">
            <v>-5.9601492351117002</v>
          </cell>
          <cell r="N50">
            <v>8.3385757847175395</v>
          </cell>
          <cell r="O50">
            <v>9.2875495512446005</v>
          </cell>
          <cell r="P50">
            <v>9.4401252591870009</v>
          </cell>
          <cell r="S50" t="str">
            <v>Period 13-06</v>
          </cell>
          <cell r="T50" t="str">
            <v>--</v>
          </cell>
          <cell r="U50" t="str">
            <v>--</v>
          </cell>
          <cell r="AF50" t="str">
            <v>Period 13-06</v>
          </cell>
          <cell r="AG50" t="str">
            <v>--</v>
          </cell>
          <cell r="AH50" t="str">
            <v>--</v>
          </cell>
        </row>
        <row r="51">
          <cell r="A51" t="str">
            <v>Period 9</v>
          </cell>
          <cell r="B51" t="str">
            <v>--</v>
          </cell>
          <cell r="C51">
            <v>-1.7285505651153099</v>
          </cell>
          <cell r="D51">
            <v>4.8211760634753</v>
          </cell>
          <cell r="E51" t="str">
            <v>--</v>
          </cell>
          <cell r="F51">
            <v>-6.9444328023210202</v>
          </cell>
          <cell r="G51">
            <v>-0.26767296990488898</v>
          </cell>
          <cell r="H51" t="str">
            <v>--</v>
          </cell>
          <cell r="I51">
            <v>5.2158822372057099</v>
          </cell>
          <cell r="J51">
            <v>5.0888490333801899</v>
          </cell>
          <cell r="K51" t="str">
            <v>--</v>
          </cell>
          <cell r="L51">
            <v>-6.4596930329463902</v>
          </cell>
          <cell r="M51">
            <v>-7.5805672668670798</v>
          </cell>
          <cell r="N51">
            <v>9.9398409021787604</v>
          </cell>
          <cell r="O51">
            <v>10.3496915653246</v>
          </cell>
          <cell r="P51">
            <v>10.0623673546113</v>
          </cell>
        </row>
        <row r="52">
          <cell r="A52" t="str">
            <v>Period 10</v>
          </cell>
          <cell r="B52" t="str">
            <v>--</v>
          </cell>
          <cell r="C52">
            <v>4.6285691293309599</v>
          </cell>
          <cell r="D52" t="str">
            <v>--</v>
          </cell>
          <cell r="E52" t="str">
            <v>--</v>
          </cell>
          <cell r="F52">
            <v>3.3252282768683901</v>
          </cell>
          <cell r="G52" t="str">
            <v>--</v>
          </cell>
          <cell r="H52" t="str">
            <v>--</v>
          </cell>
          <cell r="I52">
            <v>1.30334085246257</v>
          </cell>
          <cell r="J52" t="str">
            <v>--</v>
          </cell>
          <cell r="K52" t="str">
            <v>--</v>
          </cell>
          <cell r="L52">
            <v>-5.3743313101707697</v>
          </cell>
          <cell r="M52" t="str">
            <v>--</v>
          </cell>
          <cell r="N52">
            <v>12.7510811875493</v>
          </cell>
          <cell r="O52">
            <v>14.0797448710233</v>
          </cell>
          <cell r="P52" t="str">
            <v>--</v>
          </cell>
        </row>
        <row r="53">
          <cell r="A53" t="str">
            <v>Period 11</v>
          </cell>
          <cell r="B53" t="str">
            <v>--</v>
          </cell>
          <cell r="C53">
            <v>9.0394087203541496</v>
          </cell>
          <cell r="D53" t="str">
            <v>--</v>
          </cell>
          <cell r="E53" t="str">
            <v>--</v>
          </cell>
          <cell r="F53">
            <v>4.4187508986202202</v>
          </cell>
          <cell r="G53" t="str">
            <v>--</v>
          </cell>
          <cell r="H53" t="str">
            <v>--</v>
          </cell>
          <cell r="I53">
            <v>4.62065782173394</v>
          </cell>
          <cell r="J53" t="str">
            <v>--</v>
          </cell>
          <cell r="K53" t="str">
            <v>--</v>
          </cell>
          <cell r="L53">
            <v>-6.3389227938103598</v>
          </cell>
          <cell r="M53" t="str">
            <v>--</v>
          </cell>
          <cell r="N53">
            <v>12.8456966296269</v>
          </cell>
          <cell r="O53">
            <v>14.0717366481221</v>
          </cell>
          <cell r="P53" t="str">
            <v>--</v>
          </cell>
        </row>
        <row r="54">
          <cell r="A54" t="str">
            <v>Period 12</v>
          </cell>
          <cell r="B54" t="str">
            <v>--</v>
          </cell>
          <cell r="C54">
            <v>18.588194891179899</v>
          </cell>
          <cell r="D54" t="str">
            <v>--</v>
          </cell>
          <cell r="E54" t="str">
            <v>--</v>
          </cell>
          <cell r="F54">
            <v>18.351190906805002</v>
          </cell>
          <cell r="G54" t="str">
            <v>--</v>
          </cell>
          <cell r="H54" t="str">
            <v>--</v>
          </cell>
          <cell r="I54">
            <v>0.23700398437484399</v>
          </cell>
          <cell r="J54" t="str">
            <v>--</v>
          </cell>
          <cell r="K54" t="str">
            <v>--</v>
          </cell>
          <cell r="L54">
            <v>0.34554358145354802</v>
          </cell>
          <cell r="M54" t="str">
            <v>--</v>
          </cell>
          <cell r="N54">
            <v>11.195989978665599</v>
          </cell>
          <cell r="O54">
            <v>12.987871903736099</v>
          </cell>
          <cell r="P54" t="str">
            <v>--</v>
          </cell>
        </row>
        <row r="55">
          <cell r="A55" t="str">
            <v>Period 13</v>
          </cell>
          <cell r="B55" t="str">
            <v>--</v>
          </cell>
          <cell r="C55">
            <v>4.9982140176838197</v>
          </cell>
          <cell r="D55" t="str">
            <v>--</v>
          </cell>
          <cell r="E55" t="str">
            <v>--</v>
          </cell>
          <cell r="F55">
            <v>1.2776035213194701</v>
          </cell>
          <cell r="G55" t="str">
            <v>--</v>
          </cell>
          <cell r="H55" t="str">
            <v>--</v>
          </cell>
          <cell r="I55">
            <v>3.7206104963643498</v>
          </cell>
          <cell r="J55" t="str">
            <v>--</v>
          </cell>
          <cell r="K55" t="str">
            <v>--</v>
          </cell>
          <cell r="L55">
            <v>-2.7432799566634101</v>
          </cell>
          <cell r="M55" t="str">
            <v>--</v>
          </cell>
          <cell r="N55">
            <v>12.089107364379499</v>
          </cell>
          <cell r="O55">
            <v>11.873734679937501</v>
          </cell>
          <cell r="P55" t="str">
            <v>--</v>
          </cell>
        </row>
        <row r="57">
          <cell r="B57" t="str">
            <v>PRIVATE LABEL RTS WET SOUP</v>
          </cell>
        </row>
        <row r="58">
          <cell r="B58" t="str">
            <v>Yr/Yr % Change</v>
          </cell>
        </row>
        <row r="59">
          <cell r="B59" t="str">
            <v>Sales</v>
          </cell>
          <cell r="E59" t="str">
            <v>Volume</v>
          </cell>
          <cell r="H59" t="str">
            <v>Price/Mix</v>
          </cell>
          <cell r="K59" t="str">
            <v>$ Merchandising</v>
          </cell>
          <cell r="N59" t="str">
            <v>$ Share</v>
          </cell>
        </row>
        <row r="60">
          <cell r="A60" t="str">
            <v>Date</v>
          </cell>
          <cell r="B60">
            <v>2004</v>
          </cell>
          <cell r="C60">
            <v>2005</v>
          </cell>
          <cell r="D60">
            <v>2006</v>
          </cell>
          <cell r="E60">
            <v>2004</v>
          </cell>
          <cell r="F60">
            <v>2005</v>
          </cell>
          <cell r="G60">
            <v>2006</v>
          </cell>
          <cell r="H60">
            <v>2004</v>
          </cell>
          <cell r="I60">
            <v>2005</v>
          </cell>
          <cell r="J60">
            <v>2006</v>
          </cell>
          <cell r="K60">
            <v>2004</v>
          </cell>
          <cell r="L60">
            <v>2005</v>
          </cell>
          <cell r="M60">
            <v>2006</v>
          </cell>
          <cell r="N60">
            <v>2004</v>
          </cell>
          <cell r="O60">
            <v>2005</v>
          </cell>
          <cell r="P60">
            <v>2006</v>
          </cell>
        </row>
        <row r="61">
          <cell r="A61" t="str">
            <v>Period 1</v>
          </cell>
          <cell r="B61" t="str">
            <v>--</v>
          </cell>
          <cell r="C61" t="str">
            <v>--</v>
          </cell>
          <cell r="D61">
            <v>5.1598146868940198</v>
          </cell>
          <cell r="E61" t="str">
            <v>--</v>
          </cell>
          <cell r="F61" t="str">
            <v>--</v>
          </cell>
          <cell r="G61">
            <v>-3.2988622288492602</v>
          </cell>
          <cell r="H61" t="str">
            <v>--</v>
          </cell>
          <cell r="I61" t="str">
            <v>--</v>
          </cell>
          <cell r="J61">
            <v>8.4586769157432808</v>
          </cell>
          <cell r="K61" t="str">
            <v>--</v>
          </cell>
          <cell r="L61" t="str">
            <v>--</v>
          </cell>
          <cell r="M61">
            <v>-7.44852751265734</v>
          </cell>
          <cell r="N61" t="str">
            <v>--</v>
          </cell>
          <cell r="O61">
            <v>1.3804966340978899</v>
          </cell>
          <cell r="P61">
            <v>1.5380144403941201</v>
          </cell>
        </row>
        <row r="62">
          <cell r="A62" t="str">
            <v>Period 2</v>
          </cell>
          <cell r="B62" t="str">
            <v>--</v>
          </cell>
          <cell r="C62" t="str">
            <v>--</v>
          </cell>
          <cell r="D62">
            <v>16.6538519001687</v>
          </cell>
          <cell r="E62" t="str">
            <v>--</v>
          </cell>
          <cell r="F62" t="str">
            <v>--</v>
          </cell>
          <cell r="G62">
            <v>8.9713701156232695</v>
          </cell>
          <cell r="H62" t="str">
            <v>--</v>
          </cell>
          <cell r="I62" t="str">
            <v>--</v>
          </cell>
          <cell r="J62">
            <v>7.6824817845454403</v>
          </cell>
          <cell r="K62" t="str">
            <v>--</v>
          </cell>
          <cell r="L62" t="str">
            <v>--</v>
          </cell>
          <cell r="M62">
            <v>-5.8400186998983203</v>
          </cell>
          <cell r="N62" t="str">
            <v>--</v>
          </cell>
          <cell r="O62">
            <v>1.45113625616227</v>
          </cell>
          <cell r="P62">
            <v>1.6643280653338099</v>
          </cell>
        </row>
        <row r="63">
          <cell r="A63" t="str">
            <v>Period 3</v>
          </cell>
          <cell r="B63" t="str">
            <v>--</v>
          </cell>
          <cell r="C63">
            <v>34.581758685456997</v>
          </cell>
          <cell r="D63">
            <v>36.141039459615001</v>
          </cell>
          <cell r="E63" t="str">
            <v>--</v>
          </cell>
          <cell r="F63">
            <v>43.199449871195498</v>
          </cell>
          <cell r="G63">
            <v>33.105919854654204</v>
          </cell>
          <cell r="H63" t="str">
            <v>--</v>
          </cell>
          <cell r="I63">
            <v>-8.6176911857384901</v>
          </cell>
          <cell r="J63">
            <v>3.0351196049608302</v>
          </cell>
          <cell r="K63" t="str">
            <v>--</v>
          </cell>
          <cell r="L63">
            <v>-3.0388106189763602</v>
          </cell>
          <cell r="M63">
            <v>4.7012129415467099</v>
          </cell>
          <cell r="N63">
            <v>1.16655857155801</v>
          </cell>
          <cell r="O63">
            <v>1.43251468761043</v>
          </cell>
          <cell r="P63">
            <v>1.86167544789576</v>
          </cell>
        </row>
        <row r="64">
          <cell r="A64" t="str">
            <v>Period 4</v>
          </cell>
          <cell r="B64" t="str">
            <v>--</v>
          </cell>
          <cell r="C64">
            <v>40.992744162555198</v>
          </cell>
          <cell r="D64">
            <v>29.816129437375899</v>
          </cell>
          <cell r="E64" t="str">
            <v>--</v>
          </cell>
          <cell r="F64">
            <v>53.111630612982403</v>
          </cell>
          <cell r="G64">
            <v>27.840532889556901</v>
          </cell>
          <cell r="H64" t="str">
            <v>--</v>
          </cell>
          <cell r="I64">
            <v>-12.1188864504271</v>
          </cell>
          <cell r="J64">
            <v>1.9755965478189901</v>
          </cell>
          <cell r="K64" t="str">
            <v>--</v>
          </cell>
          <cell r="L64">
            <v>7.3526178721721296</v>
          </cell>
          <cell r="M64">
            <v>-0.28987410169352001</v>
          </cell>
          <cell r="N64">
            <v>1.3039877293353299</v>
          </cell>
          <cell r="O64">
            <v>1.85034484864482</v>
          </cell>
          <cell r="P64">
            <v>2.20604723276392</v>
          </cell>
        </row>
        <row r="65">
          <cell r="A65" t="str">
            <v>Period 5</v>
          </cell>
          <cell r="B65" t="str">
            <v>--</v>
          </cell>
          <cell r="C65">
            <v>56.045071398360697</v>
          </cell>
          <cell r="D65">
            <v>15.831470472903399</v>
          </cell>
          <cell r="E65" t="str">
            <v>--</v>
          </cell>
          <cell r="F65">
            <v>65.029670840216198</v>
          </cell>
          <cell r="G65">
            <v>12.2612020457067</v>
          </cell>
          <cell r="H65" t="str">
            <v>--</v>
          </cell>
          <cell r="I65">
            <v>-8.9845994418555399</v>
          </cell>
          <cell r="J65">
            <v>3.5702684271966501</v>
          </cell>
          <cell r="K65" t="str">
            <v>--</v>
          </cell>
          <cell r="L65">
            <v>0.76695833044693995</v>
          </cell>
          <cell r="M65">
            <v>-4.2600171674012604</v>
          </cell>
          <cell r="N65">
            <v>1.40363920509743</v>
          </cell>
          <cell r="O65">
            <v>2.0374880903228099</v>
          </cell>
          <cell r="P65">
            <v>2.2760072626974499</v>
          </cell>
        </row>
        <row r="66">
          <cell r="A66" t="str">
            <v>Period 6</v>
          </cell>
          <cell r="B66" t="str">
            <v>--</v>
          </cell>
          <cell r="C66">
            <v>24.430581762418601</v>
          </cell>
          <cell r="D66">
            <v>27.5697814207909</v>
          </cell>
          <cell r="E66" t="str">
            <v>--</v>
          </cell>
          <cell r="F66">
            <v>14.1270811437088</v>
          </cell>
          <cell r="G66">
            <v>27.002769565629599</v>
          </cell>
          <cell r="H66" t="str">
            <v>--</v>
          </cell>
          <cell r="I66">
            <v>10.303500618709799</v>
          </cell>
          <cell r="J66">
            <v>0.56701185516124797</v>
          </cell>
          <cell r="K66" t="str">
            <v>--</v>
          </cell>
          <cell r="L66">
            <v>-8.3824869959388995</v>
          </cell>
          <cell r="M66">
            <v>2.4113767207702099</v>
          </cell>
          <cell r="N66">
            <v>1.38038566876172</v>
          </cell>
          <cell r="O66">
            <v>1.71778698550287</v>
          </cell>
          <cell r="P66">
            <v>2.0975682604021899</v>
          </cell>
        </row>
        <row r="67">
          <cell r="A67" t="str">
            <v>Period 7</v>
          </cell>
          <cell r="B67" t="str">
            <v>--</v>
          </cell>
          <cell r="C67">
            <v>16.8520363495415</v>
          </cell>
          <cell r="D67">
            <v>36.745555726177102</v>
          </cell>
          <cell r="E67" t="str">
            <v>--</v>
          </cell>
          <cell r="F67">
            <v>13.5586296038505</v>
          </cell>
          <cell r="G67">
            <v>34.6680606061893</v>
          </cell>
          <cell r="H67" t="str">
            <v>--</v>
          </cell>
          <cell r="I67">
            <v>3.2934067456910401</v>
          </cell>
          <cell r="J67">
            <v>2.0774951199878098</v>
          </cell>
          <cell r="K67" t="str">
            <v>--</v>
          </cell>
          <cell r="L67">
            <v>2.3475080468169098</v>
          </cell>
          <cell r="M67">
            <v>0.60824008716674205</v>
          </cell>
          <cell r="N67">
            <v>1.47059298667611</v>
          </cell>
          <cell r="O67">
            <v>1.7226484729801499</v>
          </cell>
          <cell r="P67">
            <v>2.2769252131922402</v>
          </cell>
        </row>
        <row r="68">
          <cell r="A68" t="str">
            <v>Period 8</v>
          </cell>
          <cell r="B68" t="str">
            <v>--</v>
          </cell>
          <cell r="C68">
            <v>31.088170553034001</v>
          </cell>
          <cell r="D68">
            <v>5.0132638424323499</v>
          </cell>
          <cell r="E68" t="str">
            <v>--</v>
          </cell>
          <cell r="F68">
            <v>36.202081086611102</v>
          </cell>
          <cell r="G68">
            <v>-5.2904361762950396</v>
          </cell>
          <cell r="H68" t="str">
            <v>--</v>
          </cell>
          <cell r="I68">
            <v>-5.1139105335770898</v>
          </cell>
          <cell r="J68">
            <v>10.303700018727399</v>
          </cell>
          <cell r="K68" t="str">
            <v>--</v>
          </cell>
          <cell r="L68">
            <v>14.7898117670131</v>
          </cell>
          <cell r="M68">
            <v>-13.2096329631048</v>
          </cell>
          <cell r="N68">
            <v>1.44355129157331</v>
          </cell>
          <cell r="O68">
            <v>2.0116193784744101</v>
          </cell>
          <cell r="P68">
            <v>2.06666341482341</v>
          </cell>
        </row>
        <row r="69">
          <cell r="A69" t="str">
            <v>Period 9</v>
          </cell>
          <cell r="B69" t="str">
            <v>--</v>
          </cell>
          <cell r="C69">
            <v>15.820703271672899</v>
          </cell>
          <cell r="D69">
            <v>75.187892440031803</v>
          </cell>
          <cell r="E69" t="str">
            <v>--</v>
          </cell>
          <cell r="F69">
            <v>16.497762636749101</v>
          </cell>
          <cell r="G69">
            <v>103.085277908908</v>
          </cell>
          <cell r="H69" t="str">
            <v>--</v>
          </cell>
          <cell r="I69">
            <v>-0.67705936507616105</v>
          </cell>
          <cell r="J69">
            <v>-27.8973854688758</v>
          </cell>
          <cell r="K69" t="str">
            <v>--</v>
          </cell>
          <cell r="L69">
            <v>7.2260971283611202</v>
          </cell>
          <cell r="M69">
            <v>21.645956079141001</v>
          </cell>
          <cell r="N69">
            <v>1.2390664451595801</v>
          </cell>
          <cell r="O69">
            <v>1.5205524540917299</v>
          </cell>
          <cell r="P69">
            <v>2.4707524084090799</v>
          </cell>
        </row>
        <row r="70">
          <cell r="A70" t="str">
            <v>Period 10</v>
          </cell>
          <cell r="B70" t="str">
            <v>--</v>
          </cell>
          <cell r="C70">
            <v>27.908291678747801</v>
          </cell>
          <cell r="D70" t="str">
            <v>--</v>
          </cell>
          <cell r="E70" t="str">
            <v>--</v>
          </cell>
          <cell r="F70">
            <v>36.451979528730597</v>
          </cell>
          <cell r="G70" t="str">
            <v>--</v>
          </cell>
          <cell r="H70" t="str">
            <v>--</v>
          </cell>
          <cell r="I70">
            <v>-8.5436878499828399</v>
          </cell>
          <cell r="J70" t="str">
            <v>--</v>
          </cell>
          <cell r="K70" t="str">
            <v>--</v>
          </cell>
          <cell r="L70">
            <v>-0.103310145098682</v>
          </cell>
          <cell r="M70" t="str">
            <v>--</v>
          </cell>
          <cell r="N70">
            <v>1.17469517716225</v>
          </cell>
          <cell r="O70">
            <v>1.5857012649357001</v>
          </cell>
          <cell r="P70" t="str">
            <v>--</v>
          </cell>
        </row>
        <row r="71">
          <cell r="A71" t="str">
            <v>Period 11</v>
          </cell>
          <cell r="B71" t="str">
            <v>--</v>
          </cell>
          <cell r="C71">
            <v>86.650576804082803</v>
          </cell>
          <cell r="D71" t="str">
            <v>--</v>
          </cell>
          <cell r="E71" t="str">
            <v>--</v>
          </cell>
          <cell r="F71">
            <v>112.722206444915</v>
          </cell>
          <cell r="G71" t="str">
            <v>--</v>
          </cell>
          <cell r="H71" t="str">
            <v>--</v>
          </cell>
          <cell r="I71">
            <v>-26.071629640832199</v>
          </cell>
          <cell r="J71" t="str">
            <v>--</v>
          </cell>
          <cell r="K71" t="str">
            <v>--</v>
          </cell>
          <cell r="L71">
            <v>17.9244420358181</v>
          </cell>
          <cell r="M71" t="str">
            <v>--</v>
          </cell>
          <cell r="N71">
            <v>1.0775062718853901</v>
          </cell>
          <cell r="O71">
            <v>2.0204852890634801</v>
          </cell>
          <cell r="P71" t="str">
            <v>--</v>
          </cell>
        </row>
        <row r="72">
          <cell r="A72" t="str">
            <v>Period 12</v>
          </cell>
          <cell r="B72" t="str">
            <v>--</v>
          </cell>
          <cell r="C72">
            <v>22.523948855665601</v>
          </cell>
          <cell r="D72" t="str">
            <v>--</v>
          </cell>
          <cell r="E72" t="str">
            <v>--</v>
          </cell>
          <cell r="F72">
            <v>17.999159431775901</v>
          </cell>
          <cell r="G72" t="str">
            <v>--</v>
          </cell>
          <cell r="H72" t="str">
            <v>--</v>
          </cell>
          <cell r="I72">
            <v>4.52478942388968</v>
          </cell>
          <cell r="J72" t="str">
            <v>--</v>
          </cell>
          <cell r="K72" t="str">
            <v>--</v>
          </cell>
          <cell r="L72">
            <v>-8.7816314616010303</v>
          </cell>
          <cell r="M72" t="str">
            <v>--</v>
          </cell>
          <cell r="N72">
            <v>1.27578163061143</v>
          </cell>
          <cell r="O72">
            <v>1.5290840815750399</v>
          </cell>
          <cell r="P72" t="str">
            <v>--</v>
          </cell>
        </row>
        <row r="73">
          <cell r="A73" t="str">
            <v>Period 13</v>
          </cell>
          <cell r="B73" t="str">
            <v>--</v>
          </cell>
          <cell r="C73">
            <v>54.619370426688697</v>
          </cell>
          <cell r="D73" t="str">
            <v>--</v>
          </cell>
          <cell r="E73" t="str">
            <v>--</v>
          </cell>
          <cell r="F73">
            <v>62.068316877913702</v>
          </cell>
          <cell r="G73" t="str">
            <v>--</v>
          </cell>
          <cell r="H73" t="str">
            <v>--</v>
          </cell>
          <cell r="I73">
            <v>-7.4489464512250096</v>
          </cell>
          <cell r="J73" t="str">
            <v>--</v>
          </cell>
          <cell r="K73" t="str">
            <v>--</v>
          </cell>
          <cell r="L73">
            <v>15.6298896096049</v>
          </cell>
          <cell r="M73" t="str">
            <v>--</v>
          </cell>
          <cell r="N73">
            <v>1.2484210428904801</v>
          </cell>
          <cell r="O73">
            <v>1.8056608204064899</v>
          </cell>
          <cell r="P73" t="str">
            <v>--</v>
          </cell>
        </row>
        <row r="75">
          <cell r="A75" t="str">
            <v>CATEGORY - SOUP - Historical Statistics - 12 Week Data - TOTAL U.S. - FD / DG / MM</v>
          </cell>
        </row>
        <row r="77">
          <cell r="B77" t="str">
            <v>Category</v>
          </cell>
        </row>
        <row r="78">
          <cell r="B78" t="str">
            <v>Yr/Yr % Change</v>
          </cell>
        </row>
        <row r="79">
          <cell r="B79" t="str">
            <v>Sales</v>
          </cell>
          <cell r="D79" t="str">
            <v>Volume</v>
          </cell>
          <cell r="F79" t="str">
            <v>Price/Mix</v>
          </cell>
          <cell r="H79" t="str">
            <v>$ Merchandising</v>
          </cell>
        </row>
        <row r="80">
          <cell r="A80" t="str">
            <v>Date</v>
          </cell>
          <cell r="B80">
            <v>2005</v>
          </cell>
          <cell r="C80">
            <v>2006</v>
          </cell>
          <cell r="D80">
            <v>2005</v>
          </cell>
          <cell r="E80">
            <v>2006</v>
          </cell>
          <cell r="F80">
            <v>2005</v>
          </cell>
          <cell r="G80">
            <v>2006</v>
          </cell>
          <cell r="H80">
            <v>2005</v>
          </cell>
          <cell r="I80">
            <v>2006</v>
          </cell>
        </row>
        <row r="81">
          <cell r="A81" t="str">
            <v>Period 1</v>
          </cell>
          <cell r="B81" t="str">
            <v>--</v>
          </cell>
          <cell r="C81" t="str">
            <v>--</v>
          </cell>
          <cell r="D81" t="str">
            <v>--</v>
          </cell>
          <cell r="E81" t="str">
            <v>--</v>
          </cell>
          <cell r="F81" t="str">
            <v>--</v>
          </cell>
          <cell r="G81" t="str">
            <v>--</v>
          </cell>
          <cell r="H81" t="str">
            <v>--</v>
          </cell>
          <cell r="I81" t="str">
            <v>--</v>
          </cell>
        </row>
        <row r="82">
          <cell r="A82" t="str">
            <v>Period 2</v>
          </cell>
          <cell r="B82" t="str">
            <v>--</v>
          </cell>
          <cell r="C82" t="str">
            <v>--</v>
          </cell>
          <cell r="D82" t="str">
            <v>--</v>
          </cell>
          <cell r="E82" t="str">
            <v>--</v>
          </cell>
          <cell r="F82" t="str">
            <v>--</v>
          </cell>
          <cell r="G82" t="str">
            <v>--</v>
          </cell>
          <cell r="H82" t="str">
            <v>--</v>
          </cell>
          <cell r="I82" t="str">
            <v>--</v>
          </cell>
        </row>
        <row r="83">
          <cell r="A83" t="str">
            <v>Period 3</v>
          </cell>
          <cell r="B83" t="str">
            <v>--</v>
          </cell>
          <cell r="C83">
            <v>-0.31855478456525099</v>
          </cell>
          <cell r="D83" t="str">
            <v>--</v>
          </cell>
          <cell r="E83">
            <v>-6.1539767937479599</v>
          </cell>
          <cell r="F83" t="str">
            <v>--</v>
          </cell>
          <cell r="G83">
            <v>5.83542200918271</v>
          </cell>
          <cell r="H83" t="str">
            <v>--</v>
          </cell>
          <cell r="I83">
            <v>0.77497480859656798</v>
          </cell>
        </row>
        <row r="84">
          <cell r="A84" t="str">
            <v>Period 4</v>
          </cell>
          <cell r="B84" t="str">
            <v>--</v>
          </cell>
          <cell r="C84">
            <v>4.6334229125431596</v>
          </cell>
          <cell r="D84" t="str">
            <v>--</v>
          </cell>
          <cell r="E84">
            <v>0.33631297757239098</v>
          </cell>
          <cell r="F84" t="str">
            <v>--</v>
          </cell>
          <cell r="G84">
            <v>4.29710993497077</v>
          </cell>
          <cell r="H84" t="str">
            <v>--</v>
          </cell>
          <cell r="I84">
            <v>1.3007987240632499</v>
          </cell>
        </row>
        <row r="85">
          <cell r="A85" t="str">
            <v>Period 5</v>
          </cell>
          <cell r="B85" t="str">
            <v>--</v>
          </cell>
          <cell r="C85">
            <v>5.7853985862675197</v>
          </cell>
          <cell r="D85" t="str">
            <v>--</v>
          </cell>
          <cell r="E85">
            <v>2.4837669306977501</v>
          </cell>
          <cell r="F85" t="str">
            <v>--</v>
          </cell>
          <cell r="G85">
            <v>3.30163165556977</v>
          </cell>
          <cell r="H85" t="str">
            <v>--</v>
          </cell>
          <cell r="I85">
            <v>2.4534265861940301</v>
          </cell>
        </row>
        <row r="86">
          <cell r="A86" t="str">
            <v>Period 6</v>
          </cell>
          <cell r="B86" t="str">
            <v>--</v>
          </cell>
          <cell r="C86">
            <v>5.8918325246693897</v>
          </cell>
          <cell r="D86" t="str">
            <v>--</v>
          </cell>
          <cell r="E86">
            <v>3.4331299524324201</v>
          </cell>
          <cell r="F86" t="str">
            <v>--</v>
          </cell>
          <cell r="G86">
            <v>2.4587025722369602</v>
          </cell>
          <cell r="H86" t="str">
            <v>--</v>
          </cell>
          <cell r="I86">
            <v>2.5037371531355199</v>
          </cell>
        </row>
        <row r="87">
          <cell r="A87" t="str">
            <v>Period 7</v>
          </cell>
          <cell r="B87" t="str">
            <v>--</v>
          </cell>
          <cell r="C87">
            <v>3.87303468545382</v>
          </cell>
          <cell r="D87" t="str">
            <v>--</v>
          </cell>
          <cell r="E87">
            <v>-0.241846546461253</v>
          </cell>
          <cell r="F87" t="str">
            <v>--</v>
          </cell>
          <cell r="G87">
            <v>4.1148812319150796</v>
          </cell>
          <cell r="H87" t="str">
            <v>--</v>
          </cell>
          <cell r="I87">
            <v>0.225146857458874</v>
          </cell>
        </row>
        <row r="88">
          <cell r="A88" t="str">
            <v>Period 8</v>
          </cell>
          <cell r="B88" t="str">
            <v>--</v>
          </cell>
          <cell r="C88">
            <v>3.3784648059553199</v>
          </cell>
          <cell r="D88" t="str">
            <v>--</v>
          </cell>
          <cell r="E88">
            <v>-0.72709733382254405</v>
          </cell>
          <cell r="F88" t="str">
            <v>--</v>
          </cell>
          <cell r="G88">
            <v>4.1055621397778603</v>
          </cell>
          <cell r="H88" t="str">
            <v>--</v>
          </cell>
          <cell r="I88">
            <v>-0.31134253533329598</v>
          </cell>
        </row>
        <row r="89">
          <cell r="A89" t="str">
            <v>Period 9</v>
          </cell>
          <cell r="B89" t="str">
            <v>--</v>
          </cell>
          <cell r="C89">
            <v>4.76693150767146</v>
          </cell>
          <cell r="D89" t="str">
            <v>--</v>
          </cell>
          <cell r="E89">
            <v>1.5310008578216801</v>
          </cell>
          <cell r="F89" t="str">
            <v>--</v>
          </cell>
          <cell r="G89">
            <v>3.23593064984978</v>
          </cell>
          <cell r="H89" t="str">
            <v>--</v>
          </cell>
          <cell r="I89">
            <v>0.68124554960215999</v>
          </cell>
        </row>
        <row r="90">
          <cell r="A90" t="str">
            <v>Period 10</v>
          </cell>
          <cell r="B90" t="str">
            <v>--</v>
          </cell>
          <cell r="C90" t="str">
            <v>--</v>
          </cell>
          <cell r="D90" t="str">
            <v>--</v>
          </cell>
          <cell r="E90" t="str">
            <v>--</v>
          </cell>
          <cell r="F90" t="str">
            <v>--</v>
          </cell>
          <cell r="G90" t="str">
            <v>--</v>
          </cell>
          <cell r="H90" t="str">
            <v>--</v>
          </cell>
          <cell r="I90" t="str">
            <v>--</v>
          </cell>
        </row>
        <row r="91">
          <cell r="A91" t="str">
            <v>Period 11</v>
          </cell>
          <cell r="B91" t="str">
            <v>--</v>
          </cell>
          <cell r="C91" t="str">
            <v>--</v>
          </cell>
          <cell r="D91" t="str">
            <v>--</v>
          </cell>
          <cell r="E91" t="str">
            <v>--</v>
          </cell>
          <cell r="F91" t="str">
            <v>--</v>
          </cell>
          <cell r="G91" t="str">
            <v>--</v>
          </cell>
          <cell r="H91" t="str">
            <v>--</v>
          </cell>
          <cell r="I91" t="str">
            <v>--</v>
          </cell>
        </row>
        <row r="92">
          <cell r="A92" t="str">
            <v>Period 12</v>
          </cell>
          <cell r="B92" t="str">
            <v>--</v>
          </cell>
          <cell r="C92" t="str">
            <v>--</v>
          </cell>
          <cell r="D92" t="str">
            <v>--</v>
          </cell>
          <cell r="E92" t="str">
            <v>--</v>
          </cell>
          <cell r="F92" t="str">
            <v>--</v>
          </cell>
          <cell r="G92" t="str">
            <v>--</v>
          </cell>
          <cell r="H92" t="str">
            <v>--</v>
          </cell>
          <cell r="I92" t="str">
            <v>--</v>
          </cell>
        </row>
        <row r="93">
          <cell r="A93" t="str">
            <v>Period 13</v>
          </cell>
          <cell r="B93" t="str">
            <v>--</v>
          </cell>
          <cell r="C93" t="str">
            <v>--</v>
          </cell>
          <cell r="D93" t="str">
            <v>--</v>
          </cell>
          <cell r="E93" t="str">
            <v>--</v>
          </cell>
          <cell r="F93" t="str">
            <v>--</v>
          </cell>
          <cell r="G93" t="str">
            <v>--</v>
          </cell>
          <cell r="H93" t="str">
            <v>--</v>
          </cell>
          <cell r="I93" t="str">
            <v>--</v>
          </cell>
        </row>
        <row r="95">
          <cell r="B95" t="str">
            <v>CAMPBELL SOUP CO RTS WET SOUP</v>
          </cell>
        </row>
        <row r="96">
          <cell r="B96" t="str">
            <v>Yr/Yr % Change</v>
          </cell>
        </row>
        <row r="97">
          <cell r="B97" t="str">
            <v>Sales</v>
          </cell>
          <cell r="D97" t="str">
            <v>Volume</v>
          </cell>
          <cell r="F97" t="str">
            <v>Price/Mix</v>
          </cell>
          <cell r="H97" t="str">
            <v>$ Merchandising</v>
          </cell>
          <cell r="J97" t="str">
            <v>$ Share</v>
          </cell>
        </row>
        <row r="98">
          <cell r="A98" t="str">
            <v>Date</v>
          </cell>
          <cell r="B98">
            <v>2005</v>
          </cell>
          <cell r="C98">
            <v>2006</v>
          </cell>
          <cell r="D98">
            <v>2005</v>
          </cell>
          <cell r="E98">
            <v>2006</v>
          </cell>
          <cell r="F98">
            <v>2005</v>
          </cell>
          <cell r="G98">
            <v>2006</v>
          </cell>
          <cell r="H98">
            <v>2005</v>
          </cell>
          <cell r="I98">
            <v>2006</v>
          </cell>
          <cell r="J98">
            <v>2005</v>
          </cell>
          <cell r="K98">
            <v>2006</v>
          </cell>
        </row>
        <row r="99">
          <cell r="A99" t="str">
            <v>Period 1</v>
          </cell>
          <cell r="B99" t="str">
            <v>--</v>
          </cell>
          <cell r="C99" t="str">
            <v>--</v>
          </cell>
          <cell r="D99" t="str">
            <v>--</v>
          </cell>
          <cell r="E99" t="str">
            <v>--</v>
          </cell>
          <cell r="F99" t="str">
            <v>--</v>
          </cell>
          <cell r="G99" t="str">
            <v>--</v>
          </cell>
          <cell r="H99" t="str">
            <v>--</v>
          </cell>
          <cell r="I99" t="str">
            <v>--</v>
          </cell>
          <cell r="J99" t="str">
            <v>--</v>
          </cell>
          <cell r="K99" t="str">
            <v>--</v>
          </cell>
        </row>
        <row r="100">
          <cell r="A100" t="str">
            <v>Period 2</v>
          </cell>
          <cell r="B100" t="str">
            <v>--</v>
          </cell>
          <cell r="C100" t="str">
            <v>--</v>
          </cell>
          <cell r="D100" t="str">
            <v>--</v>
          </cell>
          <cell r="E100" t="str">
            <v>--</v>
          </cell>
          <cell r="F100" t="str">
            <v>--</v>
          </cell>
          <cell r="G100" t="str">
            <v>--</v>
          </cell>
          <cell r="H100" t="str">
            <v>--</v>
          </cell>
          <cell r="I100" t="str">
            <v>--</v>
          </cell>
          <cell r="J100" t="str">
            <v>--</v>
          </cell>
          <cell r="K100">
            <v>21.904556897065302</v>
          </cell>
        </row>
        <row r="101">
          <cell r="A101" t="str">
            <v>Period 3</v>
          </cell>
          <cell r="B101" t="str">
            <v>--</v>
          </cell>
          <cell r="C101">
            <v>0.27586595318430501</v>
          </cell>
          <cell r="D101" t="str">
            <v>--</v>
          </cell>
          <cell r="E101">
            <v>-6.7808402153689702</v>
          </cell>
          <cell r="F101" t="str">
            <v>--</v>
          </cell>
          <cell r="G101">
            <v>7.0567061685532702</v>
          </cell>
          <cell r="H101" t="str">
            <v>--</v>
          </cell>
          <cell r="I101">
            <v>3.14165490889435</v>
          </cell>
          <cell r="J101">
            <v>22.128646340144201</v>
          </cell>
          <cell r="K101">
            <v>22.260603960285898</v>
          </cell>
        </row>
        <row r="102">
          <cell r="A102" t="str">
            <v>Period 4</v>
          </cell>
          <cell r="B102" t="str">
            <v>--</v>
          </cell>
          <cell r="C102">
            <v>10.514353004488401</v>
          </cell>
          <cell r="D102" t="str">
            <v>--</v>
          </cell>
          <cell r="E102">
            <v>9.0157699869682109</v>
          </cell>
          <cell r="F102" t="str">
            <v>--</v>
          </cell>
          <cell r="G102">
            <v>1.4985830175202199</v>
          </cell>
          <cell r="H102" t="str">
            <v>--</v>
          </cell>
          <cell r="I102">
            <v>7.1302090721975402</v>
          </cell>
          <cell r="J102">
            <v>19.517123836408999</v>
          </cell>
          <cell r="K102">
            <v>20.614085377786601</v>
          </cell>
        </row>
        <row r="103">
          <cell r="A103" t="str">
            <v>Period 5</v>
          </cell>
          <cell r="B103" t="str">
            <v>--</v>
          </cell>
          <cell r="C103">
            <v>12.8095986053138</v>
          </cell>
          <cell r="D103" t="str">
            <v>--</v>
          </cell>
          <cell r="E103">
            <v>15.2636785190948</v>
          </cell>
          <cell r="F103" t="str">
            <v>--</v>
          </cell>
          <cell r="G103">
            <v>-2.4540799137809999</v>
          </cell>
          <cell r="H103" t="str">
            <v>--</v>
          </cell>
          <cell r="I103">
            <v>10.8071449028086</v>
          </cell>
          <cell r="J103">
            <v>18.0408041918263</v>
          </cell>
          <cell r="K103">
            <v>19.238722040994201</v>
          </cell>
        </row>
        <row r="104">
          <cell r="A104" t="str">
            <v>Period 6</v>
          </cell>
          <cell r="B104" t="str">
            <v>--</v>
          </cell>
          <cell r="C104">
            <v>6.1312105561251196</v>
          </cell>
          <cell r="D104" t="str">
            <v>--</v>
          </cell>
          <cell r="E104">
            <v>5.3551606629787596</v>
          </cell>
          <cell r="F104" t="str">
            <v>--</v>
          </cell>
          <cell r="G104">
            <v>0.77604989314636097</v>
          </cell>
          <cell r="H104" t="str">
            <v>--</v>
          </cell>
          <cell r="I104">
            <v>4.9448350594715897</v>
          </cell>
          <cell r="J104">
            <v>17.3600738733691</v>
          </cell>
          <cell r="K104">
            <v>17.399317885023699</v>
          </cell>
        </row>
        <row r="105">
          <cell r="A105" t="str">
            <v>Period 7</v>
          </cell>
          <cell r="B105" t="str">
            <v>--</v>
          </cell>
          <cell r="C105">
            <v>2.5805778123681899</v>
          </cell>
          <cell r="D105" t="str">
            <v>--</v>
          </cell>
          <cell r="E105">
            <v>-0.58053409424888403</v>
          </cell>
          <cell r="F105" t="str">
            <v>--</v>
          </cell>
          <cell r="G105">
            <v>3.1611119066170699</v>
          </cell>
          <cell r="H105" t="str">
            <v>--</v>
          </cell>
          <cell r="I105">
            <v>1.95456233802354</v>
          </cell>
          <cell r="J105">
            <v>16.887166363027799</v>
          </cell>
          <cell r="K105">
            <v>16.677045090467299</v>
          </cell>
        </row>
        <row r="106">
          <cell r="A106" t="str">
            <v>Period 8</v>
          </cell>
          <cell r="B106" t="str">
            <v>--</v>
          </cell>
          <cell r="C106">
            <v>2.0587866021729599</v>
          </cell>
          <cell r="D106" t="str">
            <v>--</v>
          </cell>
          <cell r="E106">
            <v>-2.8917552300742999E-2</v>
          </cell>
          <cell r="F106" t="str">
            <v>--</v>
          </cell>
          <cell r="G106">
            <v>2.0877041544737001</v>
          </cell>
          <cell r="H106" t="str">
            <v>--</v>
          </cell>
          <cell r="I106">
            <v>1.47875764704843</v>
          </cell>
          <cell r="J106">
            <v>16.522641569214599</v>
          </cell>
          <cell r="K106">
            <v>16.3117217225258</v>
          </cell>
        </row>
        <row r="107">
          <cell r="A107" t="str">
            <v>Period 9</v>
          </cell>
          <cell r="B107" t="str">
            <v>--</v>
          </cell>
          <cell r="C107">
            <v>4.6888229803740797</v>
          </cell>
          <cell r="D107" t="str">
            <v>--</v>
          </cell>
          <cell r="E107">
            <v>4.5006311103673902</v>
          </cell>
          <cell r="F107" t="str">
            <v>--</v>
          </cell>
          <cell r="G107">
            <v>0.188191870006686</v>
          </cell>
          <cell r="H107" t="str">
            <v>--</v>
          </cell>
          <cell r="I107">
            <v>3.8234344856454698</v>
          </cell>
          <cell r="J107">
            <v>18.067265904050998</v>
          </cell>
          <cell r="K107">
            <v>18.053795933023402</v>
          </cell>
        </row>
        <row r="108">
          <cell r="A108" t="str">
            <v>Period 10</v>
          </cell>
          <cell r="B108" t="str">
            <v>--</v>
          </cell>
          <cell r="C108" t="str">
            <v>--</v>
          </cell>
          <cell r="D108" t="str">
            <v>--</v>
          </cell>
          <cell r="E108" t="str">
            <v>--</v>
          </cell>
          <cell r="F108" t="str">
            <v>--</v>
          </cell>
          <cell r="G108" t="str">
            <v>--</v>
          </cell>
          <cell r="H108" t="str">
            <v>--</v>
          </cell>
          <cell r="I108" t="str">
            <v>--</v>
          </cell>
          <cell r="J108" t="str">
            <v>--</v>
          </cell>
          <cell r="K108" t="str">
            <v>--</v>
          </cell>
        </row>
        <row r="109">
          <cell r="A109" t="str">
            <v>Period 11</v>
          </cell>
          <cell r="B109" t="str">
            <v>--</v>
          </cell>
          <cell r="C109" t="str">
            <v>--</v>
          </cell>
          <cell r="D109" t="str">
            <v>--</v>
          </cell>
          <cell r="E109" t="str">
            <v>--</v>
          </cell>
          <cell r="F109" t="str">
            <v>--</v>
          </cell>
          <cell r="G109" t="str">
            <v>--</v>
          </cell>
          <cell r="H109" t="str">
            <v>--</v>
          </cell>
          <cell r="I109" t="str">
            <v>--</v>
          </cell>
          <cell r="J109" t="str">
            <v>--</v>
          </cell>
          <cell r="K109" t="str">
            <v>--</v>
          </cell>
        </row>
        <row r="110">
          <cell r="A110" t="str">
            <v>Period 12</v>
          </cell>
          <cell r="B110" t="str">
            <v>--</v>
          </cell>
          <cell r="C110" t="str">
            <v>--</v>
          </cell>
          <cell r="D110" t="str">
            <v>--</v>
          </cell>
          <cell r="E110" t="str">
            <v>--</v>
          </cell>
          <cell r="F110" t="str">
            <v>--</v>
          </cell>
          <cell r="G110" t="str">
            <v>--</v>
          </cell>
          <cell r="H110" t="str">
            <v>--</v>
          </cell>
          <cell r="I110" t="str">
            <v>--</v>
          </cell>
          <cell r="J110" t="str">
            <v>--</v>
          </cell>
          <cell r="K110" t="str">
            <v>--</v>
          </cell>
        </row>
        <row r="111">
          <cell r="A111" t="str">
            <v>Period 13</v>
          </cell>
          <cell r="B111" t="str">
            <v>--</v>
          </cell>
          <cell r="C111" t="str">
            <v>--</v>
          </cell>
          <cell r="D111" t="str">
            <v>--</v>
          </cell>
          <cell r="E111" t="str">
            <v>--</v>
          </cell>
          <cell r="F111" t="str">
            <v>--</v>
          </cell>
          <cell r="G111" t="str">
            <v>--</v>
          </cell>
          <cell r="H111" t="str">
            <v>--</v>
          </cell>
          <cell r="I111" t="str">
            <v>--</v>
          </cell>
          <cell r="J111" t="str">
            <v>--</v>
          </cell>
          <cell r="K111" t="str">
            <v>--</v>
          </cell>
        </row>
        <row r="113">
          <cell r="B113" t="str">
            <v>GENERAL MILLS RTS WET SOUP</v>
          </cell>
        </row>
        <row r="114">
          <cell r="B114" t="str">
            <v>Yr/Yr % Change</v>
          </cell>
        </row>
        <row r="115">
          <cell r="B115" t="str">
            <v>Sales</v>
          </cell>
          <cell r="D115" t="str">
            <v>Volume</v>
          </cell>
          <cell r="F115" t="str">
            <v>Price/Mix</v>
          </cell>
          <cell r="H115" t="str">
            <v>$ Merchandising</v>
          </cell>
          <cell r="J115" t="str">
            <v>$ Share</v>
          </cell>
        </row>
        <row r="116">
          <cell r="A116" t="str">
            <v>Date</v>
          </cell>
          <cell r="B116">
            <v>2005</v>
          </cell>
          <cell r="C116">
            <v>2006</v>
          </cell>
          <cell r="D116">
            <v>2005</v>
          </cell>
          <cell r="E116">
            <v>2006</v>
          </cell>
          <cell r="F116">
            <v>2005</v>
          </cell>
          <cell r="G116">
            <v>2006</v>
          </cell>
          <cell r="H116">
            <v>2005</v>
          </cell>
          <cell r="I116">
            <v>2006</v>
          </cell>
          <cell r="J116">
            <v>2005</v>
          </cell>
          <cell r="K116">
            <v>2006</v>
          </cell>
        </row>
        <row r="117">
          <cell r="A117" t="str">
            <v>Period 1</v>
          </cell>
          <cell r="B117" t="str">
            <v>--</v>
          </cell>
          <cell r="C117" t="str">
            <v>--</v>
          </cell>
          <cell r="D117" t="str">
            <v>--</v>
          </cell>
          <cell r="E117" t="str">
            <v>--</v>
          </cell>
          <cell r="F117" t="str">
            <v>--</v>
          </cell>
          <cell r="G117" t="str">
            <v>--</v>
          </cell>
          <cell r="H117" t="str">
            <v>--</v>
          </cell>
          <cell r="I117" t="str">
            <v>--</v>
          </cell>
          <cell r="J117" t="str">
            <v>--</v>
          </cell>
          <cell r="K117" t="str">
            <v>--</v>
          </cell>
        </row>
        <row r="118">
          <cell r="A118" t="str">
            <v>Period 2</v>
          </cell>
          <cell r="B118" t="str">
            <v>--</v>
          </cell>
          <cell r="C118" t="str">
            <v>--</v>
          </cell>
          <cell r="D118" t="str">
            <v>--</v>
          </cell>
          <cell r="E118" t="str">
            <v>--</v>
          </cell>
          <cell r="F118" t="str">
            <v>--</v>
          </cell>
          <cell r="G118" t="str">
            <v>--</v>
          </cell>
          <cell r="H118" t="str">
            <v>--</v>
          </cell>
          <cell r="I118" t="str">
            <v>--</v>
          </cell>
          <cell r="J118" t="str">
            <v>--</v>
          </cell>
          <cell r="K118">
            <v>14.0133178855924</v>
          </cell>
        </row>
        <row r="119">
          <cell r="A119" t="str">
            <v>Period 3</v>
          </cell>
          <cell r="B119" t="str">
            <v>--</v>
          </cell>
          <cell r="C119">
            <v>-1.32411201183337</v>
          </cell>
          <cell r="D119" t="str">
            <v>--</v>
          </cell>
          <cell r="E119">
            <v>-9.6061549564701192</v>
          </cell>
          <cell r="F119" t="str">
            <v>--</v>
          </cell>
          <cell r="G119">
            <v>8.2820429446367498</v>
          </cell>
          <cell r="H119" t="str">
            <v>--</v>
          </cell>
          <cell r="I119">
            <v>-2.4546891636316701</v>
          </cell>
          <cell r="J119">
            <v>14.424550639178801</v>
          </cell>
          <cell r="K119">
            <v>14.2790399966116</v>
          </cell>
        </row>
        <row r="120">
          <cell r="A120" t="str">
            <v>Period 4</v>
          </cell>
          <cell r="B120" t="str">
            <v>--</v>
          </cell>
          <cell r="C120">
            <v>-1.55781558377146</v>
          </cell>
          <cell r="D120" t="str">
            <v>--</v>
          </cell>
          <cell r="E120">
            <v>-11.7551217939869</v>
          </cell>
          <cell r="F120" t="str">
            <v>--</v>
          </cell>
          <cell r="G120">
            <v>10.1973062102154</v>
          </cell>
          <cell r="H120" t="str">
            <v>--</v>
          </cell>
          <cell r="I120">
            <v>-5.6887624984388303</v>
          </cell>
          <cell r="J120">
            <v>13.4657479750381</v>
          </cell>
          <cell r="K120">
            <v>12.6689695181734</v>
          </cell>
        </row>
        <row r="121">
          <cell r="A121" t="str">
            <v>Period 5</v>
          </cell>
          <cell r="B121" t="str">
            <v>--</v>
          </cell>
          <cell r="C121">
            <v>-1.5091342038480799</v>
          </cell>
          <cell r="D121" t="str">
            <v>--</v>
          </cell>
          <cell r="E121">
            <v>-12.674748460956801</v>
          </cell>
          <cell r="F121" t="str">
            <v>--</v>
          </cell>
          <cell r="G121">
            <v>11.1656142571088</v>
          </cell>
          <cell r="H121" t="str">
            <v>--</v>
          </cell>
          <cell r="I121">
            <v>-7.2842063812281399</v>
          </cell>
          <cell r="J121">
            <v>11.492741365949801</v>
          </cell>
          <cell r="K121">
            <v>10.7002484523472</v>
          </cell>
        </row>
        <row r="122">
          <cell r="A122" t="str">
            <v>Period 6</v>
          </cell>
          <cell r="B122" t="str">
            <v>--</v>
          </cell>
          <cell r="C122">
            <v>6.1843586783195299</v>
          </cell>
          <cell r="D122" t="str">
            <v>--</v>
          </cell>
          <cell r="E122">
            <v>-0.44039043689368901</v>
          </cell>
          <cell r="F122" t="str">
            <v>--</v>
          </cell>
          <cell r="G122">
            <v>6.6247491152132199</v>
          </cell>
          <cell r="H122" t="str">
            <v>--</v>
          </cell>
          <cell r="I122">
            <v>-0.68980941521096595</v>
          </cell>
          <cell r="J122">
            <v>9.6489553850263796</v>
          </cell>
          <cell r="K122">
            <v>9.6756106212068094</v>
          </cell>
        </row>
        <row r="123">
          <cell r="A123" t="str">
            <v>Period 7</v>
          </cell>
          <cell r="B123" t="str">
            <v>--</v>
          </cell>
          <cell r="C123">
            <v>7.6185009152694096</v>
          </cell>
          <cell r="D123" t="str">
            <v>--</v>
          </cell>
          <cell r="E123">
            <v>1.5077043971796</v>
          </cell>
          <cell r="F123" t="str">
            <v>--</v>
          </cell>
          <cell r="G123">
            <v>6.1107965180898196</v>
          </cell>
          <cell r="H123" t="str">
            <v>--</v>
          </cell>
          <cell r="I123">
            <v>1.94449218775346</v>
          </cell>
          <cell r="J123">
            <v>9.1507065698654593</v>
          </cell>
          <cell r="K123">
            <v>9.4806638349070607</v>
          </cell>
        </row>
        <row r="124">
          <cell r="A124" t="str">
            <v>Period 8</v>
          </cell>
          <cell r="B124" t="str">
            <v>--</v>
          </cell>
          <cell r="C124">
            <v>7.9924970285058903</v>
          </cell>
          <cell r="D124" t="str">
            <v>--</v>
          </cell>
          <cell r="E124">
            <v>2.49800015524991</v>
          </cell>
          <cell r="F124" t="str">
            <v>--</v>
          </cell>
          <cell r="G124">
            <v>5.49449687325599</v>
          </cell>
          <cell r="H124" t="str">
            <v>--</v>
          </cell>
          <cell r="I124">
            <v>0.36570920071575203</v>
          </cell>
          <cell r="J124">
            <v>8.9990153893484699</v>
          </cell>
          <cell r="K124">
            <v>9.4006633249762608</v>
          </cell>
        </row>
        <row r="125">
          <cell r="A125" t="str">
            <v>Period 9</v>
          </cell>
          <cell r="B125" t="str">
            <v>--</v>
          </cell>
          <cell r="C125">
            <v>4.7726691498863199</v>
          </cell>
          <cell r="D125" t="str">
            <v>--</v>
          </cell>
          <cell r="E125">
            <v>-1.2627142297042</v>
          </cell>
          <cell r="F125" t="str">
            <v>--</v>
          </cell>
          <cell r="G125">
            <v>6.0353833795905203</v>
          </cell>
          <cell r="H125" t="str">
            <v>--</v>
          </cell>
          <cell r="I125">
            <v>-5.3870185168502003</v>
          </cell>
          <cell r="J125">
            <v>9.5629980718606493</v>
          </cell>
          <cell r="K125">
            <v>9.5635217968628794</v>
          </cell>
        </row>
        <row r="126">
          <cell r="A126" t="str">
            <v>Period 10</v>
          </cell>
          <cell r="B126" t="str">
            <v>--</v>
          </cell>
          <cell r="C126" t="str">
            <v>--</v>
          </cell>
          <cell r="D126" t="str">
            <v>--</v>
          </cell>
          <cell r="E126" t="str">
            <v>--</v>
          </cell>
          <cell r="F126" t="str">
            <v>--</v>
          </cell>
          <cell r="G126" t="str">
            <v>--</v>
          </cell>
          <cell r="H126" t="str">
            <v>--</v>
          </cell>
          <cell r="I126" t="str">
            <v>--</v>
          </cell>
          <cell r="J126" t="str">
            <v>--</v>
          </cell>
          <cell r="K126" t="str">
            <v>--</v>
          </cell>
        </row>
        <row r="127">
          <cell r="A127" t="str">
            <v>Period 11</v>
          </cell>
          <cell r="B127" t="str">
            <v>--</v>
          </cell>
          <cell r="C127" t="str">
            <v>--</v>
          </cell>
          <cell r="D127" t="str">
            <v>--</v>
          </cell>
          <cell r="E127" t="str">
            <v>--</v>
          </cell>
          <cell r="F127" t="str">
            <v>--</v>
          </cell>
          <cell r="G127" t="str">
            <v>--</v>
          </cell>
          <cell r="H127" t="str">
            <v>--</v>
          </cell>
          <cell r="I127" t="str">
            <v>--</v>
          </cell>
          <cell r="J127" t="str">
            <v>--</v>
          </cell>
          <cell r="K127" t="str">
            <v>--</v>
          </cell>
        </row>
        <row r="128">
          <cell r="A128" t="str">
            <v>Period 12</v>
          </cell>
          <cell r="B128" t="str">
            <v>--</v>
          </cell>
          <cell r="C128" t="str">
            <v>--</v>
          </cell>
          <cell r="D128" t="str">
            <v>--</v>
          </cell>
          <cell r="E128" t="str">
            <v>--</v>
          </cell>
          <cell r="F128" t="str">
            <v>--</v>
          </cell>
          <cell r="G128" t="str">
            <v>--</v>
          </cell>
          <cell r="H128" t="str">
            <v>--</v>
          </cell>
          <cell r="I128" t="str">
            <v>--</v>
          </cell>
          <cell r="J128" t="str">
            <v>--</v>
          </cell>
          <cell r="K128" t="str">
            <v>--</v>
          </cell>
        </row>
        <row r="129">
          <cell r="A129" t="str">
            <v>Period 13</v>
          </cell>
          <cell r="B129" t="str">
            <v>--</v>
          </cell>
          <cell r="C129" t="str">
            <v>--</v>
          </cell>
          <cell r="D129" t="str">
            <v>--</v>
          </cell>
          <cell r="E129" t="str">
            <v>--</v>
          </cell>
          <cell r="F129" t="str">
            <v>--</v>
          </cell>
          <cell r="G129" t="str">
            <v>--</v>
          </cell>
          <cell r="H129" t="str">
            <v>--</v>
          </cell>
          <cell r="I129" t="str">
            <v>--</v>
          </cell>
          <cell r="J129" t="str">
            <v>--</v>
          </cell>
          <cell r="K129" t="str">
            <v>--</v>
          </cell>
        </row>
        <row r="131">
          <cell r="B131" t="str">
            <v>PRIVATE LABEL RTS WET SOUP</v>
          </cell>
        </row>
        <row r="132">
          <cell r="B132" t="str">
            <v>Yr/Yr % Change</v>
          </cell>
        </row>
        <row r="133">
          <cell r="B133" t="str">
            <v>Sales</v>
          </cell>
          <cell r="D133" t="str">
            <v>Volume</v>
          </cell>
          <cell r="F133" t="str">
            <v>Price/Mix</v>
          </cell>
          <cell r="H133" t="str">
            <v>$ Merchandising</v>
          </cell>
          <cell r="J133" t="str">
            <v>$ Share</v>
          </cell>
        </row>
        <row r="134">
          <cell r="A134" t="str">
            <v>Date</v>
          </cell>
          <cell r="B134">
            <v>2005</v>
          </cell>
          <cell r="C134">
            <v>2006</v>
          </cell>
          <cell r="D134">
            <v>2005</v>
          </cell>
          <cell r="E134">
            <v>2006</v>
          </cell>
          <cell r="F134">
            <v>2005</v>
          </cell>
          <cell r="G134">
            <v>2006</v>
          </cell>
          <cell r="H134">
            <v>2005</v>
          </cell>
          <cell r="I134">
            <v>2006</v>
          </cell>
          <cell r="J134">
            <v>2005</v>
          </cell>
          <cell r="K134">
            <v>2006</v>
          </cell>
        </row>
        <row r="135">
          <cell r="A135" t="str">
            <v>Period 1</v>
          </cell>
          <cell r="B135" t="str">
            <v>--</v>
          </cell>
          <cell r="C135" t="str">
            <v>--</v>
          </cell>
          <cell r="D135" t="str">
            <v>--</v>
          </cell>
          <cell r="E135" t="str">
            <v>--</v>
          </cell>
          <cell r="F135" t="str">
            <v>--</v>
          </cell>
          <cell r="G135" t="str">
            <v>--</v>
          </cell>
          <cell r="H135" t="str">
            <v>--</v>
          </cell>
          <cell r="I135" t="str">
            <v>--</v>
          </cell>
          <cell r="J135" t="str">
            <v>--</v>
          </cell>
          <cell r="K135" t="str">
            <v>--</v>
          </cell>
        </row>
        <row r="136">
          <cell r="A136" t="str">
            <v>Period 2</v>
          </cell>
          <cell r="B136" t="str">
            <v>--</v>
          </cell>
          <cell r="C136" t="str">
            <v>--</v>
          </cell>
          <cell r="D136" t="str">
            <v>--</v>
          </cell>
          <cell r="E136" t="str">
            <v>--</v>
          </cell>
          <cell r="F136" t="str">
            <v>--</v>
          </cell>
          <cell r="G136" t="str">
            <v>--</v>
          </cell>
          <cell r="H136" t="str">
            <v>--</v>
          </cell>
          <cell r="I136" t="str">
            <v>--</v>
          </cell>
          <cell r="J136" t="str">
            <v>--</v>
          </cell>
          <cell r="K136">
            <v>1.6683466467241801</v>
          </cell>
        </row>
        <row r="137">
          <cell r="A137" t="str">
            <v>Period 3</v>
          </cell>
          <cell r="B137" t="str">
            <v>--</v>
          </cell>
          <cell r="C137">
            <v>17.763484470894401</v>
          </cell>
          <cell r="D137" t="str">
            <v>--</v>
          </cell>
          <cell r="E137">
            <v>10.8153956561393</v>
          </cell>
          <cell r="F137" t="str">
            <v>--</v>
          </cell>
          <cell r="G137">
            <v>6.9480888147550299</v>
          </cell>
          <cell r="H137" t="str">
            <v>--</v>
          </cell>
          <cell r="I137">
            <v>-3.4304209620625401</v>
          </cell>
          <cell r="J137">
            <v>1.4180994240073901</v>
          </cell>
          <cell r="K137">
            <v>1.6753401712460301</v>
          </cell>
        </row>
        <row r="138">
          <cell r="A138" t="str">
            <v>Period 4</v>
          </cell>
          <cell r="B138" t="str">
            <v>--</v>
          </cell>
          <cell r="C138">
            <v>26.921785478181199</v>
          </cell>
          <cell r="D138" t="str">
            <v>--</v>
          </cell>
          <cell r="E138">
            <v>22.236055168836899</v>
          </cell>
          <cell r="F138" t="str">
            <v>--</v>
          </cell>
          <cell r="G138">
            <v>4.6857303093443496</v>
          </cell>
          <cell r="H138" t="str">
            <v>--</v>
          </cell>
          <cell r="I138">
            <v>-0.76481211184397302</v>
          </cell>
          <cell r="J138">
            <v>1.5496373748404999</v>
          </cell>
          <cell r="K138">
            <v>1.87973151392432</v>
          </cell>
        </row>
        <row r="139">
          <cell r="A139" t="str">
            <v>Period 5</v>
          </cell>
          <cell r="B139" t="str">
            <v>--</v>
          </cell>
          <cell r="C139">
            <v>27.384888157097201</v>
          </cell>
          <cell r="D139" t="str">
            <v>--</v>
          </cell>
          <cell r="E139">
            <v>24.655385587191699</v>
          </cell>
          <cell r="F139" t="str">
            <v>--</v>
          </cell>
          <cell r="G139">
            <v>2.7295025699054798</v>
          </cell>
          <cell r="H139" t="str">
            <v>--</v>
          </cell>
          <cell r="I139">
            <v>0.28748882201183801</v>
          </cell>
          <cell r="J139">
            <v>1.73521602029799</v>
          </cell>
          <cell r="K139">
            <v>2.0895161489967302</v>
          </cell>
        </row>
        <row r="140">
          <cell r="A140" t="str">
            <v>Period 6</v>
          </cell>
          <cell r="B140" t="str">
            <v>--</v>
          </cell>
          <cell r="C140">
            <v>24.236236227749298</v>
          </cell>
          <cell r="D140" t="str">
            <v>--</v>
          </cell>
          <cell r="E140">
            <v>21.9939745948985</v>
          </cell>
          <cell r="F140" t="str">
            <v>--</v>
          </cell>
          <cell r="G140">
            <v>2.2422616328507301</v>
          </cell>
          <cell r="H140" t="str">
            <v>--</v>
          </cell>
          <cell r="I140">
            <v>-0.94026962929215296</v>
          </cell>
          <cell r="J140">
            <v>1.8748088083026</v>
          </cell>
          <cell r="K140">
            <v>2.19959542144937</v>
          </cell>
        </row>
        <row r="141">
          <cell r="A141" t="str">
            <v>Period 7</v>
          </cell>
          <cell r="B141" t="str">
            <v>--</v>
          </cell>
          <cell r="C141">
            <v>25.331536921792701</v>
          </cell>
          <cell r="D141" t="str">
            <v>--</v>
          </cell>
          <cell r="E141">
            <v>22.692539427180101</v>
          </cell>
          <cell r="F141" t="str">
            <v>--</v>
          </cell>
          <cell r="G141">
            <v>2.6389974946126702</v>
          </cell>
          <cell r="H141" t="str">
            <v>--</v>
          </cell>
          <cell r="I141">
            <v>-1.00590846238291</v>
          </cell>
          <cell r="J141">
            <v>1.83849106661703</v>
          </cell>
          <cell r="K141">
            <v>2.2182938208540199</v>
          </cell>
        </row>
        <row r="142">
          <cell r="A142" t="str">
            <v>Period 8</v>
          </cell>
          <cell r="B142" t="str">
            <v>--</v>
          </cell>
          <cell r="C142">
            <v>21.835932968365899</v>
          </cell>
          <cell r="D142" t="str">
            <v>--</v>
          </cell>
          <cell r="E142">
            <v>16.344952067940401</v>
          </cell>
          <cell r="F142" t="str">
            <v>--</v>
          </cell>
          <cell r="G142">
            <v>5.4909809004255603</v>
          </cell>
          <cell r="H142" t="str">
            <v>--</v>
          </cell>
          <cell r="I142">
            <v>-3.9030340352197301</v>
          </cell>
          <cell r="J142">
            <v>1.8195871987894701</v>
          </cell>
          <cell r="K142">
            <v>2.1444611737844199</v>
          </cell>
        </row>
        <row r="143">
          <cell r="A143" t="str">
            <v>Period 9</v>
          </cell>
          <cell r="B143" t="str">
            <v>--</v>
          </cell>
          <cell r="C143">
            <v>38.307844126328398</v>
          </cell>
          <cell r="D143" t="str">
            <v>--</v>
          </cell>
          <cell r="E143">
            <v>43.0474626845361</v>
          </cell>
          <cell r="F143" t="str">
            <v>--</v>
          </cell>
          <cell r="G143">
            <v>-4.7396185582077504</v>
          </cell>
          <cell r="H143" t="str">
            <v>--</v>
          </cell>
          <cell r="I143">
            <v>5.1389051153799103</v>
          </cell>
          <cell r="J143">
            <v>1.73478060075882</v>
          </cell>
          <cell r="K143">
            <v>2.29016695888969</v>
          </cell>
        </row>
        <row r="144">
          <cell r="A144" t="str">
            <v>Period 10</v>
          </cell>
          <cell r="B144" t="str">
            <v>--</v>
          </cell>
          <cell r="C144" t="str">
            <v>--</v>
          </cell>
          <cell r="D144" t="str">
            <v>--</v>
          </cell>
          <cell r="E144" t="str">
            <v>--</v>
          </cell>
          <cell r="F144" t="str">
            <v>--</v>
          </cell>
          <cell r="G144" t="str">
            <v>--</v>
          </cell>
          <cell r="H144" t="str">
            <v>--</v>
          </cell>
          <cell r="I144" t="str">
            <v>--</v>
          </cell>
          <cell r="J144" t="str">
            <v>--</v>
          </cell>
          <cell r="K144" t="str">
            <v>--</v>
          </cell>
        </row>
        <row r="145">
          <cell r="A145" t="str">
            <v>Period 11</v>
          </cell>
          <cell r="B145" t="str">
            <v>--</v>
          </cell>
          <cell r="C145" t="str">
            <v>--</v>
          </cell>
          <cell r="D145" t="str">
            <v>--</v>
          </cell>
          <cell r="E145" t="str">
            <v>--</v>
          </cell>
          <cell r="F145" t="str">
            <v>--</v>
          </cell>
          <cell r="G145" t="str">
            <v>--</v>
          </cell>
          <cell r="H145" t="str">
            <v>--</v>
          </cell>
          <cell r="I145" t="str">
            <v>--</v>
          </cell>
          <cell r="J145" t="str">
            <v>--</v>
          </cell>
          <cell r="K145" t="str">
            <v>--</v>
          </cell>
        </row>
        <row r="146">
          <cell r="A146" t="str">
            <v>Period 12</v>
          </cell>
          <cell r="B146" t="str">
            <v>--</v>
          </cell>
          <cell r="C146" t="str">
            <v>--</v>
          </cell>
          <cell r="D146" t="str">
            <v>--</v>
          </cell>
          <cell r="E146" t="str">
            <v>--</v>
          </cell>
          <cell r="F146" t="str">
            <v>--</v>
          </cell>
          <cell r="G146" t="str">
            <v>--</v>
          </cell>
          <cell r="H146" t="str">
            <v>--</v>
          </cell>
          <cell r="I146" t="str">
            <v>--</v>
          </cell>
          <cell r="J146" t="str">
            <v>--</v>
          </cell>
          <cell r="K146" t="str">
            <v>--</v>
          </cell>
        </row>
        <row r="147">
          <cell r="A147" t="str">
            <v>Period 13</v>
          </cell>
          <cell r="B147" t="str">
            <v>--</v>
          </cell>
          <cell r="C147" t="str">
            <v>--</v>
          </cell>
          <cell r="D147" t="str">
            <v>--</v>
          </cell>
          <cell r="E147" t="str">
            <v>--</v>
          </cell>
          <cell r="F147" t="str">
            <v>--</v>
          </cell>
          <cell r="G147" t="str">
            <v>--</v>
          </cell>
          <cell r="H147" t="str">
            <v>--</v>
          </cell>
          <cell r="I147" t="str">
            <v>--</v>
          </cell>
          <cell r="J147" t="str">
            <v>--</v>
          </cell>
          <cell r="K147" t="str">
            <v>--</v>
          </cell>
        </row>
        <row r="149">
          <cell r="A149" t="str">
            <v>CATEGORY - SOUP - Historical Statistics - 52 Week Data - TOTAL U.S. - FD / DG / MM</v>
          </cell>
        </row>
        <row r="151">
          <cell r="B151" t="str">
            <v>Category</v>
          </cell>
        </row>
        <row r="152">
          <cell r="B152" t="str">
            <v>Yr/Yr % Change</v>
          </cell>
        </row>
        <row r="153">
          <cell r="B153" t="str">
            <v>Sales</v>
          </cell>
          <cell r="D153" t="str">
            <v>Volume</v>
          </cell>
          <cell r="F153" t="str">
            <v>Price/Mix</v>
          </cell>
          <cell r="H153" t="str">
            <v>$ Merchandising</v>
          </cell>
        </row>
        <row r="154">
          <cell r="A154" t="str">
            <v>Date</v>
          </cell>
          <cell r="B154">
            <v>2005</v>
          </cell>
          <cell r="C154">
            <v>2006</v>
          </cell>
          <cell r="D154">
            <v>2005</v>
          </cell>
          <cell r="E154">
            <v>2006</v>
          </cell>
          <cell r="F154">
            <v>2005</v>
          </cell>
          <cell r="G154">
            <v>2006</v>
          </cell>
          <cell r="H154">
            <v>2005</v>
          </cell>
          <cell r="I154">
            <v>2006</v>
          </cell>
        </row>
        <row r="155">
          <cell r="A155" t="str">
            <v>Period 1</v>
          </cell>
          <cell r="B155" t="str">
            <v>--</v>
          </cell>
          <cell r="C155" t="str">
            <v>--</v>
          </cell>
          <cell r="D155" t="str">
            <v>--</v>
          </cell>
          <cell r="E155" t="str">
            <v>--</v>
          </cell>
          <cell r="F155" t="str">
            <v>--</v>
          </cell>
          <cell r="G155" t="str">
            <v>--</v>
          </cell>
          <cell r="H155" t="str">
            <v>--</v>
          </cell>
          <cell r="I155" t="str">
            <v>--</v>
          </cell>
        </row>
        <row r="156">
          <cell r="A156" t="str">
            <v>Period 2</v>
          </cell>
          <cell r="B156" t="str">
            <v>--</v>
          </cell>
          <cell r="C156" t="str">
            <v>--</v>
          </cell>
          <cell r="D156" t="str">
            <v>--</v>
          </cell>
          <cell r="E156" t="str">
            <v>--</v>
          </cell>
          <cell r="F156" t="str">
            <v>--</v>
          </cell>
          <cell r="G156" t="str">
            <v>--</v>
          </cell>
          <cell r="H156" t="str">
            <v>--</v>
          </cell>
          <cell r="I156" t="str">
            <v>--</v>
          </cell>
        </row>
        <row r="157">
          <cell r="A157" t="str">
            <v>Period 3</v>
          </cell>
          <cell r="B157" t="str">
            <v>--</v>
          </cell>
          <cell r="C157">
            <v>-2.0771216536239999E-2</v>
          </cell>
          <cell r="D157" t="str">
            <v>--</v>
          </cell>
          <cell r="E157">
            <v>-6.03797361155807</v>
          </cell>
          <cell r="F157" t="str">
            <v>--</v>
          </cell>
          <cell r="G157">
            <v>6.0172023950218296</v>
          </cell>
          <cell r="H157" t="str">
            <v>--</v>
          </cell>
          <cell r="I157">
            <v>-2.0687200271988102</v>
          </cell>
        </row>
        <row r="158">
          <cell r="A158" t="str">
            <v>Period 4</v>
          </cell>
          <cell r="B158" t="str">
            <v>--</v>
          </cell>
          <cell r="C158">
            <v>0.56911021203485002</v>
          </cell>
          <cell r="D158" t="str">
            <v>--</v>
          </cell>
          <cell r="E158">
            <v>-5.0203453344889004</v>
          </cell>
          <cell r="F158" t="str">
            <v>--</v>
          </cell>
          <cell r="G158">
            <v>5.5894555465237499</v>
          </cell>
          <cell r="H158" t="str">
            <v>--</v>
          </cell>
          <cell r="I158">
            <v>-1.2325408960831601</v>
          </cell>
        </row>
        <row r="159">
          <cell r="A159" t="str">
            <v>Period 5</v>
          </cell>
          <cell r="B159" t="str">
            <v>--</v>
          </cell>
          <cell r="C159">
            <v>0.39048339454308401</v>
          </cell>
          <cell r="D159" t="str">
            <v>--</v>
          </cell>
          <cell r="E159">
            <v>-5.1222477339885604</v>
          </cell>
          <cell r="F159" t="str">
            <v>--</v>
          </cell>
          <cell r="G159">
            <v>5.51273112853164</v>
          </cell>
          <cell r="H159" t="str">
            <v>--</v>
          </cell>
          <cell r="I159">
            <v>-0.83459315828599001</v>
          </cell>
        </row>
        <row r="160">
          <cell r="A160" t="str">
            <v>Period 6</v>
          </cell>
          <cell r="B160" t="str">
            <v>--</v>
          </cell>
          <cell r="C160">
            <v>0.61051984286572403</v>
          </cell>
          <cell r="D160" t="str">
            <v>--</v>
          </cell>
          <cell r="E160">
            <v>-4.7947446867926304</v>
          </cell>
          <cell r="F160" t="str">
            <v>--</v>
          </cell>
          <cell r="G160">
            <v>5.4052645296583499</v>
          </cell>
          <cell r="H160" t="str">
            <v>--</v>
          </cell>
          <cell r="I160">
            <v>-0.56060697943574</v>
          </cell>
        </row>
        <row r="161">
          <cell r="A161" t="str">
            <v>Period 7</v>
          </cell>
          <cell r="B161" t="str">
            <v>--</v>
          </cell>
          <cell r="C161">
            <v>0.78161798889229495</v>
          </cell>
          <cell r="D161" t="str">
            <v>--</v>
          </cell>
          <cell r="E161">
            <v>-4.6428058351958796</v>
          </cell>
          <cell r="F161" t="str">
            <v>--</v>
          </cell>
          <cell r="G161">
            <v>5.4244238240881799</v>
          </cell>
          <cell r="H161" t="str">
            <v>--</v>
          </cell>
          <cell r="I161">
            <v>-0.60848252945385894</v>
          </cell>
        </row>
        <row r="162">
          <cell r="A162" t="str">
            <v>Period 8</v>
          </cell>
          <cell r="B162" t="str">
            <v>--</v>
          </cell>
          <cell r="C162">
            <v>1.2057828310047001</v>
          </cell>
          <cell r="D162" t="str">
            <v>--</v>
          </cell>
          <cell r="E162">
            <v>-4.2229884754785303</v>
          </cell>
          <cell r="F162" t="str">
            <v>--</v>
          </cell>
          <cell r="G162">
            <v>5.4287713064832301</v>
          </cell>
          <cell r="H162" t="str">
            <v>--</v>
          </cell>
          <cell r="I162">
            <v>-0.45437656952203298</v>
          </cell>
        </row>
        <row r="163">
          <cell r="A163" t="str">
            <v>Period 9</v>
          </cell>
          <cell r="B163" t="str">
            <v>--</v>
          </cell>
          <cell r="C163">
            <v>2.0578515163347499</v>
          </cell>
          <cell r="D163" t="str">
            <v>--</v>
          </cell>
          <cell r="E163">
            <v>-3.1145631429480298</v>
          </cell>
          <cell r="F163" t="str">
            <v>--</v>
          </cell>
          <cell r="G163">
            <v>5.1724146592827802</v>
          </cell>
          <cell r="H163" t="str">
            <v>--</v>
          </cell>
          <cell r="I163">
            <v>8.2526846331770001E-3</v>
          </cell>
        </row>
        <row r="164">
          <cell r="A164" t="str">
            <v>Period 10</v>
          </cell>
          <cell r="B164" t="str">
            <v>--</v>
          </cell>
          <cell r="C164" t="str">
            <v>--</v>
          </cell>
          <cell r="D164" t="str">
            <v>--</v>
          </cell>
          <cell r="E164" t="str">
            <v>--</v>
          </cell>
          <cell r="F164" t="str">
            <v>--</v>
          </cell>
          <cell r="G164" t="str">
            <v>--</v>
          </cell>
          <cell r="H164" t="str">
            <v>--</v>
          </cell>
          <cell r="I164" t="str">
            <v>--</v>
          </cell>
        </row>
        <row r="165">
          <cell r="A165" t="str">
            <v>Period 11</v>
          </cell>
          <cell r="B165" t="str">
            <v>--</v>
          </cell>
          <cell r="C165" t="str">
            <v>--</v>
          </cell>
          <cell r="D165" t="str">
            <v>--</v>
          </cell>
          <cell r="E165" t="str">
            <v>--</v>
          </cell>
          <cell r="F165" t="str">
            <v>--</v>
          </cell>
          <cell r="G165" t="str">
            <v>--</v>
          </cell>
          <cell r="H165" t="str">
            <v>--</v>
          </cell>
          <cell r="I165" t="str">
            <v>--</v>
          </cell>
        </row>
        <row r="166">
          <cell r="A166" t="str">
            <v>Period 12</v>
          </cell>
          <cell r="B166" t="str">
            <v>--</v>
          </cell>
          <cell r="C166" t="str">
            <v>--</v>
          </cell>
          <cell r="D166" t="str">
            <v>--</v>
          </cell>
          <cell r="E166" t="str">
            <v>--</v>
          </cell>
          <cell r="F166" t="str">
            <v>--</v>
          </cell>
          <cell r="G166" t="str">
            <v>--</v>
          </cell>
          <cell r="H166" t="str">
            <v>--</v>
          </cell>
          <cell r="I166" t="str">
            <v>--</v>
          </cell>
        </row>
        <row r="167">
          <cell r="A167" t="str">
            <v>Period 13</v>
          </cell>
          <cell r="B167" t="str">
            <v>--</v>
          </cell>
          <cell r="C167" t="str">
            <v>--</v>
          </cell>
          <cell r="D167" t="str">
            <v>--</v>
          </cell>
          <cell r="E167" t="str">
            <v>--</v>
          </cell>
          <cell r="F167" t="str">
            <v>--</v>
          </cell>
          <cell r="G167" t="str">
            <v>--</v>
          </cell>
          <cell r="H167" t="str">
            <v>--</v>
          </cell>
          <cell r="I167" t="str">
            <v>--</v>
          </cell>
        </row>
        <row r="169">
          <cell r="B169" t="str">
            <v>CAMPBELL SOUP CO RTS WET SOUP</v>
          </cell>
        </row>
        <row r="170">
          <cell r="B170" t="str">
            <v>Yr/Yr % Change</v>
          </cell>
        </row>
        <row r="171">
          <cell r="B171" t="str">
            <v>Sales</v>
          </cell>
          <cell r="D171" t="str">
            <v>Volume</v>
          </cell>
          <cell r="F171" t="str">
            <v>Price/Mix</v>
          </cell>
          <cell r="H171" t="str">
            <v>$ Merchandising</v>
          </cell>
          <cell r="J171" t="str">
            <v>$ Share</v>
          </cell>
        </row>
        <row r="172">
          <cell r="A172" t="str">
            <v>Date</v>
          </cell>
          <cell r="B172">
            <v>2005</v>
          </cell>
          <cell r="C172">
            <v>2006</v>
          </cell>
          <cell r="D172">
            <v>2005</v>
          </cell>
          <cell r="E172">
            <v>2006</v>
          </cell>
          <cell r="F172">
            <v>2005</v>
          </cell>
          <cell r="G172">
            <v>2006</v>
          </cell>
          <cell r="H172">
            <v>2005</v>
          </cell>
          <cell r="I172">
            <v>2006</v>
          </cell>
          <cell r="J172">
            <v>2005</v>
          </cell>
          <cell r="K172">
            <v>2006</v>
          </cell>
        </row>
        <row r="173">
          <cell r="A173" t="str">
            <v>Period 1</v>
          </cell>
          <cell r="B173" t="str">
            <v>--</v>
          </cell>
          <cell r="C173" t="str">
            <v>--</v>
          </cell>
          <cell r="D173" t="str">
            <v>--</v>
          </cell>
          <cell r="E173" t="str">
            <v>--</v>
          </cell>
          <cell r="F173" t="str">
            <v>--</v>
          </cell>
          <cell r="G173" t="str">
            <v>--</v>
          </cell>
          <cell r="H173" t="str">
            <v>--</v>
          </cell>
          <cell r="I173" t="str">
            <v>--</v>
          </cell>
          <cell r="J173" t="str">
            <v>--</v>
          </cell>
          <cell r="K173">
            <v>19.759879208187801</v>
          </cell>
        </row>
        <row r="174">
          <cell r="A174" t="str">
            <v>Period 2</v>
          </cell>
          <cell r="B174" t="str">
            <v>--</v>
          </cell>
          <cell r="C174" t="str">
            <v>--</v>
          </cell>
          <cell r="D174" t="str">
            <v>--</v>
          </cell>
          <cell r="E174" t="str">
            <v>--</v>
          </cell>
          <cell r="F174" t="str">
            <v>--</v>
          </cell>
          <cell r="G174" t="str">
            <v>--</v>
          </cell>
          <cell r="H174" t="str">
            <v>--</v>
          </cell>
          <cell r="I174" t="str">
            <v>--</v>
          </cell>
          <cell r="J174" t="str">
            <v>--</v>
          </cell>
          <cell r="K174">
            <v>19.7834192633598</v>
          </cell>
        </row>
        <row r="175">
          <cell r="A175" t="str">
            <v>Period 3</v>
          </cell>
          <cell r="B175" t="str">
            <v>--</v>
          </cell>
          <cell r="C175">
            <v>-8.5035245410913003</v>
          </cell>
          <cell r="D175" t="str">
            <v>--</v>
          </cell>
          <cell r="E175">
            <v>-19.176452370953399</v>
          </cell>
          <cell r="F175" t="str">
            <v>--</v>
          </cell>
          <cell r="G175">
            <v>10.6729278298621</v>
          </cell>
          <cell r="H175" t="str">
            <v>--</v>
          </cell>
          <cell r="I175">
            <v>-2.9068487157126999</v>
          </cell>
          <cell r="J175">
            <v>21.8668896621081</v>
          </cell>
          <cell r="K175">
            <v>20.011589984005301</v>
          </cell>
        </row>
        <row r="176">
          <cell r="A176" t="str">
            <v>Period 4</v>
          </cell>
          <cell r="B176" t="str">
            <v>--</v>
          </cell>
          <cell r="C176">
            <v>-7.2732395745593097</v>
          </cell>
          <cell r="D176" t="str">
            <v>--</v>
          </cell>
          <cell r="E176">
            <v>-17.586224803913801</v>
          </cell>
          <cell r="F176" t="str">
            <v>--</v>
          </cell>
          <cell r="G176">
            <v>10.312985229354499</v>
          </cell>
          <cell r="H176" t="str">
            <v>--</v>
          </cell>
          <cell r="I176">
            <v>-2.1001656346013999</v>
          </cell>
          <cell r="J176">
            <v>21.720012070977699</v>
          </cell>
          <cell r="K176">
            <v>20.0262918852216</v>
          </cell>
        </row>
        <row r="177">
          <cell r="A177" t="str">
            <v>Period 5</v>
          </cell>
          <cell r="B177" t="str">
            <v>--</v>
          </cell>
          <cell r="C177">
            <v>-6.6761003592577097</v>
          </cell>
          <cell r="D177" t="str">
            <v>--</v>
          </cell>
          <cell r="E177">
            <v>-16.756629011038999</v>
          </cell>
          <cell r="F177" t="str">
            <v>--</v>
          </cell>
          <cell r="G177">
            <v>10.080528651781201</v>
          </cell>
          <cell r="H177" t="str">
            <v>--</v>
          </cell>
          <cell r="I177">
            <v>-1.3655133925105101</v>
          </cell>
          <cell r="J177">
            <v>21.529365589839699</v>
          </cell>
          <cell r="K177">
            <v>20.013892609110201</v>
          </cell>
        </row>
        <row r="178">
          <cell r="A178" t="str">
            <v>Period 6</v>
          </cell>
          <cell r="B178" t="str">
            <v>--</v>
          </cell>
          <cell r="C178">
            <v>-5.8004991628772098</v>
          </cell>
          <cell r="D178" t="str">
            <v>--</v>
          </cell>
          <cell r="E178">
            <v>-15.5931882791219</v>
          </cell>
          <cell r="F178" t="str">
            <v>--</v>
          </cell>
          <cell r="G178">
            <v>9.7926891162447092</v>
          </cell>
          <cell r="H178" t="str">
            <v>--</v>
          </cell>
          <cell r="I178">
            <v>-0.780803057951033</v>
          </cell>
          <cell r="J178">
            <v>21.353155135999099</v>
          </cell>
          <cell r="K178">
            <v>19.9925073267713</v>
          </cell>
        </row>
        <row r="179">
          <cell r="A179" t="str">
            <v>Period 7</v>
          </cell>
          <cell r="B179" t="str">
            <v>--</v>
          </cell>
          <cell r="C179">
            <v>-5.2169737309320903</v>
          </cell>
          <cell r="D179" t="str">
            <v>--</v>
          </cell>
          <cell r="E179">
            <v>-15.018410345641801</v>
          </cell>
          <cell r="F179" t="str">
            <v>--</v>
          </cell>
          <cell r="G179">
            <v>9.8014366147097594</v>
          </cell>
          <cell r="H179" t="str">
            <v>--</v>
          </cell>
          <cell r="I179">
            <v>-0.80373849576385903</v>
          </cell>
          <cell r="J179">
            <v>21.2371730985341</v>
          </cell>
          <cell r="K179">
            <v>19.973121843518602</v>
          </cell>
        </row>
        <row r="180">
          <cell r="A180" t="str">
            <v>Period 8</v>
          </cell>
          <cell r="B180" t="str">
            <v>--</v>
          </cell>
          <cell r="C180">
            <v>-4.2413515745180401</v>
          </cell>
          <cell r="D180" t="str">
            <v>--</v>
          </cell>
          <cell r="E180">
            <v>-13.9454130172187</v>
          </cell>
          <cell r="F180" t="str">
            <v>--</v>
          </cell>
          <cell r="G180">
            <v>9.70406144270064</v>
          </cell>
          <cell r="H180" t="str">
            <v>--</v>
          </cell>
          <cell r="I180">
            <v>-0.46519085145497702</v>
          </cell>
          <cell r="J180">
            <v>21.1014575594394</v>
          </cell>
          <cell r="K180">
            <v>19.965727245781</v>
          </cell>
        </row>
        <row r="181">
          <cell r="A181" t="str">
            <v>Period 9</v>
          </cell>
          <cell r="B181" t="str">
            <v>--</v>
          </cell>
          <cell r="C181">
            <v>-2.1625602785870099</v>
          </cell>
          <cell r="D181" t="str">
            <v>--</v>
          </cell>
          <cell r="E181">
            <v>-11.0036032118597</v>
          </cell>
          <cell r="F181" t="str">
            <v>--</v>
          </cell>
          <cell r="G181">
            <v>8.8410429332727407</v>
          </cell>
          <cell r="H181" t="str">
            <v>--</v>
          </cell>
          <cell r="I181">
            <v>0.62980109356755798</v>
          </cell>
          <cell r="J181">
            <v>20.837853461813602</v>
          </cell>
          <cell r="K181">
            <v>19.976142959148198</v>
          </cell>
        </row>
        <row r="182">
          <cell r="A182" t="str">
            <v>Period 10</v>
          </cell>
          <cell r="B182" t="str">
            <v>--</v>
          </cell>
          <cell r="C182" t="str">
            <v>--</v>
          </cell>
          <cell r="D182" t="str">
            <v>--</v>
          </cell>
          <cell r="E182" t="str">
            <v>--</v>
          </cell>
          <cell r="F182" t="str">
            <v>--</v>
          </cell>
          <cell r="G182" t="str">
            <v>--</v>
          </cell>
          <cell r="H182" t="str">
            <v>--</v>
          </cell>
          <cell r="I182" t="str">
            <v>--</v>
          </cell>
          <cell r="J182">
            <v>20.3699595737029</v>
          </cell>
          <cell r="K182" t="str">
            <v>--</v>
          </cell>
        </row>
        <row r="183">
          <cell r="A183" t="str">
            <v>Period 11</v>
          </cell>
          <cell r="B183" t="str">
            <v>--</v>
          </cell>
          <cell r="C183" t="str">
            <v>--</v>
          </cell>
          <cell r="D183" t="str">
            <v>--</v>
          </cell>
          <cell r="E183" t="str">
            <v>--</v>
          </cell>
          <cell r="F183" t="str">
            <v>--</v>
          </cell>
          <cell r="G183" t="str">
            <v>--</v>
          </cell>
          <cell r="H183" t="str">
            <v>--</v>
          </cell>
          <cell r="I183" t="str">
            <v>--</v>
          </cell>
          <cell r="J183">
            <v>20.071485366583001</v>
          </cell>
          <cell r="K183" t="str">
            <v>--</v>
          </cell>
        </row>
        <row r="184">
          <cell r="A184" t="str">
            <v>Period 12</v>
          </cell>
          <cell r="B184" t="str">
            <v>--</v>
          </cell>
          <cell r="C184" t="str">
            <v>--</v>
          </cell>
          <cell r="D184" t="str">
            <v>--</v>
          </cell>
          <cell r="E184" t="str">
            <v>--</v>
          </cell>
          <cell r="F184" t="str">
            <v>--</v>
          </cell>
          <cell r="G184" t="str">
            <v>--</v>
          </cell>
          <cell r="H184" t="str">
            <v>--</v>
          </cell>
          <cell r="I184" t="str">
            <v>--</v>
          </cell>
          <cell r="J184">
            <v>19.8774080710999</v>
          </cell>
          <cell r="K184" t="str">
            <v>--</v>
          </cell>
        </row>
        <row r="185">
          <cell r="A185" t="str">
            <v>Period 13</v>
          </cell>
          <cell r="B185" t="str">
            <v>--</v>
          </cell>
          <cell r="C185" t="str">
            <v>--</v>
          </cell>
          <cell r="D185" t="str">
            <v>--</v>
          </cell>
          <cell r="E185" t="str">
            <v>--</v>
          </cell>
          <cell r="F185" t="str">
            <v>--</v>
          </cell>
          <cell r="G185" t="str">
            <v>--</v>
          </cell>
          <cell r="H185" t="str">
            <v>--</v>
          </cell>
          <cell r="I185" t="str">
            <v>--</v>
          </cell>
          <cell r="J185">
            <v>19.975841616547601</v>
          </cell>
          <cell r="K185" t="str">
            <v>--</v>
          </cell>
        </row>
        <row r="187">
          <cell r="B187" t="str">
            <v>GENERAL MILLS RTS WET SOUP</v>
          </cell>
        </row>
        <row r="188">
          <cell r="B188" t="str">
            <v>Yr/Yr % Change</v>
          </cell>
        </row>
        <row r="189">
          <cell r="B189" t="str">
            <v>Sales</v>
          </cell>
          <cell r="D189" t="str">
            <v>Volume</v>
          </cell>
          <cell r="F189" t="str">
            <v>Price/Mix</v>
          </cell>
          <cell r="H189" t="str">
            <v>$ Merchandising</v>
          </cell>
          <cell r="J189" t="str">
            <v>$ Share</v>
          </cell>
        </row>
        <row r="190">
          <cell r="A190" t="str">
            <v>Date</v>
          </cell>
          <cell r="B190">
            <v>2005</v>
          </cell>
          <cell r="C190">
            <v>2006</v>
          </cell>
          <cell r="D190">
            <v>2005</v>
          </cell>
          <cell r="E190">
            <v>2006</v>
          </cell>
          <cell r="F190">
            <v>2005</v>
          </cell>
          <cell r="G190">
            <v>2006</v>
          </cell>
          <cell r="H190">
            <v>2005</v>
          </cell>
          <cell r="I190">
            <v>2006</v>
          </cell>
          <cell r="J190">
            <v>2005</v>
          </cell>
          <cell r="K190">
            <v>2006</v>
          </cell>
        </row>
        <row r="191">
          <cell r="A191" t="str">
            <v>Period 1</v>
          </cell>
          <cell r="B191" t="str">
            <v>--</v>
          </cell>
          <cell r="C191" t="str">
            <v>--</v>
          </cell>
          <cell r="D191" t="str">
            <v>--</v>
          </cell>
          <cell r="E191" t="str">
            <v>--</v>
          </cell>
          <cell r="F191" t="str">
            <v>--</v>
          </cell>
          <cell r="G191" t="str">
            <v>--</v>
          </cell>
          <cell r="H191" t="str">
            <v>--</v>
          </cell>
          <cell r="I191" t="str">
            <v>--</v>
          </cell>
          <cell r="J191" t="str">
            <v>--</v>
          </cell>
          <cell r="K191">
            <v>12.470587782298299</v>
          </cell>
        </row>
        <row r="192">
          <cell r="A192" t="str">
            <v>Period 2</v>
          </cell>
          <cell r="B192" t="str">
            <v>--</v>
          </cell>
          <cell r="C192" t="str">
            <v>--</v>
          </cell>
          <cell r="D192" t="str">
            <v>--</v>
          </cell>
          <cell r="E192" t="str">
            <v>--</v>
          </cell>
          <cell r="F192" t="str">
            <v>--</v>
          </cell>
          <cell r="G192" t="str">
            <v>--</v>
          </cell>
          <cell r="H192" t="str">
            <v>--</v>
          </cell>
          <cell r="I192" t="str">
            <v>--</v>
          </cell>
          <cell r="J192" t="str">
            <v>--</v>
          </cell>
          <cell r="K192">
            <v>12.4555152935539</v>
          </cell>
        </row>
        <row r="193">
          <cell r="A193" t="str">
            <v>Period 3</v>
          </cell>
          <cell r="B193" t="str">
            <v>--</v>
          </cell>
          <cell r="C193">
            <v>6.7093404640854999</v>
          </cell>
          <cell r="D193" t="str">
            <v>--</v>
          </cell>
          <cell r="E193">
            <v>0.322008816598509</v>
          </cell>
          <cell r="F193" t="str">
            <v>--</v>
          </cell>
          <cell r="G193">
            <v>6.3873316474869899</v>
          </cell>
          <cell r="H193" t="str">
            <v>--</v>
          </cell>
          <cell r="I193">
            <v>-4.42147051836029</v>
          </cell>
          <cell r="J193">
            <v>11.5583017212693</v>
          </cell>
          <cell r="K193">
            <v>12.3363499455754</v>
          </cell>
        </row>
        <row r="194">
          <cell r="A194" t="str">
            <v>Period 4</v>
          </cell>
          <cell r="B194" t="str">
            <v>--</v>
          </cell>
          <cell r="C194">
            <v>5.6641855828560601</v>
          </cell>
          <cell r="D194" t="str">
            <v>--</v>
          </cell>
          <cell r="E194">
            <v>-0.59632670860786097</v>
          </cell>
          <cell r="F194" t="str">
            <v>--</v>
          </cell>
          <cell r="G194">
            <v>6.2605122914639297</v>
          </cell>
          <cell r="H194" t="str">
            <v>--</v>
          </cell>
          <cell r="I194">
            <v>-4.2948128565312702</v>
          </cell>
          <cell r="J194">
            <v>11.693548497417</v>
          </cell>
          <cell r="K194">
            <v>12.285972063868799</v>
          </cell>
        </row>
        <row r="195">
          <cell r="A195" t="str">
            <v>Period 5</v>
          </cell>
          <cell r="B195" t="str">
            <v>--</v>
          </cell>
          <cell r="C195">
            <v>4.7086106996064601</v>
          </cell>
          <cell r="D195" t="str">
            <v>--</v>
          </cell>
          <cell r="E195">
            <v>-1.34061613531716</v>
          </cell>
          <cell r="F195" t="str">
            <v>--</v>
          </cell>
          <cell r="G195">
            <v>6.04922683492362</v>
          </cell>
          <cell r="H195" t="str">
            <v>--</v>
          </cell>
          <cell r="I195">
            <v>-3.7264195758972698</v>
          </cell>
          <cell r="J195">
            <v>11.7724865697244</v>
          </cell>
          <cell r="K195">
            <v>12.278860221751099</v>
          </cell>
        </row>
        <row r="196">
          <cell r="A196" t="str">
            <v>Period 6</v>
          </cell>
          <cell r="B196" t="str">
            <v>--</v>
          </cell>
          <cell r="C196">
            <v>4.7565418831657702</v>
          </cell>
          <cell r="D196" t="str">
            <v>--</v>
          </cell>
          <cell r="E196">
            <v>-0.97830880674592602</v>
          </cell>
          <cell r="F196" t="str">
            <v>--</v>
          </cell>
          <cell r="G196">
            <v>5.7348506899116902</v>
          </cell>
          <cell r="H196" t="str">
            <v>--</v>
          </cell>
          <cell r="I196">
            <v>-2.9864815325128902</v>
          </cell>
          <cell r="J196">
            <v>11.8273112062442</v>
          </cell>
          <cell r="K196">
            <v>12.314698539250401</v>
          </cell>
        </row>
        <row r="197">
          <cell r="A197" t="str">
            <v>Period 7</v>
          </cell>
          <cell r="B197" t="str">
            <v>--</v>
          </cell>
          <cell r="C197">
            <v>4.3300284309075101</v>
          </cell>
          <cell r="D197" t="str">
            <v>--</v>
          </cell>
          <cell r="E197">
            <v>-1.3390831445898099</v>
          </cell>
          <cell r="F197" t="str">
            <v>--</v>
          </cell>
          <cell r="G197">
            <v>5.66911157549732</v>
          </cell>
          <cell r="H197" t="str">
            <v>--</v>
          </cell>
          <cell r="I197">
            <v>-2.7780793592403401</v>
          </cell>
          <cell r="J197">
            <v>11.899195133928201</v>
          </cell>
          <cell r="K197">
            <v>12.3181527683399</v>
          </cell>
        </row>
        <row r="198">
          <cell r="A198" t="str">
            <v>Period 8</v>
          </cell>
          <cell r="B198" t="str">
            <v>--</v>
          </cell>
          <cell r="C198">
            <v>4.2969833488929998</v>
          </cell>
          <cell r="D198" t="str">
            <v>--</v>
          </cell>
          <cell r="E198">
            <v>-1.4532035360202999</v>
          </cell>
          <cell r="F198" t="str">
            <v>--</v>
          </cell>
          <cell r="G198">
            <v>5.7501868849133002</v>
          </cell>
          <cell r="H198" t="str">
            <v>--</v>
          </cell>
          <cell r="I198">
            <v>-3.0363136304529701</v>
          </cell>
          <cell r="J198">
            <v>11.9572752107588</v>
          </cell>
          <cell r="K198">
            <v>12.3224948087905</v>
          </cell>
        </row>
        <row r="199">
          <cell r="A199" t="str">
            <v>Period 9</v>
          </cell>
          <cell r="B199" t="str">
            <v>--</v>
          </cell>
          <cell r="C199">
            <v>4.6506723110490302</v>
          </cell>
          <cell r="D199" t="str">
            <v>--</v>
          </cell>
          <cell r="E199">
            <v>-1.1124916529753199</v>
          </cell>
          <cell r="F199" t="str">
            <v>--</v>
          </cell>
          <cell r="G199">
            <v>5.7631639640243497</v>
          </cell>
          <cell r="H199" t="str">
            <v>--</v>
          </cell>
          <cell r="I199">
            <v>-3.10052732447165</v>
          </cell>
          <cell r="J199">
            <v>11.9899017574342</v>
          </cell>
          <cell r="K199">
            <v>12.2945100373594</v>
          </cell>
        </row>
        <row r="200">
          <cell r="A200" t="str">
            <v>Period 10</v>
          </cell>
          <cell r="B200" t="str">
            <v>--</v>
          </cell>
          <cell r="C200" t="str">
            <v>--</v>
          </cell>
          <cell r="D200" t="str">
            <v>--</v>
          </cell>
          <cell r="E200" t="str">
            <v>--</v>
          </cell>
          <cell r="F200" t="str">
            <v>--</v>
          </cell>
          <cell r="G200" t="str">
            <v>--</v>
          </cell>
          <cell r="H200" t="str">
            <v>--</v>
          </cell>
          <cell r="I200" t="str">
            <v>--</v>
          </cell>
          <cell r="J200">
            <v>12.0960772853938</v>
          </cell>
          <cell r="K200" t="str">
            <v>--</v>
          </cell>
        </row>
        <row r="201">
          <cell r="A201" t="str">
            <v>Period 11</v>
          </cell>
          <cell r="B201" t="str">
            <v>--</v>
          </cell>
          <cell r="C201" t="str">
            <v>--</v>
          </cell>
          <cell r="D201" t="str">
            <v>--</v>
          </cell>
          <cell r="E201" t="str">
            <v>--</v>
          </cell>
          <cell r="F201" t="str">
            <v>--</v>
          </cell>
          <cell r="G201" t="str">
            <v>--</v>
          </cell>
          <cell r="H201" t="str">
            <v>--</v>
          </cell>
          <cell r="I201" t="str">
            <v>--</v>
          </cell>
          <cell r="J201">
            <v>12.216066702577301</v>
          </cell>
          <cell r="K201" t="str">
            <v>--</v>
          </cell>
        </row>
        <row r="202">
          <cell r="A202" t="str">
            <v>Period 12</v>
          </cell>
          <cell r="B202" t="str">
            <v>--</v>
          </cell>
          <cell r="C202" t="str">
            <v>--</v>
          </cell>
          <cell r="D202" t="str">
            <v>--</v>
          </cell>
          <cell r="E202" t="str">
            <v>--</v>
          </cell>
          <cell r="F202" t="str">
            <v>--</v>
          </cell>
          <cell r="G202" t="str">
            <v>--</v>
          </cell>
          <cell r="H202" t="str">
            <v>--</v>
          </cell>
          <cell r="I202" t="str">
            <v>--</v>
          </cell>
          <cell r="J202">
            <v>12.4042788470533</v>
          </cell>
          <cell r="K202" t="str">
            <v>--</v>
          </cell>
        </row>
        <row r="203">
          <cell r="A203" t="str">
            <v>Period 13</v>
          </cell>
          <cell r="B203" t="str">
            <v>--</v>
          </cell>
          <cell r="C203" t="str">
            <v>--</v>
          </cell>
          <cell r="D203" t="str">
            <v>--</v>
          </cell>
          <cell r="E203" t="str">
            <v>--</v>
          </cell>
          <cell r="F203" t="str">
            <v>--</v>
          </cell>
          <cell r="G203" t="str">
            <v>--</v>
          </cell>
          <cell r="H203" t="str">
            <v>--</v>
          </cell>
          <cell r="I203" t="str">
            <v>--</v>
          </cell>
          <cell r="J203">
            <v>12.3798007860852</v>
          </cell>
          <cell r="K203" t="str">
            <v>--</v>
          </cell>
        </row>
        <row r="205">
          <cell r="B205" t="str">
            <v>PRIVATE LABEL RTS WET SOUP</v>
          </cell>
        </row>
        <row r="206">
          <cell r="B206" t="str">
            <v>Yr/Yr % Change</v>
          </cell>
        </row>
        <row r="207">
          <cell r="B207" t="str">
            <v>Sales</v>
          </cell>
          <cell r="D207" t="str">
            <v>Volume</v>
          </cell>
          <cell r="F207" t="str">
            <v>Price/Mix</v>
          </cell>
          <cell r="H207" t="str">
            <v>$ Merchandising</v>
          </cell>
          <cell r="J207" t="str">
            <v>$ Share</v>
          </cell>
        </row>
        <row r="208">
          <cell r="A208" t="str">
            <v>Date</v>
          </cell>
          <cell r="B208">
            <v>2005</v>
          </cell>
          <cell r="C208">
            <v>2006</v>
          </cell>
          <cell r="D208">
            <v>2005</v>
          </cell>
          <cell r="E208">
            <v>2006</v>
          </cell>
          <cell r="F208">
            <v>2005</v>
          </cell>
          <cell r="G208">
            <v>2006</v>
          </cell>
          <cell r="H208">
            <v>2005</v>
          </cell>
          <cell r="I208">
            <v>2006</v>
          </cell>
          <cell r="J208">
            <v>2005</v>
          </cell>
          <cell r="K208">
            <v>2006</v>
          </cell>
        </row>
        <row r="209">
          <cell r="A209" t="str">
            <v>Period 1</v>
          </cell>
          <cell r="B209" t="str">
            <v>--</v>
          </cell>
          <cell r="C209" t="str">
            <v>--</v>
          </cell>
          <cell r="D209" t="str">
            <v>--</v>
          </cell>
          <cell r="E209" t="str">
            <v>--</v>
          </cell>
          <cell r="F209" t="str">
            <v>--</v>
          </cell>
          <cell r="G209" t="str">
            <v>--</v>
          </cell>
          <cell r="H209" t="str">
            <v>--</v>
          </cell>
          <cell r="I209" t="str">
            <v>--</v>
          </cell>
          <cell r="J209" t="str">
            <v>--</v>
          </cell>
          <cell r="K209">
            <v>1.6875169661078699</v>
          </cell>
        </row>
        <row r="210">
          <cell r="A210" t="str">
            <v>Period 2</v>
          </cell>
          <cell r="B210" t="str">
            <v>--</v>
          </cell>
          <cell r="C210" t="str">
            <v>--</v>
          </cell>
          <cell r="D210" t="str">
            <v>--</v>
          </cell>
          <cell r="E210" t="str">
            <v>--</v>
          </cell>
          <cell r="F210" t="str">
            <v>--</v>
          </cell>
          <cell r="G210" t="str">
            <v>--</v>
          </cell>
          <cell r="H210" t="str">
            <v>--</v>
          </cell>
          <cell r="I210" t="str">
            <v>--</v>
          </cell>
          <cell r="J210" t="str">
            <v>--</v>
          </cell>
          <cell r="K210">
            <v>1.70748021138066</v>
          </cell>
        </row>
        <row r="211">
          <cell r="A211" t="str">
            <v>Period 3</v>
          </cell>
          <cell r="B211" t="str">
            <v>--</v>
          </cell>
          <cell r="C211">
            <v>32.489519761342997</v>
          </cell>
          <cell r="D211" t="str">
            <v>--</v>
          </cell>
          <cell r="E211">
            <v>33.503290937446998</v>
          </cell>
          <cell r="F211" t="str">
            <v>--</v>
          </cell>
          <cell r="G211">
            <v>-1.01377117610399</v>
          </cell>
          <cell r="H211" t="str">
            <v>--</v>
          </cell>
          <cell r="I211">
            <v>3.0571728226186901</v>
          </cell>
          <cell r="J211">
            <v>1.31496056101155</v>
          </cell>
          <cell r="K211">
            <v>1.74254688052107</v>
          </cell>
        </row>
        <row r="212">
          <cell r="A212" t="str">
            <v>Period 4</v>
          </cell>
          <cell r="B212" t="str">
            <v>--</v>
          </cell>
          <cell r="C212">
            <v>31.750179805965701</v>
          </cell>
          <cell r="D212" t="str">
            <v>--</v>
          </cell>
          <cell r="E212">
            <v>31.9065520810233</v>
          </cell>
          <cell r="F212" t="str">
            <v>--</v>
          </cell>
          <cell r="G212">
            <v>-0.15637227505763099</v>
          </cell>
          <cell r="H212" t="str">
            <v>--</v>
          </cell>
          <cell r="I212">
            <v>2.4941807133395701</v>
          </cell>
          <cell r="J212">
            <v>1.34879276286473</v>
          </cell>
          <cell r="K212">
            <v>1.7669808219815299</v>
          </cell>
        </row>
        <row r="213">
          <cell r="A213" t="str">
            <v>Period 5</v>
          </cell>
          <cell r="B213" t="str">
            <v>--</v>
          </cell>
          <cell r="C213">
            <v>29.1633195734527</v>
          </cell>
          <cell r="D213" t="str">
            <v>--</v>
          </cell>
          <cell r="E213">
            <v>28.682804288432799</v>
          </cell>
          <cell r="F213" t="str">
            <v>--</v>
          </cell>
          <cell r="G213">
            <v>0.48051528501986601</v>
          </cell>
          <cell r="H213" t="str">
            <v>--</v>
          </cell>
          <cell r="I213">
            <v>2.1020934135688898</v>
          </cell>
          <cell r="J213">
            <v>1.3849226586921299</v>
          </cell>
          <cell r="K213">
            <v>1.7818542345906301</v>
          </cell>
        </row>
        <row r="214">
          <cell r="A214" t="str">
            <v>Period 6</v>
          </cell>
          <cell r="B214" t="str">
            <v>--</v>
          </cell>
          <cell r="C214">
            <v>29.296297885737701</v>
          </cell>
          <cell r="D214" t="str">
            <v>--</v>
          </cell>
          <cell r="E214">
            <v>29.2735921517801</v>
          </cell>
          <cell r="F214" t="str">
            <v>--</v>
          </cell>
          <cell r="G214">
            <v>2.2705733957579001E-2</v>
          </cell>
          <cell r="H214" t="str">
            <v>--</v>
          </cell>
          <cell r="I214">
            <v>2.6079929905708901</v>
          </cell>
          <cell r="J214">
            <v>1.4014866156129899</v>
          </cell>
          <cell r="K214">
            <v>1.8010743927989099</v>
          </cell>
        </row>
        <row r="215">
          <cell r="A215" t="str">
            <v>Period 7</v>
          </cell>
          <cell r="B215" t="str">
            <v>--</v>
          </cell>
          <cell r="C215">
            <v>30.315231553381299</v>
          </cell>
          <cell r="D215" t="str">
            <v>--</v>
          </cell>
          <cell r="E215">
            <v>30.2667146509792</v>
          </cell>
          <cell r="F215" t="str">
            <v>--</v>
          </cell>
          <cell r="G215">
            <v>4.8516902402074E-2</v>
          </cell>
          <cell r="H215" t="str">
            <v>--</v>
          </cell>
          <cell r="I215">
            <v>2.4264223225353199</v>
          </cell>
          <cell r="J215">
            <v>1.4131192927813301</v>
          </cell>
          <cell r="K215">
            <v>1.8272277378166899</v>
          </cell>
        </row>
        <row r="216">
          <cell r="A216" t="str">
            <v>Period 8</v>
          </cell>
          <cell r="B216" t="str">
            <v>--</v>
          </cell>
          <cell r="C216">
            <v>28.526445012150901</v>
          </cell>
          <cell r="D216" t="str">
            <v>--</v>
          </cell>
          <cell r="E216">
            <v>27.5295120085283</v>
          </cell>
          <cell r="F216" t="str">
            <v>--</v>
          </cell>
          <cell r="G216">
            <v>0.99693300362257997</v>
          </cell>
          <cell r="H216" t="str">
            <v>--</v>
          </cell>
          <cell r="I216">
            <v>0.87386531589698502</v>
          </cell>
          <cell r="J216">
            <v>1.44114098095754</v>
          </cell>
          <cell r="K216">
            <v>1.8301792828685299</v>
          </cell>
        </row>
        <row r="217">
          <cell r="A217" t="str">
            <v>Period 9</v>
          </cell>
          <cell r="B217" t="str">
            <v>--</v>
          </cell>
          <cell r="C217">
            <v>32.2235090750548</v>
          </cell>
          <cell r="D217" t="str">
            <v>--</v>
          </cell>
          <cell r="E217">
            <v>32.7792270726342</v>
          </cell>
          <cell r="F217" t="str">
            <v>--</v>
          </cell>
          <cell r="G217">
            <v>-0.55571799757939999</v>
          </cell>
          <cell r="H217" t="str">
            <v>--</v>
          </cell>
          <cell r="I217">
            <v>2.05285231155852</v>
          </cell>
          <cell r="J217">
            <v>1.4592106409941199</v>
          </cell>
          <cell r="K217">
            <v>1.8905155121849799</v>
          </cell>
        </row>
        <row r="218">
          <cell r="A218" t="str">
            <v>Period 10</v>
          </cell>
          <cell r="B218" t="str">
            <v>--</v>
          </cell>
          <cell r="C218" t="str">
            <v>--</v>
          </cell>
          <cell r="D218" t="str">
            <v>--</v>
          </cell>
          <cell r="E218" t="str">
            <v>--</v>
          </cell>
          <cell r="F218" t="str">
            <v>--</v>
          </cell>
          <cell r="G218" t="str">
            <v>--</v>
          </cell>
          <cell r="H218" t="str">
            <v>--</v>
          </cell>
          <cell r="I218" t="str">
            <v>--</v>
          </cell>
          <cell r="J218">
            <v>1.4944297981841299</v>
          </cell>
          <cell r="K218" t="str">
            <v>--</v>
          </cell>
        </row>
        <row r="219">
          <cell r="A219" t="str">
            <v>Period 11</v>
          </cell>
          <cell r="B219" t="str">
            <v>--</v>
          </cell>
          <cell r="C219" t="str">
            <v>--</v>
          </cell>
          <cell r="D219" t="str">
            <v>--</v>
          </cell>
          <cell r="E219" t="str">
            <v>--</v>
          </cell>
          <cell r="F219" t="str">
            <v>--</v>
          </cell>
          <cell r="G219" t="str">
            <v>--</v>
          </cell>
          <cell r="H219" t="str">
            <v>--</v>
          </cell>
          <cell r="I219" t="str">
            <v>--</v>
          </cell>
          <cell r="J219">
            <v>1.5871683022387499</v>
          </cell>
          <cell r="K219" t="str">
            <v>--</v>
          </cell>
        </row>
        <row r="220">
          <cell r="A220" t="str">
            <v>Period 12</v>
          </cell>
          <cell r="B220" t="str">
            <v>--</v>
          </cell>
          <cell r="C220" t="str">
            <v>--</v>
          </cell>
          <cell r="D220" t="str">
            <v>--</v>
          </cell>
          <cell r="E220" t="str">
            <v>--</v>
          </cell>
          <cell r="F220" t="str">
            <v>--</v>
          </cell>
          <cell r="G220" t="str">
            <v>--</v>
          </cell>
          <cell r="H220" t="str">
            <v>--</v>
          </cell>
          <cell r="I220" t="str">
            <v>--</v>
          </cell>
          <cell r="J220">
            <v>1.6133867651837299</v>
          </cell>
          <cell r="K220" t="str">
            <v>--</v>
          </cell>
        </row>
        <row r="221">
          <cell r="A221" t="str">
            <v>Period 13</v>
          </cell>
          <cell r="B221" t="str">
            <v>--</v>
          </cell>
          <cell r="C221" t="str">
            <v>--</v>
          </cell>
          <cell r="D221" t="str">
            <v>--</v>
          </cell>
          <cell r="E221" t="str">
            <v>--</v>
          </cell>
          <cell r="F221" t="str">
            <v>--</v>
          </cell>
          <cell r="G221" t="str">
            <v>--</v>
          </cell>
          <cell r="H221" t="str">
            <v>--</v>
          </cell>
          <cell r="I221" t="str">
            <v>--</v>
          </cell>
          <cell r="J221">
            <v>1.66880249822923</v>
          </cell>
          <cell r="K221" t="str">
            <v>--</v>
          </cell>
        </row>
      </sheetData>
      <sheetData sheetId="34" refreshError="1">
        <row r="1">
          <cell r="A1" t="str">
            <v>CATEGORY - SOUP - Historical Statistics - 4 Week Data - TOTAL U.S. - FD / DG / MM</v>
          </cell>
        </row>
        <row r="3">
          <cell r="B3" t="str">
            <v>Category</v>
          </cell>
        </row>
        <row r="4">
          <cell r="B4" t="str">
            <v>Yr/Yr % Change</v>
          </cell>
        </row>
        <row r="5">
          <cell r="B5" t="str">
            <v>Sales</v>
          </cell>
          <cell r="E5" t="str">
            <v>Volume</v>
          </cell>
          <cell r="H5" t="str">
            <v>Price/Mix</v>
          </cell>
          <cell r="K5" t="str">
            <v>$ Merchandising</v>
          </cell>
        </row>
        <row r="6">
          <cell r="A6" t="str">
            <v>Date</v>
          </cell>
          <cell r="B6">
            <v>2004</v>
          </cell>
          <cell r="C6">
            <v>2005</v>
          </cell>
          <cell r="D6">
            <v>2006</v>
          </cell>
          <cell r="E6">
            <v>2004</v>
          </cell>
          <cell r="F6">
            <v>2005</v>
          </cell>
          <cell r="G6">
            <v>2006</v>
          </cell>
          <cell r="H6">
            <v>2004</v>
          </cell>
          <cell r="I6">
            <v>2005</v>
          </cell>
          <cell r="J6">
            <v>2006</v>
          </cell>
          <cell r="K6">
            <v>2004</v>
          </cell>
          <cell r="L6">
            <v>2005</v>
          </cell>
          <cell r="M6">
            <v>2006</v>
          </cell>
        </row>
        <row r="7">
          <cell r="A7" t="str">
            <v>Period 1</v>
          </cell>
          <cell r="B7" t="str">
            <v>--</v>
          </cell>
          <cell r="C7" t="str">
            <v>--</v>
          </cell>
          <cell r="D7">
            <v>-5.6102684052731799</v>
          </cell>
          <cell r="E7" t="str">
            <v>--</v>
          </cell>
          <cell r="F7" t="str">
            <v>--</v>
          </cell>
          <cell r="G7">
            <v>-11.4366047287283</v>
          </cell>
          <cell r="H7" t="str">
            <v>--</v>
          </cell>
          <cell r="I7" t="str">
            <v>--</v>
          </cell>
          <cell r="J7">
            <v>5.8263363234551004</v>
          </cell>
          <cell r="K7" t="str">
            <v>--</v>
          </cell>
          <cell r="L7" t="str">
            <v>--</v>
          </cell>
          <cell r="M7">
            <v>2.2610048134831602</v>
          </cell>
        </row>
        <row r="8">
          <cell r="A8" t="str">
            <v>Period 2</v>
          </cell>
          <cell r="B8" t="str">
            <v>--</v>
          </cell>
          <cell r="C8" t="str">
            <v>--</v>
          </cell>
          <cell r="D8">
            <v>1.7110973727202601</v>
          </cell>
          <cell r="E8" t="str">
            <v>--</v>
          </cell>
          <cell r="F8" t="str">
            <v>--</v>
          </cell>
          <cell r="G8">
            <v>-4.3733857787858499</v>
          </cell>
          <cell r="H8" t="str">
            <v>--</v>
          </cell>
          <cell r="I8" t="str">
            <v>--</v>
          </cell>
          <cell r="J8">
            <v>6.0844831515061104</v>
          </cell>
          <cell r="K8" t="str">
            <v>--</v>
          </cell>
          <cell r="L8" t="str">
            <v>--</v>
          </cell>
          <cell r="M8">
            <v>-0.90915780992876405</v>
          </cell>
        </row>
        <row r="9">
          <cell r="A9" t="str">
            <v>Period 3</v>
          </cell>
          <cell r="B9" t="str">
            <v>--</v>
          </cell>
          <cell r="C9">
            <v>9.5957378501710107</v>
          </cell>
          <cell r="D9">
            <v>4.7572705719916399</v>
          </cell>
          <cell r="E9" t="str">
            <v>--</v>
          </cell>
          <cell r="F9">
            <v>5.8183725419312804</v>
          </cell>
          <cell r="G9">
            <v>-0.25025354054213</v>
          </cell>
          <cell r="H9" t="str">
            <v>--</v>
          </cell>
          <cell r="I9">
            <v>3.7773653082397298</v>
          </cell>
          <cell r="J9">
            <v>5.0075241125337699</v>
          </cell>
          <cell r="K9" t="str">
            <v>--</v>
          </cell>
          <cell r="L9">
            <v>-3.7778861653301901</v>
          </cell>
          <cell r="M9">
            <v>1.33961453670978</v>
          </cell>
        </row>
        <row r="10">
          <cell r="A10" t="str">
            <v>Period 4</v>
          </cell>
          <cell r="B10" t="str">
            <v>--</v>
          </cell>
          <cell r="C10">
            <v>-0.63862503903550905</v>
          </cell>
          <cell r="D10">
            <v>8.8846162529845394</v>
          </cell>
          <cell r="E10" t="str">
            <v>--</v>
          </cell>
          <cell r="F10">
            <v>-8.9794750740177705</v>
          </cell>
          <cell r="G10">
            <v>9.1167256492072202</v>
          </cell>
          <cell r="H10" t="str">
            <v>--</v>
          </cell>
          <cell r="I10">
            <v>8.3408500349822603</v>
          </cell>
          <cell r="J10">
            <v>-0.23210939622267701</v>
          </cell>
          <cell r="K10" t="str">
            <v>--</v>
          </cell>
          <cell r="L10">
            <v>-9.0704097503405698</v>
          </cell>
          <cell r="M10">
            <v>5.0326611345064798</v>
          </cell>
        </row>
        <row r="11">
          <cell r="A11" t="str">
            <v>Period 5</v>
          </cell>
          <cell r="B11" t="str">
            <v>--</v>
          </cell>
          <cell r="C11">
            <v>7.5004958395927597</v>
          </cell>
          <cell r="D11">
            <v>3.69265750646719</v>
          </cell>
          <cell r="E11" t="str">
            <v>--</v>
          </cell>
          <cell r="F11">
            <v>1.50202720815316</v>
          </cell>
          <cell r="G11">
            <v>-0.71683978297094697</v>
          </cell>
          <cell r="H11" t="str">
            <v>--</v>
          </cell>
          <cell r="I11">
            <v>5.9984686314396001</v>
          </cell>
          <cell r="J11">
            <v>4.4094972894381304</v>
          </cell>
          <cell r="K11" t="str">
            <v>--</v>
          </cell>
          <cell r="L11">
            <v>-5.6432205566325502</v>
          </cell>
          <cell r="M11">
            <v>1.10581502697807</v>
          </cell>
        </row>
        <row r="12">
          <cell r="A12" t="str">
            <v>Period 6</v>
          </cell>
          <cell r="B12" t="str">
            <v>--</v>
          </cell>
          <cell r="C12">
            <v>-9.6092995817960002E-3</v>
          </cell>
          <cell r="D12">
            <v>4.4722664835057602</v>
          </cell>
          <cell r="E12" t="str">
            <v>--</v>
          </cell>
          <cell r="F12">
            <v>-6.6256573914651202</v>
          </cell>
          <cell r="G12">
            <v>0.86048167723965696</v>
          </cell>
          <cell r="H12" t="str">
            <v>--</v>
          </cell>
          <cell r="I12">
            <v>6.6160480918833304</v>
          </cell>
          <cell r="J12">
            <v>3.6117848062661002</v>
          </cell>
          <cell r="K12" t="str">
            <v>--</v>
          </cell>
          <cell r="L12">
            <v>-5.8021808382397699</v>
          </cell>
          <cell r="M12">
            <v>0.56283982051463599</v>
          </cell>
        </row>
        <row r="13">
          <cell r="A13" t="str">
            <v>Period 7</v>
          </cell>
          <cell r="B13" t="str">
            <v>--</v>
          </cell>
          <cell r="C13">
            <v>-0.24558821500351799</v>
          </cell>
          <cell r="D13">
            <v>3.45729468569633</v>
          </cell>
          <cell r="E13" t="str">
            <v>--</v>
          </cell>
          <cell r="F13">
            <v>-4.5390489973406201</v>
          </cell>
          <cell r="G13">
            <v>-0.81936947285720296</v>
          </cell>
          <cell r="H13" t="str">
            <v>--</v>
          </cell>
          <cell r="I13">
            <v>4.2934607823370996</v>
          </cell>
          <cell r="J13">
            <v>4.2766641585535403</v>
          </cell>
          <cell r="K13" t="str">
            <v>--</v>
          </cell>
          <cell r="L13">
            <v>-0.85580227148086196</v>
          </cell>
          <cell r="M13">
            <v>-1.21507114603294</v>
          </cell>
        </row>
        <row r="14">
          <cell r="A14" t="str">
            <v>Period 8</v>
          </cell>
          <cell r="B14" t="str">
            <v>--</v>
          </cell>
          <cell r="C14">
            <v>-5.9302669596837401</v>
          </cell>
          <cell r="D14">
            <v>2.2163140001846999</v>
          </cell>
          <cell r="E14" t="str">
            <v>--</v>
          </cell>
          <cell r="F14">
            <v>-10.6284779035011</v>
          </cell>
          <cell r="G14">
            <v>-2.1534908889348698</v>
          </cell>
          <cell r="H14" t="str">
            <v>--</v>
          </cell>
          <cell r="I14">
            <v>4.6982109438173199</v>
          </cell>
          <cell r="J14">
            <v>4.3698048891195604</v>
          </cell>
          <cell r="K14" t="str">
            <v>--</v>
          </cell>
          <cell r="L14">
            <v>-4.4171008918998496</v>
          </cell>
          <cell r="M14">
            <v>-0.30715501090429598</v>
          </cell>
        </row>
        <row r="15">
          <cell r="A15" t="str">
            <v>Period 9</v>
          </cell>
          <cell r="B15" t="str">
            <v>--</v>
          </cell>
          <cell r="C15">
            <v>-5.6201272816749697</v>
          </cell>
          <cell r="D15">
            <v>7.8142750646440398</v>
          </cell>
          <cell r="E15" t="str">
            <v>--</v>
          </cell>
          <cell r="F15">
            <v>-12.1036965424552</v>
          </cell>
          <cell r="G15">
            <v>6.2090544657929296</v>
          </cell>
          <cell r="H15" t="str">
            <v>--</v>
          </cell>
          <cell r="I15">
            <v>6.48356926078025</v>
          </cell>
          <cell r="J15">
            <v>1.6052205988511099</v>
          </cell>
          <cell r="K15" t="str">
            <v>--</v>
          </cell>
          <cell r="L15">
            <v>-5.2845043964706102</v>
          </cell>
          <cell r="M15">
            <v>2.4927875245363502</v>
          </cell>
        </row>
        <row r="16">
          <cell r="A16" t="str">
            <v>Period 10</v>
          </cell>
          <cell r="B16" t="str">
            <v>--</v>
          </cell>
          <cell r="C16">
            <v>-5.2449180204320598</v>
          </cell>
          <cell r="D16" t="str">
            <v>--</v>
          </cell>
          <cell r="E16" t="str">
            <v>--</v>
          </cell>
          <cell r="F16">
            <v>-12.314815291373</v>
          </cell>
          <cell r="G16" t="str">
            <v>--</v>
          </cell>
          <cell r="H16" t="str">
            <v>--</v>
          </cell>
          <cell r="I16">
            <v>7.0698972709409</v>
          </cell>
          <cell r="J16" t="str">
            <v>--</v>
          </cell>
          <cell r="K16" t="str">
            <v>--</v>
          </cell>
          <cell r="L16">
            <v>-2.5376680252224602</v>
          </cell>
          <cell r="M16" t="str">
            <v>--</v>
          </cell>
        </row>
        <row r="17">
          <cell r="A17" t="str">
            <v>Period 11</v>
          </cell>
          <cell r="B17" t="str">
            <v>--</v>
          </cell>
          <cell r="C17">
            <v>-0.46095943086775398</v>
          </cell>
          <cell r="D17" t="str">
            <v>--</v>
          </cell>
          <cell r="E17" t="str">
            <v>--</v>
          </cell>
          <cell r="F17">
            <v>-7.3148061753788403</v>
          </cell>
          <cell r="G17" t="str">
            <v>--</v>
          </cell>
          <cell r="H17" t="str">
            <v>--</v>
          </cell>
          <cell r="I17">
            <v>6.85384674451109</v>
          </cell>
          <cell r="J17" t="str">
            <v>--</v>
          </cell>
          <cell r="K17" t="str">
            <v>--</v>
          </cell>
          <cell r="L17">
            <v>-1.5799664885639999</v>
          </cell>
          <cell r="M17" t="str">
            <v>--</v>
          </cell>
        </row>
        <row r="18">
          <cell r="A18" t="str">
            <v>Period 12</v>
          </cell>
          <cell r="B18" t="str">
            <v>--</v>
          </cell>
          <cell r="C18">
            <v>2.2270816520573899</v>
          </cell>
          <cell r="D18" t="str">
            <v>--</v>
          </cell>
          <cell r="E18" t="str">
            <v>--</v>
          </cell>
          <cell r="F18">
            <v>-3.29080996636569</v>
          </cell>
          <cell r="G18" t="str">
            <v>--</v>
          </cell>
          <cell r="H18" t="str">
            <v>--</v>
          </cell>
          <cell r="I18">
            <v>5.5178916184230804</v>
          </cell>
          <cell r="J18" t="str">
            <v>--</v>
          </cell>
          <cell r="K18" t="str">
            <v>--</v>
          </cell>
          <cell r="L18">
            <v>-2.6695283734625601</v>
          </cell>
          <cell r="M18" t="str">
            <v>--</v>
          </cell>
        </row>
        <row r="19">
          <cell r="A19" t="str">
            <v>Period 13</v>
          </cell>
          <cell r="B19" t="str">
            <v>--</v>
          </cell>
          <cell r="C19">
            <v>6.9027325052673296</v>
          </cell>
          <cell r="D19" t="str">
            <v>--</v>
          </cell>
          <cell r="E19" t="str">
            <v>--</v>
          </cell>
          <cell r="F19">
            <v>2.2802356228532399</v>
          </cell>
          <cell r="G19" t="str">
            <v>--</v>
          </cell>
          <cell r="H19" t="str">
            <v>--</v>
          </cell>
          <cell r="I19">
            <v>4.6224968824140902</v>
          </cell>
          <cell r="J19" t="str">
            <v>--</v>
          </cell>
          <cell r="K19" t="str">
            <v>--</v>
          </cell>
          <cell r="L19">
            <v>1.1158795550037399</v>
          </cell>
          <cell r="M19" t="str">
            <v>--</v>
          </cell>
        </row>
        <row r="21">
          <cell r="B21" t="str">
            <v>CAMPBELL SOUP CO CONDENSED WET SOUP</v>
          </cell>
        </row>
        <row r="22">
          <cell r="B22" t="str">
            <v>Yr/Yr % Change</v>
          </cell>
        </row>
        <row r="23">
          <cell r="B23" t="str">
            <v>Sales</v>
          </cell>
          <cell r="E23" t="str">
            <v>Volume</v>
          </cell>
          <cell r="H23" t="str">
            <v>Price/Mix</v>
          </cell>
          <cell r="K23" t="str">
            <v>$ Merchandising</v>
          </cell>
          <cell r="N23" t="str">
            <v>$ Share</v>
          </cell>
        </row>
        <row r="24">
          <cell r="A24" t="str">
            <v>Date</v>
          </cell>
          <cell r="B24">
            <v>2004</v>
          </cell>
          <cell r="C24">
            <v>2005</v>
          </cell>
          <cell r="D24">
            <v>2006</v>
          </cell>
          <cell r="E24">
            <v>2004</v>
          </cell>
          <cell r="F24">
            <v>2005</v>
          </cell>
          <cell r="G24">
            <v>2006</v>
          </cell>
          <cell r="H24">
            <v>2004</v>
          </cell>
          <cell r="I24">
            <v>2005</v>
          </cell>
          <cell r="J24">
            <v>2006</v>
          </cell>
          <cell r="K24">
            <v>2004</v>
          </cell>
          <cell r="L24">
            <v>2005</v>
          </cell>
          <cell r="M24">
            <v>2006</v>
          </cell>
          <cell r="N24">
            <v>2004</v>
          </cell>
          <cell r="O24">
            <v>2005</v>
          </cell>
          <cell r="P24">
            <v>2006</v>
          </cell>
          <cell r="S24" t="str">
            <v>4 Week Sales</v>
          </cell>
          <cell r="AF24" t="str">
            <v>4 Week Price/Mix</v>
          </cell>
        </row>
        <row r="25">
          <cell r="A25" t="str">
            <v>Period 1</v>
          </cell>
          <cell r="B25" t="str">
            <v>--</v>
          </cell>
          <cell r="C25" t="str">
            <v>--</v>
          </cell>
          <cell r="D25">
            <v>-6.6261524084895704</v>
          </cell>
          <cell r="E25" t="str">
            <v>--</v>
          </cell>
          <cell r="F25" t="str">
            <v>--</v>
          </cell>
          <cell r="G25">
            <v>-12.974798497119499</v>
          </cell>
          <cell r="H25" t="str">
            <v>--</v>
          </cell>
          <cell r="I25" t="str">
            <v>--</v>
          </cell>
          <cell r="J25">
            <v>6.3486460886299598</v>
          </cell>
          <cell r="K25" t="str">
            <v>--</v>
          </cell>
          <cell r="L25" t="str">
            <v>--</v>
          </cell>
          <cell r="M25">
            <v>6.8991679250376503</v>
          </cell>
          <cell r="N25" t="str">
            <v>--</v>
          </cell>
          <cell r="O25">
            <v>25.1768637442214</v>
          </cell>
          <cell r="P25">
            <v>24.9058938760293</v>
          </cell>
        </row>
        <row r="26">
          <cell r="A26" t="str">
            <v>Period 2</v>
          </cell>
          <cell r="B26" t="str">
            <v>--</v>
          </cell>
          <cell r="C26" t="str">
            <v>--</v>
          </cell>
          <cell r="D26">
            <v>-3.00878804006329</v>
          </cell>
          <cell r="E26" t="str">
            <v>--</v>
          </cell>
          <cell r="F26" t="str">
            <v>--</v>
          </cell>
          <cell r="G26">
            <v>-10.298543977654701</v>
          </cell>
          <cell r="H26" t="str">
            <v>--</v>
          </cell>
          <cell r="I26" t="str">
            <v>--</v>
          </cell>
          <cell r="J26">
            <v>7.2897559375914502</v>
          </cell>
          <cell r="K26" t="str">
            <v>--</v>
          </cell>
          <cell r="L26" t="str">
            <v>--</v>
          </cell>
          <cell r="M26">
            <v>-1.5713566621508499</v>
          </cell>
          <cell r="N26" t="str">
            <v>--</v>
          </cell>
          <cell r="O26">
            <v>26.875166870684499</v>
          </cell>
          <cell r="P26">
            <v>25.628029524262701</v>
          </cell>
          <cell r="T26" t="str">
            <v>CPB</v>
          </cell>
          <cell r="U26" t="str">
            <v>GIS</v>
          </cell>
          <cell r="AG26" t="str">
            <v>CPB</v>
          </cell>
          <cell r="AH26" t="str">
            <v>GIS</v>
          </cell>
        </row>
        <row r="27">
          <cell r="A27" t="str">
            <v>Period 3</v>
          </cell>
          <cell r="B27" t="str">
            <v>--</v>
          </cell>
          <cell r="C27">
            <v>14.2002181408316</v>
          </cell>
          <cell r="D27">
            <v>-2.0556280987347</v>
          </cell>
          <cell r="E27" t="str">
            <v>--</v>
          </cell>
          <cell r="F27">
            <v>8.9075926840766897</v>
          </cell>
          <cell r="G27">
            <v>-8.3677078107066993</v>
          </cell>
          <cell r="H27" t="str">
            <v>--</v>
          </cell>
          <cell r="I27">
            <v>5.2926254567548598</v>
          </cell>
          <cell r="J27">
            <v>6.3120797119720002</v>
          </cell>
          <cell r="K27" t="str">
            <v>--</v>
          </cell>
          <cell r="L27">
            <v>-1.2248967267109001</v>
          </cell>
          <cell r="M27">
            <v>0.44062594801598098</v>
          </cell>
          <cell r="N27">
            <v>27.210492859469301</v>
          </cell>
          <cell r="O27">
            <v>28.353695875647499</v>
          </cell>
          <cell r="P27">
            <v>26.509710671693298</v>
          </cell>
          <cell r="S27" t="str">
            <v>Period 3-05</v>
          </cell>
          <cell r="T27">
            <v>14.2002181408316</v>
          </cell>
          <cell r="U27">
            <v>15.8460410725644</v>
          </cell>
          <cell r="AF27" t="str">
            <v>Period 3-05</v>
          </cell>
          <cell r="AG27">
            <v>5.2926254567548598</v>
          </cell>
          <cell r="AH27">
            <v>-2.8464662975884898</v>
          </cell>
        </row>
        <row r="28">
          <cell r="A28" t="str">
            <v>Period 4</v>
          </cell>
          <cell r="B28" t="str">
            <v>--</v>
          </cell>
          <cell r="C28">
            <v>-6.7250638263414002</v>
          </cell>
          <cell r="D28">
            <v>10.721599668442799</v>
          </cell>
          <cell r="E28" t="str">
            <v>--</v>
          </cell>
          <cell r="F28">
            <v>-16.378228919588</v>
          </cell>
          <cell r="G28">
            <v>7.8519957680171997</v>
          </cell>
          <cell r="H28" t="str">
            <v>--</v>
          </cell>
          <cell r="I28">
            <v>9.6531650932466508</v>
          </cell>
          <cell r="J28">
            <v>2.8696039004255902</v>
          </cell>
          <cell r="K28" t="str">
            <v>--</v>
          </cell>
          <cell r="L28">
            <v>-14.0181048820236</v>
          </cell>
          <cell r="M28">
            <v>8.5053847206230504</v>
          </cell>
          <cell r="N28">
            <v>30.160274722168701</v>
          </cell>
          <cell r="O28">
            <v>28.312789560284401</v>
          </cell>
          <cell r="P28">
            <v>28.7904523069368</v>
          </cell>
          <cell r="S28" t="str">
            <v>Period 4-05</v>
          </cell>
          <cell r="T28">
            <v>-6.7250638263414002</v>
          </cell>
          <cell r="U28">
            <v>0.55318868366135199</v>
          </cell>
          <cell r="AF28" t="str">
            <v>Period 4-05</v>
          </cell>
          <cell r="AG28">
            <v>9.6531650932466508</v>
          </cell>
          <cell r="AH28">
            <v>3.6324054266038899</v>
          </cell>
        </row>
        <row r="29">
          <cell r="A29" t="str">
            <v>Period 5</v>
          </cell>
          <cell r="B29" t="str">
            <v>--</v>
          </cell>
          <cell r="C29">
            <v>7.30201503808102</v>
          </cell>
          <cell r="D29">
            <v>2.2648426444882599</v>
          </cell>
          <cell r="E29" t="str">
            <v>--</v>
          </cell>
          <cell r="F29">
            <v>1.2426357219277799</v>
          </cell>
          <cell r="G29">
            <v>-4.6325227564187799</v>
          </cell>
          <cell r="H29" t="str">
            <v>--</v>
          </cell>
          <cell r="I29">
            <v>6.0593793161532403</v>
          </cell>
          <cell r="J29">
            <v>6.8973654009070398</v>
          </cell>
          <cell r="K29" t="str">
            <v>--</v>
          </cell>
          <cell r="L29">
            <v>-3.4476215229368399</v>
          </cell>
          <cell r="M29">
            <v>0.74676659382254595</v>
          </cell>
          <cell r="N29">
            <v>28.935277886281298</v>
          </cell>
          <cell r="O29">
            <v>28.8818539731916</v>
          </cell>
          <cell r="P29">
            <v>28.484160044459401</v>
          </cell>
          <cell r="S29" t="str">
            <v>Period 5-05</v>
          </cell>
          <cell r="T29">
            <v>7.30201503808102</v>
          </cell>
          <cell r="U29">
            <v>8.8166528937106907</v>
          </cell>
          <cell r="AF29" t="str">
            <v>Period 5-05</v>
          </cell>
          <cell r="AG29">
            <v>6.0593793161532403</v>
          </cell>
          <cell r="AH29">
            <v>4.9813498426227296</v>
          </cell>
        </row>
        <row r="30">
          <cell r="A30" t="str">
            <v>Period 6</v>
          </cell>
          <cell r="B30" t="str">
            <v>--</v>
          </cell>
          <cell r="C30">
            <v>1.92008955078865</v>
          </cell>
          <cell r="D30">
            <v>1.14891192211464</v>
          </cell>
          <cell r="E30" t="str">
            <v>--</v>
          </cell>
          <cell r="F30">
            <v>-4.4164413753657401</v>
          </cell>
          <cell r="G30">
            <v>-5.6858870004729196</v>
          </cell>
          <cell r="H30" t="str">
            <v>--</v>
          </cell>
          <cell r="I30">
            <v>6.3365309261543903</v>
          </cell>
          <cell r="J30">
            <v>6.8347989225875603</v>
          </cell>
          <cell r="K30" t="str">
            <v>--</v>
          </cell>
          <cell r="L30">
            <v>-1.7473105292566</v>
          </cell>
          <cell r="M30">
            <v>-1.06530663192523</v>
          </cell>
          <cell r="N30">
            <v>28.6974642116467</v>
          </cell>
          <cell r="O30">
            <v>29.251292067602201</v>
          </cell>
          <cell r="P30">
            <v>28.320782773685401</v>
          </cell>
          <cell r="S30" t="str">
            <v>Period 6-05</v>
          </cell>
          <cell r="T30">
            <v>1.92008955078865</v>
          </cell>
          <cell r="U30">
            <v>4.1500976376520304</v>
          </cell>
          <cell r="AF30" t="str">
            <v>Period 6-05</v>
          </cell>
          <cell r="AG30">
            <v>6.3365309261543903</v>
          </cell>
          <cell r="AH30">
            <v>4.5444103155297304</v>
          </cell>
        </row>
        <row r="31">
          <cell r="A31" t="str">
            <v>Period 7</v>
          </cell>
          <cell r="B31" t="str">
            <v>--</v>
          </cell>
          <cell r="C31">
            <v>0.100556808836334</v>
          </cell>
          <cell r="D31">
            <v>0.213407880980164</v>
          </cell>
          <cell r="E31" t="str">
            <v>--</v>
          </cell>
          <cell r="F31">
            <v>-6.2324907318146199</v>
          </cell>
          <cell r="G31">
            <v>-6.1882451976153696</v>
          </cell>
          <cell r="H31" t="str">
            <v>--</v>
          </cell>
          <cell r="I31">
            <v>6.3330475406509601</v>
          </cell>
          <cell r="J31">
            <v>6.4016530785955297</v>
          </cell>
          <cell r="K31" t="str">
            <v>--</v>
          </cell>
          <cell r="L31">
            <v>-0.45500595635280999</v>
          </cell>
          <cell r="M31">
            <v>-3.72599324117289</v>
          </cell>
          <cell r="N31">
            <v>29.340513454966899</v>
          </cell>
          <cell r="O31">
            <v>29.442324217494701</v>
          </cell>
          <cell r="P31">
            <v>28.519164885719601</v>
          </cell>
          <cell r="S31" t="str">
            <v>Period 7-05</v>
          </cell>
          <cell r="T31">
            <v>0.100556808836334</v>
          </cell>
          <cell r="U31">
            <v>-0.72399659131688798</v>
          </cell>
          <cell r="AF31" t="str">
            <v>Period 7-05</v>
          </cell>
          <cell r="AG31">
            <v>6.3330475406509601</v>
          </cell>
          <cell r="AH31">
            <v>2.59393146145801</v>
          </cell>
        </row>
        <row r="32">
          <cell r="A32" t="str">
            <v>Period 8</v>
          </cell>
          <cell r="B32" t="str">
            <v>--</v>
          </cell>
          <cell r="C32">
            <v>-9.0220382865721493</v>
          </cell>
          <cell r="D32">
            <v>0.35050469206478202</v>
          </cell>
          <cell r="E32" t="str">
            <v>--</v>
          </cell>
          <cell r="F32">
            <v>-19.279374892115001</v>
          </cell>
          <cell r="G32">
            <v>-6.3380263469906897</v>
          </cell>
          <cell r="H32" t="str">
            <v>--</v>
          </cell>
          <cell r="I32">
            <v>10.2573366055428</v>
          </cell>
          <cell r="J32">
            <v>6.6885310390554702</v>
          </cell>
          <cell r="K32" t="str">
            <v>--</v>
          </cell>
          <cell r="L32">
            <v>-11.4786025605407</v>
          </cell>
          <cell r="M32">
            <v>2.1558148216492601</v>
          </cell>
          <cell r="N32">
            <v>30.354081736045</v>
          </cell>
          <cell r="O32">
            <v>29.356440129840902</v>
          </cell>
          <cell r="P32">
            <v>28.8205812526814</v>
          </cell>
          <cell r="S32" t="str">
            <v>Period 8-05</v>
          </cell>
          <cell r="T32">
            <v>-9.0220382865721493</v>
          </cell>
          <cell r="U32">
            <v>1.2702756531530801</v>
          </cell>
          <cell r="AF32" t="str">
            <v>Period 8-05</v>
          </cell>
          <cell r="AG32">
            <v>10.2573366055428</v>
          </cell>
          <cell r="AH32">
            <v>1.7467815659953101</v>
          </cell>
        </row>
        <row r="33">
          <cell r="A33" t="str">
            <v>Period 9</v>
          </cell>
          <cell r="B33" t="str">
            <v>--</v>
          </cell>
          <cell r="C33">
            <v>-3.7258156954580399</v>
          </cell>
          <cell r="D33">
            <v>7.0217180730370998</v>
          </cell>
          <cell r="E33" t="str">
            <v>--</v>
          </cell>
          <cell r="F33">
            <v>-11.936384043296799</v>
          </cell>
          <cell r="G33">
            <v>2.82902261456245</v>
          </cell>
          <cell r="H33" t="str">
            <v>--</v>
          </cell>
          <cell r="I33">
            <v>8.2105683478387697</v>
          </cell>
          <cell r="J33">
            <v>4.1926954584746499</v>
          </cell>
          <cell r="K33" t="str">
            <v>--</v>
          </cell>
          <cell r="L33">
            <v>-6.1113518400965603</v>
          </cell>
          <cell r="M33">
            <v>8.3460875246739796</v>
          </cell>
          <cell r="N33">
            <v>27.984129261737799</v>
          </cell>
          <cell r="O33">
            <v>28.545802622422499</v>
          </cell>
          <cell r="P33">
            <v>28.3359586529123</v>
          </cell>
          <cell r="S33" t="str">
            <v>Period 9-05</v>
          </cell>
          <cell r="T33">
            <v>-3.7258156954580399</v>
          </cell>
          <cell r="U33">
            <v>7.4589315869449404</v>
          </cell>
          <cell r="AF33" t="str">
            <v>Period 9-05</v>
          </cell>
          <cell r="AG33">
            <v>8.2105683478387697</v>
          </cell>
          <cell r="AH33">
            <v>2.1762314776372702</v>
          </cell>
        </row>
        <row r="34">
          <cell r="A34" t="str">
            <v>Period 10</v>
          </cell>
          <cell r="B34" t="str">
            <v>--</v>
          </cell>
          <cell r="C34">
            <v>-3.2630323346400401</v>
          </cell>
          <cell r="D34" t="str">
            <v>--</v>
          </cell>
          <cell r="E34" t="str">
            <v>--</v>
          </cell>
          <cell r="F34">
            <v>-11.1836278517192</v>
          </cell>
          <cell r="G34" t="str">
            <v>--</v>
          </cell>
          <cell r="H34" t="str">
            <v>--</v>
          </cell>
          <cell r="I34">
            <v>7.9205955170791702</v>
          </cell>
          <cell r="J34" t="str">
            <v>--</v>
          </cell>
          <cell r="K34" t="str">
            <v>--</v>
          </cell>
          <cell r="L34">
            <v>1.6387148721273099</v>
          </cell>
          <cell r="M34" t="str">
            <v>--</v>
          </cell>
          <cell r="N34">
            <v>25.9815942698519</v>
          </cell>
          <cell r="O34">
            <v>26.5250221124723</v>
          </cell>
          <cell r="P34" t="str">
            <v>--</v>
          </cell>
          <cell r="S34" t="str">
            <v>Period 10-05</v>
          </cell>
          <cell r="T34">
            <v>-3.2630323346400401</v>
          </cell>
          <cell r="U34">
            <v>10.4133726847173</v>
          </cell>
          <cell r="AF34" t="str">
            <v>Period 10-05</v>
          </cell>
          <cell r="AG34">
            <v>7.9205955170791702</v>
          </cell>
          <cell r="AH34">
            <v>0.75665038878914004</v>
          </cell>
        </row>
        <row r="35">
          <cell r="A35" t="str">
            <v>Period 11</v>
          </cell>
          <cell r="B35" t="str">
            <v>--</v>
          </cell>
          <cell r="C35">
            <v>-0.94893935338416602</v>
          </cell>
          <cell r="D35" t="str">
            <v>--</v>
          </cell>
          <cell r="E35" t="str">
            <v>--</v>
          </cell>
          <cell r="F35">
            <v>-10.3381091374844</v>
          </cell>
          <cell r="G35" t="str">
            <v>--</v>
          </cell>
          <cell r="H35" t="str">
            <v>--</v>
          </cell>
          <cell r="I35">
            <v>9.3891697841002806</v>
          </cell>
          <cell r="J35" t="str">
            <v>--</v>
          </cell>
          <cell r="K35" t="str">
            <v>--</v>
          </cell>
          <cell r="L35">
            <v>1.5316171386702599</v>
          </cell>
          <cell r="M35" t="str">
            <v>--</v>
          </cell>
          <cell r="N35">
            <v>26.245872678563298</v>
          </cell>
          <cell r="O35">
            <v>26.117204983528001</v>
          </cell>
          <cell r="P35" t="str">
            <v>--</v>
          </cell>
          <cell r="S35" t="str">
            <v>Period 11-05</v>
          </cell>
          <cell r="T35">
            <v>-0.94893935338416602</v>
          </cell>
          <cell r="U35">
            <v>3.6786962635918901</v>
          </cell>
          <cell r="AF35" t="str">
            <v>Period 11-05</v>
          </cell>
          <cell r="AG35">
            <v>9.3891697841002806</v>
          </cell>
          <cell r="AH35">
            <v>1.5413907176713799</v>
          </cell>
        </row>
        <row r="36">
          <cell r="A36" t="str">
            <v>Period 12</v>
          </cell>
          <cell r="B36" t="str">
            <v>--</v>
          </cell>
          <cell r="C36">
            <v>-1.1289195150490601</v>
          </cell>
          <cell r="D36" t="str">
            <v>--</v>
          </cell>
          <cell r="E36" t="str">
            <v>--</v>
          </cell>
          <cell r="F36">
            <v>-8.2455439792430294</v>
          </cell>
          <cell r="G36" t="str">
            <v>--</v>
          </cell>
          <cell r="H36" t="str">
            <v>--</v>
          </cell>
          <cell r="I36">
            <v>7.1166244641939702</v>
          </cell>
          <cell r="J36" t="str">
            <v>--</v>
          </cell>
          <cell r="K36" t="str">
            <v>--</v>
          </cell>
          <cell r="L36">
            <v>-1.8171851265590799</v>
          </cell>
          <cell r="M36" t="str">
            <v>--</v>
          </cell>
          <cell r="N36">
            <v>28.330796182041802</v>
          </cell>
          <cell r="O36">
            <v>27.400727715687701</v>
          </cell>
          <cell r="P36" t="str">
            <v>--</v>
          </cell>
          <cell r="S36" t="str">
            <v>Period 12-05</v>
          </cell>
          <cell r="T36">
            <v>-1.1289195150490601</v>
          </cell>
          <cell r="U36">
            <v>4.1067073997356003</v>
          </cell>
          <cell r="AF36" t="str">
            <v>Period 12-05</v>
          </cell>
          <cell r="AG36">
            <v>7.1166244641939702</v>
          </cell>
          <cell r="AH36">
            <v>3.8074892203267199</v>
          </cell>
        </row>
        <row r="37">
          <cell r="A37" t="str">
            <v>Period 13</v>
          </cell>
          <cell r="B37" t="str">
            <v>--</v>
          </cell>
          <cell r="C37">
            <v>1.38236899079037</v>
          </cell>
          <cell r="D37" t="str">
            <v>--</v>
          </cell>
          <cell r="E37" t="str">
            <v>--</v>
          </cell>
          <cell r="F37">
            <v>-5.7724256476784204</v>
          </cell>
          <cell r="G37" t="str">
            <v>--</v>
          </cell>
          <cell r="H37" t="str">
            <v>--</v>
          </cell>
          <cell r="I37">
            <v>7.1547946384687897</v>
          </cell>
          <cell r="J37" t="str">
            <v>--</v>
          </cell>
          <cell r="K37" t="str">
            <v>--</v>
          </cell>
          <cell r="L37">
            <v>-1.24551326944805</v>
          </cell>
          <cell r="M37" t="str">
            <v>--</v>
          </cell>
          <cell r="N37">
            <v>29.111454182294899</v>
          </cell>
          <cell r="O37">
            <v>27.608164175059599</v>
          </cell>
          <cell r="P37" t="str">
            <v>--</v>
          </cell>
          <cell r="S37" t="str">
            <v>Period 13-05</v>
          </cell>
          <cell r="T37">
            <v>1.38236899079037</v>
          </cell>
          <cell r="U37">
            <v>6.0569420733136798</v>
          </cell>
          <cell r="AF37" t="str">
            <v>Period 13-05</v>
          </cell>
          <cell r="AG37">
            <v>7.1547946384687897</v>
          </cell>
          <cell r="AH37">
            <v>3.6214925740875401</v>
          </cell>
        </row>
        <row r="38">
          <cell r="S38" t="str">
            <v>Period 1-06</v>
          </cell>
          <cell r="T38">
            <v>-6.6261524084895704</v>
          </cell>
          <cell r="U38">
            <v>-7.5361261635667898</v>
          </cell>
          <cell r="AF38" t="str">
            <v>Period 1-06</v>
          </cell>
          <cell r="AG38">
            <v>6.3486460886299598</v>
          </cell>
          <cell r="AH38">
            <v>6.2623421070482896</v>
          </cell>
        </row>
        <row r="39">
          <cell r="B39" t="str">
            <v>CASTLEBERRYS FOOD CO RTS WET SOUP</v>
          </cell>
          <cell r="S39" t="str">
            <v>Period 2-06</v>
          </cell>
          <cell r="T39">
            <v>-3.00878804006329</v>
          </cell>
          <cell r="U39">
            <v>-0.92494822769096396</v>
          </cell>
          <cell r="AF39" t="str">
            <v>Period 2-06</v>
          </cell>
          <cell r="AG39">
            <v>7.2897559375914502</v>
          </cell>
          <cell r="AH39">
            <v>10.243204848651599</v>
          </cell>
        </row>
        <row r="40">
          <cell r="B40" t="str">
            <v>Yr/Yr % Change</v>
          </cell>
          <cell r="S40" t="str">
            <v>Period 3-06</v>
          </cell>
          <cell r="T40">
            <v>-2.0556280987347</v>
          </cell>
          <cell r="U40">
            <v>0.92551972674230298</v>
          </cell>
          <cell r="AF40" t="str">
            <v>Period 3-06</v>
          </cell>
          <cell r="AG40">
            <v>6.3120797119720002</v>
          </cell>
          <cell r="AH40">
            <v>3.6139523524850801</v>
          </cell>
        </row>
        <row r="41">
          <cell r="B41" t="str">
            <v>Sales</v>
          </cell>
          <cell r="E41" t="str">
            <v>Volume</v>
          </cell>
          <cell r="H41" t="str">
            <v>Price/Mix</v>
          </cell>
          <cell r="K41" t="str">
            <v>$ Merchandising</v>
          </cell>
          <cell r="N41" t="str">
            <v>$ Share</v>
          </cell>
          <cell r="S41" t="str">
            <v>Period 4-06</v>
          </cell>
          <cell r="T41">
            <v>10.721599668442799</v>
          </cell>
          <cell r="U41">
            <v>9.9028920497142092</v>
          </cell>
          <cell r="AF41" t="str">
            <v>Period 4-06</v>
          </cell>
          <cell r="AG41">
            <v>2.8696039004255902</v>
          </cell>
          <cell r="AH41">
            <v>1.7304074538245899</v>
          </cell>
        </row>
        <row r="42">
          <cell r="A42" t="str">
            <v>Date</v>
          </cell>
          <cell r="B42">
            <v>2004</v>
          </cell>
          <cell r="C42">
            <v>2005</v>
          </cell>
          <cell r="D42">
            <v>2006</v>
          </cell>
          <cell r="E42">
            <v>2004</v>
          </cell>
          <cell r="F42">
            <v>2005</v>
          </cell>
          <cell r="G42">
            <v>2006</v>
          </cell>
          <cell r="H42">
            <v>2004</v>
          </cell>
          <cell r="I42">
            <v>2005</v>
          </cell>
          <cell r="J42">
            <v>2006</v>
          </cell>
          <cell r="K42">
            <v>2004</v>
          </cell>
          <cell r="L42">
            <v>2005</v>
          </cell>
          <cell r="M42">
            <v>2006</v>
          </cell>
          <cell r="N42">
            <v>2004</v>
          </cell>
          <cell r="O42">
            <v>2005</v>
          </cell>
          <cell r="P42">
            <v>2006</v>
          </cell>
          <cell r="S42" t="str">
            <v>Period 5-06</v>
          </cell>
          <cell r="T42">
            <v>2.2648426444882599</v>
          </cell>
          <cell r="U42">
            <v>-0.56279888588412796</v>
          </cell>
          <cell r="AF42" t="str">
            <v>Period 5-06</v>
          </cell>
          <cell r="AG42">
            <v>6.8973654009070398</v>
          </cell>
          <cell r="AH42">
            <v>1.45787087633154</v>
          </cell>
        </row>
        <row r="43">
          <cell r="A43" t="str">
            <v>Period 1</v>
          </cell>
          <cell r="B43" t="str">
            <v>--</v>
          </cell>
          <cell r="C43" t="str">
            <v>--</v>
          </cell>
          <cell r="D43">
            <v>-21.815428198359701</v>
          </cell>
          <cell r="E43" t="str">
            <v>--</v>
          </cell>
          <cell r="F43" t="str">
            <v>--</v>
          </cell>
          <cell r="G43">
            <v>-22.122159228320701</v>
          </cell>
          <cell r="H43" t="str">
            <v>--</v>
          </cell>
          <cell r="I43" t="str">
            <v>--</v>
          </cell>
          <cell r="J43">
            <v>0.30673102996103202</v>
          </cell>
          <cell r="K43" t="str">
            <v>--</v>
          </cell>
          <cell r="L43" t="str">
            <v>--</v>
          </cell>
          <cell r="M43">
            <v>-2.5503213764430499</v>
          </cell>
          <cell r="N43" t="str">
            <v>--</v>
          </cell>
          <cell r="O43">
            <v>1.4233980566923E-2</v>
          </cell>
          <cell r="P43">
            <v>1.1790240917688001E-2</v>
          </cell>
          <cell r="S43" t="str">
            <v>Period 6-06</v>
          </cell>
          <cell r="T43">
            <v>1.14891192211464</v>
          </cell>
          <cell r="U43">
            <v>1.21538425849289</v>
          </cell>
          <cell r="AF43" t="str">
            <v>Period 6-06</v>
          </cell>
          <cell r="AG43">
            <v>6.8347989225875603</v>
          </cell>
          <cell r="AH43">
            <v>0.354570801512199</v>
          </cell>
        </row>
        <row r="44">
          <cell r="A44" t="str">
            <v>Period 2</v>
          </cell>
          <cell r="B44" t="str">
            <v>--</v>
          </cell>
          <cell r="C44" t="str">
            <v>--</v>
          </cell>
          <cell r="D44">
            <v>8.9185447517082004</v>
          </cell>
          <cell r="E44" t="str">
            <v>--</v>
          </cell>
          <cell r="F44" t="str">
            <v>--</v>
          </cell>
          <cell r="G44">
            <v>7.2028517737867803</v>
          </cell>
          <cell r="H44" t="str">
            <v>--</v>
          </cell>
          <cell r="I44" t="str">
            <v>--</v>
          </cell>
          <cell r="J44">
            <v>1.7156929779214201</v>
          </cell>
          <cell r="K44" t="str">
            <v>--</v>
          </cell>
          <cell r="L44" t="str">
            <v>--</v>
          </cell>
          <cell r="M44">
            <v>-23.237467595608599</v>
          </cell>
          <cell r="N44" t="str">
            <v>--</v>
          </cell>
          <cell r="O44">
            <v>1.2153265171732E-2</v>
          </cell>
          <cell r="P44">
            <v>1.3014469322221001E-2</v>
          </cell>
          <cell r="S44" t="str">
            <v>Period 7-06</v>
          </cell>
          <cell r="T44">
            <v>0.213407880980164</v>
          </cell>
          <cell r="U44">
            <v>5.0620665855653497</v>
          </cell>
          <cell r="AF44" t="str">
            <v>Period 7-06</v>
          </cell>
          <cell r="AG44">
            <v>6.4016530785955297</v>
          </cell>
          <cell r="AH44">
            <v>-3.3818918652094E-2</v>
          </cell>
        </row>
        <row r="45">
          <cell r="A45" t="str">
            <v>Period 3</v>
          </cell>
          <cell r="B45" t="str">
            <v>--</v>
          </cell>
          <cell r="C45">
            <v>1.5695489076583999</v>
          </cell>
          <cell r="D45">
            <v>13.503606451223099</v>
          </cell>
          <cell r="E45" t="str">
            <v>--</v>
          </cell>
          <cell r="F45">
            <v>3.1755017270361701</v>
          </cell>
          <cell r="G45">
            <v>8.3700341844935195</v>
          </cell>
          <cell r="H45" t="str">
            <v>--</v>
          </cell>
          <cell r="I45">
            <v>-1.6059528193777799</v>
          </cell>
          <cell r="J45">
            <v>5.13357226672961</v>
          </cell>
          <cell r="K45" t="str">
            <v>--</v>
          </cell>
          <cell r="L45">
            <v>8.5005666344107595</v>
          </cell>
          <cell r="M45">
            <v>-6.0503201757932201</v>
          </cell>
          <cell r="N45">
            <v>1.6215637154140001E-2</v>
          </cell>
          <cell r="O45">
            <v>1.5028093092889E-2</v>
          </cell>
          <cell r="P45">
            <v>1.6282810298645999E-2</v>
          </cell>
          <cell r="S45" t="str">
            <v>Period 8-06</v>
          </cell>
          <cell r="T45">
            <v>0.35050469206478202</v>
          </cell>
          <cell r="U45">
            <v>-1.0923008814731201</v>
          </cell>
          <cell r="AF45" t="str">
            <v>Period 8-06</v>
          </cell>
          <cell r="AG45">
            <v>6.6885310390554702</v>
          </cell>
          <cell r="AH45">
            <v>2.9562826561664899</v>
          </cell>
        </row>
        <row r="46">
          <cell r="A46" t="str">
            <v>Period 4</v>
          </cell>
          <cell r="B46" t="str">
            <v>--</v>
          </cell>
          <cell r="C46">
            <v>-23.121997196506701</v>
          </cell>
          <cell r="D46">
            <v>31.3528035856447</v>
          </cell>
          <cell r="E46" t="str">
            <v>--</v>
          </cell>
          <cell r="F46">
            <v>-23.7982204827162</v>
          </cell>
          <cell r="G46">
            <v>28.845783544505501</v>
          </cell>
          <cell r="H46" t="str">
            <v>--</v>
          </cell>
          <cell r="I46">
            <v>0.67622328620951</v>
          </cell>
          <cell r="J46">
            <v>2.5070200411392398</v>
          </cell>
          <cell r="K46" t="str">
            <v>--</v>
          </cell>
          <cell r="L46">
            <v>3.2999835149591199</v>
          </cell>
          <cell r="M46">
            <v>1.31571983803183</v>
          </cell>
          <cell r="N46">
            <v>1.5920354229491E-2</v>
          </cell>
          <cell r="O46">
            <v>1.2317915664594999E-2</v>
          </cell>
          <cell r="P46">
            <v>1.4859700227228E-2</v>
          </cell>
          <cell r="S46" t="str">
            <v>Period 9-06</v>
          </cell>
          <cell r="T46">
            <v>7.0217180730370998</v>
          </cell>
          <cell r="U46">
            <v>-0.75557554076370304</v>
          </cell>
          <cell r="AF46" t="str">
            <v>Period 9-06</v>
          </cell>
          <cell r="AG46">
            <v>4.1926954584746499</v>
          </cell>
          <cell r="AH46">
            <v>1.7926663440575601</v>
          </cell>
        </row>
        <row r="47">
          <cell r="A47" t="str">
            <v>Period 5</v>
          </cell>
          <cell r="B47" t="str">
            <v>--</v>
          </cell>
          <cell r="C47">
            <v>-23.102189200196101</v>
          </cell>
          <cell r="D47">
            <v>39.281920762130099</v>
          </cell>
          <cell r="E47" t="str">
            <v>--</v>
          </cell>
          <cell r="F47">
            <v>-15.2745742828549</v>
          </cell>
          <cell r="G47">
            <v>21.1078587465834</v>
          </cell>
          <cell r="H47" t="str">
            <v>--</v>
          </cell>
          <cell r="I47">
            <v>-7.8276149173411396</v>
          </cell>
          <cell r="J47">
            <v>18.1740620155466</v>
          </cell>
          <cell r="K47" t="str">
            <v>--</v>
          </cell>
          <cell r="L47">
            <v>17.447542811301499</v>
          </cell>
          <cell r="M47">
            <v>-15.9347926934188</v>
          </cell>
          <cell r="N47">
            <v>1.7226936714988001E-2</v>
          </cell>
          <cell r="O47">
            <v>1.2322861488435E-2</v>
          </cell>
          <cell r="P47">
            <v>1.6552298481576001E-2</v>
          </cell>
          <cell r="S47" t="str">
            <v>Period 10-06</v>
          </cell>
          <cell r="T47" t="str">
            <v>--</v>
          </cell>
          <cell r="U47" t="str">
            <v>--</v>
          </cell>
          <cell r="AF47" t="str">
            <v>Period 10-06</v>
          </cell>
          <cell r="AG47" t="str">
            <v>--</v>
          </cell>
          <cell r="AH47" t="str">
            <v>--</v>
          </cell>
        </row>
        <row r="48">
          <cell r="A48" t="str">
            <v>Period 6</v>
          </cell>
          <cell r="B48" t="str">
            <v>--</v>
          </cell>
          <cell r="C48">
            <v>-43.1434783133815</v>
          </cell>
          <cell r="D48">
            <v>27.853743221189401</v>
          </cell>
          <cell r="E48" t="str">
            <v>--</v>
          </cell>
          <cell r="F48">
            <v>-60.711371115870399</v>
          </cell>
          <cell r="G48">
            <v>19.1559699464921</v>
          </cell>
          <cell r="H48" t="str">
            <v>--</v>
          </cell>
          <cell r="I48">
            <v>17.567892802488799</v>
          </cell>
          <cell r="J48">
            <v>8.6977732746973793</v>
          </cell>
          <cell r="K48" t="str">
            <v>--</v>
          </cell>
          <cell r="L48">
            <v>-24.650497833240799</v>
          </cell>
          <cell r="M48">
            <v>-1.2015616375859699</v>
          </cell>
          <cell r="N48">
            <v>2.0686551560016999E-2</v>
          </cell>
          <cell r="O48">
            <v>1.1762783995088E-2</v>
          </cell>
          <cell r="P48">
            <v>1.4395360750709E-2</v>
          </cell>
          <cell r="S48" t="str">
            <v>Period 11-06</v>
          </cell>
          <cell r="T48" t="str">
            <v>--</v>
          </cell>
          <cell r="U48" t="str">
            <v>--</v>
          </cell>
          <cell r="AF48" t="str">
            <v>Period 11-06</v>
          </cell>
          <cell r="AG48" t="str">
            <v>--</v>
          </cell>
          <cell r="AH48" t="str">
            <v>--</v>
          </cell>
        </row>
        <row r="49">
          <cell r="A49" t="str">
            <v>Period 7</v>
          </cell>
          <cell r="B49" t="str">
            <v>--</v>
          </cell>
          <cell r="C49">
            <v>-54.286120938554802</v>
          </cell>
          <cell r="D49">
            <v>67.690487432782803</v>
          </cell>
          <cell r="E49" t="str">
            <v>--</v>
          </cell>
          <cell r="F49">
            <v>-70.039227624688493</v>
          </cell>
          <cell r="G49">
            <v>56.951228623877498</v>
          </cell>
          <cell r="H49" t="str">
            <v>--</v>
          </cell>
          <cell r="I49">
            <v>15.753106686133799</v>
          </cell>
          <cell r="J49">
            <v>10.7392588089053</v>
          </cell>
          <cell r="K49" t="str">
            <v>--</v>
          </cell>
          <cell r="L49">
            <v>-25.2938409803863</v>
          </cell>
          <cell r="M49">
            <v>-0.48211360712321599</v>
          </cell>
          <cell r="N49">
            <v>1.8693363111852001E-2</v>
          </cell>
          <cell r="O49">
            <v>8.5664997192179994E-3</v>
          </cell>
          <cell r="P49">
            <v>1.3885154428912E-2</v>
          </cell>
          <cell r="S49" t="str">
            <v>Period 12-06</v>
          </cell>
          <cell r="T49" t="str">
            <v>--</v>
          </cell>
          <cell r="U49" t="str">
            <v>--</v>
          </cell>
          <cell r="AF49" t="str">
            <v>Period 12-06</v>
          </cell>
          <cell r="AG49" t="str">
            <v>--</v>
          </cell>
          <cell r="AH49" t="str">
            <v>--</v>
          </cell>
        </row>
        <row r="50">
          <cell r="A50" t="str">
            <v>Period 8</v>
          </cell>
          <cell r="B50" t="str">
            <v>--</v>
          </cell>
          <cell r="C50">
            <v>-21.9304273151308</v>
          </cell>
          <cell r="D50">
            <v>37.664348496964102</v>
          </cell>
          <cell r="E50" t="str">
            <v>--</v>
          </cell>
          <cell r="F50">
            <v>-28.4588783649418</v>
          </cell>
          <cell r="G50">
            <v>30.887253862824</v>
          </cell>
          <cell r="H50" t="str">
            <v>--</v>
          </cell>
          <cell r="I50">
            <v>6.5284510498109301</v>
          </cell>
          <cell r="J50">
            <v>6.7770946341401102</v>
          </cell>
          <cell r="K50" t="str">
            <v>--</v>
          </cell>
          <cell r="L50">
            <v>9.0672615315416198</v>
          </cell>
          <cell r="M50">
            <v>-11.151375467683501</v>
          </cell>
          <cell r="N50">
            <v>1.3588149754459E-2</v>
          </cell>
          <cell r="O50">
            <v>1.1276964551967E-2</v>
          </cell>
          <cell r="P50">
            <v>1.5187751517503E-2</v>
          </cell>
          <cell r="S50" t="str">
            <v>Period 13-06</v>
          </cell>
          <cell r="T50" t="str">
            <v>--</v>
          </cell>
          <cell r="U50" t="str">
            <v>--</v>
          </cell>
          <cell r="AF50" t="str">
            <v>Period 13-06</v>
          </cell>
          <cell r="AG50" t="str">
            <v>--</v>
          </cell>
          <cell r="AH50" t="str">
            <v>--</v>
          </cell>
        </row>
        <row r="51">
          <cell r="A51" t="str">
            <v>Period 9</v>
          </cell>
          <cell r="B51" t="str">
            <v>--</v>
          </cell>
          <cell r="C51">
            <v>12.616457302723401</v>
          </cell>
          <cell r="D51">
            <v>30.361382171509199</v>
          </cell>
          <cell r="E51" t="str">
            <v>--</v>
          </cell>
          <cell r="F51">
            <v>7.5057487916764298</v>
          </cell>
          <cell r="G51">
            <v>34.196154204929897</v>
          </cell>
          <cell r="H51" t="str">
            <v>--</v>
          </cell>
          <cell r="I51">
            <v>5.1107085110469299</v>
          </cell>
          <cell r="J51">
            <v>-3.8347720334207001</v>
          </cell>
          <cell r="K51" t="str">
            <v>--</v>
          </cell>
          <cell r="L51">
            <v>17.8500590922215</v>
          </cell>
          <cell r="M51">
            <v>15.146939378127399</v>
          </cell>
          <cell r="N51">
            <v>1.2139740227125001E-2</v>
          </cell>
          <cell r="O51">
            <v>1.4485445864442E-2</v>
          </cell>
          <cell r="P51">
            <v>1.7514774765465001E-2</v>
          </cell>
        </row>
        <row r="52">
          <cell r="A52" t="str">
            <v>Period 10</v>
          </cell>
          <cell r="B52" t="str">
            <v>--</v>
          </cell>
          <cell r="C52">
            <v>-2.22405844170309</v>
          </cell>
          <cell r="D52" t="str">
            <v>--</v>
          </cell>
          <cell r="E52" t="str">
            <v>--</v>
          </cell>
          <cell r="F52">
            <v>-5.2985874832080304</v>
          </cell>
          <cell r="G52" t="str">
            <v>--</v>
          </cell>
          <cell r="H52" t="str">
            <v>--</v>
          </cell>
          <cell r="I52">
            <v>3.07452904150494</v>
          </cell>
          <cell r="J52" t="str">
            <v>--</v>
          </cell>
          <cell r="K52" t="str">
            <v>--</v>
          </cell>
          <cell r="L52">
            <v>-4.3827396853680396</v>
          </cell>
          <cell r="M52" t="str">
            <v>--</v>
          </cell>
          <cell r="N52">
            <v>1.2736536443629E-2</v>
          </cell>
          <cell r="O52">
            <v>1.3142586307254E-2</v>
          </cell>
          <cell r="P52" t="str">
            <v>--</v>
          </cell>
        </row>
        <row r="53">
          <cell r="A53" t="str">
            <v>Period 11</v>
          </cell>
          <cell r="B53" t="str">
            <v>--</v>
          </cell>
          <cell r="C53">
            <v>4.5351763761303996</v>
          </cell>
          <cell r="D53" t="str">
            <v>--</v>
          </cell>
          <cell r="E53" t="str">
            <v>--</v>
          </cell>
          <cell r="F53">
            <v>7.4132390576185596</v>
          </cell>
          <cell r="G53" t="str">
            <v>--</v>
          </cell>
          <cell r="H53" t="str">
            <v>--</v>
          </cell>
          <cell r="I53">
            <v>-2.87806268148816</v>
          </cell>
          <cell r="J53" t="str">
            <v>--</v>
          </cell>
          <cell r="K53" t="str">
            <v>--</v>
          </cell>
          <cell r="L53">
            <v>37.443428359780199</v>
          </cell>
          <cell r="M53" t="str">
            <v>--</v>
          </cell>
          <cell r="N53">
            <v>1.4382408919658999E-2</v>
          </cell>
          <cell r="O53">
            <v>1.5104301232299E-2</v>
          </cell>
          <cell r="P53" t="str">
            <v>--</v>
          </cell>
        </row>
        <row r="54">
          <cell r="A54" t="str">
            <v>Period 12</v>
          </cell>
          <cell r="B54" t="str">
            <v>--</v>
          </cell>
          <cell r="C54">
            <v>27.402601176660301</v>
          </cell>
          <cell r="D54" t="str">
            <v>--</v>
          </cell>
          <cell r="E54" t="str">
            <v>--</v>
          </cell>
          <cell r="F54">
            <v>28.842730123422101</v>
          </cell>
          <cell r="G54" t="str">
            <v>--</v>
          </cell>
          <cell r="H54" t="str">
            <v>--</v>
          </cell>
          <cell r="I54">
            <v>-1.4401289467618399</v>
          </cell>
          <cell r="J54" t="str">
            <v>--</v>
          </cell>
          <cell r="K54" t="str">
            <v>--</v>
          </cell>
          <cell r="L54">
            <v>17.923000046121899</v>
          </cell>
          <cell r="M54" t="str">
            <v>--</v>
          </cell>
          <cell r="N54">
            <v>1.0761675273457E-2</v>
          </cell>
          <cell r="O54">
            <v>1.3411958951576999E-2</v>
          </cell>
          <cell r="P54" t="str">
            <v>--</v>
          </cell>
        </row>
        <row r="55">
          <cell r="A55" t="str">
            <v>Period 13</v>
          </cell>
          <cell r="B55" t="str">
            <v>--</v>
          </cell>
          <cell r="C55">
            <v>24.295921155851801</v>
          </cell>
          <cell r="D55" t="str">
            <v>--</v>
          </cell>
          <cell r="E55" t="str">
            <v>--</v>
          </cell>
          <cell r="F55">
            <v>24.631663754345801</v>
          </cell>
          <cell r="G55" t="str">
            <v>--</v>
          </cell>
          <cell r="H55" t="str">
            <v>--</v>
          </cell>
          <cell r="I55">
            <v>-0.33574259849402899</v>
          </cell>
          <cell r="J55" t="str">
            <v>--</v>
          </cell>
          <cell r="K55" t="str">
            <v>--</v>
          </cell>
          <cell r="L55">
            <v>4.7459443494390001</v>
          </cell>
          <cell r="M55" t="str">
            <v>--</v>
          </cell>
          <cell r="N55">
            <v>1.2085076950035E-2</v>
          </cell>
          <cell r="O55">
            <v>1.4051331865346999E-2</v>
          </cell>
          <cell r="P55" t="str">
            <v>--</v>
          </cell>
        </row>
        <row r="57">
          <cell r="B57" t="str">
            <v>PRIVATE LABEL CONDENSED WET SOUP</v>
          </cell>
        </row>
        <row r="58">
          <cell r="B58" t="str">
            <v>Yr/Yr % Change</v>
          </cell>
        </row>
        <row r="59">
          <cell r="B59" t="str">
            <v>Sales</v>
          </cell>
          <cell r="E59" t="str">
            <v>Volume</v>
          </cell>
          <cell r="H59" t="str">
            <v>Price/Mix</v>
          </cell>
          <cell r="K59" t="str">
            <v>$ Merchandising</v>
          </cell>
          <cell r="N59" t="str">
            <v>$ Share</v>
          </cell>
        </row>
        <row r="60">
          <cell r="A60" t="str">
            <v>Date</v>
          </cell>
          <cell r="B60">
            <v>2004</v>
          </cell>
          <cell r="C60">
            <v>2005</v>
          </cell>
          <cell r="D60">
            <v>2006</v>
          </cell>
          <cell r="E60">
            <v>2004</v>
          </cell>
          <cell r="F60">
            <v>2005</v>
          </cell>
          <cell r="G60">
            <v>2006</v>
          </cell>
          <cell r="H60">
            <v>2004</v>
          </cell>
          <cell r="I60">
            <v>2005</v>
          </cell>
          <cell r="J60">
            <v>2006</v>
          </cell>
          <cell r="K60">
            <v>2004</v>
          </cell>
          <cell r="L60">
            <v>2005</v>
          </cell>
          <cell r="M60">
            <v>2006</v>
          </cell>
          <cell r="N60">
            <v>2004</v>
          </cell>
          <cell r="O60">
            <v>2005</v>
          </cell>
          <cell r="P60">
            <v>2006</v>
          </cell>
        </row>
        <row r="61">
          <cell r="A61" t="str">
            <v>Period 1</v>
          </cell>
          <cell r="B61" t="str">
            <v>--</v>
          </cell>
          <cell r="C61" t="str">
            <v>--</v>
          </cell>
          <cell r="D61">
            <v>-7.5361261635667898</v>
          </cell>
          <cell r="E61" t="str">
            <v>--</v>
          </cell>
          <cell r="F61" t="str">
            <v>--</v>
          </cell>
          <cell r="G61">
            <v>-13.7984682706151</v>
          </cell>
          <cell r="H61" t="str">
            <v>--</v>
          </cell>
          <cell r="I61" t="str">
            <v>--</v>
          </cell>
          <cell r="J61">
            <v>6.2623421070482896</v>
          </cell>
          <cell r="K61" t="str">
            <v>--</v>
          </cell>
          <cell r="L61" t="str">
            <v>--</v>
          </cell>
          <cell r="M61">
            <v>-2.7934415148738099</v>
          </cell>
          <cell r="N61" t="str">
            <v>--</v>
          </cell>
          <cell r="O61">
            <v>3.6520900531940801</v>
          </cell>
          <cell r="P61">
            <v>3.5775755287420998</v>
          </cell>
        </row>
        <row r="62">
          <cell r="A62" t="str">
            <v>Period 2</v>
          </cell>
          <cell r="B62" t="str">
            <v>--</v>
          </cell>
          <cell r="C62" t="str">
            <v>--</v>
          </cell>
          <cell r="D62">
            <v>-0.92494822769096396</v>
          </cell>
          <cell r="E62" t="str">
            <v>--</v>
          </cell>
          <cell r="F62" t="str">
            <v>--</v>
          </cell>
          <cell r="G62">
            <v>-11.1681530763426</v>
          </cell>
          <cell r="H62" t="str">
            <v>--</v>
          </cell>
          <cell r="I62" t="str">
            <v>--</v>
          </cell>
          <cell r="J62">
            <v>10.243204848651599</v>
          </cell>
          <cell r="K62" t="str">
            <v>--</v>
          </cell>
          <cell r="L62" t="str">
            <v>--</v>
          </cell>
          <cell r="M62">
            <v>-2.1871259066284501</v>
          </cell>
          <cell r="N62" t="str">
            <v>--</v>
          </cell>
          <cell r="O62">
            <v>3.9730557981726098</v>
          </cell>
          <cell r="P62">
            <v>3.8700861466056602</v>
          </cell>
        </row>
        <row r="63">
          <cell r="A63" t="str">
            <v>Period 3</v>
          </cell>
          <cell r="B63" t="str">
            <v>--</v>
          </cell>
          <cell r="C63">
            <v>15.8460410725644</v>
          </cell>
          <cell r="D63">
            <v>0.92551972674230298</v>
          </cell>
          <cell r="E63" t="str">
            <v>--</v>
          </cell>
          <cell r="F63">
            <v>18.692507370152899</v>
          </cell>
          <cell r="G63">
            <v>-2.6884326257427702</v>
          </cell>
          <cell r="H63" t="str">
            <v>--</v>
          </cell>
          <cell r="I63">
            <v>-2.8464662975884898</v>
          </cell>
          <cell r="J63">
            <v>3.6139523524850801</v>
          </cell>
          <cell r="K63" t="str">
            <v>--</v>
          </cell>
          <cell r="L63">
            <v>0.95150860585916797</v>
          </cell>
          <cell r="M63">
            <v>-4.89535096557118</v>
          </cell>
          <cell r="N63">
            <v>4.1869723084106596</v>
          </cell>
          <cell r="O63">
            <v>4.4257575661650099</v>
          </cell>
          <cell r="P63">
            <v>4.2638747660268796</v>
          </cell>
        </row>
        <row r="64">
          <cell r="A64" t="str">
            <v>Period 4</v>
          </cell>
          <cell r="B64" t="str">
            <v>--</v>
          </cell>
          <cell r="C64">
            <v>0.55318868366135199</v>
          </cell>
          <cell r="D64">
            <v>9.9028920497142092</v>
          </cell>
          <cell r="E64" t="str">
            <v>--</v>
          </cell>
          <cell r="F64">
            <v>-3.0792167429425401</v>
          </cell>
          <cell r="G64">
            <v>8.1724845958896193</v>
          </cell>
          <cell r="H64" t="str">
            <v>--</v>
          </cell>
          <cell r="I64">
            <v>3.6324054266038899</v>
          </cell>
          <cell r="J64">
            <v>1.7304074538245899</v>
          </cell>
          <cell r="K64" t="str">
            <v>--</v>
          </cell>
          <cell r="L64">
            <v>-10.9719695233265</v>
          </cell>
          <cell r="M64">
            <v>8.3060283783753199</v>
          </cell>
          <cell r="N64">
            <v>4.6366890939041996</v>
          </cell>
          <cell r="O64">
            <v>4.6923049676998803</v>
          </cell>
          <cell r="P64">
            <v>4.73618683773726</v>
          </cell>
        </row>
        <row r="65">
          <cell r="A65" t="str">
            <v>Period 5</v>
          </cell>
          <cell r="B65" t="str">
            <v>--</v>
          </cell>
          <cell r="C65">
            <v>8.8166528937106907</v>
          </cell>
          <cell r="D65">
            <v>-0.56279888588412796</v>
          </cell>
          <cell r="E65" t="str">
            <v>--</v>
          </cell>
          <cell r="F65">
            <v>3.83530305108795</v>
          </cell>
          <cell r="G65">
            <v>-2.0206697622156602</v>
          </cell>
          <cell r="H65" t="str">
            <v>--</v>
          </cell>
          <cell r="I65">
            <v>4.9813498426227296</v>
          </cell>
          <cell r="J65">
            <v>1.45787087633154</v>
          </cell>
          <cell r="K65" t="str">
            <v>--</v>
          </cell>
          <cell r="L65">
            <v>-6.5790608512770898</v>
          </cell>
          <cell r="M65">
            <v>-0.52633464181843304</v>
          </cell>
          <cell r="N65">
            <v>4.9950410991440899</v>
          </cell>
          <cell r="O65">
            <v>5.0561967108173302</v>
          </cell>
          <cell r="P65">
            <v>4.8486947995784204</v>
          </cell>
        </row>
        <row r="66">
          <cell r="A66" t="str">
            <v>Period 6</v>
          </cell>
          <cell r="B66" t="str">
            <v>--</v>
          </cell>
          <cell r="C66">
            <v>4.1500976376520304</v>
          </cell>
          <cell r="D66">
            <v>1.21538425849289</v>
          </cell>
          <cell r="E66" t="str">
            <v>--</v>
          </cell>
          <cell r="F66">
            <v>-0.39431267787769703</v>
          </cell>
          <cell r="G66">
            <v>0.860813456980696</v>
          </cell>
          <cell r="H66" t="str">
            <v>--</v>
          </cell>
          <cell r="I66">
            <v>4.5444103155297304</v>
          </cell>
          <cell r="J66">
            <v>0.354570801512199</v>
          </cell>
          <cell r="K66" t="str">
            <v>--</v>
          </cell>
          <cell r="L66">
            <v>-5.3192566581082596</v>
          </cell>
          <cell r="M66">
            <v>1.92346001640808</v>
          </cell>
          <cell r="N66">
            <v>4.9580939572682796</v>
          </cell>
          <cell r="O66">
            <v>5.1643559558967098</v>
          </cell>
          <cell r="P66">
            <v>5.0033591700266999</v>
          </cell>
        </row>
        <row r="67">
          <cell r="A67" t="str">
            <v>Period 7</v>
          </cell>
          <cell r="B67" t="str">
            <v>--</v>
          </cell>
          <cell r="C67">
            <v>-0.72399659131688798</v>
          </cell>
          <cell r="D67">
            <v>5.0620665855653497</v>
          </cell>
          <cell r="E67" t="str">
            <v>--</v>
          </cell>
          <cell r="F67">
            <v>-3.3179280527749002</v>
          </cell>
          <cell r="G67">
            <v>5.0958855042174402</v>
          </cell>
          <cell r="H67" t="str">
            <v>--</v>
          </cell>
          <cell r="I67">
            <v>2.59393146145801</v>
          </cell>
          <cell r="J67">
            <v>-3.3818918652094E-2</v>
          </cell>
          <cell r="K67" t="str">
            <v>--</v>
          </cell>
          <cell r="L67">
            <v>-8.5171446317708996E-2</v>
          </cell>
          <cell r="M67">
            <v>1.47657742451087</v>
          </cell>
          <cell r="N67">
            <v>5.1953287050025496</v>
          </cell>
          <cell r="O67">
            <v>5.1704126263479901</v>
          </cell>
          <cell r="P67">
            <v>5.2506131856096498</v>
          </cell>
        </row>
        <row r="68">
          <cell r="A68" t="str">
            <v>Period 8</v>
          </cell>
          <cell r="B68" t="str">
            <v>--</v>
          </cell>
          <cell r="C68">
            <v>1.2702756531530801</v>
          </cell>
          <cell r="D68">
            <v>-1.0923008814731201</v>
          </cell>
          <cell r="E68" t="str">
            <v>--</v>
          </cell>
          <cell r="F68">
            <v>-0.47650591284223398</v>
          </cell>
          <cell r="G68">
            <v>-4.04858353763961</v>
          </cell>
          <cell r="H68" t="str">
            <v>--</v>
          </cell>
          <cell r="I68">
            <v>1.7467815659953101</v>
          </cell>
          <cell r="J68">
            <v>2.9562826561664899</v>
          </cell>
          <cell r="K68" t="str">
            <v>--</v>
          </cell>
          <cell r="L68">
            <v>3.56778144056966</v>
          </cell>
          <cell r="M68">
            <v>-7.6582031281294798</v>
          </cell>
          <cell r="N68">
            <v>5.0038337518904896</v>
          </cell>
          <cell r="O68">
            <v>5.3868508711438903</v>
          </cell>
          <cell r="P68">
            <v>5.2124852120818197</v>
          </cell>
        </row>
        <row r="69">
          <cell r="A69" t="str">
            <v>Period 9</v>
          </cell>
          <cell r="B69" t="str">
            <v>--</v>
          </cell>
          <cell r="C69">
            <v>7.4589315869449404</v>
          </cell>
          <cell r="D69">
            <v>-0.75557554076370304</v>
          </cell>
          <cell r="E69" t="str">
            <v>--</v>
          </cell>
          <cell r="F69">
            <v>5.2827001093076698</v>
          </cell>
          <cell r="G69">
            <v>-2.54824188482127</v>
          </cell>
          <cell r="H69" t="str">
            <v>--</v>
          </cell>
          <cell r="I69">
            <v>2.1762314776372702</v>
          </cell>
          <cell r="J69">
            <v>1.7926663440575601</v>
          </cell>
          <cell r="K69" t="str">
            <v>--</v>
          </cell>
          <cell r="L69">
            <v>1.46242353637696</v>
          </cell>
          <cell r="M69">
            <v>-3.2201660552139701</v>
          </cell>
          <cell r="N69">
            <v>4.3716431070263901</v>
          </cell>
          <cell r="O69">
            <v>4.9774605965247902</v>
          </cell>
          <cell r="P69">
            <v>4.5818163863221502</v>
          </cell>
        </row>
        <row r="70">
          <cell r="A70" t="str">
            <v>Period 10</v>
          </cell>
          <cell r="B70" t="str">
            <v>--</v>
          </cell>
          <cell r="C70">
            <v>10.4133726847173</v>
          </cell>
          <cell r="D70" t="str">
            <v>--</v>
          </cell>
          <cell r="E70" t="str">
            <v>--</v>
          </cell>
          <cell r="F70">
            <v>9.65672229592818</v>
          </cell>
          <cell r="G70" t="str">
            <v>--</v>
          </cell>
          <cell r="H70" t="str">
            <v>--</v>
          </cell>
          <cell r="I70">
            <v>0.75665038878914004</v>
          </cell>
          <cell r="J70" t="str">
            <v>--</v>
          </cell>
          <cell r="K70" t="str">
            <v>--</v>
          </cell>
          <cell r="L70">
            <v>2.37501467704501</v>
          </cell>
          <cell r="M70" t="str">
            <v>--</v>
          </cell>
          <cell r="N70">
            <v>3.8137847988002598</v>
          </cell>
          <cell r="O70">
            <v>4.4440132764598701</v>
          </cell>
          <cell r="P70" t="str">
            <v>--</v>
          </cell>
        </row>
        <row r="71">
          <cell r="A71" t="str">
            <v>Period 11</v>
          </cell>
          <cell r="B71" t="str">
            <v>--</v>
          </cell>
          <cell r="C71">
            <v>3.6786962635918901</v>
          </cell>
          <cell r="D71" t="str">
            <v>--</v>
          </cell>
          <cell r="E71" t="str">
            <v>--</v>
          </cell>
          <cell r="F71">
            <v>2.1373055459205101</v>
          </cell>
          <cell r="G71" t="str">
            <v>--</v>
          </cell>
          <cell r="H71" t="str">
            <v>--</v>
          </cell>
          <cell r="I71">
            <v>1.5413907176713799</v>
          </cell>
          <cell r="J71" t="str">
            <v>--</v>
          </cell>
          <cell r="K71" t="str">
            <v>--</v>
          </cell>
          <cell r="L71">
            <v>-1.768454743653</v>
          </cell>
          <cell r="M71" t="str">
            <v>--</v>
          </cell>
          <cell r="N71">
            <v>3.7455182557467799</v>
          </cell>
          <cell r="O71">
            <v>3.9012878501436301</v>
          </cell>
          <cell r="P71" t="str">
            <v>--</v>
          </cell>
        </row>
        <row r="72">
          <cell r="A72" t="str">
            <v>Period 12</v>
          </cell>
          <cell r="B72" t="str">
            <v>--</v>
          </cell>
          <cell r="C72">
            <v>4.1067073997356003</v>
          </cell>
          <cell r="D72" t="str">
            <v>--</v>
          </cell>
          <cell r="E72" t="str">
            <v>--</v>
          </cell>
          <cell r="F72">
            <v>0.29921817940887302</v>
          </cell>
          <cell r="G72" t="str">
            <v>--</v>
          </cell>
          <cell r="H72" t="str">
            <v>--</v>
          </cell>
          <cell r="I72">
            <v>3.8074892203267199</v>
          </cell>
          <cell r="J72" t="str">
            <v>--</v>
          </cell>
          <cell r="K72" t="str">
            <v>--</v>
          </cell>
          <cell r="L72">
            <v>-2.11822505030274</v>
          </cell>
          <cell r="M72" t="str">
            <v>--</v>
          </cell>
          <cell r="N72">
            <v>3.9529754607057699</v>
          </cell>
          <cell r="O72">
            <v>4.02565790782063</v>
          </cell>
          <cell r="P72" t="str">
            <v>--</v>
          </cell>
        </row>
        <row r="73">
          <cell r="A73" t="str">
            <v>Period 13</v>
          </cell>
          <cell r="B73" t="str">
            <v>--</v>
          </cell>
          <cell r="C73">
            <v>6.0569420733136798</v>
          </cell>
          <cell r="D73" t="str">
            <v>--</v>
          </cell>
          <cell r="E73" t="str">
            <v>--</v>
          </cell>
          <cell r="F73">
            <v>2.4354494992261402</v>
          </cell>
          <cell r="G73" t="str">
            <v>--</v>
          </cell>
          <cell r="H73" t="str">
            <v>--</v>
          </cell>
          <cell r="I73">
            <v>3.6214925740875401</v>
          </cell>
          <cell r="J73" t="str">
            <v>--</v>
          </cell>
          <cell r="K73" t="str">
            <v>--</v>
          </cell>
          <cell r="L73">
            <v>-2.6693190289211399</v>
          </cell>
          <cell r="M73" t="str">
            <v>--</v>
          </cell>
          <cell r="N73">
            <v>3.9849419817752101</v>
          </cell>
          <cell r="O73">
            <v>3.9534140149862398</v>
          </cell>
          <cell r="P73" t="str">
            <v>--</v>
          </cell>
        </row>
        <row r="75">
          <cell r="A75" t="str">
            <v>CATEGORY - SOUP - Historical Statistics - 12 Week Data - TOTAL U.S. - FD / DG / MM</v>
          </cell>
        </row>
        <row r="77">
          <cell r="B77" t="str">
            <v>Category</v>
          </cell>
        </row>
        <row r="78">
          <cell r="B78" t="str">
            <v>Yr/Yr % Change</v>
          </cell>
        </row>
        <row r="79">
          <cell r="B79" t="str">
            <v>Sales</v>
          </cell>
          <cell r="D79" t="str">
            <v>Volume</v>
          </cell>
          <cell r="F79" t="str">
            <v>Price/Mix</v>
          </cell>
          <cell r="H79" t="str">
            <v>$ Merchandising</v>
          </cell>
        </row>
        <row r="80">
          <cell r="A80" t="str">
            <v>Date</v>
          </cell>
          <cell r="B80">
            <v>2005</v>
          </cell>
          <cell r="C80">
            <v>2006</v>
          </cell>
          <cell r="D80">
            <v>2005</v>
          </cell>
          <cell r="E80">
            <v>2006</v>
          </cell>
          <cell r="F80">
            <v>2005</v>
          </cell>
          <cell r="G80">
            <v>2006</v>
          </cell>
          <cell r="H80">
            <v>2005</v>
          </cell>
          <cell r="I80">
            <v>2006</v>
          </cell>
        </row>
        <row r="81">
          <cell r="A81" t="str">
            <v>Period 1</v>
          </cell>
          <cell r="B81" t="str">
            <v>--</v>
          </cell>
          <cell r="C81" t="str">
            <v>--</v>
          </cell>
          <cell r="D81" t="str">
            <v>--</v>
          </cell>
          <cell r="E81" t="str">
            <v>--</v>
          </cell>
          <cell r="F81" t="str">
            <v>--</v>
          </cell>
          <cell r="G81" t="str">
            <v>--</v>
          </cell>
          <cell r="H81" t="str">
            <v>--</v>
          </cell>
          <cell r="I81" t="str">
            <v>--</v>
          </cell>
        </row>
        <row r="82">
          <cell r="A82" t="str">
            <v>Period 2</v>
          </cell>
          <cell r="B82" t="str">
            <v>--</v>
          </cell>
          <cell r="C82" t="str">
            <v>--</v>
          </cell>
          <cell r="D82" t="str">
            <v>--</v>
          </cell>
          <cell r="E82" t="str">
            <v>--</v>
          </cell>
          <cell r="F82" t="str">
            <v>--</v>
          </cell>
          <cell r="G82" t="str">
            <v>--</v>
          </cell>
          <cell r="H82" t="str">
            <v>--</v>
          </cell>
          <cell r="I82" t="str">
            <v>--</v>
          </cell>
        </row>
        <row r="83">
          <cell r="A83" t="str">
            <v>Period 3</v>
          </cell>
          <cell r="B83" t="str">
            <v>--</v>
          </cell>
          <cell r="C83">
            <v>-0.31855478456525099</v>
          </cell>
          <cell r="D83" t="str">
            <v>--</v>
          </cell>
          <cell r="E83">
            <v>-6.1539767937479599</v>
          </cell>
          <cell r="F83" t="str">
            <v>--</v>
          </cell>
          <cell r="G83">
            <v>5.83542200918271</v>
          </cell>
          <cell r="H83" t="str">
            <v>--</v>
          </cell>
          <cell r="I83">
            <v>0.77497480859656798</v>
          </cell>
        </row>
        <row r="84">
          <cell r="A84" t="str">
            <v>Period 4</v>
          </cell>
          <cell r="B84" t="str">
            <v>--</v>
          </cell>
          <cell r="C84">
            <v>4.6334229125431596</v>
          </cell>
          <cell r="D84" t="str">
            <v>--</v>
          </cell>
          <cell r="E84">
            <v>0.33631297757239098</v>
          </cell>
          <cell r="F84" t="str">
            <v>--</v>
          </cell>
          <cell r="G84">
            <v>4.29710993497077</v>
          </cell>
          <cell r="H84" t="str">
            <v>--</v>
          </cell>
          <cell r="I84">
            <v>1.3007987240632499</v>
          </cell>
        </row>
        <row r="85">
          <cell r="A85" t="str">
            <v>Period 5</v>
          </cell>
          <cell r="B85" t="str">
            <v>--</v>
          </cell>
          <cell r="C85">
            <v>5.7853985862675197</v>
          </cell>
          <cell r="D85" t="str">
            <v>--</v>
          </cell>
          <cell r="E85">
            <v>2.4837669306977501</v>
          </cell>
          <cell r="F85" t="str">
            <v>--</v>
          </cell>
          <cell r="G85">
            <v>3.30163165556977</v>
          </cell>
          <cell r="H85" t="str">
            <v>--</v>
          </cell>
          <cell r="I85">
            <v>2.4534265861940301</v>
          </cell>
        </row>
        <row r="86">
          <cell r="A86" t="str">
            <v>Period 6</v>
          </cell>
          <cell r="B86" t="str">
            <v>--</v>
          </cell>
          <cell r="C86">
            <v>5.8918325246693897</v>
          </cell>
          <cell r="D86" t="str">
            <v>--</v>
          </cell>
          <cell r="E86">
            <v>3.4331299524324201</v>
          </cell>
          <cell r="F86" t="str">
            <v>--</v>
          </cell>
          <cell r="G86">
            <v>2.4587025722369602</v>
          </cell>
          <cell r="H86" t="str">
            <v>--</v>
          </cell>
          <cell r="I86">
            <v>2.5037371531355199</v>
          </cell>
        </row>
        <row r="87">
          <cell r="A87" t="str">
            <v>Period 7</v>
          </cell>
          <cell r="B87" t="str">
            <v>--</v>
          </cell>
          <cell r="C87">
            <v>3.87303468545382</v>
          </cell>
          <cell r="D87" t="str">
            <v>--</v>
          </cell>
          <cell r="E87">
            <v>-0.241846546461253</v>
          </cell>
          <cell r="F87" t="str">
            <v>--</v>
          </cell>
          <cell r="G87">
            <v>4.1148812319150796</v>
          </cell>
          <cell r="H87" t="str">
            <v>--</v>
          </cell>
          <cell r="I87">
            <v>0.225146857458874</v>
          </cell>
        </row>
        <row r="88">
          <cell r="A88" t="str">
            <v>Period 8</v>
          </cell>
          <cell r="B88" t="str">
            <v>--</v>
          </cell>
          <cell r="C88">
            <v>3.3784648059553199</v>
          </cell>
          <cell r="D88" t="str">
            <v>--</v>
          </cell>
          <cell r="E88">
            <v>-0.72709733382254405</v>
          </cell>
          <cell r="F88" t="str">
            <v>--</v>
          </cell>
          <cell r="G88">
            <v>4.1055621397778603</v>
          </cell>
          <cell r="H88" t="str">
            <v>--</v>
          </cell>
          <cell r="I88">
            <v>-0.31134253533329598</v>
          </cell>
        </row>
        <row r="89">
          <cell r="A89" t="str">
            <v>Period 9</v>
          </cell>
          <cell r="B89" t="str">
            <v>--</v>
          </cell>
          <cell r="C89">
            <v>4.76693150767146</v>
          </cell>
          <cell r="D89" t="str">
            <v>--</v>
          </cell>
          <cell r="E89">
            <v>1.5310008578216801</v>
          </cell>
          <cell r="F89" t="str">
            <v>--</v>
          </cell>
          <cell r="G89">
            <v>3.23593064984978</v>
          </cell>
          <cell r="H89" t="str">
            <v>--</v>
          </cell>
          <cell r="I89">
            <v>0.68124554960215999</v>
          </cell>
        </row>
        <row r="90">
          <cell r="A90" t="str">
            <v>Period 10</v>
          </cell>
          <cell r="B90" t="str">
            <v>--</v>
          </cell>
          <cell r="C90" t="str">
            <v>--</v>
          </cell>
          <cell r="D90" t="str">
            <v>--</v>
          </cell>
          <cell r="E90" t="str">
            <v>--</v>
          </cell>
          <cell r="F90" t="str">
            <v>--</v>
          </cell>
          <cell r="G90" t="str">
            <v>--</v>
          </cell>
          <cell r="H90" t="str">
            <v>--</v>
          </cell>
          <cell r="I90" t="str">
            <v>--</v>
          </cell>
        </row>
        <row r="91">
          <cell r="A91" t="str">
            <v>Period 11</v>
          </cell>
          <cell r="B91" t="str">
            <v>--</v>
          </cell>
          <cell r="C91" t="str">
            <v>--</v>
          </cell>
          <cell r="D91" t="str">
            <v>--</v>
          </cell>
          <cell r="E91" t="str">
            <v>--</v>
          </cell>
          <cell r="F91" t="str">
            <v>--</v>
          </cell>
          <cell r="G91" t="str">
            <v>--</v>
          </cell>
          <cell r="H91" t="str">
            <v>--</v>
          </cell>
          <cell r="I91" t="str">
            <v>--</v>
          </cell>
        </row>
        <row r="92">
          <cell r="A92" t="str">
            <v>Period 12</v>
          </cell>
          <cell r="B92" t="str">
            <v>--</v>
          </cell>
          <cell r="C92" t="str">
            <v>--</v>
          </cell>
          <cell r="D92" t="str">
            <v>--</v>
          </cell>
          <cell r="E92" t="str">
            <v>--</v>
          </cell>
          <cell r="F92" t="str">
            <v>--</v>
          </cell>
          <cell r="G92" t="str">
            <v>--</v>
          </cell>
          <cell r="H92" t="str">
            <v>--</v>
          </cell>
          <cell r="I92" t="str">
            <v>--</v>
          </cell>
        </row>
        <row r="93">
          <cell r="A93" t="str">
            <v>Period 13</v>
          </cell>
          <cell r="B93" t="str">
            <v>--</v>
          </cell>
          <cell r="C93" t="str">
            <v>--</v>
          </cell>
          <cell r="D93" t="str">
            <v>--</v>
          </cell>
          <cell r="E93" t="str">
            <v>--</v>
          </cell>
          <cell r="F93" t="str">
            <v>--</v>
          </cell>
          <cell r="G93" t="str">
            <v>--</v>
          </cell>
          <cell r="H93" t="str">
            <v>--</v>
          </cell>
          <cell r="I93" t="str">
            <v>--</v>
          </cell>
        </row>
        <row r="95">
          <cell r="B95" t="str">
            <v>CAMPBELL SOUP CO CONDENSED WET SOUP</v>
          </cell>
        </row>
        <row r="96">
          <cell r="B96" t="str">
            <v>Yr/Yr % Change</v>
          </cell>
        </row>
        <row r="97">
          <cell r="B97" t="str">
            <v>Sales</v>
          </cell>
          <cell r="D97" t="str">
            <v>Volume</v>
          </cell>
          <cell r="F97" t="str">
            <v>Price/Mix</v>
          </cell>
          <cell r="H97" t="str">
            <v>$ Merchandising</v>
          </cell>
          <cell r="J97" t="str">
            <v>$ Share</v>
          </cell>
        </row>
        <row r="98">
          <cell r="A98" t="str">
            <v>Date</v>
          </cell>
          <cell r="B98">
            <v>2005</v>
          </cell>
          <cell r="C98">
            <v>2006</v>
          </cell>
          <cell r="D98">
            <v>2005</v>
          </cell>
          <cell r="E98">
            <v>2006</v>
          </cell>
          <cell r="F98">
            <v>2005</v>
          </cell>
          <cell r="G98">
            <v>2006</v>
          </cell>
          <cell r="H98">
            <v>2005</v>
          </cell>
          <cell r="I98">
            <v>2006</v>
          </cell>
          <cell r="J98">
            <v>2005</v>
          </cell>
          <cell r="K98">
            <v>2006</v>
          </cell>
        </row>
        <row r="99">
          <cell r="A99" t="str">
            <v>Period 1</v>
          </cell>
          <cell r="B99" t="str">
            <v>--</v>
          </cell>
          <cell r="C99" t="str">
            <v>--</v>
          </cell>
          <cell r="D99" t="str">
            <v>--</v>
          </cell>
          <cell r="E99" t="str">
            <v>--</v>
          </cell>
          <cell r="F99" t="str">
            <v>--</v>
          </cell>
          <cell r="G99" t="str">
            <v>--</v>
          </cell>
          <cell r="H99" t="str">
            <v>--</v>
          </cell>
          <cell r="I99" t="str">
            <v>--</v>
          </cell>
          <cell r="J99" t="str">
            <v>--</v>
          </cell>
          <cell r="K99" t="str">
            <v>--</v>
          </cell>
        </row>
        <row r="100">
          <cell r="A100" t="str">
            <v>Period 2</v>
          </cell>
          <cell r="B100" t="str">
            <v>--</v>
          </cell>
          <cell r="C100" t="str">
            <v>--</v>
          </cell>
          <cell r="D100" t="str">
            <v>--</v>
          </cell>
          <cell r="E100" t="str">
            <v>--</v>
          </cell>
          <cell r="F100" t="str">
            <v>--</v>
          </cell>
          <cell r="G100" t="str">
            <v>--</v>
          </cell>
          <cell r="H100" t="str">
            <v>--</v>
          </cell>
          <cell r="I100" t="str">
            <v>--</v>
          </cell>
          <cell r="J100" t="str">
            <v>--</v>
          </cell>
          <cell r="K100">
            <v>26.0496940255133</v>
          </cell>
        </row>
        <row r="101">
          <cell r="A101" t="str">
            <v>Period 3</v>
          </cell>
          <cell r="B101" t="str">
            <v>--</v>
          </cell>
          <cell r="C101">
            <v>-4.0716060569235202</v>
          </cell>
          <cell r="D101" t="str">
            <v>--</v>
          </cell>
          <cell r="E101">
            <v>-10.7883489631679</v>
          </cell>
          <cell r="F101" t="str">
            <v>--</v>
          </cell>
          <cell r="G101">
            <v>6.7167429062443702</v>
          </cell>
          <cell r="H101" t="str">
            <v>--</v>
          </cell>
          <cell r="I101">
            <v>2.0744221396889899</v>
          </cell>
          <cell r="J101">
            <v>26.620657902096699</v>
          </cell>
          <cell r="K101">
            <v>25.618378151892902</v>
          </cell>
        </row>
        <row r="102">
          <cell r="A102" t="str">
            <v>Period 4</v>
          </cell>
          <cell r="B102" t="str">
            <v>--</v>
          </cell>
          <cell r="C102">
            <v>1.0014898904027301</v>
          </cell>
          <cell r="D102" t="str">
            <v>--</v>
          </cell>
          <cell r="E102">
            <v>-5.0954079813493003</v>
          </cell>
          <cell r="F102" t="str">
            <v>--</v>
          </cell>
          <cell r="G102">
            <v>6.0968978717520299</v>
          </cell>
          <cell r="H102" t="str">
            <v>--</v>
          </cell>
          <cell r="I102">
            <v>1.6808689163124999</v>
          </cell>
          <cell r="J102">
            <v>27.756695066097802</v>
          </cell>
          <cell r="K102">
            <v>26.793231818983099</v>
          </cell>
        </row>
        <row r="103">
          <cell r="A103" t="str">
            <v>Period 5</v>
          </cell>
          <cell r="B103" t="str">
            <v>--</v>
          </cell>
          <cell r="C103">
            <v>3.1461792235304</v>
          </cell>
          <cell r="D103" t="str">
            <v>--</v>
          </cell>
          <cell r="E103">
            <v>-2.4328055233656198</v>
          </cell>
          <cell r="F103" t="str">
            <v>--</v>
          </cell>
          <cell r="G103">
            <v>5.5789847468960199</v>
          </cell>
          <cell r="H103" t="str">
            <v>--</v>
          </cell>
          <cell r="I103">
            <v>3.0229452375439001</v>
          </cell>
          <cell r="J103">
            <v>28.4918376590342</v>
          </cell>
          <cell r="K103">
            <v>27.7810003352199</v>
          </cell>
        </row>
        <row r="104">
          <cell r="A104" t="str">
            <v>Period 6</v>
          </cell>
          <cell r="B104" t="str">
            <v>--</v>
          </cell>
          <cell r="C104">
            <v>5.0007144572117896</v>
          </cell>
          <cell r="D104" t="str">
            <v>--</v>
          </cell>
          <cell r="E104">
            <v>-0.38885488815347402</v>
          </cell>
          <cell r="F104" t="str">
            <v>--</v>
          </cell>
          <cell r="G104">
            <v>5.3895693453652598</v>
          </cell>
          <cell r="H104" t="str">
            <v>--</v>
          </cell>
          <cell r="I104">
            <v>3.2624976119254998</v>
          </cell>
          <cell r="J104">
            <v>28.780570070949601</v>
          </cell>
          <cell r="K104">
            <v>28.538371165042701</v>
          </cell>
        </row>
        <row r="105">
          <cell r="A105" t="str">
            <v>Period 7</v>
          </cell>
          <cell r="B105" t="str">
            <v>--</v>
          </cell>
          <cell r="C105">
            <v>1.2739683293944399</v>
          </cell>
          <cell r="D105" t="str">
            <v>--</v>
          </cell>
          <cell r="E105">
            <v>-5.4447398087189596</v>
          </cell>
          <cell r="F105" t="str">
            <v>--</v>
          </cell>
          <cell r="G105">
            <v>6.7187081381133904</v>
          </cell>
          <cell r="H105" t="str">
            <v>--</v>
          </cell>
          <cell r="I105">
            <v>-1.19645676914646</v>
          </cell>
          <cell r="J105">
            <v>29.1715783064767</v>
          </cell>
          <cell r="K105">
            <v>28.441659632596501</v>
          </cell>
        </row>
        <row r="106">
          <cell r="A106" t="str">
            <v>Period 8</v>
          </cell>
          <cell r="B106" t="str">
            <v>--</v>
          </cell>
          <cell r="C106">
            <v>0.57673337063040298</v>
          </cell>
          <cell r="D106" t="str">
            <v>--</v>
          </cell>
          <cell r="E106">
            <v>-6.07057453315125</v>
          </cell>
          <cell r="F106" t="str">
            <v>--</v>
          </cell>
          <cell r="G106">
            <v>6.64730790378165</v>
          </cell>
          <cell r="H106" t="str">
            <v>--</v>
          </cell>
          <cell r="I106">
            <v>-0.81913293456257597</v>
          </cell>
          <cell r="J106">
            <v>29.3481699633858</v>
          </cell>
          <cell r="K106">
            <v>28.5527848654351</v>
          </cell>
        </row>
        <row r="107">
          <cell r="A107" t="str">
            <v>Period 9</v>
          </cell>
          <cell r="B107" t="str">
            <v>--</v>
          </cell>
          <cell r="C107">
            <v>2.8667233885283601</v>
          </cell>
          <cell r="D107" t="str">
            <v>--</v>
          </cell>
          <cell r="E107">
            <v>-2.70075863203129</v>
          </cell>
          <cell r="F107" t="str">
            <v>--</v>
          </cell>
          <cell r="G107">
            <v>5.5674820205596403</v>
          </cell>
          <cell r="H107" t="str">
            <v>--</v>
          </cell>
          <cell r="I107">
            <v>3.0593339869532499</v>
          </cell>
          <cell r="J107">
            <v>29.0653742964912</v>
          </cell>
          <cell r="K107">
            <v>28.538201653088102</v>
          </cell>
        </row>
        <row r="108">
          <cell r="A108" t="str">
            <v>Period 10</v>
          </cell>
          <cell r="B108" t="str">
            <v>--</v>
          </cell>
          <cell r="C108" t="str">
            <v>--</v>
          </cell>
          <cell r="D108" t="str">
            <v>--</v>
          </cell>
          <cell r="E108" t="str">
            <v>--</v>
          </cell>
          <cell r="F108" t="str">
            <v>--</v>
          </cell>
          <cell r="G108" t="str">
            <v>--</v>
          </cell>
          <cell r="H108" t="str">
            <v>--</v>
          </cell>
          <cell r="I108" t="str">
            <v>--</v>
          </cell>
          <cell r="J108" t="str">
            <v>--</v>
          </cell>
          <cell r="K108" t="str">
            <v>--</v>
          </cell>
        </row>
        <row r="109">
          <cell r="A109" t="str">
            <v>Period 11</v>
          </cell>
          <cell r="B109" t="str">
            <v>--</v>
          </cell>
          <cell r="C109" t="str">
            <v>--</v>
          </cell>
          <cell r="D109" t="str">
            <v>--</v>
          </cell>
          <cell r="E109" t="str">
            <v>--</v>
          </cell>
          <cell r="F109" t="str">
            <v>--</v>
          </cell>
          <cell r="G109" t="str">
            <v>--</v>
          </cell>
          <cell r="H109" t="str">
            <v>--</v>
          </cell>
          <cell r="I109" t="str">
            <v>--</v>
          </cell>
          <cell r="J109" t="str">
            <v>--</v>
          </cell>
          <cell r="K109" t="str">
            <v>--</v>
          </cell>
        </row>
        <row r="110">
          <cell r="A110" t="str">
            <v>Period 12</v>
          </cell>
          <cell r="B110" t="str">
            <v>--</v>
          </cell>
          <cell r="C110" t="str">
            <v>--</v>
          </cell>
          <cell r="D110" t="str">
            <v>--</v>
          </cell>
          <cell r="E110" t="str">
            <v>--</v>
          </cell>
          <cell r="F110" t="str">
            <v>--</v>
          </cell>
          <cell r="G110" t="str">
            <v>--</v>
          </cell>
          <cell r="H110" t="str">
            <v>--</v>
          </cell>
          <cell r="I110" t="str">
            <v>--</v>
          </cell>
          <cell r="J110" t="str">
            <v>--</v>
          </cell>
          <cell r="K110" t="str">
            <v>--</v>
          </cell>
        </row>
        <row r="111">
          <cell r="A111" t="str">
            <v>Period 13</v>
          </cell>
          <cell r="B111" t="str">
            <v>--</v>
          </cell>
          <cell r="C111" t="str">
            <v>--</v>
          </cell>
          <cell r="D111" t="str">
            <v>--</v>
          </cell>
          <cell r="E111" t="str">
            <v>--</v>
          </cell>
          <cell r="F111" t="str">
            <v>--</v>
          </cell>
          <cell r="G111" t="str">
            <v>--</v>
          </cell>
          <cell r="H111" t="str">
            <v>--</v>
          </cell>
          <cell r="I111" t="str">
            <v>--</v>
          </cell>
          <cell r="J111" t="str">
            <v>--</v>
          </cell>
          <cell r="K111" t="str">
            <v>--</v>
          </cell>
        </row>
        <row r="113">
          <cell r="B113" t="str">
            <v>CASTLEBERRYS FOOD CO RTS WET SOUP</v>
          </cell>
        </row>
        <row r="114">
          <cell r="B114" t="str">
            <v>Yr/Yr % Change</v>
          </cell>
        </row>
        <row r="115">
          <cell r="B115" t="str">
            <v>Sales</v>
          </cell>
          <cell r="D115" t="str">
            <v>Volume</v>
          </cell>
          <cell r="F115" t="str">
            <v>Price/Mix</v>
          </cell>
          <cell r="H115" t="str">
            <v>$ Merchandising</v>
          </cell>
          <cell r="J115" t="str">
            <v>$ Share</v>
          </cell>
        </row>
        <row r="116">
          <cell r="A116" t="str">
            <v>Date</v>
          </cell>
          <cell r="B116">
            <v>2005</v>
          </cell>
          <cell r="C116">
            <v>2006</v>
          </cell>
          <cell r="D116">
            <v>2005</v>
          </cell>
          <cell r="E116">
            <v>2006</v>
          </cell>
          <cell r="F116">
            <v>2005</v>
          </cell>
          <cell r="G116">
            <v>2006</v>
          </cell>
          <cell r="H116">
            <v>2005</v>
          </cell>
          <cell r="I116">
            <v>2006</v>
          </cell>
          <cell r="J116">
            <v>2005</v>
          </cell>
          <cell r="K116">
            <v>2006</v>
          </cell>
        </row>
        <row r="117">
          <cell r="A117" t="str">
            <v>Period 1</v>
          </cell>
          <cell r="B117" t="str">
            <v>--</v>
          </cell>
          <cell r="C117" t="str">
            <v>--</v>
          </cell>
          <cell r="D117" t="str">
            <v>--</v>
          </cell>
          <cell r="E117" t="str">
            <v>--</v>
          </cell>
          <cell r="F117" t="str">
            <v>--</v>
          </cell>
          <cell r="G117" t="str">
            <v>--</v>
          </cell>
          <cell r="H117" t="str">
            <v>--</v>
          </cell>
          <cell r="I117" t="str">
            <v>--</v>
          </cell>
          <cell r="J117" t="str">
            <v>--</v>
          </cell>
          <cell r="K117" t="str">
            <v>--</v>
          </cell>
        </row>
        <row r="118">
          <cell r="A118" t="str">
            <v>Period 2</v>
          </cell>
          <cell r="B118" t="str">
            <v>--</v>
          </cell>
          <cell r="C118" t="str">
            <v>--</v>
          </cell>
          <cell r="D118" t="str">
            <v>--</v>
          </cell>
          <cell r="E118" t="str">
            <v>--</v>
          </cell>
          <cell r="F118" t="str">
            <v>--</v>
          </cell>
          <cell r="G118" t="str">
            <v>--</v>
          </cell>
          <cell r="H118" t="str">
            <v>--</v>
          </cell>
          <cell r="I118" t="str">
            <v>--</v>
          </cell>
          <cell r="J118" t="str">
            <v>--</v>
          </cell>
          <cell r="K118">
            <v>1.2940171693008E-2</v>
          </cell>
        </row>
        <row r="119">
          <cell r="A119" t="str">
            <v>Period 3</v>
          </cell>
          <cell r="B119" t="str">
            <v>--</v>
          </cell>
          <cell r="C119">
            <v>-2.1838819700774699</v>
          </cell>
          <cell r="D119" t="str">
            <v>--</v>
          </cell>
          <cell r="E119">
            <v>-4.1735705295111698</v>
          </cell>
          <cell r="F119" t="str">
            <v>--</v>
          </cell>
          <cell r="G119">
            <v>1.9896885594336999</v>
          </cell>
          <cell r="H119" t="str">
            <v>--</v>
          </cell>
          <cell r="I119">
            <v>-9.2415327577191793</v>
          </cell>
          <cell r="J119">
            <v>1.3778241522745999E-2</v>
          </cell>
          <cell r="K119">
            <v>1.3520410906172E-2</v>
          </cell>
        </row>
        <row r="120">
          <cell r="A120" t="str">
            <v>Period 4</v>
          </cell>
          <cell r="B120" t="str">
            <v>--</v>
          </cell>
          <cell r="C120">
            <v>16.2092410943754</v>
          </cell>
          <cell r="D120" t="str">
            <v>--</v>
          </cell>
          <cell r="E120">
            <v>12.8926803105576</v>
          </cell>
          <cell r="F120" t="str">
            <v>--</v>
          </cell>
          <cell r="G120">
            <v>3.3165607838178301</v>
          </cell>
          <cell r="H120" t="str">
            <v>--</v>
          </cell>
          <cell r="I120">
            <v>-9.8808988553856096</v>
          </cell>
          <cell r="J120">
            <v>1.3176385582576E-2</v>
          </cell>
          <cell r="K120">
            <v>1.463411715201E-2</v>
          </cell>
        </row>
        <row r="121">
          <cell r="A121" t="str">
            <v>Period 5</v>
          </cell>
          <cell r="B121" t="str">
            <v>--</v>
          </cell>
          <cell r="C121">
            <v>25.364637623083699</v>
          </cell>
          <cell r="D121" t="str">
            <v>--</v>
          </cell>
          <cell r="E121">
            <v>17.504597162166402</v>
          </cell>
          <cell r="F121" t="str">
            <v>--</v>
          </cell>
          <cell r="G121">
            <v>7.8600404609173102</v>
          </cell>
          <cell r="H121" t="str">
            <v>--</v>
          </cell>
          <cell r="I121">
            <v>-6.8507678764139097</v>
          </cell>
          <cell r="J121">
            <v>1.3412809513917E-2</v>
          </cell>
          <cell r="K121">
            <v>1.5895312837984999E-2</v>
          </cell>
        </row>
        <row r="122">
          <cell r="A122" t="str">
            <v>Period 6</v>
          </cell>
          <cell r="B122" t="str">
            <v>--</v>
          </cell>
          <cell r="C122">
            <v>33.080078624187003</v>
          </cell>
          <cell r="D122" t="str">
            <v>--</v>
          </cell>
          <cell r="E122">
            <v>23.3243747997277</v>
          </cell>
          <cell r="F122" t="str">
            <v>--</v>
          </cell>
          <cell r="G122">
            <v>9.7557038244593599</v>
          </cell>
          <cell r="H122" t="str">
            <v>--</v>
          </cell>
          <cell r="I122">
            <v>-5.3787433063042203</v>
          </cell>
          <cell r="J122">
            <v>1.2156811240939E-2</v>
          </cell>
          <cell r="K122">
            <v>1.5278132006891E-2</v>
          </cell>
        </row>
        <row r="123">
          <cell r="A123" t="str">
            <v>Period 7</v>
          </cell>
          <cell r="B123" t="str">
            <v>--</v>
          </cell>
          <cell r="C123">
            <v>42.057364163542502</v>
          </cell>
          <cell r="D123" t="str">
            <v>--</v>
          </cell>
          <cell r="E123">
            <v>28.559193621546399</v>
          </cell>
          <cell r="F123" t="str">
            <v>--</v>
          </cell>
          <cell r="G123">
            <v>13.4981705419961</v>
          </cell>
          <cell r="H123" t="str">
            <v>--</v>
          </cell>
          <cell r="I123">
            <v>-7.1684457351204101</v>
          </cell>
          <cell r="J123">
            <v>1.1000174681795E-2</v>
          </cell>
          <cell r="K123">
            <v>1.5043902639086001E-2</v>
          </cell>
        </row>
        <row r="124">
          <cell r="A124" t="str">
            <v>Period 8</v>
          </cell>
          <cell r="B124" t="str">
            <v>--</v>
          </cell>
          <cell r="C124">
            <v>41.726322612403301</v>
          </cell>
          <cell r="D124" t="str">
            <v>--</v>
          </cell>
          <cell r="E124">
            <v>33.100619664687898</v>
          </cell>
          <cell r="F124" t="str">
            <v>--</v>
          </cell>
          <cell r="G124">
            <v>8.6257029477154195</v>
          </cell>
          <cell r="H124" t="str">
            <v>--</v>
          </cell>
          <cell r="I124">
            <v>-4.5753331983610499</v>
          </cell>
          <cell r="J124">
            <v>1.057635534916E-2</v>
          </cell>
          <cell r="K124">
            <v>1.4499615109318E-2</v>
          </cell>
        </row>
        <row r="125">
          <cell r="A125" t="str">
            <v>Period 9</v>
          </cell>
          <cell r="B125" t="str">
            <v>--</v>
          </cell>
          <cell r="C125">
            <v>40.608419647012198</v>
          </cell>
          <cell r="D125" t="str">
            <v>--</v>
          </cell>
          <cell r="E125">
            <v>38.128327440577003</v>
          </cell>
          <cell r="F125" t="str">
            <v>--</v>
          </cell>
          <cell r="G125">
            <v>2.48009220643524</v>
          </cell>
          <cell r="H125" t="str">
            <v>--</v>
          </cell>
          <cell r="I125">
            <v>2.1616976157064198</v>
          </cell>
          <cell r="J125">
            <v>1.1730216778904E-2</v>
          </cell>
          <cell r="K125">
            <v>1.5743204651152001E-2</v>
          </cell>
        </row>
        <row r="126">
          <cell r="A126" t="str">
            <v>Period 10</v>
          </cell>
          <cell r="B126" t="str">
            <v>--</v>
          </cell>
          <cell r="C126" t="str">
            <v>--</v>
          </cell>
          <cell r="D126" t="str">
            <v>--</v>
          </cell>
          <cell r="E126" t="str">
            <v>--</v>
          </cell>
          <cell r="F126" t="str">
            <v>--</v>
          </cell>
          <cell r="G126" t="str">
            <v>--</v>
          </cell>
          <cell r="H126" t="str">
            <v>--</v>
          </cell>
          <cell r="I126" t="str">
            <v>--</v>
          </cell>
          <cell r="J126" t="str">
            <v>--</v>
          </cell>
          <cell r="K126" t="str">
            <v>--</v>
          </cell>
        </row>
        <row r="127">
          <cell r="A127" t="str">
            <v>Period 11</v>
          </cell>
          <cell r="B127" t="str">
            <v>--</v>
          </cell>
          <cell r="C127" t="str">
            <v>--</v>
          </cell>
          <cell r="D127" t="str">
            <v>--</v>
          </cell>
          <cell r="E127" t="str">
            <v>--</v>
          </cell>
          <cell r="F127" t="str">
            <v>--</v>
          </cell>
          <cell r="G127" t="str">
            <v>--</v>
          </cell>
          <cell r="H127" t="str">
            <v>--</v>
          </cell>
          <cell r="I127" t="str">
            <v>--</v>
          </cell>
          <cell r="J127" t="str">
            <v>--</v>
          </cell>
          <cell r="K127" t="str">
            <v>--</v>
          </cell>
        </row>
        <row r="128">
          <cell r="A128" t="str">
            <v>Period 12</v>
          </cell>
          <cell r="B128" t="str">
            <v>--</v>
          </cell>
          <cell r="C128" t="str">
            <v>--</v>
          </cell>
          <cell r="D128" t="str">
            <v>--</v>
          </cell>
          <cell r="E128" t="str">
            <v>--</v>
          </cell>
          <cell r="F128" t="str">
            <v>--</v>
          </cell>
          <cell r="G128" t="str">
            <v>--</v>
          </cell>
          <cell r="H128" t="str">
            <v>--</v>
          </cell>
          <cell r="I128" t="str">
            <v>--</v>
          </cell>
          <cell r="J128" t="str">
            <v>--</v>
          </cell>
          <cell r="K128" t="str">
            <v>--</v>
          </cell>
        </row>
        <row r="129">
          <cell r="A129" t="str">
            <v>Period 13</v>
          </cell>
          <cell r="B129" t="str">
            <v>--</v>
          </cell>
          <cell r="C129" t="str">
            <v>--</v>
          </cell>
          <cell r="D129" t="str">
            <v>--</v>
          </cell>
          <cell r="E129" t="str">
            <v>--</v>
          </cell>
          <cell r="F129" t="str">
            <v>--</v>
          </cell>
          <cell r="G129" t="str">
            <v>--</v>
          </cell>
          <cell r="H129" t="str">
            <v>--</v>
          </cell>
          <cell r="I129" t="str">
            <v>--</v>
          </cell>
          <cell r="J129" t="str">
            <v>--</v>
          </cell>
          <cell r="K129" t="str">
            <v>--</v>
          </cell>
        </row>
        <row r="131">
          <cell r="B131" t="str">
            <v>PRIVATE LABEL CONDENSED WET SOUP</v>
          </cell>
        </row>
        <row r="132">
          <cell r="B132" t="str">
            <v>Yr/Yr % Change</v>
          </cell>
        </row>
        <row r="133">
          <cell r="B133" t="str">
            <v>Sales</v>
          </cell>
          <cell r="D133" t="str">
            <v>Volume</v>
          </cell>
          <cell r="F133" t="str">
            <v>Price/Mix</v>
          </cell>
          <cell r="H133" t="str">
            <v>$ Merchandising</v>
          </cell>
          <cell r="J133" t="str">
            <v>$ Share</v>
          </cell>
        </row>
        <row r="134">
          <cell r="A134" t="str">
            <v>Date</v>
          </cell>
          <cell r="B134">
            <v>2005</v>
          </cell>
          <cell r="C134">
            <v>2006</v>
          </cell>
          <cell r="D134">
            <v>2005</v>
          </cell>
          <cell r="E134">
            <v>2006</v>
          </cell>
          <cell r="F134">
            <v>2005</v>
          </cell>
          <cell r="G134">
            <v>2006</v>
          </cell>
          <cell r="H134">
            <v>2005</v>
          </cell>
          <cell r="I134">
            <v>2006</v>
          </cell>
          <cell r="J134">
            <v>2005</v>
          </cell>
          <cell r="K134">
            <v>2006</v>
          </cell>
        </row>
        <row r="135">
          <cell r="A135" t="str">
            <v>Period 1</v>
          </cell>
          <cell r="B135" t="str">
            <v>--</v>
          </cell>
          <cell r="C135" t="str">
            <v>--</v>
          </cell>
          <cell r="D135" t="str">
            <v>--</v>
          </cell>
          <cell r="E135" t="str">
            <v>--</v>
          </cell>
          <cell r="F135" t="str">
            <v>--</v>
          </cell>
          <cell r="G135" t="str">
            <v>--</v>
          </cell>
          <cell r="H135" t="str">
            <v>--</v>
          </cell>
          <cell r="I135" t="str">
            <v>--</v>
          </cell>
          <cell r="J135" t="str">
            <v>--</v>
          </cell>
          <cell r="K135" t="str">
            <v>--</v>
          </cell>
        </row>
        <row r="136">
          <cell r="A136" t="str">
            <v>Period 2</v>
          </cell>
          <cell r="B136" t="str">
            <v>--</v>
          </cell>
          <cell r="C136" t="str">
            <v>--</v>
          </cell>
          <cell r="D136" t="str">
            <v>--</v>
          </cell>
          <cell r="E136" t="str">
            <v>--</v>
          </cell>
          <cell r="F136" t="str">
            <v>--</v>
          </cell>
          <cell r="G136" t="str">
            <v>--</v>
          </cell>
          <cell r="H136" t="str">
            <v>--</v>
          </cell>
          <cell r="I136" t="str">
            <v>--</v>
          </cell>
          <cell r="J136" t="str">
            <v>--</v>
          </cell>
          <cell r="K136">
            <v>3.79640966473396</v>
          </cell>
        </row>
        <row r="137">
          <cell r="A137" t="str">
            <v>Period 3</v>
          </cell>
          <cell r="B137" t="str">
            <v>--</v>
          </cell>
          <cell r="C137">
            <v>-2.74037386487618</v>
          </cell>
          <cell r="D137" t="str">
            <v>--</v>
          </cell>
          <cell r="E137">
            <v>-9.6008524882334196</v>
          </cell>
          <cell r="F137" t="str">
            <v>--</v>
          </cell>
          <cell r="G137">
            <v>6.8604786233572401</v>
          </cell>
          <cell r="H137" t="str">
            <v>--</v>
          </cell>
          <cell r="I137">
            <v>-3.2319753260819701</v>
          </cell>
          <cell r="J137">
            <v>3.9735087885221998</v>
          </cell>
          <cell r="K137">
            <v>3.8769700658037598</v>
          </cell>
        </row>
        <row r="138">
          <cell r="A138" t="str">
            <v>Period 4</v>
          </cell>
          <cell r="B138" t="str">
            <v>--</v>
          </cell>
          <cell r="C138">
            <v>2.81337246008786</v>
          </cell>
          <cell r="D138" t="str">
            <v>--</v>
          </cell>
          <cell r="E138">
            <v>-3.0125219326501198</v>
          </cell>
          <cell r="F138" t="str">
            <v>--</v>
          </cell>
          <cell r="G138">
            <v>5.8258943927379798</v>
          </cell>
          <cell r="H138" t="str">
            <v>--</v>
          </cell>
          <cell r="I138">
            <v>-4.8199158739962E-2</v>
          </cell>
          <cell r="J138">
            <v>4.3162617891416799</v>
          </cell>
          <cell r="K138">
            <v>4.24118239286876</v>
          </cell>
        </row>
        <row r="139">
          <cell r="A139" t="str">
            <v>Period 5</v>
          </cell>
          <cell r="B139" t="str">
            <v>--</v>
          </cell>
          <cell r="C139">
            <v>3.2602609655478001</v>
          </cell>
          <cell r="D139" t="str">
            <v>--</v>
          </cell>
          <cell r="E139">
            <v>0.90419084978776898</v>
          </cell>
          <cell r="F139" t="str">
            <v>--</v>
          </cell>
          <cell r="G139">
            <v>2.3560701157600401</v>
          </cell>
          <cell r="H139" t="str">
            <v>--</v>
          </cell>
          <cell r="I139">
            <v>0.79422007777691705</v>
          </cell>
          <cell r="J139">
            <v>4.6886997997248097</v>
          </cell>
          <cell r="K139">
            <v>4.5767787556603903</v>
          </cell>
        </row>
        <row r="140">
          <cell r="A140" t="str">
            <v>Period 6</v>
          </cell>
          <cell r="B140" t="str">
            <v>--</v>
          </cell>
          <cell r="C140">
            <v>3.6322953381698002</v>
          </cell>
          <cell r="D140" t="str">
            <v>--</v>
          </cell>
          <cell r="E140">
            <v>2.5240095901209498</v>
          </cell>
          <cell r="F140" t="str">
            <v>--</v>
          </cell>
          <cell r="G140">
            <v>1.1082857480488599</v>
          </cell>
          <cell r="H140" t="str">
            <v>--</v>
          </cell>
          <cell r="I140">
            <v>3.6532533786384902</v>
          </cell>
          <cell r="J140">
            <v>4.9538712993375</v>
          </cell>
          <cell r="K140">
            <v>4.8481647858972101</v>
          </cell>
        </row>
        <row r="141">
          <cell r="A141" t="str">
            <v>Period 7</v>
          </cell>
          <cell r="B141" t="str">
            <v>--</v>
          </cell>
          <cell r="C141">
            <v>1.74058946873454</v>
          </cell>
          <cell r="D141" t="str">
            <v>--</v>
          </cell>
          <cell r="E141">
            <v>1.06157605616652</v>
          </cell>
          <cell r="F141" t="str">
            <v>--</v>
          </cell>
          <cell r="G141">
            <v>0.67901341256801295</v>
          </cell>
          <cell r="H141" t="str">
            <v>--</v>
          </cell>
          <cell r="I141">
            <v>0.85006065047861101</v>
          </cell>
          <cell r="J141">
            <v>5.1258601745690697</v>
          </cell>
          <cell r="K141">
            <v>5.0206296299534099</v>
          </cell>
        </row>
        <row r="142">
          <cell r="A142" t="str">
            <v>Period 8</v>
          </cell>
          <cell r="B142" t="str">
            <v>--</v>
          </cell>
          <cell r="C142">
            <v>1.61790911014121</v>
          </cell>
          <cell r="D142" t="str">
            <v>--</v>
          </cell>
          <cell r="E142">
            <v>0.42528412847070202</v>
          </cell>
          <cell r="F142" t="str">
            <v>--</v>
          </cell>
          <cell r="G142">
            <v>1.1926249816705099</v>
          </cell>
          <cell r="H142" t="str">
            <v>--</v>
          </cell>
          <cell r="I142">
            <v>-1.56441013885941</v>
          </cell>
          <cell r="J142">
            <v>5.2421988937072799</v>
          </cell>
          <cell r="K142">
            <v>5.1529232100508198</v>
          </cell>
        </row>
        <row r="143">
          <cell r="A143" t="str">
            <v>Period 9</v>
          </cell>
          <cell r="B143" t="str">
            <v>--</v>
          </cell>
          <cell r="C143">
            <v>0.85106528589113095</v>
          </cell>
          <cell r="D143" t="str">
            <v>--</v>
          </cell>
          <cell r="E143">
            <v>-0.838612418230259</v>
          </cell>
          <cell r="F143" t="str">
            <v>--</v>
          </cell>
          <cell r="G143">
            <v>1.68967770412139</v>
          </cell>
          <cell r="H143" t="str">
            <v>--</v>
          </cell>
          <cell r="I143">
            <v>-3.2913279896577201</v>
          </cell>
          <cell r="J143">
            <v>5.1632702065394502</v>
          </cell>
          <cell r="K143">
            <v>4.9702830196022099</v>
          </cell>
        </row>
        <row r="144">
          <cell r="A144" t="str">
            <v>Period 10</v>
          </cell>
          <cell r="B144" t="str">
            <v>--</v>
          </cell>
          <cell r="C144" t="str">
            <v>--</v>
          </cell>
          <cell r="D144" t="str">
            <v>--</v>
          </cell>
          <cell r="E144" t="str">
            <v>--</v>
          </cell>
          <cell r="F144" t="str">
            <v>--</v>
          </cell>
          <cell r="G144" t="str">
            <v>--</v>
          </cell>
          <cell r="H144" t="str">
            <v>--</v>
          </cell>
          <cell r="I144" t="str">
            <v>--</v>
          </cell>
          <cell r="J144" t="str">
            <v>--</v>
          </cell>
          <cell r="K144" t="str">
            <v>--</v>
          </cell>
        </row>
        <row r="145">
          <cell r="A145" t="str">
            <v>Period 11</v>
          </cell>
          <cell r="B145" t="str">
            <v>--</v>
          </cell>
          <cell r="C145" t="str">
            <v>--</v>
          </cell>
          <cell r="D145" t="str">
            <v>--</v>
          </cell>
          <cell r="E145" t="str">
            <v>--</v>
          </cell>
          <cell r="F145" t="str">
            <v>--</v>
          </cell>
          <cell r="G145" t="str">
            <v>--</v>
          </cell>
          <cell r="H145" t="str">
            <v>--</v>
          </cell>
          <cell r="I145" t="str">
            <v>--</v>
          </cell>
          <cell r="J145" t="str">
            <v>--</v>
          </cell>
          <cell r="K145" t="str">
            <v>--</v>
          </cell>
        </row>
        <row r="146">
          <cell r="A146" t="str">
            <v>Period 12</v>
          </cell>
          <cell r="B146" t="str">
            <v>--</v>
          </cell>
          <cell r="C146" t="str">
            <v>--</v>
          </cell>
          <cell r="D146" t="str">
            <v>--</v>
          </cell>
          <cell r="E146" t="str">
            <v>--</v>
          </cell>
          <cell r="F146" t="str">
            <v>--</v>
          </cell>
          <cell r="G146" t="str">
            <v>--</v>
          </cell>
          <cell r="H146" t="str">
            <v>--</v>
          </cell>
          <cell r="I146" t="str">
            <v>--</v>
          </cell>
          <cell r="J146" t="str">
            <v>--</v>
          </cell>
          <cell r="K146" t="str">
            <v>--</v>
          </cell>
        </row>
        <row r="147">
          <cell r="A147" t="str">
            <v>Period 13</v>
          </cell>
          <cell r="B147" t="str">
            <v>--</v>
          </cell>
          <cell r="C147" t="str">
            <v>--</v>
          </cell>
          <cell r="D147" t="str">
            <v>--</v>
          </cell>
          <cell r="E147" t="str">
            <v>--</v>
          </cell>
          <cell r="F147" t="str">
            <v>--</v>
          </cell>
          <cell r="G147" t="str">
            <v>--</v>
          </cell>
          <cell r="H147" t="str">
            <v>--</v>
          </cell>
          <cell r="I147" t="str">
            <v>--</v>
          </cell>
          <cell r="J147" t="str">
            <v>--</v>
          </cell>
          <cell r="K147" t="str">
            <v>--</v>
          </cell>
        </row>
        <row r="149">
          <cell r="A149" t="str">
            <v>CATEGORY - SOUP - Historical Statistics - 52 Week Data - TOTAL U.S. - FD / DG / MM</v>
          </cell>
        </row>
        <row r="151">
          <cell r="B151" t="str">
            <v>Category</v>
          </cell>
        </row>
        <row r="152">
          <cell r="B152" t="str">
            <v>Yr/Yr % Change</v>
          </cell>
        </row>
        <row r="153">
          <cell r="B153" t="str">
            <v>Sales</v>
          </cell>
          <cell r="D153" t="str">
            <v>Volume</v>
          </cell>
          <cell r="F153" t="str">
            <v>Price/Mix</v>
          </cell>
          <cell r="H153" t="str">
            <v>$ Merchandising</v>
          </cell>
        </row>
        <row r="154">
          <cell r="A154" t="str">
            <v>Date</v>
          </cell>
          <cell r="B154">
            <v>2005</v>
          </cell>
          <cell r="C154">
            <v>2006</v>
          </cell>
          <cell r="D154">
            <v>2005</v>
          </cell>
          <cell r="E154">
            <v>2006</v>
          </cell>
          <cell r="F154">
            <v>2005</v>
          </cell>
          <cell r="G154">
            <v>2006</v>
          </cell>
          <cell r="H154">
            <v>2005</v>
          </cell>
          <cell r="I154">
            <v>2006</v>
          </cell>
        </row>
        <row r="155">
          <cell r="A155" t="str">
            <v>Period 1</v>
          </cell>
          <cell r="B155" t="str">
            <v>--</v>
          </cell>
          <cell r="C155" t="str">
            <v>--</v>
          </cell>
          <cell r="D155" t="str">
            <v>--</v>
          </cell>
          <cell r="E155" t="str">
            <v>--</v>
          </cell>
          <cell r="F155" t="str">
            <v>--</v>
          </cell>
          <cell r="G155" t="str">
            <v>--</v>
          </cell>
          <cell r="H155" t="str">
            <v>--</v>
          </cell>
          <cell r="I155" t="str">
            <v>--</v>
          </cell>
        </row>
        <row r="156">
          <cell r="A156" t="str">
            <v>Period 2</v>
          </cell>
          <cell r="B156" t="str">
            <v>--</v>
          </cell>
          <cell r="C156" t="str">
            <v>--</v>
          </cell>
          <cell r="D156" t="str">
            <v>--</v>
          </cell>
          <cell r="E156" t="str">
            <v>--</v>
          </cell>
          <cell r="F156" t="str">
            <v>--</v>
          </cell>
          <cell r="G156" t="str">
            <v>--</v>
          </cell>
          <cell r="H156" t="str">
            <v>--</v>
          </cell>
          <cell r="I156" t="str">
            <v>--</v>
          </cell>
        </row>
        <row r="157">
          <cell r="A157" t="str">
            <v>Period 3</v>
          </cell>
          <cell r="B157" t="str">
            <v>--</v>
          </cell>
          <cell r="C157">
            <v>-2.0771216536239999E-2</v>
          </cell>
          <cell r="D157" t="str">
            <v>--</v>
          </cell>
          <cell r="E157">
            <v>-6.03797361155807</v>
          </cell>
          <cell r="F157" t="str">
            <v>--</v>
          </cell>
          <cell r="G157">
            <v>6.0172023950218296</v>
          </cell>
          <cell r="H157" t="str">
            <v>--</v>
          </cell>
          <cell r="I157">
            <v>-2.0687200271988102</v>
          </cell>
        </row>
        <row r="158">
          <cell r="A158" t="str">
            <v>Period 4</v>
          </cell>
          <cell r="B158" t="str">
            <v>--</v>
          </cell>
          <cell r="C158">
            <v>0.56911021203485002</v>
          </cell>
          <cell r="D158" t="str">
            <v>--</v>
          </cell>
          <cell r="E158">
            <v>-5.0203453344889004</v>
          </cell>
          <cell r="F158" t="str">
            <v>--</v>
          </cell>
          <cell r="G158">
            <v>5.5894555465237499</v>
          </cell>
          <cell r="H158" t="str">
            <v>--</v>
          </cell>
          <cell r="I158">
            <v>-1.2325408960831601</v>
          </cell>
        </row>
        <row r="159">
          <cell r="A159" t="str">
            <v>Period 5</v>
          </cell>
          <cell r="B159" t="str">
            <v>--</v>
          </cell>
          <cell r="C159">
            <v>0.39048339454308401</v>
          </cell>
          <cell r="D159" t="str">
            <v>--</v>
          </cell>
          <cell r="E159">
            <v>-5.1222477339885604</v>
          </cell>
          <cell r="F159" t="str">
            <v>--</v>
          </cell>
          <cell r="G159">
            <v>5.51273112853164</v>
          </cell>
          <cell r="H159" t="str">
            <v>--</v>
          </cell>
          <cell r="I159">
            <v>-0.83459315828599001</v>
          </cell>
        </row>
        <row r="160">
          <cell r="A160" t="str">
            <v>Period 6</v>
          </cell>
          <cell r="B160" t="str">
            <v>--</v>
          </cell>
          <cell r="C160">
            <v>0.61051984286572403</v>
          </cell>
          <cell r="D160" t="str">
            <v>--</v>
          </cell>
          <cell r="E160">
            <v>-4.7947446867926304</v>
          </cell>
          <cell r="F160" t="str">
            <v>--</v>
          </cell>
          <cell r="G160">
            <v>5.4052645296583499</v>
          </cell>
          <cell r="H160" t="str">
            <v>--</v>
          </cell>
          <cell r="I160">
            <v>-0.56060697943574</v>
          </cell>
        </row>
        <row r="161">
          <cell r="A161" t="str">
            <v>Period 7</v>
          </cell>
          <cell r="B161" t="str">
            <v>--</v>
          </cell>
          <cell r="C161">
            <v>0.78161798889229495</v>
          </cell>
          <cell r="D161" t="str">
            <v>--</v>
          </cell>
          <cell r="E161">
            <v>-4.6428058351958796</v>
          </cell>
          <cell r="F161" t="str">
            <v>--</v>
          </cell>
          <cell r="G161">
            <v>5.4244238240881799</v>
          </cell>
          <cell r="H161" t="str">
            <v>--</v>
          </cell>
          <cell r="I161">
            <v>-0.60848252945385894</v>
          </cell>
        </row>
        <row r="162">
          <cell r="A162" t="str">
            <v>Period 8</v>
          </cell>
          <cell r="B162" t="str">
            <v>--</v>
          </cell>
          <cell r="C162">
            <v>1.2057828310047001</v>
          </cell>
          <cell r="D162" t="str">
            <v>--</v>
          </cell>
          <cell r="E162">
            <v>-4.2229884754785303</v>
          </cell>
          <cell r="F162" t="str">
            <v>--</v>
          </cell>
          <cell r="G162">
            <v>5.4287713064832301</v>
          </cell>
          <cell r="H162" t="str">
            <v>--</v>
          </cell>
          <cell r="I162">
            <v>-0.45437656952203298</v>
          </cell>
        </row>
        <row r="163">
          <cell r="A163" t="str">
            <v>Period 9</v>
          </cell>
          <cell r="B163" t="str">
            <v>--</v>
          </cell>
          <cell r="C163">
            <v>2.0578515163347499</v>
          </cell>
          <cell r="D163" t="str">
            <v>--</v>
          </cell>
          <cell r="E163">
            <v>-3.1145631429480298</v>
          </cell>
          <cell r="F163" t="str">
            <v>--</v>
          </cell>
          <cell r="G163">
            <v>5.1724146592827802</v>
          </cell>
          <cell r="H163" t="str">
            <v>--</v>
          </cell>
          <cell r="I163">
            <v>8.2526846331770001E-3</v>
          </cell>
        </row>
        <row r="164">
          <cell r="A164" t="str">
            <v>Period 10</v>
          </cell>
          <cell r="B164" t="str">
            <v>--</v>
          </cell>
          <cell r="C164" t="str">
            <v>--</v>
          </cell>
          <cell r="D164" t="str">
            <v>--</v>
          </cell>
          <cell r="E164" t="str">
            <v>--</v>
          </cell>
          <cell r="F164" t="str">
            <v>--</v>
          </cell>
          <cell r="G164" t="str">
            <v>--</v>
          </cell>
          <cell r="H164" t="str">
            <v>--</v>
          </cell>
          <cell r="I164" t="str">
            <v>--</v>
          </cell>
        </row>
        <row r="165">
          <cell r="A165" t="str">
            <v>Period 11</v>
          </cell>
          <cell r="B165" t="str">
            <v>--</v>
          </cell>
          <cell r="C165" t="str">
            <v>--</v>
          </cell>
          <cell r="D165" t="str">
            <v>--</v>
          </cell>
          <cell r="E165" t="str">
            <v>--</v>
          </cell>
          <cell r="F165" t="str">
            <v>--</v>
          </cell>
          <cell r="G165" t="str">
            <v>--</v>
          </cell>
          <cell r="H165" t="str">
            <v>--</v>
          </cell>
          <cell r="I165" t="str">
            <v>--</v>
          </cell>
        </row>
        <row r="166">
          <cell r="A166" t="str">
            <v>Period 12</v>
          </cell>
          <cell r="B166" t="str">
            <v>--</v>
          </cell>
          <cell r="C166" t="str">
            <v>--</v>
          </cell>
          <cell r="D166" t="str">
            <v>--</v>
          </cell>
          <cell r="E166" t="str">
            <v>--</v>
          </cell>
          <cell r="F166" t="str">
            <v>--</v>
          </cell>
          <cell r="G166" t="str">
            <v>--</v>
          </cell>
          <cell r="H166" t="str">
            <v>--</v>
          </cell>
          <cell r="I166" t="str">
            <v>--</v>
          </cell>
        </row>
        <row r="167">
          <cell r="A167" t="str">
            <v>Period 13</v>
          </cell>
          <cell r="B167" t="str">
            <v>--</v>
          </cell>
          <cell r="C167" t="str">
            <v>--</v>
          </cell>
          <cell r="D167" t="str">
            <v>--</v>
          </cell>
          <cell r="E167" t="str">
            <v>--</v>
          </cell>
          <cell r="F167" t="str">
            <v>--</v>
          </cell>
          <cell r="G167" t="str">
            <v>--</v>
          </cell>
          <cell r="H167" t="str">
            <v>--</v>
          </cell>
          <cell r="I167" t="str">
            <v>--</v>
          </cell>
        </row>
        <row r="169">
          <cell r="B169" t="str">
            <v>CAMPBELL SOUP CO CONDENSED WET SOUP</v>
          </cell>
        </row>
        <row r="170">
          <cell r="B170" t="str">
            <v>Yr/Yr % Change</v>
          </cell>
        </row>
        <row r="171">
          <cell r="B171" t="str">
            <v>Sales</v>
          </cell>
          <cell r="D171" t="str">
            <v>Volume</v>
          </cell>
          <cell r="F171" t="str">
            <v>Price/Mix</v>
          </cell>
          <cell r="H171" t="str">
            <v>$ Merchandising</v>
          </cell>
          <cell r="J171" t="str">
            <v>$ Share</v>
          </cell>
        </row>
        <row r="172">
          <cell r="A172" t="str">
            <v>Date</v>
          </cell>
          <cell r="B172">
            <v>2005</v>
          </cell>
          <cell r="C172">
            <v>2006</v>
          </cell>
          <cell r="D172">
            <v>2005</v>
          </cell>
          <cell r="E172">
            <v>2006</v>
          </cell>
          <cell r="F172">
            <v>2005</v>
          </cell>
          <cell r="G172">
            <v>2006</v>
          </cell>
          <cell r="H172">
            <v>2005</v>
          </cell>
          <cell r="I172">
            <v>2006</v>
          </cell>
          <cell r="J172">
            <v>2005</v>
          </cell>
          <cell r="K172">
            <v>2006</v>
          </cell>
        </row>
        <row r="173">
          <cell r="A173" t="str">
            <v>Period 1</v>
          </cell>
          <cell r="B173" t="str">
            <v>--</v>
          </cell>
          <cell r="C173" t="str">
            <v>--</v>
          </cell>
          <cell r="D173" t="str">
            <v>--</v>
          </cell>
          <cell r="E173" t="str">
            <v>--</v>
          </cell>
          <cell r="F173" t="str">
            <v>--</v>
          </cell>
          <cell r="G173" t="str">
            <v>--</v>
          </cell>
          <cell r="H173" t="str">
            <v>--</v>
          </cell>
          <cell r="I173" t="str">
            <v>--</v>
          </cell>
          <cell r="J173" t="str">
            <v>--</v>
          </cell>
          <cell r="K173">
            <v>27.481261475328701</v>
          </cell>
        </row>
        <row r="174">
          <cell r="A174" t="str">
            <v>Period 2</v>
          </cell>
          <cell r="B174" t="str">
            <v>--</v>
          </cell>
          <cell r="C174" t="str">
            <v>--</v>
          </cell>
          <cell r="D174" t="str">
            <v>--</v>
          </cell>
          <cell r="E174" t="str">
            <v>--</v>
          </cell>
          <cell r="F174" t="str">
            <v>--</v>
          </cell>
          <cell r="G174" t="str">
            <v>--</v>
          </cell>
          <cell r="H174" t="str">
            <v>--</v>
          </cell>
          <cell r="I174" t="str">
            <v>--</v>
          </cell>
          <cell r="J174" t="str">
            <v>--</v>
          </cell>
          <cell r="K174">
            <v>27.3612874504405</v>
          </cell>
        </row>
        <row r="175">
          <cell r="A175" t="str">
            <v>Period 3</v>
          </cell>
          <cell r="B175" t="str">
            <v>--</v>
          </cell>
          <cell r="C175">
            <v>-2.1587727892899502</v>
          </cell>
          <cell r="D175" t="str">
            <v>--</v>
          </cell>
          <cell r="E175">
            <v>-9.7873410040446398</v>
          </cell>
          <cell r="F175" t="str">
            <v>--</v>
          </cell>
          <cell r="G175">
            <v>7.62856821475469</v>
          </cell>
          <cell r="H175" t="str">
            <v>--</v>
          </cell>
          <cell r="I175">
            <v>-1.79315562647159</v>
          </cell>
          <cell r="J175">
            <v>27.804478309838299</v>
          </cell>
          <cell r="K175">
            <v>27.209894624013099</v>
          </cell>
        </row>
        <row r="176">
          <cell r="A176" t="str">
            <v>Period 4</v>
          </cell>
          <cell r="B176" t="str">
            <v>--</v>
          </cell>
          <cell r="C176">
            <v>-1.03338953310753</v>
          </cell>
          <cell r="D176" t="str">
            <v>--</v>
          </cell>
          <cell r="E176">
            <v>-8.3461670023944396</v>
          </cell>
          <cell r="F176" t="str">
            <v>--</v>
          </cell>
          <cell r="G176">
            <v>7.3127774692869103</v>
          </cell>
          <cell r="H176" t="str">
            <v>--</v>
          </cell>
          <cell r="I176">
            <v>-0.38875859992700901</v>
          </cell>
          <cell r="J176">
            <v>27.689154334577399</v>
          </cell>
          <cell r="K176">
            <v>27.247946664838501</v>
          </cell>
        </row>
        <row r="177">
          <cell r="A177" t="str">
            <v>Period 5</v>
          </cell>
          <cell r="B177" t="str">
            <v>--</v>
          </cell>
          <cell r="C177">
            <v>-1.2968462520261299</v>
          </cell>
          <cell r="D177" t="str">
            <v>--</v>
          </cell>
          <cell r="E177">
            <v>-8.6490183430902796</v>
          </cell>
          <cell r="F177" t="str">
            <v>--</v>
          </cell>
          <cell r="G177">
            <v>7.3521720910641504</v>
          </cell>
          <cell r="H177" t="str">
            <v>--</v>
          </cell>
          <cell r="I177">
            <v>-0.109002773550905</v>
          </cell>
          <cell r="J177">
            <v>27.691052326042101</v>
          </cell>
          <cell r="K177">
            <v>27.225630386087801</v>
          </cell>
        </row>
        <row r="178">
          <cell r="A178" t="str">
            <v>Period 6</v>
          </cell>
          <cell r="B178" t="str">
            <v>--</v>
          </cell>
          <cell r="C178">
            <v>-1.33365941393362</v>
          </cell>
          <cell r="D178" t="str">
            <v>--</v>
          </cell>
          <cell r="E178">
            <v>-8.7161162874002809</v>
          </cell>
          <cell r="F178" t="str">
            <v>--</v>
          </cell>
          <cell r="G178">
            <v>7.3824568734666602</v>
          </cell>
          <cell r="H178" t="str">
            <v>--</v>
          </cell>
          <cell r="I178">
            <v>-7.0381142581254996E-2</v>
          </cell>
          <cell r="J178">
            <v>27.718238208133499</v>
          </cell>
          <cell r="K178">
            <v>27.1826160500983</v>
          </cell>
        </row>
        <row r="179">
          <cell r="A179" t="str">
            <v>Period 7</v>
          </cell>
          <cell r="B179" t="str">
            <v>--</v>
          </cell>
          <cell r="C179">
            <v>-1.3280514156249299</v>
          </cell>
          <cell r="D179" t="str">
            <v>--</v>
          </cell>
          <cell r="E179">
            <v>-8.7213052900913706</v>
          </cell>
          <cell r="F179" t="str">
            <v>--</v>
          </cell>
          <cell r="G179">
            <v>7.3932538744664402</v>
          </cell>
          <cell r="H179" t="str">
            <v>--</v>
          </cell>
          <cell r="I179">
            <v>-0.23460998742875799</v>
          </cell>
          <cell r="J179">
            <v>27.7227545516878</v>
          </cell>
          <cell r="K179">
            <v>27.1424319863854</v>
          </cell>
        </row>
        <row r="180">
          <cell r="A180" t="str">
            <v>Period 8</v>
          </cell>
          <cell r="B180" t="str">
            <v>--</v>
          </cell>
          <cell r="C180">
            <v>-0.79572244831404904</v>
          </cell>
          <cell r="D180" t="str">
            <v>--</v>
          </cell>
          <cell r="E180">
            <v>-7.9842483666186599</v>
          </cell>
          <cell r="F180" t="str">
            <v>--</v>
          </cell>
          <cell r="G180">
            <v>7.1885259183046104</v>
          </cell>
          <cell r="H180" t="str">
            <v>--</v>
          </cell>
          <cell r="I180">
            <v>0.45911846630477299</v>
          </cell>
          <cell r="J180">
            <v>27.6651654756085</v>
          </cell>
          <cell r="K180">
            <v>27.1180428388999</v>
          </cell>
        </row>
        <row r="181">
          <cell r="A181" t="str">
            <v>Period 9</v>
          </cell>
          <cell r="B181" t="str">
            <v>--</v>
          </cell>
          <cell r="C181">
            <v>-0.106656495932274</v>
          </cell>
          <cell r="D181" t="str">
            <v>--</v>
          </cell>
          <cell r="E181">
            <v>-7.0773524462279003</v>
          </cell>
          <cell r="F181" t="str">
            <v>--</v>
          </cell>
          <cell r="G181">
            <v>6.9706959502956298</v>
          </cell>
          <cell r="H181" t="str">
            <v>--</v>
          </cell>
          <cell r="I181">
            <v>1.3822010185923499</v>
          </cell>
          <cell r="J181">
            <v>27.698575012203801</v>
          </cell>
          <cell r="K181">
            <v>27.111125965888199</v>
          </cell>
        </row>
        <row r="182">
          <cell r="A182" t="str">
            <v>Period 10</v>
          </cell>
          <cell r="B182" t="str">
            <v>--</v>
          </cell>
          <cell r="C182" t="str">
            <v>--</v>
          </cell>
          <cell r="D182" t="str">
            <v>--</v>
          </cell>
          <cell r="E182" t="str">
            <v>--</v>
          </cell>
          <cell r="F182" t="str">
            <v>--</v>
          </cell>
          <cell r="G182" t="str">
            <v>--</v>
          </cell>
          <cell r="H182" t="str">
            <v>--</v>
          </cell>
          <cell r="I182" t="str">
            <v>--</v>
          </cell>
          <cell r="J182">
            <v>27.751266461623601</v>
          </cell>
          <cell r="K182" t="str">
            <v>--</v>
          </cell>
        </row>
        <row r="183">
          <cell r="A183" t="str">
            <v>Period 11</v>
          </cell>
          <cell r="B183" t="str">
            <v>--</v>
          </cell>
          <cell r="C183" t="str">
            <v>--</v>
          </cell>
          <cell r="D183" t="str">
            <v>--</v>
          </cell>
          <cell r="E183" t="str">
            <v>--</v>
          </cell>
          <cell r="F183" t="str">
            <v>--</v>
          </cell>
          <cell r="G183" t="str">
            <v>--</v>
          </cell>
          <cell r="H183" t="str">
            <v>--</v>
          </cell>
          <cell r="I183" t="str">
            <v>--</v>
          </cell>
          <cell r="J183">
            <v>27.739322680874299</v>
          </cell>
          <cell r="K183" t="str">
            <v>--</v>
          </cell>
        </row>
        <row r="184">
          <cell r="A184" t="str">
            <v>Period 12</v>
          </cell>
          <cell r="B184" t="str">
            <v>--</v>
          </cell>
          <cell r="C184" t="str">
            <v>--</v>
          </cell>
          <cell r="D184" t="str">
            <v>--</v>
          </cell>
          <cell r="E184" t="str">
            <v>--</v>
          </cell>
          <cell r="F184" t="str">
            <v>--</v>
          </cell>
          <cell r="G184" t="str">
            <v>--</v>
          </cell>
          <cell r="H184" t="str">
            <v>--</v>
          </cell>
          <cell r="I184" t="str">
            <v>--</v>
          </cell>
          <cell r="J184">
            <v>27.641776226369799</v>
          </cell>
          <cell r="K184" t="str">
            <v>--</v>
          </cell>
        </row>
        <row r="185">
          <cell r="A185" t="str">
            <v>Period 13</v>
          </cell>
          <cell r="B185" t="str">
            <v>--</v>
          </cell>
          <cell r="C185" t="str">
            <v>--</v>
          </cell>
          <cell r="D185" t="str">
            <v>--</v>
          </cell>
          <cell r="E185" t="str">
            <v>--</v>
          </cell>
          <cell r="F185" t="str">
            <v>--</v>
          </cell>
          <cell r="G185" t="str">
            <v>--</v>
          </cell>
          <cell r="H185" t="str">
            <v>--</v>
          </cell>
          <cell r="I185" t="str">
            <v>--</v>
          </cell>
          <cell r="J185">
            <v>27.495528762099902</v>
          </cell>
          <cell r="K185" t="str">
            <v>--</v>
          </cell>
        </row>
        <row r="187">
          <cell r="B187" t="str">
            <v>CASTLEBERRYS FOOD CO RTS WET SOUP</v>
          </cell>
        </row>
        <row r="188">
          <cell r="B188" t="str">
            <v>Yr/Yr % Change</v>
          </cell>
        </row>
        <row r="189">
          <cell r="B189" t="str">
            <v>Sales</v>
          </cell>
          <cell r="D189" t="str">
            <v>Volume</v>
          </cell>
          <cell r="F189" t="str">
            <v>Price/Mix</v>
          </cell>
          <cell r="H189" t="str">
            <v>$ Merchandising</v>
          </cell>
          <cell r="J189" t="str">
            <v>$ Share</v>
          </cell>
        </row>
        <row r="190">
          <cell r="A190" t="str">
            <v>Date</v>
          </cell>
          <cell r="B190">
            <v>2005</v>
          </cell>
          <cell r="C190">
            <v>2006</v>
          </cell>
          <cell r="D190">
            <v>2005</v>
          </cell>
          <cell r="E190">
            <v>2006</v>
          </cell>
          <cell r="F190">
            <v>2005</v>
          </cell>
          <cell r="G190">
            <v>2006</v>
          </cell>
          <cell r="H190">
            <v>2005</v>
          </cell>
          <cell r="I190">
            <v>2006</v>
          </cell>
          <cell r="J190">
            <v>2005</v>
          </cell>
          <cell r="K190">
            <v>2006</v>
          </cell>
        </row>
        <row r="191">
          <cell r="A191" t="str">
            <v>Period 1</v>
          </cell>
          <cell r="B191" t="str">
            <v>--</v>
          </cell>
          <cell r="C191" t="str">
            <v>--</v>
          </cell>
          <cell r="D191" t="str">
            <v>--</v>
          </cell>
          <cell r="E191" t="str">
            <v>--</v>
          </cell>
          <cell r="F191" t="str">
            <v>--</v>
          </cell>
          <cell r="G191" t="str">
            <v>--</v>
          </cell>
          <cell r="H191" t="str">
            <v>--</v>
          </cell>
          <cell r="I191" t="str">
            <v>--</v>
          </cell>
          <cell r="J191" t="str">
            <v>--</v>
          </cell>
          <cell r="K191">
            <v>1.2982771971930001E-2</v>
          </cell>
        </row>
        <row r="192">
          <cell r="A192" t="str">
            <v>Period 2</v>
          </cell>
          <cell r="B192" t="str">
            <v>--</v>
          </cell>
          <cell r="C192" t="str">
            <v>--</v>
          </cell>
          <cell r="D192" t="str">
            <v>--</v>
          </cell>
          <cell r="E192" t="str">
            <v>--</v>
          </cell>
          <cell r="F192" t="str">
            <v>--</v>
          </cell>
          <cell r="G192" t="str">
            <v>--</v>
          </cell>
          <cell r="H192" t="str">
            <v>--</v>
          </cell>
          <cell r="I192" t="str">
            <v>--</v>
          </cell>
          <cell r="J192" t="str">
            <v>--</v>
          </cell>
          <cell r="K192">
            <v>1.306361593352E-2</v>
          </cell>
        </row>
        <row r="193">
          <cell r="A193" t="str">
            <v>Period 3</v>
          </cell>
          <cell r="B193" t="str">
            <v>--</v>
          </cell>
          <cell r="C193">
            <v>-6.1602731859045798</v>
          </cell>
          <cell r="D193" t="str">
            <v>--</v>
          </cell>
          <cell r="E193">
            <v>-12.5499742196829</v>
          </cell>
          <cell r="F193" t="str">
            <v>--</v>
          </cell>
          <cell r="G193">
            <v>6.3897010337783096</v>
          </cell>
          <cell r="H193" t="str">
            <v>--</v>
          </cell>
          <cell r="I193">
            <v>4.5713350537077897</v>
          </cell>
          <cell r="J193">
            <v>1.4038811757150001E-2</v>
          </cell>
          <cell r="K193">
            <v>1.3176719565807999E-2</v>
          </cell>
        </row>
        <row r="194">
          <cell r="A194" t="str">
            <v>Period 4</v>
          </cell>
          <cell r="B194" t="str">
            <v>--</v>
          </cell>
          <cell r="C194">
            <v>-2.8713313078351699</v>
          </cell>
          <cell r="D194" t="str">
            <v>--</v>
          </cell>
          <cell r="E194">
            <v>-9.6940802682282392</v>
          </cell>
          <cell r="F194" t="str">
            <v>--</v>
          </cell>
          <cell r="G194">
            <v>6.8227489603930698</v>
          </cell>
          <cell r="H194" t="str">
            <v>--</v>
          </cell>
          <cell r="I194">
            <v>3.98971070831263</v>
          </cell>
          <cell r="J194">
            <v>1.3815016919762E-2</v>
          </cell>
          <cell r="K194">
            <v>1.3342409001603E-2</v>
          </cell>
        </row>
        <row r="195">
          <cell r="A195" t="str">
            <v>Period 5</v>
          </cell>
          <cell r="B195" t="str">
            <v>--</v>
          </cell>
          <cell r="C195">
            <v>0.65618081737923895</v>
          </cell>
          <cell r="D195" t="str">
            <v>--</v>
          </cell>
          <cell r="E195">
            <v>-7.7406517819298903</v>
          </cell>
          <cell r="F195" t="str">
            <v>--</v>
          </cell>
          <cell r="G195">
            <v>8.3968325993091302</v>
          </cell>
          <cell r="H195" t="str">
            <v>--</v>
          </cell>
          <cell r="I195">
            <v>1.62460383514563</v>
          </cell>
          <cell r="J195">
            <v>1.355064558633E-2</v>
          </cell>
          <cell r="K195">
            <v>1.3586509260738001E-2</v>
          </cell>
        </row>
        <row r="196">
          <cell r="A196" t="str">
            <v>Period 6</v>
          </cell>
          <cell r="B196" t="str">
            <v>--</v>
          </cell>
          <cell r="C196">
            <v>5.24651581093097</v>
          </cell>
          <cell r="D196" t="str">
            <v>--</v>
          </cell>
          <cell r="E196">
            <v>-0.80603790164711697</v>
          </cell>
          <cell r="F196" t="str">
            <v>--</v>
          </cell>
          <cell r="G196">
            <v>6.0525537125780904</v>
          </cell>
          <cell r="H196" t="str">
            <v>--</v>
          </cell>
          <cell r="I196">
            <v>2.6918909297979501</v>
          </cell>
          <cell r="J196">
            <v>1.3112522261623001E-2</v>
          </cell>
          <cell r="K196">
            <v>1.3716729460145001E-2</v>
          </cell>
        </row>
        <row r="197">
          <cell r="A197" t="str">
            <v>Period 7</v>
          </cell>
          <cell r="B197" t="str">
            <v>--</v>
          </cell>
          <cell r="C197">
            <v>11.275015474845899</v>
          </cell>
          <cell r="D197" t="str">
            <v>--</v>
          </cell>
          <cell r="E197">
            <v>8.1202457295819102</v>
          </cell>
          <cell r="F197" t="str">
            <v>--</v>
          </cell>
          <cell r="G197">
            <v>3.1547697452639798</v>
          </cell>
          <cell r="H197" t="str">
            <v>--</v>
          </cell>
          <cell r="I197">
            <v>3.4383983799099398</v>
          </cell>
          <cell r="J197">
            <v>1.2644203537872999E-2</v>
          </cell>
          <cell r="K197">
            <v>1.396071994497E-2</v>
          </cell>
        </row>
        <row r="198">
          <cell r="A198" t="str">
            <v>Period 8</v>
          </cell>
          <cell r="B198" t="str">
            <v>--</v>
          </cell>
          <cell r="C198">
            <v>14.3459773692407</v>
          </cell>
          <cell r="D198" t="str">
            <v>--</v>
          </cell>
          <cell r="E198">
            <v>11.3795892722459</v>
          </cell>
          <cell r="F198" t="str">
            <v>--</v>
          </cell>
          <cell r="G198">
            <v>2.9663880969947298</v>
          </cell>
          <cell r="H198" t="str">
            <v>--</v>
          </cell>
          <cell r="I198">
            <v>2.15418838325356</v>
          </cell>
          <cell r="J198">
            <v>1.2526865758287001E-2</v>
          </cell>
          <cell r="K198">
            <v>1.4153308916116001E-2</v>
          </cell>
        </row>
        <row r="199">
          <cell r="A199" t="str">
            <v>Period 9</v>
          </cell>
          <cell r="B199" t="str">
            <v>--</v>
          </cell>
          <cell r="C199">
            <v>15.581026691168599</v>
          </cell>
          <cell r="D199" t="str">
            <v>--</v>
          </cell>
          <cell r="E199">
            <v>13.2019142500078</v>
          </cell>
          <cell r="F199" t="str">
            <v>--</v>
          </cell>
          <cell r="G199">
            <v>2.3791124411608502</v>
          </cell>
          <cell r="H199" t="str">
            <v>--</v>
          </cell>
          <cell r="I199">
            <v>2.3269796806606</v>
          </cell>
          <cell r="J199">
            <v>1.2672691514484E-2</v>
          </cell>
          <cell r="K199">
            <v>1.4351886448933E-2</v>
          </cell>
        </row>
        <row r="200">
          <cell r="A200" t="str">
            <v>Period 10</v>
          </cell>
          <cell r="B200" t="str">
            <v>--</v>
          </cell>
          <cell r="C200" t="str">
            <v>--</v>
          </cell>
          <cell r="D200" t="str">
            <v>--</v>
          </cell>
          <cell r="E200" t="str">
            <v>--</v>
          </cell>
          <cell r="F200" t="str">
            <v>--</v>
          </cell>
          <cell r="G200" t="str">
            <v>--</v>
          </cell>
          <cell r="H200" t="str">
            <v>--</v>
          </cell>
          <cell r="I200" t="str">
            <v>--</v>
          </cell>
          <cell r="J200">
            <v>1.2705911068379001E-2</v>
          </cell>
          <cell r="K200" t="str">
            <v>--</v>
          </cell>
        </row>
        <row r="201">
          <cell r="A201" t="str">
            <v>Period 11</v>
          </cell>
          <cell r="B201" t="str">
            <v>--</v>
          </cell>
          <cell r="C201" t="str">
            <v>--</v>
          </cell>
          <cell r="D201" t="str">
            <v>--</v>
          </cell>
          <cell r="E201" t="str">
            <v>--</v>
          </cell>
          <cell r="F201" t="str">
            <v>--</v>
          </cell>
          <cell r="G201" t="str">
            <v>--</v>
          </cell>
          <cell r="H201" t="str">
            <v>--</v>
          </cell>
          <cell r="I201" t="str">
            <v>--</v>
          </cell>
          <cell r="J201">
            <v>1.2775998391774001E-2</v>
          </cell>
          <cell r="K201" t="str">
            <v>--</v>
          </cell>
        </row>
        <row r="202">
          <cell r="A202" t="str">
            <v>Period 12</v>
          </cell>
          <cell r="B202" t="str">
            <v>--</v>
          </cell>
          <cell r="C202" t="str">
            <v>--</v>
          </cell>
          <cell r="D202" t="str">
            <v>--</v>
          </cell>
          <cell r="E202" t="str">
            <v>--</v>
          </cell>
          <cell r="F202" t="str">
            <v>--</v>
          </cell>
          <cell r="G202" t="str">
            <v>--</v>
          </cell>
          <cell r="H202" t="str">
            <v>--</v>
          </cell>
          <cell r="I202" t="str">
            <v>--</v>
          </cell>
          <cell r="J202">
            <v>1.3053202110419999E-2</v>
          </cell>
          <cell r="K202" t="str">
            <v>--</v>
          </cell>
        </row>
        <row r="203">
          <cell r="A203" t="str">
            <v>Period 13</v>
          </cell>
          <cell r="B203" t="str">
            <v>--</v>
          </cell>
          <cell r="C203" t="str">
            <v>--</v>
          </cell>
          <cell r="D203" t="str">
            <v>--</v>
          </cell>
          <cell r="E203" t="str">
            <v>--</v>
          </cell>
          <cell r="F203" t="str">
            <v>--</v>
          </cell>
          <cell r="G203" t="str">
            <v>--</v>
          </cell>
          <cell r="H203" t="str">
            <v>--</v>
          </cell>
          <cell r="I203" t="str">
            <v>--</v>
          </cell>
          <cell r="J203">
            <v>1.3250883414624E-2</v>
          </cell>
          <cell r="K203" t="str">
            <v>--</v>
          </cell>
        </row>
        <row r="205">
          <cell r="B205" t="str">
            <v>PRIVATE LABEL CONDENSED WET SOUP</v>
          </cell>
        </row>
        <row r="206">
          <cell r="B206" t="str">
            <v>Yr/Yr % Change</v>
          </cell>
        </row>
        <row r="207">
          <cell r="B207" t="str">
            <v>Sales</v>
          </cell>
          <cell r="D207" t="str">
            <v>Volume</v>
          </cell>
          <cell r="F207" t="str">
            <v>Price/Mix</v>
          </cell>
          <cell r="H207" t="str">
            <v>$ Merchandising</v>
          </cell>
          <cell r="J207" t="str">
            <v>$ Share</v>
          </cell>
        </row>
        <row r="208">
          <cell r="A208" t="str">
            <v>Date</v>
          </cell>
          <cell r="B208">
            <v>2005</v>
          </cell>
          <cell r="C208">
            <v>2006</v>
          </cell>
          <cell r="D208">
            <v>2005</v>
          </cell>
          <cell r="E208">
            <v>2006</v>
          </cell>
          <cell r="F208">
            <v>2005</v>
          </cell>
          <cell r="G208">
            <v>2006</v>
          </cell>
          <cell r="H208">
            <v>2005</v>
          </cell>
          <cell r="I208">
            <v>2006</v>
          </cell>
          <cell r="J208">
            <v>2005</v>
          </cell>
          <cell r="K208">
            <v>2006</v>
          </cell>
        </row>
        <row r="209">
          <cell r="A209" t="str">
            <v>Period 1</v>
          </cell>
          <cell r="B209" t="str">
            <v>--</v>
          </cell>
          <cell r="C209" t="str">
            <v>--</v>
          </cell>
          <cell r="D209" t="str">
            <v>--</v>
          </cell>
          <cell r="E209" t="str">
            <v>--</v>
          </cell>
          <cell r="F209" t="str">
            <v>--</v>
          </cell>
          <cell r="G209" t="str">
            <v>--</v>
          </cell>
          <cell r="H209" t="str">
            <v>--</v>
          </cell>
          <cell r="I209" t="str">
            <v>--</v>
          </cell>
          <cell r="J209" t="str">
            <v>--</v>
          </cell>
          <cell r="K209">
            <v>4.3564431261341197</v>
          </cell>
        </row>
        <row r="210">
          <cell r="A210" t="str">
            <v>Period 2</v>
          </cell>
          <cell r="B210" t="str">
            <v>--</v>
          </cell>
          <cell r="C210" t="str">
            <v>--</v>
          </cell>
          <cell r="D210" t="str">
            <v>--</v>
          </cell>
          <cell r="E210" t="str">
            <v>--</v>
          </cell>
          <cell r="F210" t="str">
            <v>--</v>
          </cell>
          <cell r="G210" t="str">
            <v>--</v>
          </cell>
          <cell r="H210" t="str">
            <v>--</v>
          </cell>
          <cell r="I210" t="str">
            <v>--</v>
          </cell>
          <cell r="J210" t="str">
            <v>--</v>
          </cell>
          <cell r="K210">
            <v>4.3460020484537596</v>
          </cell>
        </row>
        <row r="211">
          <cell r="A211" t="str">
            <v>Period 3</v>
          </cell>
          <cell r="B211" t="str">
            <v>--</v>
          </cell>
          <cell r="C211">
            <v>2.7187911430826999</v>
          </cell>
          <cell r="D211" t="str">
            <v>--</v>
          </cell>
          <cell r="E211">
            <v>-1.3959669372372501</v>
          </cell>
          <cell r="F211" t="str">
            <v>--</v>
          </cell>
          <cell r="G211">
            <v>4.1147580803199499</v>
          </cell>
          <cell r="H211" t="str">
            <v>--</v>
          </cell>
          <cell r="I211">
            <v>-2.4709610711407102</v>
          </cell>
          <cell r="J211">
            <v>4.2171282849614</v>
          </cell>
          <cell r="K211">
            <v>4.33268314626351</v>
          </cell>
        </row>
        <row r="212">
          <cell r="A212" t="str">
            <v>Period 4</v>
          </cell>
          <cell r="B212" t="str">
            <v>--</v>
          </cell>
          <cell r="C212">
            <v>3.3615902760192502</v>
          </cell>
          <cell r="D212" t="str">
            <v>--</v>
          </cell>
          <cell r="E212">
            <v>-0.63371177538622803</v>
          </cell>
          <cell r="F212" t="str">
            <v>--</v>
          </cell>
          <cell r="G212">
            <v>3.9953020514054698</v>
          </cell>
          <cell r="H212" t="str">
            <v>--</v>
          </cell>
          <cell r="I212">
            <v>-1.11367481227743</v>
          </cell>
          <cell r="J212">
            <v>4.2204048497040798</v>
          </cell>
          <cell r="K212">
            <v>4.3375918903360802</v>
          </cell>
        </row>
        <row r="213">
          <cell r="A213" t="str">
            <v>Period 5</v>
          </cell>
          <cell r="B213" t="str">
            <v>--</v>
          </cell>
          <cell r="C213">
            <v>2.7558544303159902</v>
          </cell>
          <cell r="D213" t="str">
            <v>--</v>
          </cell>
          <cell r="E213">
            <v>-0.99550147203749295</v>
          </cell>
          <cell r="F213" t="str">
            <v>--</v>
          </cell>
          <cell r="G213">
            <v>3.7513559023534802</v>
          </cell>
          <cell r="H213" t="str">
            <v>--</v>
          </cell>
          <cell r="I213">
            <v>-0.68515075112729595</v>
          </cell>
          <cell r="J213">
            <v>4.2269319904454301</v>
          </cell>
          <cell r="K213">
            <v>4.32652571847927</v>
          </cell>
        </row>
        <row r="214">
          <cell r="A214" t="str">
            <v>Period 6</v>
          </cell>
          <cell r="B214" t="str">
            <v>--</v>
          </cell>
          <cell r="C214">
            <v>2.5835875272354198</v>
          </cell>
          <cell r="D214" t="str">
            <v>--</v>
          </cell>
          <cell r="E214">
            <v>-0.92692895468125402</v>
          </cell>
          <cell r="F214" t="str">
            <v>--</v>
          </cell>
          <cell r="G214">
            <v>3.5105164819166701</v>
          </cell>
          <cell r="H214" t="str">
            <v>--</v>
          </cell>
          <cell r="I214">
            <v>-0.24317328188201201</v>
          </cell>
          <cell r="J214">
            <v>4.2370543264078204</v>
          </cell>
          <cell r="K214">
            <v>4.3201469789595697</v>
          </cell>
        </row>
        <row r="215">
          <cell r="A215" t="str">
            <v>Period 7</v>
          </cell>
          <cell r="B215" t="str">
            <v>--</v>
          </cell>
          <cell r="C215">
            <v>2.9111214149731599</v>
          </cell>
          <cell r="D215" t="str">
            <v>--</v>
          </cell>
          <cell r="E215">
            <v>-0.49026513216581902</v>
          </cell>
          <cell r="F215" t="str">
            <v>--</v>
          </cell>
          <cell r="G215">
            <v>3.4013865471389799</v>
          </cell>
          <cell r="H215" t="str">
            <v>--</v>
          </cell>
          <cell r="I215">
            <v>-0.19820936465787001</v>
          </cell>
          <cell r="J215">
            <v>4.2357945662580203</v>
          </cell>
          <cell r="K215">
            <v>4.3252963942800298</v>
          </cell>
        </row>
        <row r="216">
          <cell r="A216" t="str">
            <v>Period 8</v>
          </cell>
          <cell r="B216" t="str">
            <v>--</v>
          </cell>
          <cell r="C216">
            <v>2.76170209645369</v>
          </cell>
          <cell r="D216" t="str">
            <v>--</v>
          </cell>
          <cell r="E216">
            <v>-0.70105841444047601</v>
          </cell>
          <cell r="F216" t="str">
            <v>--</v>
          </cell>
          <cell r="G216">
            <v>3.4627605108941601</v>
          </cell>
          <cell r="H216" t="str">
            <v>--</v>
          </cell>
          <cell r="I216">
            <v>-0.87155077911587897</v>
          </cell>
          <cell r="J216">
            <v>4.2523557451673799</v>
          </cell>
          <cell r="K216">
            <v>4.3177306876101103</v>
          </cell>
        </row>
        <row r="217">
          <cell r="A217" t="str">
            <v>Period 9</v>
          </cell>
          <cell r="B217" t="str">
            <v>--</v>
          </cell>
          <cell r="C217">
            <v>2.1981318433288202</v>
          </cell>
          <cell r="D217" t="str">
            <v>--</v>
          </cell>
          <cell r="E217">
            <v>-1.2088830141767199</v>
          </cell>
          <cell r="F217" t="str">
            <v>--</v>
          </cell>
          <cell r="G217">
            <v>3.4070148575055401</v>
          </cell>
          <cell r="H217" t="str">
            <v>--</v>
          </cell>
          <cell r="I217">
            <v>-1.1534407268545499</v>
          </cell>
          <cell r="J217">
            <v>4.2892140553575198</v>
          </cell>
          <cell r="K217">
            <v>4.2951096561495499</v>
          </cell>
        </row>
        <row r="218">
          <cell r="A218" t="str">
            <v>Period 10</v>
          </cell>
          <cell r="B218" t="str">
            <v>--</v>
          </cell>
          <cell r="C218" t="str">
            <v>--</v>
          </cell>
          <cell r="D218" t="str">
            <v>--</v>
          </cell>
          <cell r="E218" t="str">
            <v>--</v>
          </cell>
          <cell r="F218" t="str">
            <v>--</v>
          </cell>
          <cell r="G218" t="str">
            <v>--</v>
          </cell>
          <cell r="H218" t="str">
            <v>--</v>
          </cell>
          <cell r="I218" t="str">
            <v>--</v>
          </cell>
          <cell r="J218">
            <v>4.3433973367558201</v>
          </cell>
          <cell r="K218" t="str">
            <v>--</v>
          </cell>
        </row>
        <row r="219">
          <cell r="A219" t="str">
            <v>Period 11</v>
          </cell>
          <cell r="B219" t="str">
            <v>--</v>
          </cell>
          <cell r="C219" t="str">
            <v>--</v>
          </cell>
          <cell r="D219" t="str">
            <v>--</v>
          </cell>
          <cell r="E219" t="str">
            <v>--</v>
          </cell>
          <cell r="F219" t="str">
            <v>--</v>
          </cell>
          <cell r="G219" t="str">
            <v>--</v>
          </cell>
          <cell r="H219" t="str">
            <v>--</v>
          </cell>
          <cell r="I219" t="str">
            <v>--</v>
          </cell>
          <cell r="J219">
            <v>4.3589571848253801</v>
          </cell>
          <cell r="K219" t="str">
            <v>--</v>
          </cell>
        </row>
        <row r="220">
          <cell r="A220" t="str">
            <v>Period 12</v>
          </cell>
          <cell r="B220" t="str">
            <v>--</v>
          </cell>
          <cell r="C220" t="str">
            <v>--</v>
          </cell>
          <cell r="D220" t="str">
            <v>--</v>
          </cell>
          <cell r="E220" t="str">
            <v>--</v>
          </cell>
          <cell r="F220" t="str">
            <v>--</v>
          </cell>
          <cell r="G220" t="str">
            <v>--</v>
          </cell>
          <cell r="H220" t="str">
            <v>--</v>
          </cell>
          <cell r="I220" t="str">
            <v>--</v>
          </cell>
          <cell r="J220">
            <v>4.3657466141594501</v>
          </cell>
          <cell r="K220" t="str">
            <v>--</v>
          </cell>
        </row>
        <row r="221">
          <cell r="A221" t="str">
            <v>Period 13</v>
          </cell>
          <cell r="B221" t="str">
            <v>--</v>
          </cell>
          <cell r="C221" t="str">
            <v>--</v>
          </cell>
          <cell r="D221" t="str">
            <v>--</v>
          </cell>
          <cell r="E221" t="str">
            <v>--</v>
          </cell>
          <cell r="F221" t="str">
            <v>--</v>
          </cell>
          <cell r="G221" t="str">
            <v>--</v>
          </cell>
          <cell r="H221" t="str">
            <v>--</v>
          </cell>
          <cell r="I221" t="str">
            <v>--</v>
          </cell>
          <cell r="J221">
            <v>4.3599194148914497</v>
          </cell>
          <cell r="K221" t="str">
            <v>--</v>
          </cell>
        </row>
      </sheetData>
      <sheetData sheetId="35" refreshError="1">
        <row r="1">
          <cell r="A1" t="str">
            <v>Campbell Soup</v>
          </cell>
        </row>
        <row r="2">
          <cell r="A2" t="str">
            <v>Operating Income and Estimates By Region</v>
          </cell>
        </row>
        <row r="3">
          <cell r="A3" t="str">
            <v>($ millions except per share data)</v>
          </cell>
        </row>
        <row r="4">
          <cell r="G4" t="str">
            <v>Restated</v>
          </cell>
        </row>
        <row r="5">
          <cell r="D5">
            <v>1996</v>
          </cell>
          <cell r="E5">
            <v>1997</v>
          </cell>
          <cell r="F5">
            <v>1998</v>
          </cell>
          <cell r="G5">
            <v>1999</v>
          </cell>
          <cell r="H5">
            <v>2000</v>
          </cell>
          <cell r="I5">
            <v>2001</v>
          </cell>
          <cell r="K5">
            <v>2002</v>
          </cell>
        </row>
        <row r="6">
          <cell r="A6" t="str">
            <v>Sales</v>
          </cell>
        </row>
        <row r="7">
          <cell r="A7" t="str">
            <v>United States</v>
          </cell>
          <cell r="D7">
            <v>4475</v>
          </cell>
          <cell r="E7">
            <v>4623</v>
          </cell>
          <cell r="F7">
            <v>4850</v>
          </cell>
          <cell r="G7">
            <v>4948</v>
          </cell>
          <cell r="H7">
            <v>4820</v>
          </cell>
          <cell r="I7">
            <v>5021</v>
          </cell>
          <cell r="J7">
            <v>0.74539786223277915</v>
          </cell>
          <cell r="K7">
            <v>4339</v>
          </cell>
        </row>
        <row r="8">
          <cell r="A8" t="str">
            <v>Europe</v>
          </cell>
          <cell r="D8">
            <v>817</v>
          </cell>
          <cell r="E8">
            <v>895</v>
          </cell>
          <cell r="F8">
            <v>859</v>
          </cell>
          <cell r="G8">
            <v>653</v>
          </cell>
          <cell r="H8">
            <v>587</v>
          </cell>
          <cell r="I8">
            <v>613</v>
          </cell>
          <cell r="J8">
            <v>9.1003562945368169E-2</v>
          </cell>
          <cell r="K8">
            <v>843</v>
          </cell>
        </row>
        <row r="9">
          <cell r="A9" t="str">
            <v>Australia/Asia Pacific</v>
          </cell>
          <cell r="D9">
            <v>614</v>
          </cell>
          <cell r="E9">
            <v>613</v>
          </cell>
          <cell r="F9">
            <v>627</v>
          </cell>
          <cell r="G9">
            <v>632</v>
          </cell>
          <cell r="H9">
            <v>649</v>
          </cell>
          <cell r="I9">
            <v>589</v>
          </cell>
          <cell r="J9">
            <v>8.7440617577197149E-2</v>
          </cell>
          <cell r="K9">
            <v>554</v>
          </cell>
        </row>
        <row r="10">
          <cell r="A10" t="str">
            <v>Other countries</v>
          </cell>
          <cell r="D10">
            <v>526</v>
          </cell>
          <cell r="E10">
            <v>612</v>
          </cell>
          <cell r="F10">
            <v>417</v>
          </cell>
          <cell r="G10">
            <v>456</v>
          </cell>
          <cell r="H10">
            <v>483</v>
          </cell>
          <cell r="I10">
            <v>513</v>
          </cell>
          <cell r="J10">
            <v>7.6157957244655586E-2</v>
          </cell>
          <cell r="K10">
            <v>502</v>
          </cell>
        </row>
        <row r="11">
          <cell r="A11" t="str">
            <v>Adjustements and eliminations</v>
          </cell>
          <cell r="D11">
            <v>-108</v>
          </cell>
          <cell r="E11">
            <v>-129</v>
          </cell>
          <cell r="F11">
            <v>-57</v>
          </cell>
          <cell r="G11">
            <v>-63</v>
          </cell>
          <cell r="H11">
            <v>-73</v>
          </cell>
          <cell r="I11">
            <v>-72</v>
          </cell>
          <cell r="K11">
            <v>-105</v>
          </cell>
        </row>
        <row r="13">
          <cell r="A13" t="str">
            <v>Total sales</v>
          </cell>
          <cell r="D13">
            <v>6324</v>
          </cell>
          <cell r="E13">
            <v>6614</v>
          </cell>
          <cell r="F13">
            <v>6696</v>
          </cell>
          <cell r="G13">
            <v>6626</v>
          </cell>
          <cell r="H13">
            <v>6466</v>
          </cell>
          <cell r="I13">
            <v>6664</v>
          </cell>
          <cell r="J13">
            <v>1</v>
          </cell>
          <cell r="K13">
            <v>6133</v>
          </cell>
        </row>
        <row r="14">
          <cell r="F14">
            <v>7476.7</v>
          </cell>
        </row>
        <row r="15">
          <cell r="A15" t="str">
            <v>Operating Profit</v>
          </cell>
        </row>
        <row r="16">
          <cell r="A16" t="str">
            <v>United States</v>
          </cell>
          <cell r="D16">
            <v>1035</v>
          </cell>
          <cell r="E16">
            <v>1220</v>
          </cell>
          <cell r="F16">
            <v>1324</v>
          </cell>
          <cell r="G16">
            <v>1218</v>
          </cell>
          <cell r="H16">
            <v>1135</v>
          </cell>
          <cell r="I16">
            <v>1137</v>
          </cell>
          <cell r="J16">
            <v>0.85360360360360366</v>
          </cell>
          <cell r="K16">
            <v>913</v>
          </cell>
        </row>
        <row r="17">
          <cell r="A17" t="str">
            <v>Europe</v>
          </cell>
          <cell r="D17">
            <v>55</v>
          </cell>
          <cell r="E17">
            <v>50</v>
          </cell>
          <cell r="F17">
            <v>72</v>
          </cell>
          <cell r="G17">
            <v>34</v>
          </cell>
          <cell r="H17">
            <v>55</v>
          </cell>
          <cell r="I17">
            <v>53</v>
          </cell>
          <cell r="J17">
            <v>3.9789789789789788E-2</v>
          </cell>
          <cell r="K17">
            <v>92</v>
          </cell>
        </row>
        <row r="18">
          <cell r="A18" t="str">
            <v>Australia/Asia Pacific</v>
          </cell>
          <cell r="D18">
            <v>76</v>
          </cell>
          <cell r="E18">
            <v>59</v>
          </cell>
          <cell r="F18">
            <v>71</v>
          </cell>
          <cell r="G18">
            <v>61</v>
          </cell>
          <cell r="H18">
            <v>72</v>
          </cell>
          <cell r="I18">
            <v>61</v>
          </cell>
          <cell r="J18">
            <v>4.5795795795795798E-2</v>
          </cell>
          <cell r="K18">
            <v>41</v>
          </cell>
        </row>
        <row r="19">
          <cell r="A19" t="str">
            <v>Other countries</v>
          </cell>
          <cell r="D19">
            <v>72</v>
          </cell>
          <cell r="E19">
            <v>78</v>
          </cell>
          <cell r="F19">
            <v>78</v>
          </cell>
          <cell r="G19">
            <v>72</v>
          </cell>
          <cell r="H19">
            <v>85</v>
          </cell>
          <cell r="I19">
            <v>81</v>
          </cell>
          <cell r="J19">
            <v>6.0810810810810814E-2</v>
          </cell>
          <cell r="K19">
            <v>81</v>
          </cell>
        </row>
        <row r="20">
          <cell r="A20" t="str">
            <v>Unallocated corporate expense</v>
          </cell>
          <cell r="D20">
            <v>-47</v>
          </cell>
          <cell r="E20">
            <v>-53</v>
          </cell>
          <cell r="F20">
            <v>-48.940000000000055</v>
          </cell>
          <cell r="G20">
            <v>-79</v>
          </cell>
          <cell r="H20">
            <v>-81.900000000000091</v>
          </cell>
          <cell r="I20">
            <v>-123.20000000000005</v>
          </cell>
          <cell r="K20">
            <v>-143</v>
          </cell>
        </row>
        <row r="22">
          <cell r="A22" t="str">
            <v>Total operating profit</v>
          </cell>
          <cell r="D22">
            <v>1191</v>
          </cell>
          <cell r="E22">
            <v>1354</v>
          </cell>
          <cell r="F22">
            <v>1496.06</v>
          </cell>
          <cell r="G22">
            <v>1306</v>
          </cell>
          <cell r="H22">
            <v>1265.0999999999999</v>
          </cell>
          <cell r="I22">
            <v>1208.8</v>
          </cell>
          <cell r="J22">
            <v>1</v>
          </cell>
          <cell r="K22">
            <v>1004</v>
          </cell>
        </row>
        <row r="24">
          <cell r="A24" t="str">
            <v>Identifiabel Assets</v>
          </cell>
        </row>
        <row r="25">
          <cell r="D25">
            <v>1996</v>
          </cell>
          <cell r="E25">
            <v>1997</v>
          </cell>
          <cell r="F25">
            <v>1998</v>
          </cell>
          <cell r="G25">
            <v>1999</v>
          </cell>
          <cell r="H25">
            <v>2000</v>
          </cell>
          <cell r="I25">
            <v>2001</v>
          </cell>
          <cell r="K25">
            <v>2002</v>
          </cell>
        </row>
        <row r="26">
          <cell r="A26" t="str">
            <v>United States</v>
          </cell>
          <cell r="D26">
            <v>2918</v>
          </cell>
          <cell r="E26">
            <v>2880</v>
          </cell>
          <cell r="F26">
            <v>3091</v>
          </cell>
          <cell r="G26">
            <v>2742</v>
          </cell>
          <cell r="H26">
            <v>2792</v>
          </cell>
          <cell r="I26">
            <v>2737</v>
          </cell>
          <cell r="K26">
            <v>2797</v>
          </cell>
        </row>
        <row r="27">
          <cell r="A27" t="str">
            <v>Europe</v>
          </cell>
          <cell r="D27">
            <v>604</v>
          </cell>
          <cell r="E27">
            <v>655</v>
          </cell>
          <cell r="F27">
            <v>408</v>
          </cell>
          <cell r="G27">
            <v>614</v>
          </cell>
          <cell r="H27">
            <v>533</v>
          </cell>
          <cell r="I27">
            <v>1472</v>
          </cell>
          <cell r="K27">
            <v>1586</v>
          </cell>
        </row>
        <row r="28">
          <cell r="A28" t="str">
            <v>Australia/Asia Pacific</v>
          </cell>
          <cell r="D28">
            <v>980</v>
          </cell>
          <cell r="E28">
            <v>919</v>
          </cell>
          <cell r="F28">
            <v>925</v>
          </cell>
          <cell r="G28">
            <v>991</v>
          </cell>
          <cell r="H28">
            <v>852</v>
          </cell>
          <cell r="I28">
            <v>717</v>
          </cell>
          <cell r="K28">
            <v>725</v>
          </cell>
        </row>
        <row r="29">
          <cell r="A29" t="str">
            <v>Other countries</v>
          </cell>
          <cell r="D29">
            <v>429</v>
          </cell>
          <cell r="E29">
            <v>531</v>
          </cell>
          <cell r="F29">
            <v>493</v>
          </cell>
          <cell r="G29">
            <v>476</v>
          </cell>
          <cell r="H29">
            <v>315</v>
          </cell>
          <cell r="I29">
            <v>293</v>
          </cell>
          <cell r="K29">
            <v>288</v>
          </cell>
        </row>
        <row r="30">
          <cell r="A30" t="str">
            <v>Corporate</v>
          </cell>
          <cell r="D30">
            <v>778</v>
          </cell>
          <cell r="E30">
            <v>629</v>
          </cell>
          <cell r="F30">
            <v>716</v>
          </cell>
          <cell r="G30">
            <v>699</v>
          </cell>
          <cell r="H30">
            <v>704</v>
          </cell>
          <cell r="I30">
            <v>708</v>
          </cell>
          <cell r="K30">
            <v>325</v>
          </cell>
        </row>
        <row r="31">
          <cell r="A31" t="str">
            <v xml:space="preserve">Net assets of discontinued oper. </v>
          </cell>
          <cell r="D31">
            <v>659</v>
          </cell>
          <cell r="E31">
            <v>632</v>
          </cell>
          <cell r="F31">
            <v>0</v>
          </cell>
          <cell r="G31">
            <v>0</v>
          </cell>
          <cell r="H31">
            <v>0</v>
          </cell>
          <cell r="I31">
            <v>0</v>
          </cell>
          <cell r="K31">
            <v>0</v>
          </cell>
        </row>
        <row r="33">
          <cell r="A33" t="str">
            <v>Consolidated</v>
          </cell>
          <cell r="D33">
            <v>6368</v>
          </cell>
          <cell r="E33">
            <v>6246</v>
          </cell>
          <cell r="F33">
            <v>5633</v>
          </cell>
          <cell r="G33">
            <v>5522</v>
          </cell>
          <cell r="H33">
            <v>5196</v>
          </cell>
          <cell r="I33">
            <v>5927</v>
          </cell>
          <cell r="K33">
            <v>5721</v>
          </cell>
        </row>
        <row r="36">
          <cell r="A36" t="str">
            <v>Profit Margins</v>
          </cell>
          <cell r="D36">
            <v>1996</v>
          </cell>
          <cell r="E36">
            <v>1997</v>
          </cell>
          <cell r="F36">
            <v>1998</v>
          </cell>
          <cell r="G36">
            <v>1999</v>
          </cell>
          <cell r="H36">
            <v>2000</v>
          </cell>
          <cell r="I36">
            <v>2001</v>
          </cell>
          <cell r="K36">
            <v>2002</v>
          </cell>
        </row>
        <row r="37">
          <cell r="A37" t="str">
            <v>United States</v>
          </cell>
          <cell r="D37">
            <v>0.23128491620111732</v>
          </cell>
          <cell r="E37">
            <v>0.26389790179537098</v>
          </cell>
          <cell r="F37">
            <v>0.27298969072164947</v>
          </cell>
          <cell r="G37">
            <v>0.24616006467259499</v>
          </cell>
          <cell r="H37">
            <v>0.23547717842323651</v>
          </cell>
          <cell r="I37">
            <v>0.22644891455885283</v>
          </cell>
          <cell r="K37">
            <v>0.21041714680802029</v>
          </cell>
        </row>
        <row r="38">
          <cell r="A38" t="str">
            <v>Europe</v>
          </cell>
          <cell r="D38">
            <v>6.7319461444308448E-2</v>
          </cell>
          <cell r="E38">
            <v>5.5865921787709494E-2</v>
          </cell>
          <cell r="F38">
            <v>8.381839348079162E-2</v>
          </cell>
          <cell r="G38">
            <v>5.2067381316998472E-2</v>
          </cell>
          <cell r="H38">
            <v>9.3696763202725727E-2</v>
          </cell>
          <cell r="I38">
            <v>8.6460032626427402E-2</v>
          </cell>
          <cell r="K38">
            <v>0.10913404507710557</v>
          </cell>
        </row>
        <row r="39">
          <cell r="A39" t="str">
            <v>Australia/Asia Pacific</v>
          </cell>
          <cell r="D39">
            <v>0.12377850162866449</v>
          </cell>
          <cell r="E39">
            <v>9.6247960848287115E-2</v>
          </cell>
          <cell r="F39">
            <v>0.11323763955342903</v>
          </cell>
          <cell r="G39">
            <v>9.6518987341772153E-2</v>
          </cell>
          <cell r="H39">
            <v>0.11093990755007704</v>
          </cell>
          <cell r="I39">
            <v>0.1035653650254669</v>
          </cell>
          <cell r="K39">
            <v>7.4007220216606495E-2</v>
          </cell>
        </row>
        <row r="40">
          <cell r="A40" t="str">
            <v>Other countries</v>
          </cell>
          <cell r="D40">
            <v>0.13688212927756654</v>
          </cell>
          <cell r="E40">
            <v>0.12745098039215685</v>
          </cell>
          <cell r="F40">
            <v>0.18705035971223022</v>
          </cell>
          <cell r="G40">
            <v>0.15789473684210525</v>
          </cell>
          <cell r="H40">
            <v>0.17598343685300208</v>
          </cell>
          <cell r="I40">
            <v>0.15789473684210525</v>
          </cell>
          <cell r="K40">
            <v>0.16135458167330677</v>
          </cell>
        </row>
        <row r="41">
          <cell r="A41" t="str">
            <v>Unallocated corporate expense</v>
          </cell>
          <cell r="D41">
            <v>7.4320050600885515E-3</v>
          </cell>
          <cell r="E41">
            <v>8.0133051103719391E-3</v>
          </cell>
          <cell r="F41">
            <v>7.3088410991636876E-3</v>
          </cell>
          <cell r="G41">
            <v>1.192272864473287E-2</v>
          </cell>
          <cell r="H41">
            <v>1.2666254253015789E-2</v>
          </cell>
          <cell r="I41">
            <v>1.84873949579832E-2</v>
          </cell>
          <cell r="K41">
            <v>2.3316484591553888E-2</v>
          </cell>
        </row>
        <row r="42">
          <cell r="A42" t="str">
            <v>Total profit margin</v>
          </cell>
          <cell r="D42">
            <v>0.18833017077798861</v>
          </cell>
          <cell r="E42">
            <v>0.20471726640459631</v>
          </cell>
          <cell r="F42">
            <v>0.22342592592592592</v>
          </cell>
          <cell r="G42">
            <v>0.19710232417748264</v>
          </cell>
          <cell r="H42">
            <v>0.19565419115372717</v>
          </cell>
          <cell r="I42">
            <v>0.18139255702280913</v>
          </cell>
          <cell r="K42">
            <v>0.16370454916028046</v>
          </cell>
        </row>
        <row r="45">
          <cell r="A45" t="str">
            <v>Return on Assets</v>
          </cell>
          <cell r="D45">
            <v>1996</v>
          </cell>
          <cell r="E45">
            <v>1997</v>
          </cell>
          <cell r="F45">
            <v>1998</v>
          </cell>
          <cell r="G45">
            <v>1999</v>
          </cell>
          <cell r="H45">
            <v>2000</v>
          </cell>
          <cell r="I45">
            <v>2001</v>
          </cell>
          <cell r="K45">
            <v>2002</v>
          </cell>
        </row>
        <row r="46">
          <cell r="A46" t="str">
            <v>United States</v>
          </cell>
          <cell r="D46">
            <v>0.35469499657299519</v>
          </cell>
          <cell r="E46">
            <v>0.4236111111111111</v>
          </cell>
          <cell r="F46">
            <v>0.42834034293109025</v>
          </cell>
          <cell r="G46">
            <v>0.44420131291028447</v>
          </cell>
          <cell r="H46">
            <v>0.4065186246418338</v>
          </cell>
          <cell r="I46">
            <v>0.4154183412495433</v>
          </cell>
          <cell r="K46">
            <v>0.32642116553450123</v>
          </cell>
        </row>
        <row r="47">
          <cell r="A47" t="str">
            <v>Europe</v>
          </cell>
          <cell r="D47">
            <v>9.1059602649006616E-2</v>
          </cell>
          <cell r="E47">
            <v>7.6335877862595422E-2</v>
          </cell>
          <cell r="F47">
            <v>0.17647058823529413</v>
          </cell>
          <cell r="G47">
            <v>5.5374592833876218E-2</v>
          </cell>
          <cell r="H47">
            <v>0.10318949343339587</v>
          </cell>
          <cell r="I47">
            <v>3.6005434782608696E-2</v>
          </cell>
          <cell r="K47">
            <v>5.8007566204287514E-2</v>
          </cell>
        </row>
        <row r="48">
          <cell r="A48" t="str">
            <v>Australia/Asia Pacific</v>
          </cell>
          <cell r="D48">
            <v>7.7551020408163265E-2</v>
          </cell>
          <cell r="E48">
            <v>6.4200217627856368E-2</v>
          </cell>
          <cell r="F48">
            <v>7.675675675675675E-2</v>
          </cell>
          <cell r="G48">
            <v>6.1553985872855703E-2</v>
          </cell>
          <cell r="H48">
            <v>8.4507042253521125E-2</v>
          </cell>
          <cell r="I48">
            <v>8.5076708507670851E-2</v>
          </cell>
          <cell r="K48">
            <v>5.6551724137931032E-2</v>
          </cell>
        </row>
        <row r="49">
          <cell r="A49" t="str">
            <v>Other countries</v>
          </cell>
          <cell r="D49">
            <v>0.16783216783216784</v>
          </cell>
          <cell r="E49">
            <v>0.14689265536723164</v>
          </cell>
          <cell r="F49">
            <v>0.15821501014198783</v>
          </cell>
          <cell r="G49">
            <v>0.15126050420168066</v>
          </cell>
          <cell r="H49">
            <v>0.26984126984126983</v>
          </cell>
          <cell r="I49">
            <v>0.2764505119453925</v>
          </cell>
          <cell r="K49">
            <v>0.28125</v>
          </cell>
        </row>
        <row r="51">
          <cell r="A51" t="str">
            <v>Total</v>
          </cell>
          <cell r="D51">
            <v>0.18702889447236182</v>
          </cell>
          <cell r="E51">
            <v>0.21677873839257125</v>
          </cell>
          <cell r="F51">
            <v>0.2655884963607314</v>
          </cell>
          <cell r="G51">
            <v>0.23650851140890983</v>
          </cell>
          <cell r="H51">
            <v>0.2434757505773672</v>
          </cell>
          <cell r="I51">
            <v>0.20394803441876158</v>
          </cell>
          <cell r="K51">
            <v>0.17549379479112043</v>
          </cell>
        </row>
        <row r="54">
          <cell r="A54" t="str">
            <v>Y-O-Y % Change</v>
          </cell>
          <cell r="D54">
            <v>1996</v>
          </cell>
          <cell r="E54">
            <v>1997</v>
          </cell>
          <cell r="F54">
            <v>1998</v>
          </cell>
          <cell r="G54">
            <v>1999</v>
          </cell>
          <cell r="H54">
            <v>2000</v>
          </cell>
          <cell r="I54">
            <v>2001</v>
          </cell>
          <cell r="K54">
            <v>2001</v>
          </cell>
        </row>
        <row r="55">
          <cell r="A55" t="str">
            <v>Sales:</v>
          </cell>
        </row>
        <row r="56">
          <cell r="A56" t="str">
            <v>United States</v>
          </cell>
          <cell r="E56">
            <v>3.3072625698324025E-2</v>
          </cell>
          <cell r="F56">
            <v>4.9102314514384598E-2</v>
          </cell>
          <cell r="G56">
            <v>2.0206185567010308E-2</v>
          </cell>
          <cell r="H56">
            <v>-2.5869037995149554E-2</v>
          </cell>
          <cell r="I56">
            <v>4.1701244813278006E-2</v>
          </cell>
          <cell r="K56">
            <v>-0.13582951603266283</v>
          </cell>
        </row>
        <row r="57">
          <cell r="A57" t="str">
            <v>Europe</v>
          </cell>
          <cell r="E57">
            <v>9.5471236230110154E-2</v>
          </cell>
          <cell r="F57">
            <v>-4.0223463687150837E-2</v>
          </cell>
          <cell r="G57">
            <v>-0.23981373690337601</v>
          </cell>
          <cell r="H57">
            <v>-0.10107197549770292</v>
          </cell>
          <cell r="I57">
            <v>4.4293015332197615E-2</v>
          </cell>
          <cell r="K57">
            <v>0.37520391517128876</v>
          </cell>
        </row>
        <row r="58">
          <cell r="A58" t="str">
            <v>Australia/Asia Pacific</v>
          </cell>
          <cell r="E58">
            <v>-1.6286644951140066E-3</v>
          </cell>
          <cell r="F58">
            <v>2.2838499184339316E-2</v>
          </cell>
          <cell r="G58">
            <v>7.9744816586921844E-3</v>
          </cell>
          <cell r="H58">
            <v>2.6898734177215191E-2</v>
          </cell>
          <cell r="I58">
            <v>-9.2449922958397532E-2</v>
          </cell>
          <cell r="K58">
            <v>-5.9422750424448216E-2</v>
          </cell>
        </row>
        <row r="59">
          <cell r="A59" t="str">
            <v>Other countries</v>
          </cell>
          <cell r="E59">
            <v>0.1634980988593156</v>
          </cell>
          <cell r="F59">
            <v>-0.31862745098039214</v>
          </cell>
          <cell r="G59">
            <v>9.3525179856115109E-2</v>
          </cell>
          <cell r="H59">
            <v>5.921052631578947E-2</v>
          </cell>
          <cell r="I59">
            <v>6.2111801242236024E-2</v>
          </cell>
          <cell r="K59">
            <v>-2.1442495126705652E-2</v>
          </cell>
        </row>
        <row r="60">
          <cell r="A60" t="str">
            <v>Adjustements and eliminations</v>
          </cell>
          <cell r="E60">
            <v>0.19444444444444445</v>
          </cell>
          <cell r="F60">
            <v>-0.55813953488372092</v>
          </cell>
          <cell r="G60">
            <v>0.10526315789473684</v>
          </cell>
          <cell r="H60">
            <v>0.15873015873015872</v>
          </cell>
          <cell r="I60">
            <v>-1.3698630136986301E-2</v>
          </cell>
          <cell r="K60">
            <v>0.45833333333333331</v>
          </cell>
        </row>
        <row r="62">
          <cell r="A62" t="str">
            <v>Total sales</v>
          </cell>
          <cell r="E62">
            <v>4.5857052498418725E-2</v>
          </cell>
          <cell r="F62">
            <v>1.2397943755669792E-2</v>
          </cell>
          <cell r="G62">
            <v>-1.045400238948626E-2</v>
          </cell>
          <cell r="H62">
            <v>-2.4147298520977967E-2</v>
          </cell>
          <cell r="I62">
            <v>3.0621713578719456E-2</v>
          </cell>
          <cell r="K62">
            <v>-7.9681872749099644E-2</v>
          </cell>
        </row>
        <row r="64">
          <cell r="A64" t="str">
            <v>Operating Profit:</v>
          </cell>
        </row>
        <row r="65">
          <cell r="A65" t="str">
            <v>United States</v>
          </cell>
          <cell r="E65">
            <v>0.17874396135265699</v>
          </cell>
          <cell r="F65">
            <v>8.5245901639344257E-2</v>
          </cell>
          <cell r="G65">
            <v>-8.0060422960725075E-2</v>
          </cell>
          <cell r="H65">
            <v>-6.8144499178981938E-2</v>
          </cell>
          <cell r="I65">
            <v>1.762114537444934E-3</v>
          </cell>
          <cell r="K65">
            <v>-0.19700967458223395</v>
          </cell>
        </row>
        <row r="66">
          <cell r="A66" t="str">
            <v>Europe</v>
          </cell>
          <cell r="E66">
            <v>-9.0909090909090912E-2</v>
          </cell>
          <cell r="F66">
            <v>0.44</v>
          </cell>
          <cell r="G66">
            <v>-0.52777777777777779</v>
          </cell>
          <cell r="H66">
            <v>0.61764705882352944</v>
          </cell>
          <cell r="I66">
            <v>-3.6363636363636362E-2</v>
          </cell>
          <cell r="K66">
            <v>0.73584905660377353</v>
          </cell>
        </row>
        <row r="67">
          <cell r="A67" t="str">
            <v>Australia/Asia Pacific</v>
          </cell>
          <cell r="E67">
            <v>-0.22368421052631579</v>
          </cell>
          <cell r="F67">
            <v>0.20338983050847459</v>
          </cell>
          <cell r="G67">
            <v>-0.14084507042253522</v>
          </cell>
          <cell r="H67">
            <v>0.18032786885245902</v>
          </cell>
          <cell r="I67">
            <v>-0.15277777777777779</v>
          </cell>
          <cell r="K67">
            <v>-0.32786885245901637</v>
          </cell>
        </row>
        <row r="68">
          <cell r="A68" t="str">
            <v>Other countries</v>
          </cell>
          <cell r="E68">
            <v>8.3333333333333329E-2</v>
          </cell>
          <cell r="F68">
            <v>0</v>
          </cell>
          <cell r="G68">
            <v>-7.6923076923076927E-2</v>
          </cell>
          <cell r="H68">
            <v>0.18055555555555555</v>
          </cell>
          <cell r="I68">
            <v>-4.7058823529411764E-2</v>
          </cell>
          <cell r="K68">
            <v>0</v>
          </cell>
        </row>
        <row r="69">
          <cell r="A69" t="str">
            <v>Unallocated corporate expense</v>
          </cell>
          <cell r="E69">
            <v>0.1276595744680851</v>
          </cell>
          <cell r="F69">
            <v>-7.6603773584904625E-2</v>
          </cell>
          <cell r="G69">
            <v>0.61422149570902962</v>
          </cell>
          <cell r="H69">
            <v>3.6708860759494824E-2</v>
          </cell>
          <cell r="I69">
            <v>0.50427350427350315</v>
          </cell>
          <cell r="K69">
            <v>0.16071428571428528</v>
          </cell>
        </row>
        <row r="71">
          <cell r="A71" t="str">
            <v>Total operating profit</v>
          </cell>
          <cell r="E71">
            <v>0.13685978169605373</v>
          </cell>
          <cell r="F71">
            <v>0.10491875923190543</v>
          </cell>
          <cell r="G71">
            <v>-0.12704035934387656</v>
          </cell>
          <cell r="H71">
            <v>-3.1316998468606499E-2</v>
          </cell>
          <cell r="I71">
            <v>-4.4502410876610513E-2</v>
          </cell>
          <cell r="K71">
            <v>-0.16942422236929183</v>
          </cell>
        </row>
        <row r="73">
          <cell r="A73" t="str">
            <v>Sales Composition (% of total)</v>
          </cell>
        </row>
        <row r="74">
          <cell r="D74">
            <v>1996</v>
          </cell>
          <cell r="E74">
            <v>1997</v>
          </cell>
          <cell r="F74">
            <v>1998</v>
          </cell>
          <cell r="G74">
            <v>1999</v>
          </cell>
          <cell r="H74">
            <v>2000</v>
          </cell>
          <cell r="I74">
            <v>2001</v>
          </cell>
          <cell r="K74">
            <v>2002</v>
          </cell>
        </row>
        <row r="76">
          <cell r="A76" t="str">
            <v>United States</v>
          </cell>
          <cell r="D76">
            <v>0.70762175838077168</v>
          </cell>
          <cell r="E76">
            <v>0.69897187783489567</v>
          </cell>
          <cell r="F76">
            <v>0.72431302270011944</v>
          </cell>
          <cell r="G76">
            <v>0.74675520676124363</v>
          </cell>
          <cell r="H76">
            <v>0.745437673987009</v>
          </cell>
          <cell r="I76">
            <v>0.75345138055222094</v>
          </cell>
          <cell r="K76">
            <v>0.70748410239686943</v>
          </cell>
        </row>
        <row r="77">
          <cell r="A77" t="str">
            <v>Europe</v>
          </cell>
          <cell r="D77">
            <v>0.12919038583175205</v>
          </cell>
          <cell r="E77">
            <v>0.13531902026005443</v>
          </cell>
          <cell r="F77">
            <v>0.12828554360812425</v>
          </cell>
          <cell r="G77">
            <v>9.8551162088741318E-2</v>
          </cell>
          <cell r="H77">
            <v>9.0782554902567272E-2</v>
          </cell>
          <cell r="I77">
            <v>9.1986794717887149E-2</v>
          </cell>
          <cell r="K77">
            <v>0.1374531224523072</v>
          </cell>
        </row>
        <row r="78">
          <cell r="A78" t="str">
            <v>Australia/Asia Pacific</v>
          </cell>
          <cell r="D78">
            <v>9.7090449082858951E-2</v>
          </cell>
          <cell r="E78">
            <v>9.2682189295433925E-2</v>
          </cell>
          <cell r="F78">
            <v>9.3637992831541214E-2</v>
          </cell>
          <cell r="G78">
            <v>9.538182915786296E-2</v>
          </cell>
          <cell r="H78">
            <v>0.10037117228580265</v>
          </cell>
          <cell r="I78">
            <v>8.8385354141656658E-2</v>
          </cell>
          <cell r="K78">
            <v>9.033099624979618E-2</v>
          </cell>
        </row>
        <row r="79">
          <cell r="A79" t="str">
            <v>Other countries</v>
          </cell>
          <cell r="D79">
            <v>8.3175205566097407E-2</v>
          </cell>
          <cell r="E79">
            <v>9.2530994859389176E-2</v>
          </cell>
          <cell r="F79">
            <v>6.2275985663082435E-2</v>
          </cell>
          <cell r="G79">
            <v>6.8819800784787208E-2</v>
          </cell>
          <cell r="H79">
            <v>7.4698422517785343E-2</v>
          </cell>
          <cell r="I79">
            <v>7.6980792316926769E-2</v>
          </cell>
          <cell r="K79">
            <v>8.185227458014023E-2</v>
          </cell>
        </row>
        <row r="80">
          <cell r="A80" t="str">
            <v>Adjustements and eliminations</v>
          </cell>
          <cell r="D80">
            <v>-1.7077798861480076E-2</v>
          </cell>
          <cell r="E80">
            <v>-1.9504082249773208E-2</v>
          </cell>
          <cell r="F80">
            <v>-8.512544802867384E-3</v>
          </cell>
          <cell r="G80">
            <v>-9.507998792635074E-3</v>
          </cell>
          <cell r="H80">
            <v>-1.1289823693164244E-2</v>
          </cell>
          <cell r="I80">
            <v>-1.0804321728691477E-2</v>
          </cell>
          <cell r="K80">
            <v>-1.7120495679112994E-2</v>
          </cell>
        </row>
        <row r="82">
          <cell r="A82" t="str">
            <v>Total</v>
          </cell>
          <cell r="D82">
            <v>1</v>
          </cell>
          <cell r="E82">
            <v>1</v>
          </cell>
          <cell r="F82">
            <v>1</v>
          </cell>
          <cell r="G82">
            <v>1</v>
          </cell>
          <cell r="H82">
            <v>1</v>
          </cell>
          <cell r="I82">
            <v>1</v>
          </cell>
          <cell r="K82">
            <v>1</v>
          </cell>
        </row>
        <row r="84">
          <cell r="A84" t="str">
            <v>Profit Composition (% of total)</v>
          </cell>
        </row>
        <row r="85">
          <cell r="D85">
            <v>1996</v>
          </cell>
          <cell r="E85">
            <v>1997</v>
          </cell>
          <cell r="F85">
            <v>1998</v>
          </cell>
          <cell r="G85">
            <v>1999</v>
          </cell>
          <cell r="H85">
            <v>2000</v>
          </cell>
          <cell r="I85">
            <v>2001</v>
          </cell>
          <cell r="K85">
            <v>2002</v>
          </cell>
        </row>
        <row r="86">
          <cell r="A86" t="str">
            <v>United States</v>
          </cell>
          <cell r="D86">
            <v>0.86901763224181361</v>
          </cell>
          <cell r="E86">
            <v>0.90103397341211222</v>
          </cell>
          <cell r="F86">
            <v>0.8849912436666979</v>
          </cell>
          <cell r="G86">
            <v>0.93261868300153139</v>
          </cell>
          <cell r="H86">
            <v>0.89716227966168693</v>
          </cell>
          <cell r="I86">
            <v>0.9406022501654534</v>
          </cell>
          <cell r="K86">
            <v>0.90936254980079678</v>
          </cell>
        </row>
        <row r="87">
          <cell r="A87" t="str">
            <v>Europe</v>
          </cell>
          <cell r="D87">
            <v>4.6179680940386228E-2</v>
          </cell>
          <cell r="E87">
            <v>3.6927621861152143E-2</v>
          </cell>
          <cell r="F87">
            <v>4.812641204229777E-2</v>
          </cell>
          <cell r="G87">
            <v>2.6033690658499236E-2</v>
          </cell>
          <cell r="H87">
            <v>4.3474824124575137E-2</v>
          </cell>
          <cell r="I87">
            <v>4.3845135671740573E-2</v>
          </cell>
          <cell r="K87">
            <v>9.1633466135458169E-2</v>
          </cell>
        </row>
        <row r="88">
          <cell r="A88" t="str">
            <v>Australia/Asia Pacific</v>
          </cell>
          <cell r="D88">
            <v>6.381192275398824E-2</v>
          </cell>
          <cell r="E88">
            <v>4.3574593796159529E-2</v>
          </cell>
          <cell r="F88">
            <v>4.7457989652821414E-2</v>
          </cell>
          <cell r="G88">
            <v>4.6707503828483918E-2</v>
          </cell>
          <cell r="H88">
            <v>5.6912497035807447E-2</v>
          </cell>
          <cell r="I88">
            <v>5.0463269358041032E-2</v>
          </cell>
          <cell r="K88">
            <v>4.0836653386454182E-2</v>
          </cell>
        </row>
        <row r="89">
          <cell r="A89" t="str">
            <v>Other countries</v>
          </cell>
          <cell r="D89">
            <v>6.0453400503778336E-2</v>
          </cell>
          <cell r="E89">
            <v>5.7607090103397339E-2</v>
          </cell>
          <cell r="F89">
            <v>5.2136946379155918E-2</v>
          </cell>
          <cell r="G89">
            <v>5.5130168453292494E-2</v>
          </cell>
          <cell r="H89">
            <v>6.7188364556161576E-2</v>
          </cell>
          <cell r="I89">
            <v>6.7008603573792194E-2</v>
          </cell>
          <cell r="K89">
            <v>8.0677290836653384E-2</v>
          </cell>
        </row>
        <row r="90">
          <cell r="A90" t="str">
            <v>Unallocated corporate expense</v>
          </cell>
          <cell r="D90">
            <v>-3.9462636439966413E-2</v>
          </cell>
          <cell r="E90">
            <v>-3.9143279172821267E-2</v>
          </cell>
          <cell r="F90">
            <v>-3.271259174097299E-2</v>
          </cell>
          <cell r="G90">
            <v>-6.0490045941807041E-2</v>
          </cell>
          <cell r="H90">
            <v>-6.4737965378231052E-2</v>
          </cell>
          <cell r="I90">
            <v>-0.10191925876902717</v>
          </cell>
          <cell r="K90">
            <v>-0.14243027888446216</v>
          </cell>
        </row>
        <row r="92">
          <cell r="A92" t="str">
            <v>Total</v>
          </cell>
          <cell r="D92">
            <v>1</v>
          </cell>
          <cell r="E92">
            <v>1</v>
          </cell>
          <cell r="F92">
            <v>1</v>
          </cell>
          <cell r="G92">
            <v>1</v>
          </cell>
          <cell r="H92">
            <v>1</v>
          </cell>
          <cell r="I92">
            <v>1</v>
          </cell>
          <cell r="K92">
            <v>1</v>
          </cell>
        </row>
        <row r="94">
          <cell r="A94" t="str">
            <v>Asset Composition (% of total)</v>
          </cell>
        </row>
        <row r="95">
          <cell r="D95">
            <v>1996</v>
          </cell>
          <cell r="E95">
            <v>1997</v>
          </cell>
          <cell r="F95">
            <v>1998</v>
          </cell>
          <cell r="G95">
            <v>1999</v>
          </cell>
          <cell r="H95">
            <v>2000</v>
          </cell>
          <cell r="I95">
            <v>2001</v>
          </cell>
          <cell r="K95">
            <v>2002</v>
          </cell>
        </row>
        <row r="96">
          <cell r="A96" t="str">
            <v>United States</v>
          </cell>
          <cell r="D96">
            <v>0.45822864321608042</v>
          </cell>
          <cell r="E96">
            <v>0.4610951008645533</v>
          </cell>
          <cell r="F96">
            <v>0.54873069412391262</v>
          </cell>
          <cell r="G96">
            <v>0.49655921767475553</v>
          </cell>
          <cell r="H96">
            <v>0.53733641262509624</v>
          </cell>
          <cell r="I96">
            <v>0.461785051459423</v>
          </cell>
          <cell r="K96">
            <v>0.48890054186331061</v>
          </cell>
        </row>
        <row r="97">
          <cell r="A97" t="str">
            <v>Europe</v>
          </cell>
          <cell r="D97">
            <v>9.4849246231155773E-2</v>
          </cell>
          <cell r="E97">
            <v>0.10486711495357029</v>
          </cell>
          <cell r="F97">
            <v>7.2430321320788207E-2</v>
          </cell>
          <cell r="G97">
            <v>0.11119159724737414</v>
          </cell>
          <cell r="H97">
            <v>0.10257890685142418</v>
          </cell>
          <cell r="I97">
            <v>0.24835498565884934</v>
          </cell>
          <cell r="K97">
            <v>0.27722426149274604</v>
          </cell>
        </row>
        <row r="98">
          <cell r="A98" t="str">
            <v>Australia/Asia Pacific</v>
          </cell>
          <cell r="D98">
            <v>0.15389447236180903</v>
          </cell>
          <cell r="E98">
            <v>0.14713416586615433</v>
          </cell>
          <cell r="F98">
            <v>0.16421090005325759</v>
          </cell>
          <cell r="G98">
            <v>0.17946396233248824</v>
          </cell>
          <cell r="H98">
            <v>0.16397228637413394</v>
          </cell>
          <cell r="I98">
            <v>0.12097182385692594</v>
          </cell>
          <cell r="K98">
            <v>0.12672609683621744</v>
          </cell>
        </row>
        <row r="99">
          <cell r="A99" t="str">
            <v>Other countries</v>
          </cell>
          <cell r="D99">
            <v>6.7368090452261303E-2</v>
          </cell>
          <cell r="E99">
            <v>8.5014409221902024E-2</v>
          </cell>
          <cell r="F99">
            <v>8.7519971595952428E-2</v>
          </cell>
          <cell r="G99">
            <v>8.6200651937703737E-2</v>
          </cell>
          <cell r="H99">
            <v>6.0623556581986142E-2</v>
          </cell>
          <cell r="I99">
            <v>4.9434789944322592E-2</v>
          </cell>
          <cell r="K99">
            <v>5.0340849501835344E-2</v>
          </cell>
        </row>
        <row r="100">
          <cell r="A100" t="str">
            <v>Corporate</v>
          </cell>
          <cell r="D100">
            <v>0.12217336683417085</v>
          </cell>
          <cell r="E100">
            <v>0.10070445084854307</v>
          </cell>
          <cell r="F100">
            <v>0.12710811290608912</v>
          </cell>
          <cell r="G100">
            <v>0.12658457080767838</v>
          </cell>
          <cell r="H100">
            <v>0.13548883756735949</v>
          </cell>
          <cell r="I100">
            <v>0.11945334908047917</v>
          </cell>
          <cell r="K100">
            <v>5.6808250305890581E-2</v>
          </cell>
        </row>
        <row r="101">
          <cell r="A101" t="str">
            <v xml:space="preserve">Net assets of discontinued oper. </v>
          </cell>
          <cell r="D101">
            <v>0.10348618090452261</v>
          </cell>
          <cell r="E101">
            <v>0.10118475824527698</v>
          </cell>
          <cell r="F101">
            <v>0</v>
          </cell>
          <cell r="G101">
            <v>0</v>
          </cell>
          <cell r="H101">
            <v>0</v>
          </cell>
          <cell r="I101">
            <v>0</v>
          </cell>
          <cell r="K101">
            <v>0</v>
          </cell>
        </row>
        <row r="103">
          <cell r="A103" t="str">
            <v>Total</v>
          </cell>
          <cell r="D103">
            <v>1</v>
          </cell>
          <cell r="E103">
            <v>1</v>
          </cell>
          <cell r="F103">
            <v>1</v>
          </cell>
          <cell r="G103">
            <v>1</v>
          </cell>
          <cell r="H103">
            <v>1</v>
          </cell>
          <cell r="I103">
            <v>1</v>
          </cell>
          <cell r="K103">
            <v>1</v>
          </cell>
        </row>
        <row r="105">
          <cell r="A105" t="str">
            <v>Fiscal year ends July 31</v>
          </cell>
        </row>
        <row r="106">
          <cell r="A106" t="str">
            <v>CAGR = Compound Annual Growth Rate</v>
          </cell>
        </row>
        <row r="107">
          <cell r="A107" t="str">
            <v>E = Morgan Stanley Dean Witter Research Estimates</v>
          </cell>
        </row>
      </sheetData>
      <sheetData sheetId="36" refreshError="1">
        <row r="3">
          <cell r="B3">
            <v>1996</v>
          </cell>
          <cell r="C3">
            <v>1997</v>
          </cell>
          <cell r="D3">
            <v>1998</v>
          </cell>
          <cell r="E3">
            <v>1999</v>
          </cell>
          <cell r="F3" t="str">
            <v>2000</v>
          </cell>
          <cell r="G3">
            <v>2001</v>
          </cell>
          <cell r="I3" t="str">
            <v>2002E</v>
          </cell>
          <cell r="K3" t="str">
            <v>2003E</v>
          </cell>
          <cell r="M3" t="str">
            <v>2004E</v>
          </cell>
          <cell r="O3" t="str">
            <v>2005E</v>
          </cell>
          <cell r="Q3" t="str">
            <v>2006E</v>
          </cell>
        </row>
        <row r="4">
          <cell r="A4" t="str">
            <v>EBIT</v>
          </cell>
          <cell r="B4">
            <v>1191</v>
          </cell>
          <cell r="C4">
            <v>1354</v>
          </cell>
          <cell r="D4">
            <v>1496.06</v>
          </cell>
          <cell r="E4">
            <v>1306</v>
          </cell>
          <cell r="F4">
            <v>1264.8999999999999</v>
          </cell>
          <cell r="G4">
            <v>1208.8</v>
          </cell>
          <cell r="I4">
            <v>1004</v>
          </cell>
          <cell r="K4">
            <v>1105</v>
          </cell>
          <cell r="M4">
            <v>1122</v>
          </cell>
          <cell r="O4">
            <v>1167</v>
          </cell>
          <cell r="Q4">
            <v>1205</v>
          </cell>
        </row>
        <row r="5">
          <cell r="A5" t="str">
            <v>Amort.</v>
          </cell>
          <cell r="B5">
            <v>49</v>
          </cell>
          <cell r="C5">
            <v>51</v>
          </cell>
          <cell r="D5">
            <v>53</v>
          </cell>
          <cell r="E5">
            <v>58</v>
          </cell>
          <cell r="F5">
            <v>55</v>
          </cell>
          <cell r="G5">
            <v>43</v>
          </cell>
          <cell r="I5">
            <v>81</v>
          </cell>
          <cell r="K5">
            <v>34</v>
          </cell>
          <cell r="M5">
            <v>2.2108300000000001</v>
          </cell>
          <cell r="O5">
            <v>2</v>
          </cell>
          <cell r="Q5">
            <v>2</v>
          </cell>
        </row>
        <row r="7">
          <cell r="A7" t="str">
            <v>NOPBT</v>
          </cell>
          <cell r="B7">
            <v>1240</v>
          </cell>
          <cell r="C7">
            <v>1405</v>
          </cell>
          <cell r="D7">
            <v>1549.06</v>
          </cell>
          <cell r="E7">
            <v>1364</v>
          </cell>
          <cell r="F7">
            <v>1319.8999999999999</v>
          </cell>
          <cell r="G7">
            <v>1251.8</v>
          </cell>
          <cell r="I7">
            <v>1085</v>
          </cell>
          <cell r="K7">
            <v>1139</v>
          </cell>
          <cell r="M7">
            <v>1124.21083</v>
          </cell>
          <cell r="O7">
            <v>1169</v>
          </cell>
          <cell r="Q7">
            <v>1207</v>
          </cell>
        </row>
        <row r="8">
          <cell r="A8" t="str">
            <v>% Change</v>
          </cell>
          <cell r="F8">
            <v>-3.2331378299120361E-2</v>
          </cell>
          <cell r="G8">
            <v>-5.1594817789226366E-2</v>
          </cell>
          <cell r="I8">
            <v>-0.13324812270330721</v>
          </cell>
          <cell r="K8">
            <v>4.9769585253456317E-2</v>
          </cell>
          <cell r="M8">
            <v>-1.298434591747144E-2</v>
          </cell>
          <cell r="O8">
            <v>3.9840543076782087E-2</v>
          </cell>
          <cell r="Q8">
            <v>3.2506415739948613E-2</v>
          </cell>
        </row>
        <row r="10">
          <cell r="A10" t="str">
            <v>Income tax provision</v>
          </cell>
          <cell r="B10">
            <v>354</v>
          </cell>
          <cell r="C10">
            <v>409</v>
          </cell>
          <cell r="D10">
            <v>448.61199999999997</v>
          </cell>
          <cell r="E10">
            <v>382</v>
          </cell>
          <cell r="F10">
            <v>362.50400000000002</v>
          </cell>
          <cell r="G10">
            <v>342.1</v>
          </cell>
          <cell r="I10">
            <v>279</v>
          </cell>
          <cell r="K10">
            <v>297.52800000000002</v>
          </cell>
          <cell r="M10">
            <v>303.2</v>
          </cell>
          <cell r="O10">
            <v>309.81632653061223</v>
          </cell>
          <cell r="Q10">
            <v>298.58839599999999</v>
          </cell>
        </row>
        <row r="11">
          <cell r="A11" t="str">
            <v>Change in Deferred taxes</v>
          </cell>
          <cell r="B11">
            <v>45</v>
          </cell>
          <cell r="C11">
            <v>-33</v>
          </cell>
          <cell r="D11">
            <v>-21</v>
          </cell>
          <cell r="E11">
            <v>78</v>
          </cell>
          <cell r="F11">
            <v>17</v>
          </cell>
          <cell r="G11">
            <v>4</v>
          </cell>
          <cell r="I11">
            <v>5</v>
          </cell>
          <cell r="K11">
            <v>72</v>
          </cell>
          <cell r="M11">
            <v>51</v>
          </cell>
          <cell r="O11">
            <v>47</v>
          </cell>
          <cell r="Q11">
            <v>0</v>
          </cell>
        </row>
        <row r="12">
          <cell r="A12" t="str">
            <v>Interest expense</v>
          </cell>
          <cell r="B12">
            <v>119</v>
          </cell>
          <cell r="C12">
            <v>158</v>
          </cell>
          <cell r="D12">
            <v>174.8</v>
          </cell>
          <cell r="E12">
            <v>173</v>
          </cell>
          <cell r="F12">
            <v>188</v>
          </cell>
          <cell r="G12">
            <v>207</v>
          </cell>
          <cell r="I12">
            <v>186</v>
          </cell>
          <cell r="K12">
            <v>181</v>
          </cell>
          <cell r="M12">
            <v>168</v>
          </cell>
          <cell r="O12">
            <v>180</v>
          </cell>
          <cell r="Q12">
            <v>182.43700000000001</v>
          </cell>
        </row>
        <row r="13">
          <cell r="A13" t="str">
            <v xml:space="preserve">   Effective Tax Rate</v>
          </cell>
          <cell r="B13">
            <v>0.33022388059701491</v>
          </cell>
          <cell r="C13">
            <v>0.34197324414715718</v>
          </cell>
          <cell r="D13">
            <v>0.33953347562175495</v>
          </cell>
          <cell r="E13">
            <v>0.33715798764342453</v>
          </cell>
          <cell r="F13">
            <v>0.33661807038722263</v>
          </cell>
          <cell r="G13">
            <v>0.3414853264124576</v>
          </cell>
          <cell r="I13">
            <v>0.34107579462102688</v>
          </cell>
          <cell r="K13">
            <v>0.32200000000000001</v>
          </cell>
          <cell r="M13">
            <v>0.31781970649895175</v>
          </cell>
          <cell r="O13">
            <v>0.31389698736637511</v>
          </cell>
          <cell r="Q13">
            <v>0.29199999999999998</v>
          </cell>
        </row>
        <row r="14">
          <cell r="A14" t="str">
            <v>Foregone interest tax shield</v>
          </cell>
          <cell r="B14">
            <v>39.296641791044777</v>
          </cell>
          <cell r="C14">
            <v>54.031772575250834</v>
          </cell>
          <cell r="D14">
            <v>59.350451538682769</v>
          </cell>
          <cell r="E14">
            <v>58.328331862312446</v>
          </cell>
          <cell r="F14">
            <v>63.284197232797858</v>
          </cell>
          <cell r="G14">
            <v>70.687462567378716</v>
          </cell>
          <cell r="I14">
            <v>63.440097799511001</v>
          </cell>
          <cell r="K14">
            <v>58.282000000000004</v>
          </cell>
          <cell r="M14">
            <v>53.393710691823891</v>
          </cell>
          <cell r="O14">
            <v>56.501457725947517</v>
          </cell>
          <cell r="Q14">
            <v>53.271604000000004</v>
          </cell>
        </row>
        <row r="15">
          <cell r="A15" t="str">
            <v>Cash taxes</v>
          </cell>
          <cell r="B15">
            <v>348.29664179104475</v>
          </cell>
          <cell r="C15">
            <v>496.03177257525084</v>
          </cell>
          <cell r="D15">
            <v>528.96245153868279</v>
          </cell>
          <cell r="E15">
            <v>362.32833186231244</v>
          </cell>
          <cell r="F15">
            <v>408.78819723279787</v>
          </cell>
          <cell r="G15">
            <v>408.78746256737872</v>
          </cell>
          <cell r="I15">
            <v>337.44009779951102</v>
          </cell>
          <cell r="K15">
            <v>283.81</v>
          </cell>
          <cell r="M15">
            <v>305.5937106918239</v>
          </cell>
          <cell r="O15">
            <v>319.31778425655978</v>
          </cell>
          <cell r="Q15">
            <v>351.86</v>
          </cell>
        </row>
        <row r="17">
          <cell r="A17" t="str">
            <v>NOPAT</v>
          </cell>
          <cell r="B17">
            <v>891.70335820895525</v>
          </cell>
          <cell r="C17">
            <v>908.9682274247491</v>
          </cell>
          <cell r="D17">
            <v>1020.0975484613172</v>
          </cell>
          <cell r="E17">
            <v>1001.6716681376876</v>
          </cell>
          <cell r="F17">
            <v>911.11180276720199</v>
          </cell>
          <cell r="G17">
            <v>843.01253743262123</v>
          </cell>
          <cell r="I17">
            <v>747.55990220048898</v>
          </cell>
          <cell r="K17">
            <v>855.19</v>
          </cell>
          <cell r="M17">
            <v>818.61711930817614</v>
          </cell>
          <cell r="O17">
            <v>849.68221574344022</v>
          </cell>
          <cell r="Q17">
            <v>855.14</v>
          </cell>
        </row>
        <row r="18">
          <cell r="A18" t="str">
            <v>Common equity</v>
          </cell>
          <cell r="B18">
            <v>2742</v>
          </cell>
          <cell r="C18">
            <v>1420</v>
          </cell>
          <cell r="D18">
            <v>874</v>
          </cell>
          <cell r="E18">
            <v>235</v>
          </cell>
          <cell r="F18">
            <v>137.39599999999973</v>
          </cell>
          <cell r="G18">
            <v>-247</v>
          </cell>
          <cell r="I18">
            <v>-114</v>
          </cell>
          <cell r="K18">
            <v>387</v>
          </cell>
          <cell r="M18">
            <v>874</v>
          </cell>
          <cell r="O18">
            <v>1245.1836729999995</v>
          </cell>
          <cell r="Q18">
            <v>1768</v>
          </cell>
        </row>
        <row r="20">
          <cell r="A20" t="str">
            <v>Adjustments to Equity</v>
          </cell>
          <cell r="B20">
            <v>0</v>
          </cell>
          <cell r="C20">
            <v>152</v>
          </cell>
          <cell r="D20">
            <v>344.8</v>
          </cell>
          <cell r="E20">
            <v>371.8</v>
          </cell>
          <cell r="F20">
            <v>371.8</v>
          </cell>
          <cell r="G20">
            <v>382.8</v>
          </cell>
          <cell r="I20">
            <v>395.8</v>
          </cell>
          <cell r="K20">
            <v>427.27199999999999</v>
          </cell>
          <cell r="M20">
            <v>431.072</v>
          </cell>
          <cell r="O20">
            <v>431.072</v>
          </cell>
          <cell r="Q20">
            <v>473.097396</v>
          </cell>
        </row>
        <row r="21">
          <cell r="A21" t="str">
            <v>Deferred income taxes</v>
          </cell>
          <cell r="B21">
            <v>274</v>
          </cell>
          <cell r="C21">
            <v>214</v>
          </cell>
          <cell r="D21">
            <v>246</v>
          </cell>
          <cell r="E21">
            <v>263</v>
          </cell>
          <cell r="F21">
            <v>285</v>
          </cell>
          <cell r="G21">
            <v>303</v>
          </cell>
          <cell r="I21">
            <v>188</v>
          </cell>
          <cell r="K21">
            <v>0</v>
          </cell>
          <cell r="M21">
            <v>0</v>
          </cell>
          <cell r="O21">
            <v>0</v>
          </cell>
          <cell r="Q21">
            <v>0</v>
          </cell>
        </row>
        <row r="22">
          <cell r="A22" t="str">
            <v>Other LT liabilities</v>
          </cell>
          <cell r="B22">
            <v>643</v>
          </cell>
          <cell r="C22">
            <v>642</v>
          </cell>
          <cell r="D22">
            <v>541</v>
          </cell>
          <cell r="E22">
            <v>548</v>
          </cell>
          <cell r="F22">
            <v>524</v>
          </cell>
          <cell r="G22">
            <v>508</v>
          </cell>
          <cell r="I22">
            <v>520</v>
          </cell>
          <cell r="K22">
            <v>786</v>
          </cell>
          <cell r="M22">
            <v>919</v>
          </cell>
          <cell r="O22">
            <v>962</v>
          </cell>
          <cell r="Q22">
            <v>1024</v>
          </cell>
        </row>
        <row r="23">
          <cell r="A23" t="str">
            <v>Total debt</v>
          </cell>
          <cell r="B23">
            <v>1609</v>
          </cell>
          <cell r="C23">
            <v>2657</v>
          </cell>
          <cell r="D23">
            <v>2570</v>
          </cell>
          <cell r="E23">
            <v>3317</v>
          </cell>
          <cell r="F23">
            <v>3091</v>
          </cell>
          <cell r="G23">
            <v>4049</v>
          </cell>
          <cell r="I23">
            <v>3645</v>
          </cell>
          <cell r="K23">
            <v>3528</v>
          </cell>
          <cell r="M23">
            <v>3353</v>
          </cell>
          <cell r="O23">
            <v>2993</v>
          </cell>
          <cell r="Q23">
            <v>3213</v>
          </cell>
        </row>
        <row r="24">
          <cell r="A24" t="str">
            <v>Accumulated goodwill amortization</v>
          </cell>
          <cell r="B24">
            <v>83.005151839787672</v>
          </cell>
          <cell r="C24">
            <v>133</v>
          </cell>
          <cell r="D24">
            <v>179</v>
          </cell>
          <cell r="E24">
            <v>219</v>
          </cell>
          <cell r="F24">
            <v>263</v>
          </cell>
          <cell r="G24">
            <v>306</v>
          </cell>
          <cell r="I24">
            <v>384</v>
          </cell>
          <cell r="K24">
            <v>386</v>
          </cell>
          <cell r="M24">
            <v>388.21082999999999</v>
          </cell>
          <cell r="O24">
            <v>390.21082999999999</v>
          </cell>
          <cell r="Q24">
            <v>392.21082999999999</v>
          </cell>
        </row>
        <row r="25">
          <cell r="A25" t="str">
            <v>Invested Capital/Net Operating Assets</v>
          </cell>
          <cell r="B25">
            <v>5351.0051518397877</v>
          </cell>
          <cell r="C25">
            <v>5218</v>
          </cell>
          <cell r="D25">
            <v>4754.8</v>
          </cell>
          <cell r="E25">
            <v>4953.8</v>
          </cell>
          <cell r="F25">
            <v>4672.1959999999999</v>
          </cell>
          <cell r="G25">
            <v>5301.8</v>
          </cell>
          <cell r="I25">
            <v>5018.8</v>
          </cell>
          <cell r="K25">
            <v>5514.2719999999999</v>
          </cell>
          <cell r="M25">
            <v>5965.2828300000001</v>
          </cell>
          <cell r="O25">
            <v>6021.4665029999996</v>
          </cell>
          <cell r="Q25">
            <v>6870.3082260000001</v>
          </cell>
        </row>
        <row r="26">
          <cell r="A26" t="str">
            <v>ROIC</v>
          </cell>
          <cell r="B26">
            <v>0.16664221635114085</v>
          </cell>
          <cell r="C26">
            <v>0.17419858708791666</v>
          </cell>
          <cell r="D26">
            <v>0.21454057972182156</v>
          </cell>
          <cell r="E26">
            <v>0.20220268645033862</v>
          </cell>
          <cell r="F26">
            <v>0.19500718779075235</v>
          </cell>
          <cell r="G26">
            <v>0.15900496763978672</v>
          </cell>
          <cell r="I26">
            <v>0.14895192121632442</v>
          </cell>
          <cell r="K26">
            <v>0.15408665513779518</v>
          </cell>
          <cell r="M26">
            <v>0.13723022740703414</v>
          </cell>
          <cell r="O26">
            <v>0.14210885036396262</v>
          </cell>
          <cell r="Q26">
            <v>0.12546894256706087</v>
          </cell>
        </row>
        <row r="28">
          <cell r="A28" t="str">
            <v>Sales</v>
          </cell>
          <cell r="B28">
            <v>6324</v>
          </cell>
          <cell r="C28">
            <v>6614</v>
          </cell>
          <cell r="D28">
            <v>6696.16</v>
          </cell>
          <cell r="E28">
            <v>6625.8</v>
          </cell>
          <cell r="F28">
            <v>5626</v>
          </cell>
          <cell r="G28">
            <v>5771</v>
          </cell>
          <cell r="I28">
            <v>6133</v>
          </cell>
          <cell r="K28">
            <v>6678</v>
          </cell>
          <cell r="M28">
            <v>7109</v>
          </cell>
          <cell r="O28">
            <v>7548</v>
          </cell>
          <cell r="Q28">
            <v>7681</v>
          </cell>
        </row>
        <row r="30">
          <cell r="A30" t="str">
            <v>Asset turnover</v>
          </cell>
          <cell r="B30">
            <v>1.18183403314902</v>
          </cell>
          <cell r="C30">
            <v>1.2675354541970103</v>
          </cell>
          <cell r="D30">
            <v>1.4082947758055018</v>
          </cell>
          <cell r="E30">
            <v>1.3375186725342161</v>
          </cell>
          <cell r="F30">
            <v>1.204144689135473</v>
          </cell>
          <cell r="G30">
            <v>1.0884982458787582</v>
          </cell>
          <cell r="I30">
            <v>1.222005260221567</v>
          </cell>
          <cell r="K30">
            <v>1.2110392813412179</v>
          </cell>
          <cell r="M30">
            <v>1.1917289091890384</v>
          </cell>
          <cell r="O30">
            <v>1.2535152352403613</v>
          </cell>
          <cell r="Q30">
            <v>1.1179993309371503</v>
          </cell>
        </row>
        <row r="31">
          <cell r="A31" t="str">
            <v>NOPAT margin</v>
          </cell>
          <cell r="B31">
            <v>0.14100306107035979</v>
          </cell>
          <cell r="C31">
            <v>0.13743093852808422</v>
          </cell>
          <cell r="D31">
            <v>0.15234067711364679</v>
          </cell>
          <cell r="E31">
            <v>0.15117746810010679</v>
          </cell>
          <cell r="F31">
            <v>0.16194664108908674</v>
          </cell>
          <cell r="G31">
            <v>0.14607737609298582</v>
          </cell>
          <cell r="I31">
            <v>0.12189139119525338</v>
          </cell>
          <cell r="K31">
            <v>0.1280607966457023</v>
          </cell>
          <cell r="M31">
            <v>0.11515221821749559</v>
          </cell>
          <cell r="O31">
            <v>0.11257051082981455</v>
          </cell>
          <cell r="Q31">
            <v>0.11133185783101159</v>
          </cell>
        </row>
        <row r="33">
          <cell r="A33" t="str">
            <v>Incremental return on invested capital</v>
          </cell>
          <cell r="C33">
            <v>-0.1298060186164095</v>
          </cell>
          <cell r="D33">
            <v>-0.23991649619293631</v>
          </cell>
          <cell r="E33">
            <v>-9.2592363435324621E-2</v>
          </cell>
          <cell r="F33">
            <v>0.32158586302213565</v>
          </cell>
          <cell r="G33">
            <v>-0.1081620595399342</v>
          </cell>
        </row>
        <row r="34">
          <cell r="C34">
            <v>-1.2405534501306532</v>
          </cell>
          <cell r="D34">
            <v>-0.31101036269430055</v>
          </cell>
          <cell r="E34">
            <v>-0.92994974874371827</v>
          </cell>
          <cell r="F34">
            <v>0.15660288916350654</v>
          </cell>
          <cell r="G34">
            <v>-0.1081632264089807</v>
          </cell>
        </row>
        <row r="35">
          <cell r="A35" t="str">
            <v>ROIC (Pre-tax)</v>
          </cell>
          <cell r="B35">
            <v>0.23173216336255292</v>
          </cell>
          <cell r="C35">
            <v>0.26926025297048678</v>
          </cell>
          <cell r="D35">
            <v>0.32578867670564482</v>
          </cell>
          <cell r="E35">
            <v>0.27534418022528157</v>
          </cell>
          <cell r="F35">
            <v>0.28250099096870079</v>
          </cell>
          <cell r="G35">
            <v>0.23610849145573201</v>
          </cell>
          <cell r="I35">
            <v>0.21618713636725909</v>
          </cell>
          <cell r="K35">
            <v>0.20655491785679053</v>
          </cell>
          <cell r="M35">
            <v>0.18845893179552728</v>
          </cell>
          <cell r="O35">
            <v>0.19413875331160338</v>
          </cell>
          <cell r="Q35">
            <v>0.17568352980616331</v>
          </cell>
        </row>
      </sheetData>
      <sheetData sheetId="37"/>
      <sheetData sheetId="38"/>
      <sheetData sheetId="39"/>
      <sheetData sheetId="40"/>
      <sheetData sheetId="41"/>
      <sheetData sheetId="42" refreshError="1">
        <row r="1">
          <cell r="B1">
            <v>2001</v>
          </cell>
        </row>
        <row r="2">
          <cell r="A2" t="str">
            <v>US Soup, Sauces and Beverages</v>
          </cell>
          <cell r="B2">
            <v>2532</v>
          </cell>
        </row>
        <row r="3">
          <cell r="A3" t="str">
            <v xml:space="preserve">Other </v>
          </cell>
          <cell r="B3">
            <v>1161</v>
          </cell>
        </row>
        <row r="4">
          <cell r="A4" t="str">
            <v>Baking and Snacking</v>
          </cell>
          <cell r="B4">
            <v>1446</v>
          </cell>
        </row>
        <row r="5">
          <cell r="A5" t="str">
            <v>International Soups and Sauces</v>
          </cell>
          <cell r="B5">
            <v>632</v>
          </cell>
        </row>
        <row r="6">
          <cell r="A6" t="str">
            <v>Other</v>
          </cell>
          <cell r="B6">
            <v>0</v>
          </cell>
        </row>
        <row r="7">
          <cell r="A7">
            <v>0</v>
          </cell>
        </row>
        <row r="8">
          <cell r="A8" t="str">
            <v>Total</v>
          </cell>
          <cell r="B8">
            <v>5771</v>
          </cell>
        </row>
        <row r="10">
          <cell r="A10" t="str">
            <v>US Soup, Sauces and Beverages</v>
          </cell>
          <cell r="B10">
            <v>774</v>
          </cell>
        </row>
        <row r="11">
          <cell r="A11" t="str">
            <v xml:space="preserve">Other </v>
          </cell>
          <cell r="B11">
            <v>295</v>
          </cell>
        </row>
        <row r="12">
          <cell r="A12" t="str">
            <v>Baking and Snacking</v>
          </cell>
          <cell r="B12">
            <v>212</v>
          </cell>
        </row>
        <row r="13">
          <cell r="A13" t="str">
            <v>International Soups and Sauces</v>
          </cell>
          <cell r="B13">
            <v>51</v>
          </cell>
        </row>
        <row r="14">
          <cell r="A14" t="str">
            <v>Corp Exp</v>
          </cell>
          <cell r="B14">
            <v>-123.2</v>
          </cell>
        </row>
        <row r="16">
          <cell r="A16" t="str">
            <v>Total</v>
          </cell>
          <cell r="B16">
            <v>1208.8</v>
          </cell>
        </row>
        <row r="19">
          <cell r="A19" t="str">
            <v>Geograph</v>
          </cell>
          <cell r="B19">
            <v>2001</v>
          </cell>
        </row>
        <row r="20">
          <cell r="A20" t="str">
            <v>United States</v>
          </cell>
          <cell r="B20">
            <v>5021</v>
          </cell>
          <cell r="C20">
            <v>0.74539786223277915</v>
          </cell>
        </row>
        <row r="21">
          <cell r="A21" t="str">
            <v>Europe</v>
          </cell>
          <cell r="B21">
            <v>613</v>
          </cell>
          <cell r="C21">
            <v>9.1003562945368169E-2</v>
          </cell>
        </row>
        <row r="22">
          <cell r="A22" t="str">
            <v>Australia/Asia Pacific</v>
          </cell>
          <cell r="B22">
            <v>589</v>
          </cell>
          <cell r="C22">
            <v>8.7440617577197149E-2</v>
          </cell>
        </row>
        <row r="23">
          <cell r="A23" t="str">
            <v>Other countries</v>
          </cell>
          <cell r="B23">
            <v>513</v>
          </cell>
          <cell r="C23">
            <v>7.6157957244655586E-2</v>
          </cell>
        </row>
        <row r="24">
          <cell r="A24" t="str">
            <v>Adjustements and eliminations</v>
          </cell>
          <cell r="B24">
            <v>-72</v>
          </cell>
        </row>
        <row r="25">
          <cell r="A25">
            <v>0</v>
          </cell>
          <cell r="B25">
            <v>0</v>
          </cell>
        </row>
        <row r="26">
          <cell r="A26" t="str">
            <v>Total</v>
          </cell>
          <cell r="B26">
            <v>6664</v>
          </cell>
          <cell r="C26">
            <v>1</v>
          </cell>
        </row>
        <row r="28">
          <cell r="A28" t="str">
            <v>United States</v>
          </cell>
          <cell r="B28">
            <v>1137</v>
          </cell>
          <cell r="C28">
            <v>0.81898725059425204</v>
          </cell>
        </row>
        <row r="29">
          <cell r="A29" t="str">
            <v>Europe</v>
          </cell>
          <cell r="B29">
            <v>53</v>
          </cell>
          <cell r="C29">
            <v>3.817618670316214E-2</v>
          </cell>
        </row>
        <row r="30">
          <cell r="A30" t="str">
            <v>Australia/Asia Pacific</v>
          </cell>
          <cell r="B30">
            <v>61</v>
          </cell>
          <cell r="C30">
            <v>4.3938629979111146E-2</v>
          </cell>
        </row>
        <row r="31">
          <cell r="A31" t="str">
            <v>Other countries</v>
          </cell>
          <cell r="B31">
            <v>81</v>
          </cell>
          <cell r="C31">
            <v>5.8344738168983654E-2</v>
          </cell>
        </row>
        <row r="32">
          <cell r="A32" t="str">
            <v>Adjustements and eliminations</v>
          </cell>
          <cell r="B32">
            <v>-123.20000000000005</v>
          </cell>
        </row>
        <row r="33">
          <cell r="A33">
            <v>0</v>
          </cell>
          <cell r="B33">
            <v>0</v>
          </cell>
        </row>
        <row r="34">
          <cell r="A34" t="str">
            <v>Total</v>
          </cell>
          <cell r="B34">
            <v>1265.0999999999999</v>
          </cell>
          <cell r="C34">
            <v>0.95944680544550898</v>
          </cell>
        </row>
        <row r="37">
          <cell r="A37" t="str">
            <v>CPB</v>
          </cell>
        </row>
        <row r="38">
          <cell r="A38">
            <v>34361</v>
          </cell>
          <cell r="B38" t="str">
            <v>1Q94</v>
          </cell>
          <cell r="D38" t="e">
            <v>#NAME?</v>
          </cell>
        </row>
        <row r="39">
          <cell r="A39">
            <v>34451</v>
          </cell>
          <cell r="B39" t="str">
            <v>2Q94</v>
          </cell>
          <cell r="D39" t="e">
            <v>#NAME?</v>
          </cell>
        </row>
        <row r="40">
          <cell r="A40">
            <v>34542</v>
          </cell>
          <cell r="B40" t="str">
            <v>3Q94</v>
          </cell>
          <cell r="D40" t="e">
            <v>#NAME?</v>
          </cell>
          <cell r="X40">
            <v>1999</v>
          </cell>
          <cell r="AA40">
            <v>2000</v>
          </cell>
          <cell r="AD40">
            <v>2001</v>
          </cell>
        </row>
        <row r="41">
          <cell r="A41">
            <v>34634</v>
          </cell>
          <cell r="B41" t="str">
            <v>4Q94</v>
          </cell>
          <cell r="C41" t="e">
            <v>#NAME?</v>
          </cell>
          <cell r="D41" t="e">
            <v>#NAME?</v>
          </cell>
          <cell r="Y41" t="str">
            <v>%</v>
          </cell>
          <cell r="AB41" t="str">
            <v>%</v>
          </cell>
          <cell r="AE41" t="str">
            <v>%</v>
          </cell>
        </row>
        <row r="42">
          <cell r="A42">
            <v>34726</v>
          </cell>
          <cell r="B42" t="str">
            <v>1Q95</v>
          </cell>
          <cell r="D42" t="e">
            <v>#NAME?</v>
          </cell>
          <cell r="W42" t="str">
            <v>Quarter</v>
          </cell>
          <cell r="X42" t="str">
            <v>EPS</v>
          </cell>
          <cell r="Y42" t="str">
            <v>Change</v>
          </cell>
          <cell r="AA42" t="str">
            <v>EPS</v>
          </cell>
          <cell r="AB42" t="str">
            <v>Change</v>
          </cell>
          <cell r="AD42" t="str">
            <v>EPS</v>
          </cell>
          <cell r="AE42" t="str">
            <v>Change</v>
          </cell>
        </row>
        <row r="43">
          <cell r="A43">
            <v>34816</v>
          </cell>
          <cell r="B43" t="str">
            <v>2Q95</v>
          </cell>
          <cell r="D43" t="e">
            <v>#NAME?</v>
          </cell>
          <cell r="W43" t="str">
            <v>First</v>
          </cell>
          <cell r="X43">
            <v>0.57549779735682816</v>
          </cell>
          <cell r="Y43">
            <v>5.9646737990350251E-2</v>
          </cell>
          <cell r="AA43">
            <v>0.54202309468822174</v>
          </cell>
          <cell r="AB43">
            <v>-5.8166517443421162E-2</v>
          </cell>
          <cell r="AD43">
            <v>0.47215777262180975</v>
          </cell>
          <cell r="AE43">
            <v>-0.12889731590975728</v>
          </cell>
          <cell r="AF43">
            <v>-4.5590263769483275E-2</v>
          </cell>
          <cell r="AG43" t="str">
            <v>1Q99</v>
          </cell>
          <cell r="AH43">
            <v>5.9646737990350251E-2</v>
          </cell>
        </row>
        <row r="44">
          <cell r="A44">
            <v>34907</v>
          </cell>
          <cell r="B44" t="str">
            <v>3Q95</v>
          </cell>
          <cell r="D44" t="e">
            <v>#NAME?</v>
          </cell>
          <cell r="G44">
            <v>1997</v>
          </cell>
          <cell r="K44" t="e">
            <v>#NAME?</v>
          </cell>
          <cell r="T44">
            <v>1.6464435146443515</v>
          </cell>
          <cell r="W44" t="str">
            <v>Second</v>
          </cell>
          <cell r="X44">
            <v>0.48552783964365276</v>
          </cell>
          <cell r="Y44">
            <v>-0.22916198654512865</v>
          </cell>
          <cell r="AA44">
            <v>0.65197215777262185</v>
          </cell>
          <cell r="AB44">
            <v>0.34281106980627274</v>
          </cell>
          <cell r="AD44">
            <v>0.64701670644391418</v>
          </cell>
          <cell r="AE44">
            <v>-7.6007100450996568E-3</v>
          </cell>
          <cell r="AF44">
            <v>8.9930165260729833E-3</v>
          </cell>
          <cell r="AG44" t="str">
            <v>2Q99</v>
          </cell>
          <cell r="AH44">
            <v>-0.22916198654512865</v>
          </cell>
        </row>
        <row r="45">
          <cell r="A45">
            <v>34999</v>
          </cell>
          <cell r="B45" t="str">
            <v>4Q95</v>
          </cell>
          <cell r="C45" t="e">
            <v>#NAME?</v>
          </cell>
          <cell r="D45" t="e">
            <v>#NAME?</v>
          </cell>
          <cell r="G45">
            <v>1998</v>
          </cell>
          <cell r="H45">
            <v>0.5431034482758621</v>
          </cell>
          <cell r="K45">
            <v>0.62987012987012991</v>
          </cell>
          <cell r="L45">
            <v>6.7576491305304964E-2</v>
          </cell>
          <cell r="N45">
            <v>0.34724061810154527</v>
          </cell>
          <cell r="Q45">
            <v>0.37864035087719272</v>
          </cell>
          <cell r="T45">
            <v>1.8970608695652174</v>
          </cell>
          <cell r="U45">
            <v>0.15221740235346104</v>
          </cell>
          <cell r="W45" t="str">
            <v>Third</v>
          </cell>
          <cell r="X45">
            <v>0.36681715575620766</v>
          </cell>
          <cell r="Y45">
            <v>5.6377441561106467E-2</v>
          </cell>
          <cell r="AA45">
            <v>0.32268518518518513</v>
          </cell>
          <cell r="AB45">
            <v>-0.12031054131054142</v>
          </cell>
          <cell r="AD45">
            <v>0.2963503649635037</v>
          </cell>
          <cell r="AE45">
            <v>-8.1611494517692784E-2</v>
          </cell>
          <cell r="AF45">
            <v>-5.1454178432873476E-2</v>
          </cell>
          <cell r="AG45" t="str">
            <v>3Q99</v>
          </cell>
          <cell r="AH45">
            <v>5.6377441561106467E-2</v>
          </cell>
        </row>
        <row r="46">
          <cell r="A46">
            <v>35091</v>
          </cell>
          <cell r="B46" t="str">
            <v>1Q96</v>
          </cell>
          <cell r="C46" t="e">
            <v>#NAME?</v>
          </cell>
          <cell r="D46" t="e">
            <v>#NAME?</v>
          </cell>
          <cell r="W46" t="str">
            <v>Fourth</v>
          </cell>
          <cell r="X46">
            <v>0.26648401826484036</v>
          </cell>
          <cell r="Y46">
            <v>-0.29620808335012572</v>
          </cell>
          <cell r="AA46">
            <v>2.0429932605159182</v>
          </cell>
          <cell r="AB46">
            <v>6.6664757377139443</v>
          </cell>
          <cell r="AD46">
            <v>0.15158150851581498</v>
          </cell>
          <cell r="AE46">
            <v>-0.92580420530729701</v>
          </cell>
          <cell r="AF46">
            <v>-0.26299045864225035</v>
          </cell>
          <cell r="AG46" t="str">
            <v>4Q99</v>
          </cell>
          <cell r="AH46">
            <v>-0.29620808335012572</v>
          </cell>
        </row>
        <row r="47">
          <cell r="A47">
            <v>35182</v>
          </cell>
          <cell r="B47" t="str">
            <v>2Q96</v>
          </cell>
          <cell r="C47">
            <v>0.51500000000000001</v>
          </cell>
          <cell r="D47" t="e">
            <v>#NAME?</v>
          </cell>
          <cell r="G47" t="str">
            <v>EPS Growth (decline)</v>
          </cell>
          <cell r="AG47" t="str">
            <v>1Q00</v>
          </cell>
          <cell r="AH47">
            <v>-5.8166517443421162E-2</v>
          </cell>
        </row>
        <row r="48">
          <cell r="A48">
            <v>35273</v>
          </cell>
          <cell r="B48" t="str">
            <v>3Q96</v>
          </cell>
          <cell r="C48" t="e">
            <v>#NAME?</v>
          </cell>
          <cell r="D48" t="e">
            <v>#NAME?</v>
          </cell>
          <cell r="H48" t="str">
            <v>First</v>
          </cell>
          <cell r="K48" t="str">
            <v>Second</v>
          </cell>
          <cell r="N48" t="str">
            <v>Third</v>
          </cell>
          <cell r="Q48" t="str">
            <v>Fourth</v>
          </cell>
          <cell r="T48" t="str">
            <v>Full Year</v>
          </cell>
          <cell r="W48" t="str">
            <v>Full Year</v>
          </cell>
          <cell r="X48">
            <v>1.6943268110215288</v>
          </cell>
          <cell r="Y48">
            <v>-0.1103920403856159</v>
          </cell>
          <cell r="Z48">
            <v>0</v>
          </cell>
          <cell r="AA48">
            <v>3.559673698161947</v>
          </cell>
          <cell r="AB48">
            <v>-2.0114476993638331E-2</v>
          </cell>
          <cell r="AD48">
            <v>1.5771063525450426</v>
          </cell>
          <cell r="AE48">
            <v>-4.5634052666861491E-2</v>
          </cell>
          <cell r="AF48">
            <v>-5.9490950242330531E-2</v>
          </cell>
          <cell r="AG48" t="str">
            <v>2Q00</v>
          </cell>
          <cell r="AH48">
            <v>0.34281106980627274</v>
          </cell>
        </row>
        <row r="49">
          <cell r="A49">
            <v>35365</v>
          </cell>
          <cell r="B49" t="str">
            <v>4Q96</v>
          </cell>
          <cell r="D49" t="e">
            <v>#NAME?</v>
          </cell>
          <cell r="H49" t="str">
            <v>EPS</v>
          </cell>
          <cell r="I49" t="str">
            <v>% Change</v>
          </cell>
          <cell r="K49" t="str">
            <v>EPS</v>
          </cell>
          <cell r="L49" t="str">
            <v>% Change</v>
          </cell>
          <cell r="N49" t="str">
            <v>EPS</v>
          </cell>
          <cell r="O49" t="str">
            <v>% Change</v>
          </cell>
          <cell r="Q49" t="str">
            <v>EPS</v>
          </cell>
          <cell r="R49" t="str">
            <v>% Change</v>
          </cell>
          <cell r="T49" t="str">
            <v>EPS</v>
          </cell>
          <cell r="U49" t="str">
            <v>% Change</v>
          </cell>
          <cell r="AG49" t="str">
            <v>3Q00</v>
          </cell>
          <cell r="AH49">
            <v>-0.12031054131054142</v>
          </cell>
        </row>
        <row r="50">
          <cell r="A50">
            <v>35457</v>
          </cell>
          <cell r="B50" t="str">
            <v>1Q97</v>
          </cell>
          <cell r="D50" t="e">
            <v>#NAME?</v>
          </cell>
          <cell r="F50" t="e">
            <v>#NAME?</v>
          </cell>
          <cell r="G50">
            <v>1999</v>
          </cell>
          <cell r="H50">
            <v>0.57549779735682816</v>
          </cell>
          <cell r="I50">
            <v>5.9646737990350251E-2</v>
          </cell>
          <cell r="K50">
            <v>0.48552783964365276</v>
          </cell>
          <cell r="L50">
            <v>-0.22916198654512865</v>
          </cell>
          <cell r="N50">
            <v>0.36681715575620766</v>
          </cell>
          <cell r="O50">
            <v>5.6377441561106467E-2</v>
          </cell>
          <cell r="Q50">
            <v>0.26648401826484036</v>
          </cell>
          <cell r="R50">
            <v>-0.29620808335012572</v>
          </cell>
          <cell r="T50">
            <v>1.6876404494382022</v>
          </cell>
          <cell r="U50">
            <v>-0.1103920403856159</v>
          </cell>
          <cell r="AG50" t="str">
            <v>4Q00</v>
          </cell>
          <cell r="AH50">
            <v>6.6664757377139443</v>
          </cell>
        </row>
        <row r="51">
          <cell r="A51">
            <v>35547</v>
          </cell>
          <cell r="B51" t="str">
            <v>2Q97</v>
          </cell>
          <cell r="C51">
            <v>0.59</v>
          </cell>
          <cell r="D51" t="e">
            <v>#NAME?</v>
          </cell>
          <cell r="E51">
            <v>0.14563106796116498</v>
          </cell>
          <cell r="G51">
            <v>2000</v>
          </cell>
          <cell r="H51">
            <v>0.54202309468822174</v>
          </cell>
          <cell r="I51">
            <v>-5.8166517443421162E-2</v>
          </cell>
          <cell r="K51">
            <v>0.65197215777262185</v>
          </cell>
          <cell r="L51">
            <v>0.34281106980627274</v>
          </cell>
          <cell r="N51">
            <v>0.32268518518518513</v>
          </cell>
          <cell r="O51">
            <v>-0.12031054131054142</v>
          </cell>
          <cell r="Q51">
            <v>2.0429932605159182</v>
          </cell>
          <cell r="R51">
            <v>6.6664757377139443</v>
          </cell>
          <cell r="T51">
            <v>1.6536944444444441</v>
          </cell>
          <cell r="U51">
            <v>-2.0114476993638331E-2</v>
          </cell>
          <cell r="AG51" t="str">
            <v>1Q01</v>
          </cell>
          <cell r="AH51">
            <v>-0.12889731590975728</v>
          </cell>
        </row>
        <row r="52">
          <cell r="A52">
            <v>35638</v>
          </cell>
          <cell r="B52" t="str">
            <v>3Q97</v>
          </cell>
          <cell r="D52" t="e">
            <v>#NAME?</v>
          </cell>
          <cell r="G52">
            <v>2001</v>
          </cell>
          <cell r="H52">
            <v>0.47215777262180975</v>
          </cell>
          <cell r="I52">
            <v>-0.12889731590975728</v>
          </cell>
          <cell r="K52">
            <v>0.64701670644391418</v>
          </cell>
          <cell r="L52">
            <v>-7.6007100450996568E-3</v>
          </cell>
          <cell r="N52">
            <v>0.2963503649635037</v>
          </cell>
          <cell r="O52">
            <v>-8.1611494517692784E-2</v>
          </cell>
          <cell r="Q52">
            <v>0.15158150851581498</v>
          </cell>
          <cell r="R52">
            <v>-0.92580420530729701</v>
          </cell>
          <cell r="T52">
            <v>1.5782296650717702</v>
          </cell>
          <cell r="U52">
            <v>-4.5634052666861491E-2</v>
          </cell>
          <cell r="AG52" t="str">
            <v>2Q01</v>
          </cell>
          <cell r="AH52">
            <v>-7.6007100450996568E-3</v>
          </cell>
        </row>
        <row r="53">
          <cell r="A53">
            <v>35730</v>
          </cell>
          <cell r="B53" t="str">
            <v>4Q97</v>
          </cell>
          <cell r="D53" t="e">
            <v>#NAME?</v>
          </cell>
          <cell r="G53">
            <v>2002</v>
          </cell>
          <cell r="H53">
            <v>0.44768856447688565</v>
          </cell>
          <cell r="I53">
            <v>-5.182421970743134E-2</v>
          </cell>
          <cell r="K53">
            <v>0.5060827250608273</v>
          </cell>
          <cell r="L53">
            <v>-0.21782124013099735</v>
          </cell>
          <cell r="N53">
            <v>0.24330900243309003</v>
          </cell>
          <cell r="O53">
            <v>-0.17898193760262737</v>
          </cell>
          <cell r="Q53">
            <v>0.12165450121654502</v>
          </cell>
          <cell r="R53">
            <v>-0.19743178170144404</v>
          </cell>
          <cell r="T53">
            <v>1.3187347931873479</v>
          </cell>
          <cell r="U53">
            <v>-0.16442148923402844</v>
          </cell>
          <cell r="AG53" t="str">
            <v>3Q01</v>
          </cell>
          <cell r="AH53">
            <v>-8.1611494517692784E-2</v>
          </cell>
        </row>
        <row r="54">
          <cell r="A54">
            <v>35822</v>
          </cell>
          <cell r="B54" t="str">
            <v>1Q98</v>
          </cell>
          <cell r="C54">
            <v>0.5431034482758621</v>
          </cell>
          <cell r="D54" t="e">
            <v>#NAME?</v>
          </cell>
          <cell r="V54">
            <v>1.6464435146443515</v>
          </cell>
          <cell r="W54">
            <v>1.8970608695652174</v>
          </cell>
          <cell r="X54">
            <v>1.6876404494382022</v>
          </cell>
          <cell r="Y54">
            <v>1.6536944444444441</v>
          </cell>
          <cell r="Z54">
            <v>1.5782296650717702</v>
          </cell>
          <cell r="AG54" t="str">
            <v>4Q01</v>
          </cell>
          <cell r="AH54">
            <v>-0.92580420530729701</v>
          </cell>
        </row>
        <row r="55">
          <cell r="A55">
            <v>35912</v>
          </cell>
          <cell r="B55" t="str">
            <v>2Q98</v>
          </cell>
          <cell r="C55">
            <v>0.62987012987012991</v>
          </cell>
          <cell r="D55" t="e">
            <v>#NAME?</v>
          </cell>
          <cell r="E55">
            <v>6.7576491305304964E-2</v>
          </cell>
          <cell r="AG55" t="str">
            <v>1Q02</v>
          </cell>
          <cell r="AH55">
            <v>-5.182421970743134E-2</v>
          </cell>
        </row>
        <row r="56">
          <cell r="A56">
            <v>36003</v>
          </cell>
          <cell r="B56" t="str">
            <v>3Q98</v>
          </cell>
          <cell r="C56">
            <v>0.34724061810154527</v>
          </cell>
          <cell r="D56" t="e">
            <v>#NAME?</v>
          </cell>
          <cell r="AG56" t="str">
            <v>2Q02</v>
          </cell>
          <cell r="AH56">
            <v>-0.21782124013099735</v>
          </cell>
        </row>
        <row r="57">
          <cell r="A57">
            <v>36095</v>
          </cell>
          <cell r="B57" t="str">
            <v>4Q98</v>
          </cell>
          <cell r="C57">
            <v>0.37864035087719272</v>
          </cell>
          <cell r="D57" t="e">
            <v>#NAME?</v>
          </cell>
          <cell r="G57" t="str">
            <v>Credit Debt Ratings</v>
          </cell>
          <cell r="AG57" t="str">
            <v>3Q02</v>
          </cell>
          <cell r="AH57">
            <v>-0.17898193760262737</v>
          </cell>
        </row>
        <row r="58">
          <cell r="A58">
            <v>36187</v>
          </cell>
          <cell r="B58" t="str">
            <v>1Q99</v>
          </cell>
          <cell r="C58">
            <v>0.57549779735682816</v>
          </cell>
          <cell r="D58" t="e">
            <v>#NAME?</v>
          </cell>
          <cell r="E58">
            <v>5.9646737990350251E-2</v>
          </cell>
          <cell r="G58">
            <v>1982</v>
          </cell>
          <cell r="H58" t="str">
            <v>AAA</v>
          </cell>
        </row>
        <row r="59">
          <cell r="A59">
            <v>36277</v>
          </cell>
          <cell r="B59" t="str">
            <v>2Q99</v>
          </cell>
          <cell r="C59">
            <v>0.48552783964365276</v>
          </cell>
          <cell r="D59" t="e">
            <v>#NAME?</v>
          </cell>
          <cell r="E59">
            <v>-0.22916198654512865</v>
          </cell>
          <cell r="G59" t="str">
            <v>Nov. 00</v>
          </cell>
          <cell r="H59" t="str">
            <v>AA3</v>
          </cell>
        </row>
        <row r="60">
          <cell r="A60">
            <v>36368</v>
          </cell>
          <cell r="B60" t="str">
            <v>3Q99</v>
          </cell>
          <cell r="C60">
            <v>0.36681715575620766</v>
          </cell>
          <cell r="D60" t="e">
            <v>#NAME?</v>
          </cell>
          <cell r="E60">
            <v>5.6377441561106467E-2</v>
          </cell>
          <cell r="G60" t="str">
            <v>July 01</v>
          </cell>
          <cell r="H60" t="str">
            <v>A2</v>
          </cell>
        </row>
        <row r="61">
          <cell r="A61">
            <v>36460</v>
          </cell>
          <cell r="B61" t="str">
            <v>4Q99</v>
          </cell>
          <cell r="C61">
            <v>0.26648401826484036</v>
          </cell>
          <cell r="D61" t="e">
            <v>#NAME?</v>
          </cell>
          <cell r="E61">
            <v>-0.29620808335012572</v>
          </cell>
          <cell r="G61" t="str">
            <v>Aug 01</v>
          </cell>
          <cell r="H61" t="str">
            <v>A3</v>
          </cell>
          <cell r="I61" t="str">
            <v>P2</v>
          </cell>
        </row>
        <row r="62">
          <cell r="A62">
            <v>36555</v>
          </cell>
          <cell r="B62" t="str">
            <v>1Q00</v>
          </cell>
          <cell r="C62">
            <v>0.54202309468822174</v>
          </cell>
          <cell r="D62" t="e">
            <v>#NAME?</v>
          </cell>
          <cell r="E62">
            <v>-5.8166517443421162E-2</v>
          </cell>
        </row>
        <row r="63">
          <cell r="A63">
            <v>36643</v>
          </cell>
          <cell r="B63" t="str">
            <v>2Q00</v>
          </cell>
          <cell r="C63">
            <v>0.65197215777262185</v>
          </cell>
          <cell r="D63" t="e">
            <v>#NAME?</v>
          </cell>
          <cell r="E63">
            <v>0.34281106980627274</v>
          </cell>
        </row>
        <row r="64">
          <cell r="A64">
            <v>36737</v>
          </cell>
          <cell r="B64" t="str">
            <v>3Q00</v>
          </cell>
          <cell r="C64">
            <v>0.32268518518518513</v>
          </cell>
          <cell r="D64" t="e">
            <v>#NAME?</v>
          </cell>
          <cell r="E64">
            <v>-0.12031054131054142</v>
          </cell>
        </row>
        <row r="65">
          <cell r="A65">
            <v>36829</v>
          </cell>
          <cell r="B65" t="str">
            <v>4Q00</v>
          </cell>
          <cell r="C65">
            <v>2.0429932605159182</v>
          </cell>
          <cell r="D65" t="e">
            <v>#NAME?</v>
          </cell>
          <cell r="E65">
            <v>6.6664757377139443</v>
          </cell>
        </row>
        <row r="66">
          <cell r="A66">
            <v>36921</v>
          </cell>
          <cell r="B66" t="str">
            <v>1Q01</v>
          </cell>
          <cell r="C66">
            <v>0.47215777262180975</v>
          </cell>
          <cell r="D66" t="e">
            <v>#NAME?</v>
          </cell>
          <cell r="E66">
            <v>-0.12889731590975728</v>
          </cell>
        </row>
        <row r="67">
          <cell r="A67">
            <v>37008</v>
          </cell>
          <cell r="B67" t="str">
            <v>2Q01</v>
          </cell>
          <cell r="C67">
            <v>0.64701670644391418</v>
          </cell>
          <cell r="D67" t="e">
            <v>#NAME?</v>
          </cell>
          <cell r="E67">
            <v>-7.6007100450996568E-3</v>
          </cell>
        </row>
        <row r="68">
          <cell r="A68">
            <v>37102</v>
          </cell>
          <cell r="B68" t="str">
            <v>3Q01</v>
          </cell>
          <cell r="C68">
            <v>0.2963503649635037</v>
          </cell>
          <cell r="D68" t="e">
            <v>#NAME?</v>
          </cell>
          <cell r="E68">
            <v>-8.1611494517692784E-2</v>
          </cell>
          <cell r="F68" t="str">
            <v>Reduced guidance in 2Q01</v>
          </cell>
        </row>
        <row r="69">
          <cell r="A69">
            <v>37194</v>
          </cell>
          <cell r="B69" t="str">
            <v>4Q01</v>
          </cell>
          <cell r="C69">
            <v>0.15158150851581498</v>
          </cell>
          <cell r="D69" t="e">
            <v>#NAME?</v>
          </cell>
          <cell r="E69">
            <v>-0.92580420530729701</v>
          </cell>
        </row>
        <row r="70">
          <cell r="A70">
            <v>37286</v>
          </cell>
          <cell r="B70" t="str">
            <v>1Q02</v>
          </cell>
          <cell r="C70">
            <v>0.44768856447688565</v>
          </cell>
          <cell r="D70" t="e">
            <v>#NAME?</v>
          </cell>
          <cell r="E70">
            <v>-5.182421970743134E-2</v>
          </cell>
        </row>
        <row r="71">
          <cell r="A71">
            <v>37376</v>
          </cell>
          <cell r="B71" t="str">
            <v>2Q02</v>
          </cell>
          <cell r="C71">
            <v>0.5060827250608273</v>
          </cell>
          <cell r="E71">
            <v>-0.21782124013099735</v>
          </cell>
        </row>
        <row r="72">
          <cell r="A72">
            <v>37467</v>
          </cell>
          <cell r="B72" t="str">
            <v>3Q02</v>
          </cell>
          <cell r="C72">
            <v>0.24330900243309003</v>
          </cell>
          <cell r="E72">
            <v>-0.17898193760262737</v>
          </cell>
        </row>
        <row r="73">
          <cell r="A73">
            <v>37559</v>
          </cell>
          <cell r="B73" t="str">
            <v>4Q02E</v>
          </cell>
          <cell r="C73">
            <v>0.12165450121654502</v>
          </cell>
          <cell r="E73">
            <v>-0.19743178170144404</v>
          </cell>
        </row>
        <row r="77">
          <cell r="A77" t="str">
            <v>Total Shares:</v>
          </cell>
          <cell r="B77">
            <v>409520604</v>
          </cell>
          <cell r="I77" t="str">
            <v>Campbell</v>
          </cell>
          <cell r="J77">
            <v>0.4067577548005909</v>
          </cell>
        </row>
        <row r="78">
          <cell r="I78" t="str">
            <v>Sara Lee</v>
          </cell>
          <cell r="J78">
            <v>0.29649069270674394</v>
          </cell>
        </row>
        <row r="79">
          <cell r="A79" t="str">
            <v>Bennett Dorrance</v>
          </cell>
          <cell r="B79">
            <v>52560849</v>
          </cell>
          <cell r="C79">
            <v>0.12834726381679198</v>
          </cell>
          <cell r="I79" t="str">
            <v xml:space="preserve">Heinz </v>
          </cell>
          <cell r="J79">
            <v>0.13958940115081339</v>
          </cell>
        </row>
        <row r="80">
          <cell r="A80" t="str">
            <v>Mary Alice Malone</v>
          </cell>
          <cell r="B80">
            <v>54270606</v>
          </cell>
          <cell r="C80">
            <v>0.13252228451977963</v>
          </cell>
          <cell r="I80" t="str">
            <v>General Mills</v>
          </cell>
          <cell r="J80">
            <v>0.13716146932866879</v>
          </cell>
        </row>
        <row r="81">
          <cell r="A81" t="str">
            <v>Charlotte Weber</v>
          </cell>
          <cell r="B81">
            <v>22133162</v>
          </cell>
          <cell r="C81">
            <v>5.4046516301778064E-2</v>
          </cell>
          <cell r="I81" t="str">
            <v>Hershey</v>
          </cell>
          <cell r="J81">
            <v>0.11577458146663523</v>
          </cell>
        </row>
        <row r="82">
          <cell r="A82" t="str">
            <v>Charles Mott and John van Beuren</v>
          </cell>
          <cell r="B82">
            <v>50947050</v>
          </cell>
          <cell r="C82">
            <v>0.12440656099442557</v>
          </cell>
          <cell r="I82" t="str">
            <v>Kellogg</v>
          </cell>
          <cell r="J82">
            <v>4.709586133710647E-2</v>
          </cell>
        </row>
        <row r="83">
          <cell r="A83" t="str">
            <v>George Strawbridge</v>
          </cell>
          <cell r="B83">
            <v>25104260</v>
          </cell>
          <cell r="C83">
            <v>6.130157983455211E-2</v>
          </cell>
        </row>
        <row r="85">
          <cell r="A85" t="str">
            <v xml:space="preserve">Total </v>
          </cell>
          <cell r="C85">
            <v>0.50062420546732733</v>
          </cell>
        </row>
        <row r="86">
          <cell r="A86" t="str">
            <v>Share Repurchases over the last five years</v>
          </cell>
        </row>
        <row r="87">
          <cell r="A87" t="str">
            <v>Sara Lee</v>
          </cell>
          <cell r="B87">
            <v>0.39300000000000002</v>
          </cell>
          <cell r="C87">
            <v>1.5</v>
          </cell>
          <cell r="D87">
            <v>1.2789999999999999</v>
          </cell>
          <cell r="E87">
            <v>1.0429999999999999</v>
          </cell>
          <cell r="F87">
            <v>0.64300000000000002</v>
          </cell>
          <cell r="H87">
            <v>4.8579999999999997</v>
          </cell>
          <cell r="K87">
            <v>16385</v>
          </cell>
        </row>
        <row r="88">
          <cell r="A88" t="str">
            <v>Campbell</v>
          </cell>
          <cell r="B88">
            <v>1.696</v>
          </cell>
          <cell r="C88">
            <v>0.66900000000000004</v>
          </cell>
          <cell r="D88">
            <v>1.0289999999999999</v>
          </cell>
          <cell r="E88">
            <v>0.39400000000000002</v>
          </cell>
          <cell r="F88">
            <v>0.61799999999999999</v>
          </cell>
          <cell r="H88">
            <v>4.4060000000000006</v>
          </cell>
          <cell r="K88">
            <v>10832</v>
          </cell>
        </row>
        <row r="89">
          <cell r="A89" t="str">
            <v>General Mills</v>
          </cell>
          <cell r="B89">
            <v>0.36199999999999999</v>
          </cell>
          <cell r="C89">
            <v>0.52500000000000002</v>
          </cell>
          <cell r="D89">
            <v>0.34100000000000003</v>
          </cell>
          <cell r="E89">
            <v>0.82</v>
          </cell>
          <cell r="F89">
            <v>0.22600000000000001</v>
          </cell>
          <cell r="H89">
            <v>2.274</v>
          </cell>
          <cell r="K89">
            <v>16579</v>
          </cell>
        </row>
        <row r="90">
          <cell r="A90" t="str">
            <v xml:space="preserve">Heinz </v>
          </cell>
          <cell r="B90">
            <v>0.27700000000000002</v>
          </cell>
          <cell r="C90">
            <v>0.67700000000000005</v>
          </cell>
          <cell r="D90">
            <v>0.41</v>
          </cell>
          <cell r="E90">
            <v>0.51100000000000001</v>
          </cell>
          <cell r="F90">
            <v>0.09</v>
          </cell>
          <cell r="H90">
            <v>1.9650000000000001</v>
          </cell>
          <cell r="K90">
            <v>14077</v>
          </cell>
        </row>
        <row r="91">
          <cell r="A91" t="str">
            <v>Hershey</v>
          </cell>
          <cell r="B91">
            <v>0.50800000000000001</v>
          </cell>
          <cell r="C91">
            <v>1.6E-2</v>
          </cell>
          <cell r="D91">
            <v>0.318</v>
          </cell>
          <cell r="E91">
            <v>0.1</v>
          </cell>
          <cell r="F91">
            <v>0.04</v>
          </cell>
          <cell r="H91">
            <v>0.9820000000000001</v>
          </cell>
          <cell r="K91">
            <v>8482</v>
          </cell>
        </row>
        <row r="92">
          <cell r="A92" t="str">
            <v>Kellogg</v>
          </cell>
          <cell r="B92">
            <v>0.42599999999999999</v>
          </cell>
          <cell r="C92">
            <v>0.2397</v>
          </cell>
          <cell r="D92">
            <v>0</v>
          </cell>
          <cell r="E92">
            <v>0</v>
          </cell>
          <cell r="F92">
            <v>0</v>
          </cell>
          <cell r="H92">
            <v>0.66569999999999996</v>
          </cell>
          <cell r="K92">
            <v>14135</v>
          </cell>
        </row>
        <row r="94">
          <cell r="B94" t="str">
            <v>Days Turnover</v>
          </cell>
        </row>
        <row r="95">
          <cell r="A95" t="str">
            <v>Company</v>
          </cell>
          <cell r="B95" t="str">
            <v xml:space="preserve">A/R </v>
          </cell>
          <cell r="C95" t="str">
            <v>Inventory</v>
          </cell>
          <cell r="D95" t="str">
            <v>A/P</v>
          </cell>
          <cell r="E95" t="str">
            <v>Cash Cycle</v>
          </cell>
        </row>
        <row r="96">
          <cell r="A96" t="str">
            <v>General Mills</v>
          </cell>
          <cell r="B96">
            <v>34</v>
          </cell>
          <cell r="C96">
            <v>66</v>
          </cell>
          <cell r="D96">
            <v>78</v>
          </cell>
          <cell r="E96">
            <v>21</v>
          </cell>
          <cell r="W96">
            <v>0</v>
          </cell>
        </row>
        <row r="97">
          <cell r="A97" t="str">
            <v>Campbell</v>
          </cell>
          <cell r="B97">
            <v>24</v>
          </cell>
          <cell r="C97">
            <v>68</v>
          </cell>
          <cell r="D97">
            <v>67</v>
          </cell>
          <cell r="E97">
            <v>26</v>
          </cell>
        </row>
        <row r="98">
          <cell r="A98" t="str">
            <v>Kellogg</v>
          </cell>
          <cell r="B98">
            <v>31</v>
          </cell>
          <cell r="C98">
            <v>50</v>
          </cell>
          <cell r="D98">
            <v>50</v>
          </cell>
          <cell r="E98">
            <v>32</v>
          </cell>
        </row>
        <row r="99">
          <cell r="A99" t="str">
            <v>Kraft</v>
          </cell>
          <cell r="B99">
            <v>33</v>
          </cell>
          <cell r="C99">
            <v>62</v>
          </cell>
          <cell r="D99">
            <v>39</v>
          </cell>
          <cell r="E99">
            <v>56</v>
          </cell>
        </row>
        <row r="100">
          <cell r="A100" t="str">
            <v>Sara Lee</v>
          </cell>
          <cell r="B100">
            <v>31</v>
          </cell>
          <cell r="C100">
            <v>91</v>
          </cell>
          <cell r="D100">
            <v>53</v>
          </cell>
          <cell r="E100">
            <v>69</v>
          </cell>
        </row>
        <row r="101">
          <cell r="A101" t="str">
            <v>Hershey</v>
          </cell>
          <cell r="B101">
            <v>28.7</v>
          </cell>
          <cell r="C101">
            <v>70</v>
          </cell>
          <cell r="D101">
            <v>18.3</v>
          </cell>
          <cell r="E101">
            <v>81.400000000000006</v>
          </cell>
        </row>
        <row r="102">
          <cell r="A102" t="str">
            <v>Heinz</v>
          </cell>
          <cell r="B102">
            <v>53</v>
          </cell>
          <cell r="C102">
            <v>95</v>
          </cell>
          <cell r="D102">
            <v>65</v>
          </cell>
          <cell r="E102">
            <v>83</v>
          </cell>
        </row>
        <row r="103">
          <cell r="A103" t="str">
            <v xml:space="preserve">Average </v>
          </cell>
          <cell r="B103">
            <v>33.528571428571425</v>
          </cell>
          <cell r="C103">
            <v>71.714285714285708</v>
          </cell>
          <cell r="D103">
            <v>52.9</v>
          </cell>
          <cell r="E103">
            <v>52.628571428571426</v>
          </cell>
        </row>
        <row r="105">
          <cell r="B105" t="str">
            <v>Payout Ratio</v>
          </cell>
          <cell r="N105" t="str">
            <v>Cash Cycle</v>
          </cell>
        </row>
        <row r="106">
          <cell r="A106" t="str">
            <v>Hershey</v>
          </cell>
          <cell r="B106">
            <v>0.41</v>
          </cell>
        </row>
        <row r="107">
          <cell r="A107" t="str">
            <v>Sara Lee</v>
          </cell>
          <cell r="B107">
            <v>0.41899999999999998</v>
          </cell>
        </row>
        <row r="108">
          <cell r="A108" t="str">
            <v>General Mills</v>
          </cell>
          <cell r="B108">
            <v>0.45300000000000001</v>
          </cell>
        </row>
        <row r="109">
          <cell r="A109" t="str">
            <v>Campbell</v>
          </cell>
          <cell r="B109">
            <v>0.56692435955737464</v>
          </cell>
        </row>
        <row r="110">
          <cell r="A110" t="str">
            <v>Heinz</v>
          </cell>
          <cell r="B110">
            <v>0.6</v>
          </cell>
        </row>
        <row r="111">
          <cell r="A111" t="str">
            <v>Kellogg</v>
          </cell>
          <cell r="B111">
            <v>0.62</v>
          </cell>
        </row>
        <row r="113">
          <cell r="A113" t="str">
            <v>Cash Cycle</v>
          </cell>
        </row>
        <row r="114">
          <cell r="A114" t="str">
            <v>General Mills</v>
          </cell>
          <cell r="B114">
            <v>21</v>
          </cell>
          <cell r="C114">
            <v>2001</v>
          </cell>
        </row>
        <row r="115">
          <cell r="A115" t="str">
            <v>Campbell</v>
          </cell>
          <cell r="B115">
            <v>29.43184861325723</v>
          </cell>
          <cell r="C115">
            <v>2001</v>
          </cell>
        </row>
        <row r="116">
          <cell r="A116" t="str">
            <v>Kellogg</v>
          </cell>
          <cell r="B116">
            <v>32</v>
          </cell>
          <cell r="C116">
            <v>2001</v>
          </cell>
        </row>
        <row r="117">
          <cell r="A117" t="str">
            <v>Kraft</v>
          </cell>
          <cell r="B117">
            <v>56</v>
          </cell>
          <cell r="C117">
            <v>2001</v>
          </cell>
        </row>
        <row r="118">
          <cell r="A118" t="str">
            <v>Sara Lee</v>
          </cell>
          <cell r="B118">
            <v>69</v>
          </cell>
          <cell r="C118">
            <v>2001</v>
          </cell>
        </row>
        <row r="119">
          <cell r="A119" t="str">
            <v>Hershey</v>
          </cell>
          <cell r="B119">
            <v>81</v>
          </cell>
          <cell r="C119">
            <v>2001</v>
          </cell>
        </row>
        <row r="120">
          <cell r="A120" t="str">
            <v>Heinz</v>
          </cell>
          <cell r="B120">
            <v>83</v>
          </cell>
          <cell r="C120">
            <v>2001</v>
          </cell>
        </row>
        <row r="122">
          <cell r="B122" t="str">
            <v>Cash Flow From Ops</v>
          </cell>
          <cell r="E122" t="str">
            <v>Free Cash Flow</v>
          </cell>
        </row>
        <row r="123">
          <cell r="B123" t="str">
            <v>($ mm)</v>
          </cell>
          <cell r="C123" t="str">
            <v>As % of sales</v>
          </cell>
          <cell r="E123" t="str">
            <v>($ mm)</v>
          </cell>
          <cell r="F123" t="str">
            <v>As % of sales</v>
          </cell>
        </row>
        <row r="124">
          <cell r="A124" t="str">
            <v>Campbell</v>
          </cell>
          <cell r="B124">
            <v>1106</v>
          </cell>
          <cell r="C124">
            <v>0.191647894645642</v>
          </cell>
          <cell r="E124">
            <v>532</v>
          </cell>
          <cell r="F124">
            <v>9.218506324727084E-2</v>
          </cell>
        </row>
        <row r="125">
          <cell r="A125" t="str">
            <v>Hershey</v>
          </cell>
          <cell r="B125">
            <v>214.00399999999999</v>
          </cell>
          <cell r="C125">
            <v>5.1726559182174871E-2</v>
          </cell>
          <cell r="E125" t="e">
            <v>#REF!</v>
          </cell>
          <cell r="F125" t="e">
            <v>#REF!</v>
          </cell>
          <cell r="Q125" t="str">
            <v>3-year</v>
          </cell>
        </row>
        <row r="126">
          <cell r="A126" t="str">
            <v>Kellogg</v>
          </cell>
          <cell r="B126">
            <v>-47.2</v>
          </cell>
          <cell r="E126" t="e">
            <v>#REF!</v>
          </cell>
          <cell r="N126">
            <v>66.3</v>
          </cell>
          <cell r="O126">
            <v>70</v>
          </cell>
          <cell r="P126">
            <v>77.099999999999994</v>
          </cell>
          <cell r="Q126">
            <v>2.3979123905182447</v>
          </cell>
        </row>
        <row r="127">
          <cell r="A127" t="str">
            <v>General Mills</v>
          </cell>
          <cell r="B127">
            <v>29.4</v>
          </cell>
          <cell r="C127">
            <v>1.4692653673163417E-2</v>
          </cell>
          <cell r="E127">
            <v>307</v>
          </cell>
          <cell r="F127">
            <v>0.15342328835582209</v>
          </cell>
          <cell r="O127">
            <v>0</v>
          </cell>
          <cell r="P127">
            <v>0</v>
          </cell>
        </row>
        <row r="128">
          <cell r="A128" t="str">
            <v>Kraft</v>
          </cell>
          <cell r="B128">
            <v>3340.75</v>
          </cell>
          <cell r="C128">
            <v>0.11376718665215223</v>
          </cell>
          <cell r="E128">
            <v>2013.8878125000001</v>
          </cell>
          <cell r="F128">
            <v>6.8581710891620767E-2</v>
          </cell>
          <cell r="N128">
            <v>106.1</v>
          </cell>
          <cell r="O128">
            <v>121.9</v>
          </cell>
          <cell r="P128">
            <v>104.1</v>
          </cell>
          <cell r="Q128">
            <v>1.2105458450282214E-2</v>
          </cell>
        </row>
        <row r="129">
          <cell r="A129" t="str">
            <v>Heinz</v>
          </cell>
          <cell r="B129">
            <v>-208.02200000000005</v>
          </cell>
          <cell r="E129">
            <v>411.29899999999998</v>
          </cell>
          <cell r="N129">
            <v>71</v>
          </cell>
          <cell r="O129">
            <v>66</v>
          </cell>
          <cell r="P129">
            <v>64</v>
          </cell>
          <cell r="Q129">
            <v>-3.4007231890966549E-2</v>
          </cell>
        </row>
        <row r="130">
          <cell r="A130" t="str">
            <v>Sara Lee</v>
          </cell>
          <cell r="B130">
            <v>-217</v>
          </cell>
          <cell r="C130" t="e">
            <v>#DIV/0!</v>
          </cell>
          <cell r="E130">
            <v>0</v>
          </cell>
          <cell r="F130" t="e">
            <v>#DIV/0!</v>
          </cell>
          <cell r="N130">
            <v>19.671999999999997</v>
          </cell>
          <cell r="O130">
            <v>27.73399999999998</v>
          </cell>
          <cell r="P130">
            <v>35</v>
          </cell>
          <cell r="Q130">
            <v>0.32730207086620045</v>
          </cell>
        </row>
        <row r="131">
          <cell r="N131" t="str">
            <v>R&amp;D</v>
          </cell>
          <cell r="P131" t="str">
            <v>2-year</v>
          </cell>
        </row>
        <row r="132">
          <cell r="B132" t="str">
            <v>Capital Expenditures</v>
          </cell>
          <cell r="D132" t="str">
            <v>3-year</v>
          </cell>
          <cell r="E132" t="str">
            <v>2-year</v>
          </cell>
          <cell r="N132" t="str">
            <v>($ mm)</v>
          </cell>
          <cell r="O132" t="str">
            <v>As % of sales</v>
          </cell>
          <cell r="P132" t="str">
            <v>CAGR</v>
          </cell>
        </row>
        <row r="133">
          <cell r="B133" t="str">
            <v>($ mm)</v>
          </cell>
          <cell r="C133" t="str">
            <v>As % of sales</v>
          </cell>
          <cell r="D133" t="str">
            <v>CAGR</v>
          </cell>
          <cell r="E133" t="str">
            <v>CAGR</v>
          </cell>
          <cell r="H133" t="str">
            <v>Capital Ex</v>
          </cell>
          <cell r="M133" t="str">
            <v>General Mills</v>
          </cell>
          <cell r="N133">
            <v>2601.0581395348836</v>
          </cell>
          <cell r="O133">
            <v>1.2998791302023407</v>
          </cell>
          <cell r="P133">
            <v>5.0957340347104143</v>
          </cell>
        </row>
        <row r="134">
          <cell r="A134" t="str">
            <v>Sara Lee</v>
          </cell>
          <cell r="B134">
            <v>0</v>
          </cell>
          <cell r="C134" t="e">
            <v>#DIV/0!</v>
          </cell>
          <cell r="D134">
            <v>3.9228615986633297E-2</v>
          </cell>
          <cell r="E134">
            <v>-2.8076798508294143E-3</v>
          </cell>
          <cell r="H134" t="str">
            <v>General Mills</v>
          </cell>
          <cell r="I134">
            <v>183.6</v>
          </cell>
          <cell r="J134">
            <v>280.5</v>
          </cell>
          <cell r="K134">
            <v>267.7</v>
          </cell>
          <cell r="L134">
            <v>307.5</v>
          </cell>
          <cell r="M134" t="str">
            <v>Kraft</v>
          </cell>
          <cell r="N134">
            <v>40</v>
          </cell>
          <cell r="O134">
            <v>1.3621753995618018E-3</v>
          </cell>
        </row>
        <row r="135">
          <cell r="A135" t="str">
            <v>Campbell</v>
          </cell>
          <cell r="B135">
            <v>200</v>
          </cell>
          <cell r="C135">
            <v>3.4656038814763472E-2</v>
          </cell>
          <cell r="D135">
            <v>-7.8992125339903296E-2</v>
          </cell>
          <cell r="E135">
            <v>-0.1793900601377818</v>
          </cell>
          <cell r="H135" t="str">
            <v>Sara Lee</v>
          </cell>
          <cell r="I135">
            <v>474</v>
          </cell>
          <cell r="J135">
            <v>535</v>
          </cell>
          <cell r="K135">
            <v>647</v>
          </cell>
          <cell r="L135">
            <v>532</v>
          </cell>
          <cell r="M135" t="str">
            <v>Kellogg</v>
          </cell>
          <cell r="N135">
            <v>110</v>
          </cell>
          <cell r="P135">
            <v>-5.0063686777026439E-2</v>
          </cell>
        </row>
        <row r="136">
          <cell r="A136" t="str">
            <v>Kellogg</v>
          </cell>
          <cell r="B136">
            <v>0</v>
          </cell>
          <cell r="D136">
            <v>-1</v>
          </cell>
          <cell r="E136">
            <v>-1</v>
          </cell>
          <cell r="H136" t="str">
            <v>Heinz</v>
          </cell>
          <cell r="I136">
            <v>374</v>
          </cell>
          <cell r="J136">
            <v>317</v>
          </cell>
          <cell r="K136">
            <v>452</v>
          </cell>
          <cell r="L136">
            <v>411</v>
          </cell>
          <cell r="M136" t="str">
            <v>Campbell</v>
          </cell>
          <cell r="N136">
            <v>64</v>
          </cell>
          <cell r="O136">
            <v>1.0435349747268874E-2</v>
          </cell>
          <cell r="P136">
            <v>-1.5268072165338098E-2</v>
          </cell>
        </row>
        <row r="137">
          <cell r="A137" t="str">
            <v>Kraft</v>
          </cell>
          <cell r="B137">
            <v>1101</v>
          </cell>
          <cell r="C137">
            <v>3.7493877872938591E-2</v>
          </cell>
          <cell r="D137">
            <v>9.3949080863992673E-2</v>
          </cell>
          <cell r="E137">
            <v>0.13147362237903493</v>
          </cell>
          <cell r="H137" t="str">
            <v>Kraft</v>
          </cell>
          <cell r="I137">
            <v>841</v>
          </cell>
          <cell r="J137">
            <v>860</v>
          </cell>
          <cell r="K137">
            <v>906</v>
          </cell>
          <cell r="L137">
            <v>1101</v>
          </cell>
          <cell r="M137" t="str">
            <v>Hershey</v>
          </cell>
          <cell r="N137">
            <v>46</v>
          </cell>
          <cell r="O137">
            <v>1.1118585271210089E-2</v>
          </cell>
          <cell r="P137">
            <v>0.2878718785754999</v>
          </cell>
        </row>
        <row r="138">
          <cell r="A138" t="str">
            <v>Hershey</v>
          </cell>
          <cell r="B138" t="e">
            <v>#REF!</v>
          </cell>
          <cell r="C138" t="e">
            <v>#REF!</v>
          </cell>
          <cell r="D138" t="e">
            <v>#REF!</v>
          </cell>
          <cell r="E138" t="e">
            <v>#REF!</v>
          </cell>
          <cell r="H138" t="str">
            <v>Kellogg</v>
          </cell>
          <cell r="I138">
            <v>374</v>
          </cell>
          <cell r="J138">
            <v>266</v>
          </cell>
          <cell r="K138">
            <v>231</v>
          </cell>
          <cell r="L138">
            <v>0</v>
          </cell>
        </row>
        <row r="139">
          <cell r="A139" t="str">
            <v>General Mills</v>
          </cell>
          <cell r="B139">
            <v>-83.4</v>
          </cell>
          <cell r="C139">
            <v>-4.1679160419790098E-2</v>
          </cell>
          <cell r="D139">
            <v>0.18756525027852189</v>
          </cell>
          <cell r="E139">
            <v>4.7022771716058953E-2</v>
          </cell>
          <cell r="H139" t="str">
            <v>Campbell</v>
          </cell>
          <cell r="I139">
            <v>256</v>
          </cell>
          <cell r="J139">
            <v>297</v>
          </cell>
          <cell r="K139">
            <v>200</v>
          </cell>
          <cell r="L139">
            <v>200</v>
          </cell>
        </row>
        <row r="140">
          <cell r="A140" t="str">
            <v>Heinz</v>
          </cell>
          <cell r="B140">
            <v>107.38500000000001</v>
          </cell>
          <cell r="D140">
            <v>3.1945448512680663E-2</v>
          </cell>
          <cell r="E140">
            <v>0.13865269878671027</v>
          </cell>
          <cell r="H140" t="str">
            <v>Hershey</v>
          </cell>
          <cell r="I140">
            <v>204</v>
          </cell>
          <cell r="J140">
            <v>141</v>
          </cell>
          <cell r="K140">
            <v>143</v>
          </cell>
          <cell r="L140" t="e">
            <v>#REF!</v>
          </cell>
        </row>
        <row r="143">
          <cell r="A143" t="str">
            <v>US Bread</v>
          </cell>
          <cell r="B143" t="str">
            <v>Sales</v>
          </cell>
          <cell r="C143" t="str">
            <v>Volume</v>
          </cell>
          <cell r="D143" t="str">
            <v>Sales Growth</v>
          </cell>
          <cell r="E143" t="str">
            <v>Volume Growth</v>
          </cell>
          <cell r="F143" t="str">
            <v>Price/Mix Improvement</v>
          </cell>
        </row>
        <row r="144">
          <cell r="A144">
            <v>1997</v>
          </cell>
          <cell r="B144">
            <v>5.57</v>
          </cell>
          <cell r="C144">
            <v>4.1399999999999997</v>
          </cell>
        </row>
        <row r="145">
          <cell r="A145">
            <v>1998</v>
          </cell>
          <cell r="B145">
            <v>5.7</v>
          </cell>
          <cell r="C145">
            <v>4.17</v>
          </cell>
          <cell r="D145">
            <v>2.3339317773788171E-2</v>
          </cell>
          <cell r="E145">
            <v>7.2463768115942351E-3</v>
          </cell>
          <cell r="F145">
            <v>1.6092940962193936E-2</v>
          </cell>
        </row>
        <row r="146">
          <cell r="A146">
            <v>1999</v>
          </cell>
          <cell r="B146">
            <v>5.93</v>
          </cell>
          <cell r="C146">
            <v>4.17</v>
          </cell>
          <cell r="D146">
            <v>4.035087719298236E-2</v>
          </cell>
          <cell r="E146">
            <v>0</v>
          </cell>
          <cell r="F146">
            <v>4.035087719298236E-2</v>
          </cell>
        </row>
        <row r="147">
          <cell r="A147">
            <v>2000</v>
          </cell>
          <cell r="B147">
            <v>6.2</v>
          </cell>
          <cell r="C147">
            <v>4.16</v>
          </cell>
          <cell r="D147">
            <v>4.5531197301855064E-2</v>
          </cell>
          <cell r="E147">
            <v>-2.3980815347721673E-3</v>
          </cell>
          <cell r="F147">
            <v>4.7929278836627232E-2</v>
          </cell>
        </row>
        <row r="148">
          <cell r="A148">
            <v>2001</v>
          </cell>
          <cell r="B148">
            <v>6.7</v>
          </cell>
          <cell r="C148">
            <v>4.2699999999999996</v>
          </cell>
          <cell r="D148">
            <v>8.0645161290322509E-2</v>
          </cell>
          <cell r="E148">
            <v>2.6442307692307487E-2</v>
          </cell>
          <cell r="F148">
            <v>5.4202853598015022E-2</v>
          </cell>
        </row>
        <row r="149">
          <cell r="D149">
            <v>4.7260930487447173E-2</v>
          </cell>
          <cell r="E149">
            <v>7.7594596280639028E-3</v>
          </cell>
          <cell r="F149">
            <v>3.9542761002728577E-2</v>
          </cell>
        </row>
        <row r="150">
          <cell r="A150" t="str">
            <v>AC Nielson Data, July</v>
          </cell>
        </row>
        <row r="152">
          <cell r="A152" t="str">
            <v>Cookies</v>
          </cell>
          <cell r="B152" t="str">
            <v>Sales</v>
          </cell>
          <cell r="C152" t="str">
            <v>Volume</v>
          </cell>
          <cell r="D152" t="str">
            <v>Sales Growth</v>
          </cell>
          <cell r="E152" t="str">
            <v>Volume Growth</v>
          </cell>
          <cell r="F152" t="str">
            <v>Price/Mix Improvement</v>
          </cell>
        </row>
        <row r="153">
          <cell r="A153">
            <v>1997</v>
          </cell>
          <cell r="B153">
            <v>4.24</v>
          </cell>
          <cell r="C153">
            <v>2.31</v>
          </cell>
        </row>
        <row r="154">
          <cell r="A154">
            <v>1998</v>
          </cell>
          <cell r="B154">
            <v>4.3099999999999996</v>
          </cell>
          <cell r="C154">
            <v>2.3199999999999998</v>
          </cell>
          <cell r="D154">
            <v>1.6509433962264008E-2</v>
          </cell>
          <cell r="E154">
            <v>4.3290043290042934E-3</v>
          </cell>
          <cell r="F154">
            <v>1.2180429633259715E-2</v>
          </cell>
        </row>
        <row r="155">
          <cell r="A155">
            <v>1999</v>
          </cell>
          <cell r="B155">
            <v>4.4400000000000004</v>
          </cell>
          <cell r="C155">
            <v>2.34</v>
          </cell>
          <cell r="D155">
            <v>3.0162412993039567E-2</v>
          </cell>
          <cell r="E155">
            <v>8.6206896551723755E-3</v>
          </cell>
          <cell r="F155">
            <v>2.1541723337867191E-2</v>
          </cell>
        </row>
        <row r="156">
          <cell r="A156">
            <v>2000</v>
          </cell>
          <cell r="B156">
            <v>4.5999999999999996</v>
          </cell>
          <cell r="C156">
            <v>2.38</v>
          </cell>
          <cell r="D156">
            <v>3.603603603603589E-2</v>
          </cell>
          <cell r="E156">
            <v>1.7094017094017033E-2</v>
          </cell>
          <cell r="F156">
            <v>1.8942018942018857E-2</v>
          </cell>
        </row>
        <row r="157">
          <cell r="A157">
            <v>2001</v>
          </cell>
          <cell r="B157">
            <v>4.8099999999999996</v>
          </cell>
          <cell r="C157">
            <v>2.4300000000000002</v>
          </cell>
          <cell r="D157">
            <v>4.5652173913043548E-2</v>
          </cell>
          <cell r="E157">
            <v>2.1008403361344685E-2</v>
          </cell>
          <cell r="F157">
            <v>2.4643770551698863E-2</v>
          </cell>
        </row>
        <row r="158">
          <cell r="D158">
            <v>3.2035900456595101E-2</v>
          </cell>
          <cell r="E158">
            <v>1.2741422149178838E-2</v>
          </cell>
          <cell r="F158">
            <v>1.9316619792939971E-2</v>
          </cell>
        </row>
        <row r="159">
          <cell r="A159" t="str">
            <v>AC Nielson Data, July</v>
          </cell>
        </row>
        <row r="161">
          <cell r="A161" t="str">
            <v>Cracker</v>
          </cell>
          <cell r="B161" t="str">
            <v>Sales</v>
          </cell>
          <cell r="C161" t="str">
            <v>Volume</v>
          </cell>
          <cell r="D161" t="str">
            <v>Sales Growth</v>
          </cell>
          <cell r="E161" t="str">
            <v>Volume Growth</v>
          </cell>
          <cell r="F161" t="str">
            <v>Price/Mix Improvement</v>
          </cell>
        </row>
        <row r="162">
          <cell r="A162">
            <v>1997</v>
          </cell>
          <cell r="B162">
            <v>2.85</v>
          </cell>
          <cell r="C162">
            <v>1.48</v>
          </cell>
        </row>
        <row r="163">
          <cell r="A163">
            <v>1998</v>
          </cell>
          <cell r="B163">
            <v>2.92</v>
          </cell>
          <cell r="C163">
            <v>1.49</v>
          </cell>
          <cell r="D163">
            <v>2.4561403508771784E-2</v>
          </cell>
          <cell r="E163">
            <v>6.7567567567567988E-3</v>
          </cell>
          <cell r="F163">
            <v>1.7804646752014985E-2</v>
          </cell>
        </row>
        <row r="164">
          <cell r="A164">
            <v>1999</v>
          </cell>
          <cell r="B164">
            <v>3.05</v>
          </cell>
          <cell r="C164">
            <v>1.53</v>
          </cell>
          <cell r="D164">
            <v>4.4520547945205546E-2</v>
          </cell>
          <cell r="E164">
            <v>2.6845637583892579E-2</v>
          </cell>
          <cell r="F164">
            <v>1.7674910361312968E-2</v>
          </cell>
        </row>
        <row r="165">
          <cell r="A165">
            <v>2000</v>
          </cell>
          <cell r="B165">
            <v>3.15</v>
          </cell>
          <cell r="C165">
            <v>1.55</v>
          </cell>
          <cell r="D165">
            <v>3.2786885245901676E-2</v>
          </cell>
          <cell r="E165">
            <v>1.3071895424836555E-2</v>
          </cell>
          <cell r="F165">
            <v>1.9714989821065121E-2</v>
          </cell>
        </row>
        <row r="166">
          <cell r="A166">
            <v>2001</v>
          </cell>
          <cell r="B166">
            <v>3.31</v>
          </cell>
          <cell r="C166">
            <v>1.6</v>
          </cell>
          <cell r="D166">
            <v>5.0793650793650835E-2</v>
          </cell>
          <cell r="E166">
            <v>3.2258064516129004E-2</v>
          </cell>
          <cell r="F166">
            <v>1.8535586277521832E-2</v>
          </cell>
        </row>
        <row r="167">
          <cell r="D167">
            <v>3.8115758020877522E-2</v>
          </cell>
          <cell r="E167">
            <v>1.9681562949959597E-2</v>
          </cell>
          <cell r="F167">
            <v>1.8432211409408428E-2</v>
          </cell>
        </row>
        <row r="168">
          <cell r="A168" t="str">
            <v>AC Nielson Data, July</v>
          </cell>
        </row>
        <row r="202">
          <cell r="A202" t="str">
            <v>Private Label</v>
          </cell>
        </row>
        <row r="203">
          <cell r="B203" t="str">
            <v>Brand Price Premium versus P/L</v>
          </cell>
          <cell r="L203" t="str">
            <v>P/L Market</v>
          </cell>
        </row>
        <row r="204">
          <cell r="A204" t="str">
            <v>Category</v>
          </cell>
          <cell r="B204" t="str">
            <v>#1 Brand</v>
          </cell>
          <cell r="C204" t="str">
            <v>#2 Brand</v>
          </cell>
          <cell r="D204" t="str">
            <v>Category</v>
          </cell>
          <cell r="F204" t="str">
            <v>P/L</v>
          </cell>
          <cell r="G204">
            <v>1</v>
          </cell>
          <cell r="H204">
            <v>2</v>
          </cell>
          <cell r="I204" t="str">
            <v>category</v>
          </cell>
          <cell r="L204" t="str">
            <v>Share</v>
          </cell>
        </row>
        <row r="205">
          <cell r="A205" t="str">
            <v>Crackers</v>
          </cell>
          <cell r="B205">
            <v>1.1741935483870969</v>
          </cell>
          <cell r="C205">
            <v>0.92258064516129035</v>
          </cell>
          <cell r="D205">
            <v>0.96774193548387077</v>
          </cell>
          <cell r="E205" t="str">
            <v>x</v>
          </cell>
          <cell r="F205">
            <v>1.55</v>
          </cell>
          <cell r="G205">
            <v>3.37</v>
          </cell>
          <cell r="H205">
            <v>2.98</v>
          </cell>
          <cell r="I205">
            <v>3.05</v>
          </cell>
          <cell r="L205">
            <v>7.2999999999999995E-2</v>
          </cell>
        </row>
        <row r="206">
          <cell r="A206" t="str">
            <v>Dry dog food</v>
          </cell>
          <cell r="B206">
            <v>0.77419354838709697</v>
          </cell>
          <cell r="C206">
            <v>0.58064516129032251</v>
          </cell>
          <cell r="D206">
            <v>0.58064516129032251</v>
          </cell>
          <cell r="E206" t="str">
            <v>x</v>
          </cell>
          <cell r="F206">
            <v>0.31</v>
          </cell>
          <cell r="G206">
            <v>0.55000000000000004</v>
          </cell>
          <cell r="H206">
            <v>0.49</v>
          </cell>
          <cell r="I206">
            <v>0.49</v>
          </cell>
          <cell r="L206">
            <v>8.7999999999999995E-2</v>
          </cell>
        </row>
        <row r="207">
          <cell r="A207" t="str">
            <v>Dry cat food</v>
          </cell>
          <cell r="B207">
            <v>0.76</v>
          </cell>
          <cell r="C207">
            <v>0.74</v>
          </cell>
          <cell r="D207">
            <v>0.7</v>
          </cell>
          <cell r="E207" t="str">
            <v>x</v>
          </cell>
          <cell r="F207">
            <v>0.5</v>
          </cell>
          <cell r="G207">
            <v>0.88</v>
          </cell>
          <cell r="H207">
            <v>0.87</v>
          </cell>
          <cell r="I207">
            <v>0.85</v>
          </cell>
          <cell r="L207">
            <v>7.9000000000000001E-2</v>
          </cell>
        </row>
        <row r="208">
          <cell r="A208" t="str">
            <v>RTS soup</v>
          </cell>
          <cell r="B208">
            <v>0.75903614457831337</v>
          </cell>
          <cell r="C208">
            <v>0.90361445783132543</v>
          </cell>
          <cell r="D208">
            <v>0.72289156626506035</v>
          </cell>
          <cell r="E208" t="str">
            <v>x</v>
          </cell>
          <cell r="F208">
            <v>0.83</v>
          </cell>
          <cell r="G208">
            <v>1.46</v>
          </cell>
          <cell r="H208">
            <v>1.58</v>
          </cell>
          <cell r="I208">
            <v>1.43</v>
          </cell>
          <cell r="L208">
            <v>4.3999999999999997E-2</v>
          </cell>
        </row>
        <row r="209">
          <cell r="A209" t="str">
            <v>Cereal</v>
          </cell>
          <cell r="B209">
            <v>0.71497584541062809</v>
          </cell>
          <cell r="C209">
            <v>0.41545893719806792</v>
          </cell>
          <cell r="D209">
            <v>0.42028985507246386</v>
          </cell>
          <cell r="E209" t="str">
            <v>x</v>
          </cell>
          <cell r="F209">
            <v>2.0699999999999998</v>
          </cell>
          <cell r="G209">
            <v>3.55</v>
          </cell>
          <cell r="H209">
            <v>2.93</v>
          </cell>
          <cell r="I209">
            <v>2.94</v>
          </cell>
          <cell r="L209">
            <v>7.6999999999999999E-2</v>
          </cell>
        </row>
        <row r="210">
          <cell r="A210" t="str">
            <v>Yogurt</v>
          </cell>
          <cell r="B210">
            <v>0.71428571428571419</v>
          </cell>
          <cell r="C210">
            <v>0.53333333333333344</v>
          </cell>
          <cell r="D210">
            <v>0.43809523809523809</v>
          </cell>
          <cell r="E210" t="str">
            <v>x</v>
          </cell>
          <cell r="F210">
            <v>1.05</v>
          </cell>
          <cell r="G210">
            <v>1.8</v>
          </cell>
          <cell r="H210">
            <v>1.61</v>
          </cell>
          <cell r="I210">
            <v>1.51</v>
          </cell>
          <cell r="L210">
            <v>0.13400000000000001</v>
          </cell>
        </row>
        <row r="211">
          <cell r="A211" t="str">
            <v>Cookies</v>
          </cell>
          <cell r="B211">
            <v>0.69841269841269837</v>
          </cell>
          <cell r="C211">
            <v>0.4814814814814814</v>
          </cell>
          <cell r="D211">
            <v>0.44973544973544999</v>
          </cell>
          <cell r="E211" t="str">
            <v>x</v>
          </cell>
          <cell r="F211">
            <v>1.89</v>
          </cell>
          <cell r="G211">
            <v>3.21</v>
          </cell>
          <cell r="H211">
            <v>2.8</v>
          </cell>
          <cell r="I211">
            <v>2.74</v>
          </cell>
          <cell r="L211">
            <v>0.108</v>
          </cell>
        </row>
        <row r="212">
          <cell r="A212" t="str">
            <v>Canned dog food</v>
          </cell>
          <cell r="B212">
            <v>0.61403508771929838</v>
          </cell>
          <cell r="C212">
            <v>0.56140350877193002</v>
          </cell>
          <cell r="D212">
            <v>0.38596491228070184</v>
          </cell>
          <cell r="E212" t="str">
            <v>x</v>
          </cell>
          <cell r="F212">
            <v>0.56999999999999995</v>
          </cell>
          <cell r="G212">
            <v>0.92</v>
          </cell>
          <cell r="H212">
            <v>0.89</v>
          </cell>
          <cell r="I212">
            <v>0.79</v>
          </cell>
          <cell r="L212">
            <v>0.11</v>
          </cell>
        </row>
        <row r="213">
          <cell r="A213" t="str">
            <v>Canned cat food</v>
          </cell>
          <cell r="B213">
            <v>0.51578947368421058</v>
          </cell>
          <cell r="C213">
            <v>0.48421052631578942</v>
          </cell>
          <cell r="D213">
            <v>0.3052631578947369</v>
          </cell>
          <cell r="E213" t="str">
            <v>x</v>
          </cell>
          <cell r="F213">
            <v>0.95</v>
          </cell>
          <cell r="G213">
            <v>1.44</v>
          </cell>
          <cell r="H213">
            <v>1.41</v>
          </cell>
          <cell r="I213">
            <v>1.24</v>
          </cell>
          <cell r="L213">
            <v>0.09</v>
          </cell>
        </row>
        <row r="214">
          <cell r="A214" t="str">
            <v>Canned fruit</v>
          </cell>
          <cell r="B214">
            <v>0.5</v>
          </cell>
          <cell r="C214">
            <v>0.45454545454545459</v>
          </cell>
          <cell r="D214">
            <v>0.21590909090909105</v>
          </cell>
          <cell r="F214">
            <v>0.88</v>
          </cell>
          <cell r="G214">
            <v>1.32</v>
          </cell>
          <cell r="H214">
            <v>1.28</v>
          </cell>
          <cell r="I214">
            <v>1.07</v>
          </cell>
          <cell r="L214">
            <v>0.28000000000000003</v>
          </cell>
        </row>
        <row r="215">
          <cell r="A215" t="str">
            <v>Canned seafood</v>
          </cell>
          <cell r="B215">
            <v>0.40437158469945333</v>
          </cell>
          <cell r="C215">
            <v>0.57923497267759561</v>
          </cell>
          <cell r="D215">
            <v>0.48633879781420775</v>
          </cell>
          <cell r="E215" t="str">
            <v>x</v>
          </cell>
          <cell r="F215">
            <v>1.83</v>
          </cell>
          <cell r="G215">
            <v>2.57</v>
          </cell>
          <cell r="H215">
            <v>2.89</v>
          </cell>
          <cell r="I215">
            <v>2.72</v>
          </cell>
          <cell r="L215">
            <v>6.8000000000000005E-2</v>
          </cell>
        </row>
        <row r="216">
          <cell r="A216" t="str">
            <v>Ketchup</v>
          </cell>
          <cell r="B216">
            <v>0.38571428571428568</v>
          </cell>
          <cell r="C216">
            <v>0.12857142857142878</v>
          </cell>
          <cell r="D216">
            <v>0.24285714285714288</v>
          </cell>
          <cell r="E216" t="str">
            <v>x</v>
          </cell>
          <cell r="F216">
            <v>0.7</v>
          </cell>
          <cell r="G216">
            <v>0.97</v>
          </cell>
          <cell r="H216">
            <v>0.79</v>
          </cell>
          <cell r="I216">
            <v>0.87</v>
          </cell>
          <cell r="L216">
            <v>0.15</v>
          </cell>
        </row>
        <row r="217">
          <cell r="A217" t="str">
            <v>Refrigerated dough</v>
          </cell>
          <cell r="B217">
            <v>0.35714285714285698</v>
          </cell>
          <cell r="C217">
            <v>0.5714285714285714</v>
          </cell>
          <cell r="D217">
            <v>0.29220779220779214</v>
          </cell>
          <cell r="E217" t="str">
            <v>x</v>
          </cell>
          <cell r="F217">
            <v>1.54</v>
          </cell>
          <cell r="G217">
            <v>2.09</v>
          </cell>
          <cell r="H217">
            <v>2.42</v>
          </cell>
          <cell r="I217">
            <v>1.99</v>
          </cell>
          <cell r="L217">
            <v>0.16500000000000001</v>
          </cell>
        </row>
        <row r="218">
          <cell r="A218" t="str">
            <v>Snack bars</v>
          </cell>
          <cell r="B218">
            <v>0.34748010610079572</v>
          </cell>
          <cell r="C218">
            <v>0.16976127320954904</v>
          </cell>
          <cell r="D218">
            <v>0.41644562334217494</v>
          </cell>
          <cell r="E218" t="str">
            <v>x</v>
          </cell>
          <cell r="F218">
            <v>3.77</v>
          </cell>
          <cell r="G218">
            <v>5.08</v>
          </cell>
          <cell r="H218">
            <v>4.41</v>
          </cell>
          <cell r="I218">
            <v>5.34</v>
          </cell>
          <cell r="L218">
            <v>5.3999999999999999E-2</v>
          </cell>
        </row>
        <row r="219">
          <cell r="A219" t="str">
            <v>Soup category</v>
          </cell>
          <cell r="B219">
            <v>0.3398058252427183</v>
          </cell>
          <cell r="C219">
            <v>0.53398058252427183</v>
          </cell>
          <cell r="D219">
            <v>0.42718446601941751</v>
          </cell>
          <cell r="E219" t="str">
            <v>x</v>
          </cell>
          <cell r="F219">
            <v>1.03</v>
          </cell>
          <cell r="G219">
            <v>1.38</v>
          </cell>
          <cell r="H219">
            <v>1.58</v>
          </cell>
          <cell r="I219">
            <v>1.47</v>
          </cell>
          <cell r="L219">
            <v>7.4999999999999997E-2</v>
          </cell>
        </row>
        <row r="220">
          <cell r="A220" t="str">
            <v>Canned vegetable</v>
          </cell>
          <cell r="B220">
            <v>0.32258064516129026</v>
          </cell>
          <cell r="C220">
            <v>0.54838709677419351</v>
          </cell>
          <cell r="D220">
            <v>0.17741935483870974</v>
          </cell>
          <cell r="E220" t="str">
            <v>x</v>
          </cell>
          <cell r="F220">
            <v>0.62</v>
          </cell>
          <cell r="G220">
            <v>0.82</v>
          </cell>
          <cell r="H220">
            <v>0.96</v>
          </cell>
          <cell r="I220">
            <v>0.73</v>
          </cell>
          <cell r="L220">
            <v>0.33300000000000002</v>
          </cell>
        </row>
        <row r="221">
          <cell r="A221" t="str">
            <v>Condensed soup</v>
          </cell>
          <cell r="B221">
            <v>0.30693069306930698</v>
          </cell>
          <cell r="C221">
            <v>0.51485148514851486</v>
          </cell>
          <cell r="D221">
            <v>0.26732673267326734</v>
          </cell>
          <cell r="E221" t="str">
            <v>x</v>
          </cell>
          <cell r="F221">
            <v>1.01</v>
          </cell>
          <cell r="G221">
            <v>1.32</v>
          </cell>
          <cell r="H221">
            <v>1.53</v>
          </cell>
          <cell r="I221">
            <v>1.28</v>
          </cell>
          <cell r="L221">
            <v>0.13</v>
          </cell>
        </row>
        <row r="222">
          <cell r="A222" t="str">
            <v>Luncheon meats</v>
          </cell>
          <cell r="B222">
            <v>0.23232323232323226</v>
          </cell>
          <cell r="C222">
            <v>0.32323232323232309</v>
          </cell>
          <cell r="D222">
            <v>0.18181818181818166</v>
          </cell>
          <cell r="E222" t="str">
            <v>x</v>
          </cell>
          <cell r="F222">
            <v>2.97</v>
          </cell>
          <cell r="G222">
            <v>3.66</v>
          </cell>
          <cell r="H222">
            <v>3.93</v>
          </cell>
          <cell r="I222">
            <v>3.51</v>
          </cell>
          <cell r="L222">
            <v>0.13900000000000001</v>
          </cell>
        </row>
        <row r="223">
          <cell r="A223" t="str">
            <v>Ground coffee</v>
          </cell>
          <cell r="B223">
            <v>0.10431654676258995</v>
          </cell>
          <cell r="C223">
            <v>0.12589928057553967</v>
          </cell>
          <cell r="D223">
            <v>0.18345323741007213</v>
          </cell>
          <cell r="E223" t="str">
            <v>x</v>
          </cell>
          <cell r="F223">
            <v>2.78</v>
          </cell>
          <cell r="G223">
            <v>3.07</v>
          </cell>
          <cell r="H223">
            <v>3.13</v>
          </cell>
          <cell r="I223">
            <v>3.29</v>
          </cell>
          <cell r="L223">
            <v>8.8999999999999996E-2</v>
          </cell>
        </row>
        <row r="224">
          <cell r="A224" t="str">
            <v>Average:</v>
          </cell>
        </row>
        <row r="225">
          <cell r="A225" t="str">
            <v>All Categories</v>
          </cell>
          <cell r="B225">
            <v>0.52703652937846857</v>
          </cell>
          <cell r="C225">
            <v>0.47965615159359665</v>
          </cell>
          <cell r="D225">
            <v>0.40419819982762201</v>
          </cell>
          <cell r="L225">
            <v>0.12940000000000002</v>
          </cell>
        </row>
        <row r="226">
          <cell r="A226" t="str">
            <v>Canned Products</v>
          </cell>
          <cell r="B226">
            <v>0.44943043608449518</v>
          </cell>
          <cell r="C226">
            <v>0.52696035693487253</v>
          </cell>
          <cell r="D226">
            <v>0.33301329662614415</v>
          </cell>
          <cell r="L226">
            <v>0.15933333333333333</v>
          </cell>
        </row>
        <row r="228">
          <cell r="A228" t="str">
            <v>Median</v>
          </cell>
          <cell r="B228">
            <v>0.5</v>
          </cell>
          <cell r="C228">
            <v>0.4814814814814814</v>
          </cell>
          <cell r="D228">
            <v>0.41644562334217494</v>
          </cell>
        </row>
        <row r="232">
          <cell r="A232" t="str">
            <v>Category</v>
          </cell>
          <cell r="B232" t="str">
            <v>P/L Market</v>
          </cell>
        </row>
        <row r="233">
          <cell r="B233" t="str">
            <v>Share</v>
          </cell>
        </row>
        <row r="235">
          <cell r="A235" t="str">
            <v>Canned Vegetable</v>
          </cell>
          <cell r="B235">
            <v>0.33300000000000002</v>
          </cell>
        </row>
        <row r="236">
          <cell r="A236" t="str">
            <v>Canned Fruit</v>
          </cell>
          <cell r="B236">
            <v>0.28000000000000003</v>
          </cell>
        </row>
        <row r="237">
          <cell r="A237" t="str">
            <v>Refrigerated Dough</v>
          </cell>
          <cell r="B237">
            <v>0.16500000000000001</v>
          </cell>
        </row>
        <row r="238">
          <cell r="A238" t="str">
            <v>Total Canned Products</v>
          </cell>
          <cell r="B238">
            <v>0.15933333333333333</v>
          </cell>
        </row>
        <row r="239">
          <cell r="A239" t="str">
            <v>Ketchup</v>
          </cell>
          <cell r="B239">
            <v>0.15</v>
          </cell>
        </row>
        <row r="240">
          <cell r="A240" t="str">
            <v>Overall Food Industry</v>
          </cell>
          <cell r="B240">
            <v>0.15</v>
          </cell>
        </row>
        <row r="241">
          <cell r="A241" t="str">
            <v>Luncheon Meats</v>
          </cell>
          <cell r="B241">
            <v>0.13900000000000001</v>
          </cell>
        </row>
        <row r="242">
          <cell r="A242" t="str">
            <v>Yogurt</v>
          </cell>
          <cell r="B242">
            <v>0.13400000000000001</v>
          </cell>
        </row>
        <row r="243">
          <cell r="A243" t="str">
            <v xml:space="preserve">    Condensed Soup</v>
          </cell>
          <cell r="B243">
            <v>0.13</v>
          </cell>
        </row>
        <row r="244">
          <cell r="A244" t="str">
            <v>Cookies</v>
          </cell>
          <cell r="B244">
            <v>0.108</v>
          </cell>
        </row>
        <row r="245">
          <cell r="A245" t="str">
            <v>Ground Coffee</v>
          </cell>
          <cell r="B245">
            <v>8.8999999999999996E-2</v>
          </cell>
        </row>
        <row r="246">
          <cell r="A246" t="str">
            <v>Cereal</v>
          </cell>
          <cell r="B246">
            <v>7.6999999999999999E-2</v>
          </cell>
        </row>
        <row r="247">
          <cell r="A247" t="str">
            <v>Soup Category</v>
          </cell>
          <cell r="B247">
            <v>7.4999999999999997E-2</v>
          </cell>
        </row>
        <row r="248">
          <cell r="A248" t="str">
            <v>Crackers</v>
          </cell>
          <cell r="B248">
            <v>7.2999999999999995E-2</v>
          </cell>
        </row>
        <row r="249">
          <cell r="A249" t="str">
            <v>Canned Seafood</v>
          </cell>
          <cell r="B249">
            <v>6.8000000000000005E-2</v>
          </cell>
        </row>
        <row r="250">
          <cell r="A250" t="str">
            <v>Snack Bars</v>
          </cell>
          <cell r="B250">
            <v>5.3999999999999999E-2</v>
          </cell>
        </row>
        <row r="251">
          <cell r="A251" t="str">
            <v xml:space="preserve">    RTS Soup</v>
          </cell>
          <cell r="B251">
            <v>4.3999999999999997E-2</v>
          </cell>
        </row>
        <row r="263">
          <cell r="C263" t="str">
            <v>Market</v>
          </cell>
        </row>
        <row r="264">
          <cell r="A264" t="str">
            <v>Brand</v>
          </cell>
          <cell r="B264" t="str">
            <v>Category</v>
          </cell>
          <cell r="C264" t="str">
            <v>Position</v>
          </cell>
        </row>
        <row r="265">
          <cell r="A265" t="str">
            <v>Pace</v>
          </cell>
          <cell r="B265" t="str">
            <v>Mexican</v>
          </cell>
          <cell r="C265" t="str">
            <v>#1</v>
          </cell>
        </row>
        <row r="266">
          <cell r="A266" t="str">
            <v>Prego</v>
          </cell>
          <cell r="B266" t="str">
            <v>Sauce</v>
          </cell>
          <cell r="C266" t="str">
            <v>#2</v>
          </cell>
        </row>
        <row r="267">
          <cell r="A267" t="str">
            <v>Franco American with</v>
          </cell>
          <cell r="B267" t="str">
            <v>Kid's canned</v>
          </cell>
          <cell r="C267" t="str">
            <v>#1</v>
          </cell>
        </row>
        <row r="268">
          <cell r="A268" t="str">
            <v>Spaghetti Os brand</v>
          </cell>
          <cell r="B268" t="str">
            <v>pasta</v>
          </cell>
        </row>
        <row r="278">
          <cell r="A278" t="str">
            <v>Operating Margins</v>
          </cell>
          <cell r="B278" t="str">
            <v>Reported</v>
          </cell>
        </row>
        <row r="279">
          <cell r="A279" t="str">
            <v>Campbell</v>
          </cell>
          <cell r="B279">
            <v>0.20946109859643042</v>
          </cell>
          <cell r="D279">
            <v>1</v>
          </cell>
          <cell r="E279">
            <v>3</v>
          </cell>
        </row>
        <row r="280">
          <cell r="A280" t="str">
            <v>Kellogg (PF)</v>
          </cell>
          <cell r="B280">
            <v>0.17299999999999999</v>
          </cell>
        </row>
        <row r="281">
          <cell r="A281" t="str">
            <v>Heinz</v>
          </cell>
          <cell r="B281">
            <v>0.17100000000000001</v>
          </cell>
          <cell r="D281">
            <v>2</v>
          </cell>
          <cell r="E281">
            <v>1</v>
          </cell>
        </row>
        <row r="282">
          <cell r="A282" t="str">
            <v>Kraft</v>
          </cell>
          <cell r="B282">
            <v>0.17</v>
          </cell>
          <cell r="D282">
            <v>3</v>
          </cell>
          <cell r="E282">
            <v>1</v>
          </cell>
        </row>
        <row r="283">
          <cell r="A283" t="str">
            <v>Hershey</v>
          </cell>
          <cell r="B283">
            <v>0.16200000000000001</v>
          </cell>
          <cell r="D283">
            <v>4</v>
          </cell>
          <cell r="E283">
            <v>3</v>
          </cell>
        </row>
        <row r="284">
          <cell r="A284" t="str">
            <v>General Mills</v>
          </cell>
          <cell r="B284">
            <v>0.16</v>
          </cell>
          <cell r="D284">
            <v>5</v>
          </cell>
          <cell r="E284">
            <v>6</v>
          </cell>
        </row>
        <row r="285">
          <cell r="A285" t="str">
            <v>Sara Lee</v>
          </cell>
          <cell r="B285">
            <v>9.7000000000000003E-2</v>
          </cell>
          <cell r="D285">
            <v>6</v>
          </cell>
          <cell r="E285">
            <v>3</v>
          </cell>
        </row>
        <row r="286">
          <cell r="D286">
            <v>7</v>
          </cell>
          <cell r="E286">
            <v>7</v>
          </cell>
        </row>
        <row r="287">
          <cell r="B287">
            <v>0.16320872837091865</v>
          </cell>
        </row>
        <row r="288">
          <cell r="B288">
            <v>0.17</v>
          </cell>
        </row>
        <row r="290">
          <cell r="B290" t="str">
            <v>Forecast</v>
          </cell>
        </row>
        <row r="292">
          <cell r="A292" t="str">
            <v>Kraft</v>
          </cell>
          <cell r="B292">
            <v>0.214</v>
          </cell>
        </row>
        <row r="293">
          <cell r="A293" t="str">
            <v>General Mills</v>
          </cell>
          <cell r="B293">
            <v>0.19700000000000001</v>
          </cell>
        </row>
        <row r="294">
          <cell r="A294" t="str">
            <v xml:space="preserve">Kellogg </v>
          </cell>
          <cell r="B294">
            <v>0.187</v>
          </cell>
          <cell r="C294" t="str">
            <v>(PF)</v>
          </cell>
        </row>
        <row r="295">
          <cell r="A295" t="str">
            <v>Heinz</v>
          </cell>
          <cell r="B295">
            <v>0.17499999999999999</v>
          </cell>
        </row>
        <row r="296">
          <cell r="A296" t="str">
            <v>Campbell</v>
          </cell>
          <cell r="B296">
            <v>0.16370454916028046</v>
          </cell>
        </row>
        <row r="297">
          <cell r="A297" t="str">
            <v>Sara Lee</v>
          </cell>
          <cell r="B297">
            <v>0.09</v>
          </cell>
        </row>
        <row r="299">
          <cell r="A299" t="str">
            <v>Hershey</v>
          </cell>
          <cell r="B299">
            <v>0.17699999999999999</v>
          </cell>
        </row>
        <row r="300">
          <cell r="B300">
            <v>0.17111742486004677</v>
          </cell>
        </row>
        <row r="301">
          <cell r="B301">
            <v>0.18099999999999999</v>
          </cell>
        </row>
        <row r="302">
          <cell r="A302">
            <v>1998</v>
          </cell>
          <cell r="B302">
            <v>0.22342058732168885</v>
          </cell>
          <cell r="C302">
            <v>0.51717103533965736</v>
          </cell>
        </row>
        <row r="303">
          <cell r="A303">
            <v>1999</v>
          </cell>
          <cell r="B303">
            <v>0.19710827371789066</v>
          </cell>
          <cell r="C303">
            <v>0.50919134293217427</v>
          </cell>
        </row>
        <row r="304">
          <cell r="A304">
            <v>2000</v>
          </cell>
          <cell r="B304">
            <v>0.22483114113046568</v>
          </cell>
          <cell r="C304">
            <v>0.45111980092428011</v>
          </cell>
        </row>
        <row r="305">
          <cell r="A305">
            <v>2001</v>
          </cell>
          <cell r="B305">
            <v>0.20946109859643042</v>
          </cell>
          <cell r="C305">
            <v>0.45815283313117311</v>
          </cell>
        </row>
        <row r="306">
          <cell r="A306" t="str">
            <v>2002E</v>
          </cell>
          <cell r="B306">
            <v>0.16370454916028046</v>
          </cell>
        </row>
        <row r="307">
          <cell r="A307" t="str">
            <v>2003E</v>
          </cell>
          <cell r="B307">
            <v>0.16546870320455226</v>
          </cell>
        </row>
        <row r="308">
          <cell r="A308" t="str">
            <v>2004E</v>
          </cell>
          <cell r="B308">
            <v>0.1578281052187368</v>
          </cell>
        </row>
        <row r="310">
          <cell r="F310">
            <v>0</v>
          </cell>
        </row>
        <row r="311">
          <cell r="A311" t="str">
            <v>Campbell</v>
          </cell>
        </row>
        <row r="312">
          <cell r="A312" t="str">
            <v>Heinz</v>
          </cell>
        </row>
        <row r="313">
          <cell r="A313" t="str">
            <v>General Mills</v>
          </cell>
        </row>
        <row r="314">
          <cell r="A314" t="str">
            <v>Hershey</v>
          </cell>
        </row>
        <row r="315">
          <cell r="A315" t="str">
            <v>Kellogg (PF)</v>
          </cell>
        </row>
        <row r="316">
          <cell r="A316" t="str">
            <v>Kraft</v>
          </cell>
        </row>
        <row r="317">
          <cell r="A317" t="str">
            <v>Sara Lee</v>
          </cell>
        </row>
      </sheetData>
      <sheetData sheetId="43"/>
      <sheetData sheetId="44" refreshError="1">
        <row r="1">
          <cell r="A1" t="str">
            <v>Campbell Soup</v>
          </cell>
          <cell r="IQ1" t="str">
            <v>ElementName</v>
          </cell>
          <cell r="IR1" t="str">
            <v>ScaleOverride</v>
          </cell>
          <cell r="IS1" t="str">
            <v>UnitOverride</v>
          </cell>
          <cell r="IT1" t="str">
            <v>ReverseSign</v>
          </cell>
          <cell r="IU1" t="str">
            <v>IsDrivingAssumption</v>
          </cell>
          <cell r="IV1" t="str">
            <v>SegmentID</v>
          </cell>
        </row>
        <row r="3">
          <cell r="A3" t="str">
            <v>Company-wide</v>
          </cell>
        </row>
        <row r="4">
          <cell r="A4" t="str">
            <v>Sales Growth Components</v>
          </cell>
          <cell r="B4">
            <v>1995</v>
          </cell>
          <cell r="C4">
            <v>1996</v>
          </cell>
          <cell r="D4">
            <v>1997</v>
          </cell>
          <cell r="E4" t="str">
            <v>1Q98</v>
          </cell>
          <cell r="F4" t="str">
            <v>2Q98</v>
          </cell>
          <cell r="G4" t="str">
            <v>3Q98</v>
          </cell>
          <cell r="H4" t="str">
            <v>4Q98</v>
          </cell>
          <cell r="I4">
            <v>1998</v>
          </cell>
          <cell r="J4" t="str">
            <v>1Q99</v>
          </cell>
          <cell r="K4" t="str">
            <v>2Q99</v>
          </cell>
          <cell r="L4" t="str">
            <v>3Q99</v>
          </cell>
          <cell r="M4" t="str">
            <v>4Q99</v>
          </cell>
          <cell r="N4">
            <v>1999</v>
          </cell>
          <cell r="O4" t="str">
            <v>1Q00</v>
          </cell>
          <cell r="P4" t="str">
            <v>2Q00</v>
          </cell>
          <cell r="Q4" t="str">
            <v>3Q00</v>
          </cell>
          <cell r="R4" t="str">
            <v>4Q00</v>
          </cell>
          <cell r="S4">
            <v>2000</v>
          </cell>
          <cell r="T4" t="str">
            <v>1Q01</v>
          </cell>
          <cell r="U4" t="str">
            <v>2Q01</v>
          </cell>
          <cell r="V4" t="str">
            <v>3Q01</v>
          </cell>
          <cell r="W4" t="str">
            <v>4Q01</v>
          </cell>
          <cell r="X4">
            <v>2001</v>
          </cell>
          <cell r="Y4" t="str">
            <v>1Q02</v>
          </cell>
          <cell r="Z4" t="str">
            <v>2Q02</v>
          </cell>
          <cell r="AA4" t="str">
            <v>3Q02</v>
          </cell>
          <cell r="AB4" t="str">
            <v>4Q02</v>
          </cell>
          <cell r="AC4">
            <v>2002</v>
          </cell>
          <cell r="AD4" t="str">
            <v>1Q03</v>
          </cell>
          <cell r="AE4" t="str">
            <v>2Q03</v>
          </cell>
          <cell r="AF4" t="str">
            <v>3Q03</v>
          </cell>
          <cell r="AG4" t="str">
            <v>4Q03</v>
          </cell>
          <cell r="AH4">
            <v>2003</v>
          </cell>
          <cell r="AI4" t="str">
            <v>1Q04</v>
          </cell>
          <cell r="AJ4" t="str">
            <v>2Q04</v>
          </cell>
          <cell r="AK4" t="str">
            <v>3Q04</v>
          </cell>
          <cell r="AL4" t="str">
            <v>4Q04</v>
          </cell>
          <cell r="AM4">
            <v>2004</v>
          </cell>
          <cell r="AN4" t="str">
            <v>1Q05</v>
          </cell>
          <cell r="AO4" t="str">
            <v>2Q05E</v>
          </cell>
          <cell r="AP4" t="str">
            <v>3Q05E</v>
          </cell>
          <cell r="AQ4" t="str">
            <v>4Q05E</v>
          </cell>
          <cell r="AR4" t="str">
            <v>2005E</v>
          </cell>
          <cell r="AS4" t="str">
            <v>2006E</v>
          </cell>
          <cell r="AT4" t="str">
            <v>2007E</v>
          </cell>
          <cell r="AU4" t="str">
            <v>2008E</v>
          </cell>
        </row>
        <row r="5">
          <cell r="A5" t="str">
            <v>Volume and mix</v>
          </cell>
          <cell r="B5">
            <v>0.03</v>
          </cell>
          <cell r="C5">
            <v>0.01</v>
          </cell>
          <cell r="D5">
            <v>2.8000000000000001E-2</v>
          </cell>
          <cell r="E5">
            <v>0.05</v>
          </cell>
          <cell r="F5">
            <v>0.03</v>
          </cell>
          <cell r="G5">
            <v>0.04</v>
          </cell>
          <cell r="H5">
            <v>0.02</v>
          </cell>
          <cell r="I5">
            <v>0.04</v>
          </cell>
          <cell r="J5">
            <v>0.05</v>
          </cell>
          <cell r="K5">
            <v>-7.9000000000000001E-2</v>
          </cell>
          <cell r="L5">
            <v>0</v>
          </cell>
          <cell r="M5">
            <v>0.03</v>
          </cell>
          <cell r="N5">
            <v>0</v>
          </cell>
          <cell r="O5">
            <v>-0.02</v>
          </cell>
          <cell r="P5">
            <v>0.05</v>
          </cell>
          <cell r="Q5">
            <v>-0.05</v>
          </cell>
          <cell r="R5">
            <v>-7.0000000000000007E-2</v>
          </cell>
          <cell r="S5">
            <v>-0.02</v>
          </cell>
          <cell r="T5">
            <v>0.03</v>
          </cell>
          <cell r="U5">
            <v>0.05</v>
          </cell>
          <cell r="V5">
            <v>0.05</v>
          </cell>
          <cell r="W5">
            <v>0.04</v>
          </cell>
          <cell r="X5">
            <v>0.05</v>
          </cell>
          <cell r="Y5">
            <v>0.06</v>
          </cell>
          <cell r="Z5">
            <v>0</v>
          </cell>
          <cell r="AA5">
            <v>0</v>
          </cell>
          <cell r="AB5">
            <v>0.04</v>
          </cell>
          <cell r="AC5">
            <v>0.02</v>
          </cell>
          <cell r="AD5">
            <v>-0.03</v>
          </cell>
          <cell r="AE5">
            <v>0.01</v>
          </cell>
          <cell r="AF5">
            <v>0.06</v>
          </cell>
          <cell r="AG5">
            <v>0.06</v>
          </cell>
          <cell r="AH5">
            <v>0.03</v>
          </cell>
          <cell r="AI5">
            <v>0.02</v>
          </cell>
          <cell r="AJ5">
            <v>0.03</v>
          </cell>
          <cell r="AK5">
            <v>-0.01</v>
          </cell>
          <cell r="AL5">
            <v>0.04</v>
          </cell>
          <cell r="AM5">
            <v>0.02</v>
          </cell>
          <cell r="AN5">
            <v>0.09</v>
          </cell>
          <cell r="AO5">
            <v>0.02</v>
          </cell>
          <cell r="AP5">
            <v>0</v>
          </cell>
          <cell r="AQ5">
            <v>-0.01</v>
          </cell>
          <cell r="AR5">
            <v>0.02</v>
          </cell>
          <cell r="AS5">
            <v>0.02</v>
          </cell>
          <cell r="AT5">
            <v>0.02</v>
          </cell>
          <cell r="AU5">
            <v>0.02</v>
          </cell>
          <cell r="IQ5" t="str">
            <v>mstag:volumeGrowth</v>
          </cell>
          <cell r="IR5">
            <v>0</v>
          </cell>
          <cell r="IS5" t="str">
            <v>ms_eqr_gcim_Decimal:ms_eqr_gcim_decimal</v>
          </cell>
          <cell r="IT5" t="b">
            <v>0</v>
          </cell>
          <cell r="IU5" t="b">
            <v>0</v>
          </cell>
        </row>
        <row r="6">
          <cell r="A6" t="str">
            <v>Pricing</v>
          </cell>
          <cell r="B6">
            <v>0.02</v>
          </cell>
          <cell r="C6">
            <v>0.03</v>
          </cell>
          <cell r="D6">
            <v>2.8000000000000001E-2</v>
          </cell>
          <cell r="E6">
            <v>0.02</v>
          </cell>
          <cell r="F6">
            <v>0.02</v>
          </cell>
          <cell r="G6">
            <v>0.02</v>
          </cell>
          <cell r="H6">
            <v>0.02</v>
          </cell>
          <cell r="I6">
            <v>0.02</v>
          </cell>
          <cell r="J6">
            <v>0.02</v>
          </cell>
          <cell r="K6">
            <v>0.02</v>
          </cell>
          <cell r="L6">
            <v>0.01</v>
          </cell>
          <cell r="M6">
            <v>0.01</v>
          </cell>
          <cell r="N6">
            <v>0.02</v>
          </cell>
          <cell r="O6">
            <v>0.02</v>
          </cell>
          <cell r="P6">
            <v>0.02</v>
          </cell>
          <cell r="Q6">
            <v>0.01</v>
          </cell>
          <cell r="R6">
            <v>0.02</v>
          </cell>
          <cell r="S6">
            <v>0.02</v>
          </cell>
          <cell r="T6">
            <v>0.01</v>
          </cell>
          <cell r="U6">
            <v>0</v>
          </cell>
          <cell r="V6">
            <v>0</v>
          </cell>
          <cell r="W6">
            <v>0.01</v>
          </cell>
          <cell r="X6">
            <v>0</v>
          </cell>
          <cell r="Y6">
            <v>0.01</v>
          </cell>
          <cell r="Z6">
            <v>0.01</v>
          </cell>
          <cell r="AA6">
            <v>0.01</v>
          </cell>
          <cell r="AB6">
            <v>0.01</v>
          </cell>
          <cell r="AC6">
            <v>0.01</v>
          </cell>
          <cell r="AD6">
            <v>0.01</v>
          </cell>
          <cell r="AE6">
            <v>0.02</v>
          </cell>
          <cell r="AF6">
            <v>0.02</v>
          </cell>
          <cell r="AG6">
            <v>0.02</v>
          </cell>
          <cell r="AH6">
            <v>0.01</v>
          </cell>
          <cell r="AI6">
            <v>0.02</v>
          </cell>
          <cell r="AJ6">
            <v>0.02</v>
          </cell>
          <cell r="AK6">
            <v>0.01</v>
          </cell>
          <cell r="AL6">
            <v>0.01</v>
          </cell>
          <cell r="AM6">
            <v>0.02</v>
          </cell>
          <cell r="AN6">
            <v>-5.0000000000000001E-3</v>
          </cell>
          <cell r="AO6">
            <v>0.02</v>
          </cell>
          <cell r="AP6">
            <v>0.02</v>
          </cell>
          <cell r="AQ6">
            <v>0.01</v>
          </cell>
          <cell r="AR6">
            <v>0.01</v>
          </cell>
          <cell r="AS6">
            <v>0</v>
          </cell>
          <cell r="AT6">
            <v>0</v>
          </cell>
          <cell r="AU6">
            <v>0</v>
          </cell>
          <cell r="IQ6" t="str">
            <v>mstag:priceChange</v>
          </cell>
          <cell r="IR6">
            <v>0</v>
          </cell>
          <cell r="IS6" t="str">
            <v>ms_eqr_gcim_Decimal:ms_eqr_gcim_decimal</v>
          </cell>
          <cell r="IT6" t="b">
            <v>0</v>
          </cell>
          <cell r="IU6" t="b">
            <v>0</v>
          </cell>
        </row>
        <row r="7">
          <cell r="A7" t="str">
            <v>Promotion</v>
          </cell>
          <cell r="T7">
            <v>-0.02</v>
          </cell>
          <cell r="Y7">
            <v>-0.02</v>
          </cell>
          <cell r="Z7">
            <v>-0.02</v>
          </cell>
          <cell r="AA7">
            <v>0</v>
          </cell>
          <cell r="AB7">
            <v>-0.02</v>
          </cell>
          <cell r="AC7">
            <v>-0.01</v>
          </cell>
          <cell r="AD7">
            <v>-0.01</v>
          </cell>
          <cell r="AE7">
            <v>-0.01</v>
          </cell>
          <cell r="AF7">
            <v>0.02</v>
          </cell>
          <cell r="AG7">
            <v>0.03</v>
          </cell>
          <cell r="AH7">
            <v>0</v>
          </cell>
          <cell r="AI7">
            <v>0.02</v>
          </cell>
          <cell r="AJ7">
            <v>-0.01</v>
          </cell>
          <cell r="AK7">
            <v>-0.01</v>
          </cell>
          <cell r="AL7">
            <v>-0.02</v>
          </cell>
          <cell r="AM7">
            <v>-3.4700000000000009E-3</v>
          </cell>
          <cell r="AN7">
            <v>-0.01</v>
          </cell>
          <cell r="AO7">
            <v>-0.01</v>
          </cell>
          <cell r="AP7">
            <v>-0.01</v>
          </cell>
          <cell r="AQ7">
            <v>0</v>
          </cell>
          <cell r="AR7">
            <v>0</v>
          </cell>
          <cell r="AS7">
            <v>0</v>
          </cell>
          <cell r="AT7">
            <v>0</v>
          </cell>
          <cell r="AU7">
            <v>0</v>
          </cell>
        </row>
        <row r="8">
          <cell r="A8" t="str">
            <v xml:space="preserve">     Acquisitions</v>
          </cell>
          <cell r="B8">
            <v>0.03</v>
          </cell>
          <cell r="C8">
            <v>0.03</v>
          </cell>
          <cell r="D8">
            <v>0.03</v>
          </cell>
          <cell r="E8">
            <v>0.02</v>
          </cell>
          <cell r="F8">
            <v>0.02</v>
          </cell>
          <cell r="G8">
            <v>0.01</v>
          </cell>
          <cell r="H8">
            <v>0.01</v>
          </cell>
          <cell r="I8">
            <v>0.01</v>
          </cell>
          <cell r="J8">
            <v>0.02</v>
          </cell>
          <cell r="K8">
            <v>0.02</v>
          </cell>
          <cell r="L8">
            <v>0.01</v>
          </cell>
          <cell r="M8">
            <v>0</v>
          </cell>
          <cell r="N8">
            <v>0.01</v>
          </cell>
          <cell r="O8">
            <v>0</v>
          </cell>
          <cell r="P8">
            <v>0</v>
          </cell>
          <cell r="Q8">
            <v>0</v>
          </cell>
          <cell r="R8">
            <v>0</v>
          </cell>
          <cell r="S8">
            <v>0</v>
          </cell>
          <cell r="T8">
            <v>0</v>
          </cell>
          <cell r="U8">
            <v>0</v>
          </cell>
          <cell r="V8">
            <v>0</v>
          </cell>
          <cell r="W8">
            <v>0.05</v>
          </cell>
          <cell r="X8">
            <v>0.01</v>
          </cell>
          <cell r="Y8">
            <v>0.05</v>
          </cell>
          <cell r="Z8">
            <v>4.9980056980056982E-2</v>
          </cell>
          <cell r="AA8">
            <v>6.9678206136900081E-2</v>
          </cell>
          <cell r="AB8">
            <v>0</v>
          </cell>
          <cell r="AC8">
            <v>0.04</v>
          </cell>
          <cell r="AD8">
            <v>1.0471563524195104E-2</v>
          </cell>
          <cell r="AE8">
            <v>2.0027624309392266E-2</v>
          </cell>
          <cell r="AF8">
            <v>3.0440554339897886E-2</v>
          </cell>
          <cell r="AG8">
            <v>2.964022894521668E-2</v>
          </cell>
          <cell r="AH8">
            <v>2.1550238872666817E-2</v>
          </cell>
          <cell r="AI8">
            <v>0</v>
          </cell>
          <cell r="AJ8">
            <v>0</v>
          </cell>
          <cell r="AK8">
            <v>0</v>
          </cell>
          <cell r="AL8">
            <v>0</v>
          </cell>
          <cell r="AM8">
            <v>0</v>
          </cell>
          <cell r="AN8">
            <v>0</v>
          </cell>
          <cell r="AO8">
            <v>0</v>
          </cell>
          <cell r="AP8">
            <v>0</v>
          </cell>
          <cell r="AQ8">
            <v>0</v>
          </cell>
          <cell r="AR8">
            <v>0</v>
          </cell>
          <cell r="AS8">
            <v>0</v>
          </cell>
          <cell r="AT8">
            <v>0</v>
          </cell>
          <cell r="AU8">
            <v>0</v>
          </cell>
        </row>
        <row r="9">
          <cell r="A9" t="str">
            <v xml:space="preserve">     Divestitures</v>
          </cell>
          <cell r="B9">
            <v>-0.01</v>
          </cell>
          <cell r="C9">
            <v>-0.01</v>
          </cell>
          <cell r="D9">
            <v>-0.04</v>
          </cell>
          <cell r="E9">
            <v>-0.01</v>
          </cell>
          <cell r="F9">
            <v>-0.02</v>
          </cell>
          <cell r="G9">
            <v>-0.03</v>
          </cell>
          <cell r="H9">
            <v>-7.0000000000000007E-2</v>
          </cell>
          <cell r="I9">
            <v>-0.04</v>
          </cell>
          <cell r="J9">
            <v>-0.08</v>
          </cell>
          <cell r="K9">
            <v>-0.05</v>
          </cell>
          <cell r="L9">
            <v>-6.0999999999999999E-2</v>
          </cell>
          <cell r="M9">
            <v>-0.03</v>
          </cell>
          <cell r="N9">
            <v>-0.06</v>
          </cell>
          <cell r="O9">
            <v>-0.02</v>
          </cell>
          <cell r="P9">
            <v>-0.01</v>
          </cell>
          <cell r="Q9">
            <v>-0.02</v>
          </cell>
          <cell r="R9">
            <v>-0.01</v>
          </cell>
          <cell r="S9">
            <v>-0.01</v>
          </cell>
          <cell r="T9">
            <v>-0.01</v>
          </cell>
          <cell r="U9">
            <v>-0.01</v>
          </cell>
          <cell r="V9">
            <v>-5.0152185943552847E-3</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row>
        <row r="10">
          <cell r="A10" t="str">
            <v>Acquisitions, net</v>
          </cell>
          <cell r="B10">
            <v>1.9999999999999997E-2</v>
          </cell>
          <cell r="C10">
            <v>1.9999999999999997E-2</v>
          </cell>
          <cell r="D10">
            <v>-1.0000000000000002E-2</v>
          </cell>
          <cell r="E10">
            <v>0.01</v>
          </cell>
          <cell r="F10">
            <v>0</v>
          </cell>
          <cell r="G10">
            <v>-1.9999999999999997E-2</v>
          </cell>
          <cell r="H10">
            <v>-6.0000000000000005E-2</v>
          </cell>
          <cell r="I10">
            <v>-0.03</v>
          </cell>
          <cell r="J10">
            <v>-0.06</v>
          </cell>
          <cell r="K10">
            <v>-3.0000000000000002E-2</v>
          </cell>
          <cell r="L10">
            <v>-5.0999999999999997E-2</v>
          </cell>
          <cell r="M10">
            <v>-0.03</v>
          </cell>
          <cell r="N10">
            <v>-4.9999999999999996E-2</v>
          </cell>
          <cell r="O10">
            <v>-0.02</v>
          </cell>
          <cell r="P10">
            <v>-0.01</v>
          </cell>
          <cell r="Q10">
            <v>-0.02</v>
          </cell>
          <cell r="R10">
            <v>-0.01</v>
          </cell>
          <cell r="S10">
            <v>-0.01</v>
          </cell>
          <cell r="T10">
            <v>-0.01</v>
          </cell>
          <cell r="U10">
            <v>-0.01</v>
          </cell>
          <cell r="V10">
            <v>-5.0152185943552847E-3</v>
          </cell>
          <cell r="W10">
            <v>0.05</v>
          </cell>
          <cell r="X10">
            <v>0.01</v>
          </cell>
          <cell r="Y10">
            <v>0.05</v>
          </cell>
          <cell r="Z10">
            <v>4.9980056980056982E-2</v>
          </cell>
          <cell r="AA10">
            <v>6.9678206136900081E-2</v>
          </cell>
          <cell r="AB10">
            <v>0</v>
          </cell>
          <cell r="AC10">
            <v>0.04</v>
          </cell>
          <cell r="AD10">
            <v>1.0471563524195104E-2</v>
          </cell>
          <cell r="AE10">
            <v>2.0027624309392266E-2</v>
          </cell>
          <cell r="AF10">
            <v>3.0440554339897886E-2</v>
          </cell>
          <cell r="AG10">
            <v>0.03</v>
          </cell>
          <cell r="AH10">
            <v>0.02</v>
          </cell>
          <cell r="AI10">
            <v>0.02</v>
          </cell>
          <cell r="AJ10">
            <v>0</v>
          </cell>
          <cell r="AK10">
            <v>0</v>
          </cell>
          <cell r="AL10">
            <v>0</v>
          </cell>
          <cell r="AM10">
            <v>5.6599999999999992E-3</v>
          </cell>
          <cell r="AN10">
            <v>0</v>
          </cell>
          <cell r="AO10">
            <v>0</v>
          </cell>
          <cell r="AP10">
            <v>0</v>
          </cell>
          <cell r="AQ10">
            <v>0</v>
          </cell>
          <cell r="AR10">
            <v>0</v>
          </cell>
          <cell r="AS10">
            <v>0</v>
          </cell>
          <cell r="AT10">
            <v>0</v>
          </cell>
          <cell r="AU10">
            <v>0</v>
          </cell>
          <cell r="IQ10" t="str">
            <v>mstag:acquisitionsAndDisposals</v>
          </cell>
          <cell r="IR10">
            <v>6</v>
          </cell>
          <cell r="IS10" t="str">
            <v>ISO4217:USD</v>
          </cell>
          <cell r="IT10" t="b">
            <v>0</v>
          </cell>
          <cell r="IU10" t="b">
            <v>0</v>
          </cell>
        </row>
        <row r="11">
          <cell r="A11" t="str">
            <v>FX</v>
          </cell>
          <cell r="B11">
            <v>0.02</v>
          </cell>
          <cell r="C11">
            <v>0</v>
          </cell>
          <cell r="D11">
            <v>0</v>
          </cell>
          <cell r="E11">
            <v>-0.03</v>
          </cell>
          <cell r="F11">
            <v>-0.03</v>
          </cell>
          <cell r="G11">
            <v>-0.02</v>
          </cell>
          <cell r="H11">
            <v>-0.03</v>
          </cell>
          <cell r="I11">
            <v>-0.02</v>
          </cell>
          <cell r="J11">
            <v>-0.02</v>
          </cell>
          <cell r="K11">
            <v>0</v>
          </cell>
          <cell r="L11">
            <v>-0.01</v>
          </cell>
          <cell r="M11">
            <v>-0.01</v>
          </cell>
          <cell r="N11">
            <v>-9.7000000000000003E-3</v>
          </cell>
          <cell r="O11">
            <v>0</v>
          </cell>
          <cell r="P11">
            <v>-0.01</v>
          </cell>
          <cell r="Q11">
            <v>-0.01</v>
          </cell>
          <cell r="R11">
            <v>-0.02</v>
          </cell>
          <cell r="S11">
            <v>-0.01</v>
          </cell>
          <cell r="T11">
            <v>-0.02</v>
          </cell>
          <cell r="U11">
            <v>-0.02</v>
          </cell>
          <cell r="V11">
            <v>-0.02</v>
          </cell>
          <cell r="W11">
            <v>-0.02</v>
          </cell>
          <cell r="X11">
            <v>-0.03</v>
          </cell>
          <cell r="Y11">
            <v>-0.01</v>
          </cell>
          <cell r="Z11">
            <v>-0.01</v>
          </cell>
          <cell r="AA11">
            <v>0</v>
          </cell>
          <cell r="AB11">
            <v>0.02</v>
          </cell>
          <cell r="AC11">
            <v>0</v>
          </cell>
          <cell r="AD11">
            <v>0.01</v>
          </cell>
          <cell r="AE11">
            <v>0.02</v>
          </cell>
          <cell r="AF11">
            <v>0.04</v>
          </cell>
          <cell r="AG11">
            <v>0.05</v>
          </cell>
          <cell r="AH11">
            <v>0.03</v>
          </cell>
          <cell r="AI11">
            <v>0.04</v>
          </cell>
          <cell r="AJ11">
            <v>0.05</v>
          </cell>
          <cell r="AK11">
            <v>0.05</v>
          </cell>
          <cell r="AL11">
            <v>0.02</v>
          </cell>
          <cell r="AM11">
            <v>0.04</v>
          </cell>
          <cell r="AN11">
            <v>0.02</v>
          </cell>
          <cell r="AO11">
            <v>2.7E-2</v>
          </cell>
          <cell r="AP11">
            <v>0.02</v>
          </cell>
          <cell r="AQ11">
            <v>2.5000000000000001E-2</v>
          </cell>
          <cell r="AR11">
            <v>1.4999999999999999E-2</v>
          </cell>
          <cell r="AS11">
            <v>0.01</v>
          </cell>
          <cell r="AT11">
            <v>0.01</v>
          </cell>
          <cell r="AU11">
            <v>0.01</v>
          </cell>
          <cell r="IQ11" t="str">
            <v>mstag:currencyEffect</v>
          </cell>
          <cell r="IR11">
            <v>6</v>
          </cell>
          <cell r="IS11" t="str">
            <v>ISO4217:USD</v>
          </cell>
          <cell r="IT11" t="b">
            <v>0</v>
          </cell>
          <cell r="IU11" t="b">
            <v>0</v>
          </cell>
        </row>
        <row r="12">
          <cell r="A12" t="str">
            <v>Days</v>
          </cell>
          <cell r="AL12">
            <v>-7.0000000000000007E-2</v>
          </cell>
          <cell r="AM12">
            <v>-0.02</v>
          </cell>
          <cell r="AN12">
            <v>0</v>
          </cell>
          <cell r="AO12">
            <v>0</v>
          </cell>
          <cell r="AP12">
            <v>0</v>
          </cell>
          <cell r="AQ12">
            <v>0</v>
          </cell>
          <cell r="AR12">
            <v>0</v>
          </cell>
          <cell r="AS12">
            <v>0</v>
          </cell>
          <cell r="AT12">
            <v>0</v>
          </cell>
          <cell r="AU12">
            <v>0</v>
          </cell>
        </row>
        <row r="14">
          <cell r="A14" t="str">
            <v>Sales growth</v>
          </cell>
          <cell r="B14">
            <v>9.0000000000000011E-2</v>
          </cell>
          <cell r="C14">
            <v>0.06</v>
          </cell>
          <cell r="D14">
            <v>4.5999999999999999E-2</v>
          </cell>
          <cell r="E14">
            <v>0.05</v>
          </cell>
          <cell r="F14">
            <v>2.0000000000000004E-2</v>
          </cell>
          <cell r="G14">
            <v>0.02</v>
          </cell>
          <cell r="H14">
            <v>-0.05</v>
          </cell>
          <cell r="I14">
            <v>9.9999999999999985E-3</v>
          </cell>
          <cell r="J14">
            <v>-9.9999999999999915E-3</v>
          </cell>
          <cell r="K14">
            <v>-8.8999999999999996E-2</v>
          </cell>
          <cell r="L14">
            <v>-5.0999999999999997E-2</v>
          </cell>
          <cell r="M14">
            <v>0</v>
          </cell>
          <cell r="N14">
            <v>-3.9699999999999999E-2</v>
          </cell>
          <cell r="O14">
            <v>-0.02</v>
          </cell>
          <cell r="P14">
            <v>0.05</v>
          </cell>
          <cell r="Q14">
            <v>-6.9999999999999993E-2</v>
          </cell>
          <cell r="R14">
            <v>-0.08</v>
          </cell>
          <cell r="S14">
            <v>-0.02</v>
          </cell>
          <cell r="T14">
            <v>-1.0000000000000002E-2</v>
          </cell>
          <cell r="U14">
            <v>0.02</v>
          </cell>
          <cell r="V14">
            <v>2.498478140564472E-2</v>
          </cell>
          <cell r="W14">
            <v>0.08</v>
          </cell>
          <cell r="X14">
            <v>3.0000000000000006E-2</v>
          </cell>
          <cell r="Y14">
            <v>0.09</v>
          </cell>
          <cell r="Z14">
            <v>2.9980056980056981E-2</v>
          </cell>
          <cell r="AA14">
            <v>7.9678206136900076E-2</v>
          </cell>
          <cell r="AB14">
            <v>0.05</v>
          </cell>
          <cell r="AC14">
            <v>6.0000000000000005E-2</v>
          </cell>
          <cell r="AD14">
            <v>-9.5284364758048933E-3</v>
          </cell>
          <cell r="AE14">
            <v>6.002762430939227E-2</v>
          </cell>
          <cell r="AF14">
            <v>0.17044055433989788</v>
          </cell>
          <cell r="AG14">
            <v>0.19</v>
          </cell>
          <cell r="AH14">
            <v>0.09</v>
          </cell>
          <cell r="AI14">
            <v>0.12000000000000001</v>
          </cell>
          <cell r="AJ14">
            <v>9.0000000000000011E-2</v>
          </cell>
          <cell r="AK14">
            <v>0.04</v>
          </cell>
          <cell r="AL14">
            <v>-2.0000000000000004E-2</v>
          </cell>
          <cell r="AM14">
            <v>6.2189999999999995E-2</v>
          </cell>
          <cell r="AN14">
            <v>9.5000000000000001E-2</v>
          </cell>
          <cell r="AO14">
            <v>5.7000000000000002E-2</v>
          </cell>
          <cell r="AP14">
            <v>0.03</v>
          </cell>
          <cell r="AQ14">
            <v>2.5000000000000001E-2</v>
          </cell>
          <cell r="AR14">
            <v>4.4999999999999998E-2</v>
          </cell>
          <cell r="AS14">
            <v>0.03</v>
          </cell>
          <cell r="AT14">
            <v>0.03</v>
          </cell>
          <cell r="AU14">
            <v>0.03</v>
          </cell>
          <cell r="IQ14" t="str">
            <v>mstag:reportedSalesGrowth</v>
          </cell>
          <cell r="IR14">
            <v>0</v>
          </cell>
          <cell r="IS14" t="str">
            <v>ms_eqr_gcim_Decimal:ms_eqr_gcim_decimal</v>
          </cell>
          <cell r="IT14" t="b">
            <v>0</v>
          </cell>
          <cell r="IU14" t="b">
            <v>0</v>
          </cell>
        </row>
        <row r="15">
          <cell r="A15" t="str">
            <v>Check</v>
          </cell>
          <cell r="Y15">
            <v>9.3611638203668565E-2</v>
          </cell>
          <cell r="Z15">
            <v>3.1339031339031341E-2</v>
          </cell>
          <cell r="AA15">
            <v>7.8678206136900075E-2</v>
          </cell>
          <cell r="AB15">
            <v>5.0687285223367698E-2</v>
          </cell>
          <cell r="AC15">
            <v>6.2727430254721883E-2</v>
          </cell>
          <cell r="AD15">
            <v>-1.3880855986119144E-2</v>
          </cell>
          <cell r="AE15">
            <v>5.9668508287292817E-2</v>
          </cell>
          <cell r="AF15">
            <v>0.16703136396790663</v>
          </cell>
          <cell r="AG15">
            <v>0.18969746524938674</v>
          </cell>
          <cell r="AH15">
            <v>8.8863525191586495E-2</v>
          </cell>
          <cell r="AI15">
            <v>0.11964809384164223</v>
          </cell>
          <cell r="AJ15">
            <v>9.4890510948905105E-2</v>
          </cell>
          <cell r="AK15">
            <v>4.1875000000000002E-2</v>
          </cell>
          <cell r="AL15">
            <v>-1.5120274914089347E-2</v>
          </cell>
          <cell r="AM15">
            <v>6.4540281521413598E-2</v>
          </cell>
          <cell r="AN15">
            <v>9.5337873232058667E-2</v>
          </cell>
          <cell r="AO15">
            <v>6.2441215070810442E-2</v>
          </cell>
          <cell r="AP15">
            <v>3.0159478187763607E-2</v>
          </cell>
          <cell r="AQ15">
            <v>0.11009002634520092</v>
          </cell>
          <cell r="AR15">
            <v>6.1752707835138559E-2</v>
          </cell>
          <cell r="AS15">
            <v>1.7620561738208796E-2</v>
          </cell>
          <cell r="AT15">
            <v>1.0803931779715666E-2</v>
          </cell>
          <cell r="AU15">
            <v>3.6360886516395893E-2</v>
          </cell>
        </row>
        <row r="16">
          <cell r="A16" t="str">
            <v>Organic growth</v>
          </cell>
          <cell r="X16">
            <v>0.05</v>
          </cell>
          <cell r="Y16">
            <v>6.9999999999999993E-2</v>
          </cell>
          <cell r="Z16">
            <v>0.01</v>
          </cell>
          <cell r="AA16">
            <v>0.01</v>
          </cell>
          <cell r="AB16">
            <v>0.05</v>
          </cell>
          <cell r="AC16">
            <v>0.03</v>
          </cell>
          <cell r="AD16">
            <v>-1.9999999999999997E-2</v>
          </cell>
          <cell r="AE16">
            <v>0.03</v>
          </cell>
          <cell r="AF16">
            <v>0.08</v>
          </cell>
          <cell r="AG16">
            <v>0.08</v>
          </cell>
          <cell r="AH16">
            <v>0.04</v>
          </cell>
          <cell r="AI16">
            <v>0.04</v>
          </cell>
          <cell r="AJ16">
            <v>0.05</v>
          </cell>
          <cell r="AK16">
            <v>0</v>
          </cell>
          <cell r="AL16">
            <v>0.05</v>
          </cell>
          <cell r="AM16">
            <v>0.04</v>
          </cell>
          <cell r="AN16">
            <v>8.4999999999999992E-2</v>
          </cell>
          <cell r="AO16">
            <v>0.04</v>
          </cell>
          <cell r="AP16">
            <v>0.02</v>
          </cell>
          <cell r="AQ16">
            <v>0</v>
          </cell>
          <cell r="AR16">
            <v>0.03</v>
          </cell>
          <cell r="AS16">
            <v>0.02</v>
          </cell>
          <cell r="AT16">
            <v>0.02</v>
          </cell>
          <cell r="AU16">
            <v>0.02</v>
          </cell>
          <cell r="IQ16" t="str">
            <v>mstag:organicSalesGrowth</v>
          </cell>
          <cell r="IR16">
            <v>0</v>
          </cell>
          <cell r="IS16" t="str">
            <v>ms_eqr_gcim_Decimal:ms_eqr_gcim_decimal</v>
          </cell>
          <cell r="IT16" t="b">
            <v>0</v>
          </cell>
          <cell r="IU16" t="b">
            <v>0</v>
          </cell>
        </row>
        <row r="19">
          <cell r="A19" t="str">
            <v>Soup Volume</v>
          </cell>
          <cell r="B19">
            <v>1995</v>
          </cell>
          <cell r="C19">
            <v>1996</v>
          </cell>
          <cell r="D19">
            <v>1997</v>
          </cell>
          <cell r="E19" t="str">
            <v>1Q98</v>
          </cell>
          <cell r="F19" t="str">
            <v>2Q98</v>
          </cell>
          <cell r="G19" t="str">
            <v>3Q98</v>
          </cell>
          <cell r="H19" t="str">
            <v>4Q98</v>
          </cell>
          <cell r="I19">
            <v>1998</v>
          </cell>
          <cell r="J19" t="str">
            <v>1Q99</v>
          </cell>
          <cell r="K19" t="str">
            <v>2Q99</v>
          </cell>
          <cell r="L19" t="str">
            <v>3Q99</v>
          </cell>
          <cell r="M19" t="str">
            <v>4Q99</v>
          </cell>
          <cell r="N19">
            <v>1999</v>
          </cell>
          <cell r="O19" t="str">
            <v>1Q00</v>
          </cell>
          <cell r="P19" t="str">
            <v>2Q00</v>
          </cell>
          <cell r="Q19" t="str">
            <v>3Q00</v>
          </cell>
          <cell r="R19" t="str">
            <v>4Q00</v>
          </cell>
          <cell r="S19">
            <v>2000</v>
          </cell>
          <cell r="T19" t="str">
            <v>1Q01</v>
          </cell>
          <cell r="U19" t="str">
            <v>2Q01</v>
          </cell>
          <cell r="V19" t="str">
            <v>3Q01</v>
          </cell>
          <cell r="W19" t="str">
            <v>4Q01</v>
          </cell>
          <cell r="X19">
            <v>2001</v>
          </cell>
          <cell r="Y19" t="str">
            <v>1Q02</v>
          </cell>
          <cell r="Z19" t="str">
            <v>2Q02</v>
          </cell>
          <cell r="AA19" t="str">
            <v>3Q02</v>
          </cell>
          <cell r="AB19" t="str">
            <v>4Q02</v>
          </cell>
          <cell r="AC19">
            <v>2002</v>
          </cell>
          <cell r="AD19" t="str">
            <v>1Q03</v>
          </cell>
          <cell r="AE19" t="str">
            <v>2Q03</v>
          </cell>
          <cell r="AF19" t="str">
            <v>3Q03</v>
          </cell>
          <cell r="AG19" t="str">
            <v>4Q03</v>
          </cell>
          <cell r="AH19">
            <v>2003</v>
          </cell>
          <cell r="AI19" t="str">
            <v>1Q04</v>
          </cell>
          <cell r="AJ19" t="str">
            <v>2Q04</v>
          </cell>
          <cell r="AK19" t="str">
            <v>3Q04</v>
          </cell>
          <cell r="AL19" t="str">
            <v>4Q04</v>
          </cell>
          <cell r="AM19">
            <v>2004</v>
          </cell>
          <cell r="AR19" t="str">
            <v>2005E</v>
          </cell>
          <cell r="AS19" t="str">
            <v>2006E</v>
          </cell>
          <cell r="AT19" t="str">
            <v>2007E</v>
          </cell>
          <cell r="AU19" t="str">
            <v>2008E</v>
          </cell>
        </row>
        <row r="20">
          <cell r="A20" t="str">
            <v>US Soup Format</v>
          </cell>
        </row>
        <row r="21">
          <cell r="A21" t="str">
            <v>Condensed</v>
          </cell>
          <cell r="S21">
            <v>-7.0000000000000007E-2</v>
          </cell>
          <cell r="X21">
            <v>-0.02</v>
          </cell>
          <cell r="Y21">
            <v>0.01</v>
          </cell>
          <cell r="Z21">
            <v>-0.13</v>
          </cell>
          <cell r="AA21">
            <v>-0.03</v>
          </cell>
          <cell r="AB21">
            <v>-0.02</v>
          </cell>
          <cell r="AC21">
            <v>-0.05</v>
          </cell>
          <cell r="AD21">
            <v>-0.14000000000000001</v>
          </cell>
          <cell r="AE21">
            <v>-0.03</v>
          </cell>
          <cell r="AF21">
            <v>0.02</v>
          </cell>
          <cell r="AG21">
            <v>-0.05</v>
          </cell>
          <cell r="AH21">
            <v>-0.06</v>
          </cell>
          <cell r="AI21">
            <v>-7.0000000000000007E-2</v>
          </cell>
          <cell r="AJ21">
            <v>-0.02</v>
          </cell>
          <cell r="AK21">
            <v>-0.06</v>
          </cell>
          <cell r="AL21">
            <v>0.02</v>
          </cell>
          <cell r="AM21">
            <v>0.06</v>
          </cell>
        </row>
        <row r="22">
          <cell r="A22" t="str">
            <v>RTS Soup</v>
          </cell>
          <cell r="X22">
            <v>0.2</v>
          </cell>
          <cell r="Y22">
            <v>0.17</v>
          </cell>
          <cell r="Z22">
            <v>0.01</v>
          </cell>
          <cell r="AA22">
            <v>0.09</v>
          </cell>
          <cell r="AB22">
            <v>0.12</v>
          </cell>
          <cell r="AC22">
            <v>0.09</v>
          </cell>
          <cell r="AD22">
            <v>-0.01</v>
          </cell>
          <cell r="AE22">
            <v>0.04</v>
          </cell>
          <cell r="AF22">
            <v>0.17</v>
          </cell>
          <cell r="AG22">
            <v>0.28999999999999998</v>
          </cell>
          <cell r="AH22">
            <v>0.08</v>
          </cell>
          <cell r="AI22">
            <v>0.06</v>
          </cell>
          <cell r="AJ22">
            <v>0.17</v>
          </cell>
          <cell r="AK22">
            <v>-0.09</v>
          </cell>
          <cell r="AL22">
            <v>0.04</v>
          </cell>
          <cell r="AM22">
            <v>-0.04</v>
          </cell>
        </row>
        <row r="23">
          <cell r="A23" t="str">
            <v>RTS Broth</v>
          </cell>
          <cell r="Z23">
            <v>0.03</v>
          </cell>
          <cell r="AA23">
            <v>-0.03</v>
          </cell>
          <cell r="AC23">
            <v>0.04</v>
          </cell>
          <cell r="AD23">
            <v>-0.06</v>
          </cell>
          <cell r="AE23">
            <v>0.2</v>
          </cell>
          <cell r="AF23">
            <v>0.38</v>
          </cell>
          <cell r="AG23">
            <v>0.22</v>
          </cell>
          <cell r="AH23">
            <v>0.13</v>
          </cell>
          <cell r="AI23">
            <v>0.14000000000000001</v>
          </cell>
          <cell r="AJ23">
            <v>0.01</v>
          </cell>
          <cell r="AK23">
            <v>-7.0000000000000007E-2</v>
          </cell>
          <cell r="AL23">
            <v>0</v>
          </cell>
          <cell r="AM23">
            <v>0.05</v>
          </cell>
        </row>
        <row r="25">
          <cell r="A25" t="str">
            <v>US Soup Use</v>
          </cell>
        </row>
        <row r="26">
          <cell r="A26" t="str">
            <v>Eating</v>
          </cell>
          <cell r="X26">
            <v>0.06</v>
          </cell>
          <cell r="Y26">
            <v>7.0000000000000007E-2</v>
          </cell>
          <cell r="Z26">
            <v>-0.08</v>
          </cell>
          <cell r="AA26">
            <v>0.03</v>
          </cell>
          <cell r="AC26">
            <v>-0.01</v>
          </cell>
          <cell r="AD26">
            <v>-0.1</v>
          </cell>
          <cell r="AE26">
            <v>0.01</v>
          </cell>
          <cell r="AF26">
            <v>0.11</v>
          </cell>
          <cell r="AG26">
            <v>-1.999999999999999E-2</v>
          </cell>
          <cell r="AH26">
            <v>0</v>
          </cell>
        </row>
        <row r="27">
          <cell r="A27" t="str">
            <v>Cooking</v>
          </cell>
          <cell r="X27">
            <v>0.03</v>
          </cell>
          <cell r="Y27">
            <v>0.04</v>
          </cell>
          <cell r="Z27">
            <v>-0.05</v>
          </cell>
          <cell r="AA27">
            <v>-0.03</v>
          </cell>
          <cell r="AC27">
            <v>0.01</v>
          </cell>
          <cell r="AD27">
            <v>-0.05</v>
          </cell>
          <cell r="AE27">
            <v>0.08</v>
          </cell>
          <cell r="AF27">
            <v>0.11</v>
          </cell>
          <cell r="AG27">
            <v>1.999999999999999E-2</v>
          </cell>
          <cell r="AH27">
            <v>0.04</v>
          </cell>
        </row>
        <row r="28">
          <cell r="A28" t="str">
            <v>Soup Consumption</v>
          </cell>
          <cell r="I28">
            <v>-1.0999999999999999E-2</v>
          </cell>
          <cell r="N28">
            <v>1.7999999999999999E-2</v>
          </cell>
          <cell r="O28">
            <v>-0.04</v>
          </cell>
          <cell r="P28">
            <v>-0.02</v>
          </cell>
          <cell r="Q28">
            <v>-0.09</v>
          </cell>
          <cell r="R28">
            <v>-1.9999999999999983E-2</v>
          </cell>
          <cell r="S28">
            <v>-4.4999999999999998E-2</v>
          </cell>
          <cell r="T28">
            <v>0.03</v>
          </cell>
          <cell r="U28">
            <v>0.05</v>
          </cell>
          <cell r="V28">
            <v>0.12</v>
          </cell>
          <cell r="W28">
            <v>0.04</v>
          </cell>
          <cell r="X28">
            <v>0.05</v>
          </cell>
        </row>
        <row r="30">
          <cell r="A30" t="str">
            <v>U.S. Wet Soup Shipments</v>
          </cell>
          <cell r="B30">
            <v>0.01</v>
          </cell>
          <cell r="C30">
            <v>0.03</v>
          </cell>
          <cell r="D30">
            <v>0.02</v>
          </cell>
          <cell r="E30">
            <v>0.02</v>
          </cell>
          <cell r="F30">
            <v>0.02</v>
          </cell>
          <cell r="G30">
            <v>-0.08</v>
          </cell>
          <cell r="I30">
            <v>0.01</v>
          </cell>
          <cell r="J30">
            <v>0.04</v>
          </cell>
          <cell r="K30">
            <v>-0.2</v>
          </cell>
          <cell r="L30">
            <v>-0.09</v>
          </cell>
          <cell r="N30">
            <v>-0.06</v>
          </cell>
          <cell r="O30">
            <v>-0.06</v>
          </cell>
          <cell r="P30">
            <v>0.12</v>
          </cell>
          <cell r="Q30">
            <v>-0.08</v>
          </cell>
          <cell r="R30">
            <v>-0.13</v>
          </cell>
          <cell r="S30">
            <v>-0.03</v>
          </cell>
          <cell r="T30">
            <v>0.04</v>
          </cell>
          <cell r="U30">
            <v>0.06</v>
          </cell>
          <cell r="V30">
            <v>7.0000000000000007E-2</v>
          </cell>
          <cell r="W30">
            <v>0.05</v>
          </cell>
          <cell r="X30">
            <v>0.06</v>
          </cell>
          <cell r="Y30">
            <v>0.06</v>
          </cell>
          <cell r="Z30">
            <v>-0.06</v>
          </cell>
          <cell r="AA30">
            <v>0.02</v>
          </cell>
          <cell r="AB30">
            <v>0.03</v>
          </cell>
          <cell r="AC30">
            <v>0.01</v>
          </cell>
          <cell r="AD30">
            <v>-0.08</v>
          </cell>
          <cell r="AE30">
            <v>0.04</v>
          </cell>
          <cell r="AF30">
            <v>0.1</v>
          </cell>
          <cell r="AG30">
            <v>7.0000000000000007E-2</v>
          </cell>
          <cell r="AH30">
            <v>0.02</v>
          </cell>
        </row>
        <row r="31">
          <cell r="A31" t="str">
            <v>International Wet Soup</v>
          </cell>
          <cell r="B31">
            <v>0.08</v>
          </cell>
          <cell r="C31">
            <v>7.0000000000000007E-2</v>
          </cell>
          <cell r="J31" t="str">
            <v>up</v>
          </cell>
          <cell r="K31" t="str">
            <v>up</v>
          </cell>
          <cell r="L31">
            <v>0.04</v>
          </cell>
          <cell r="N31">
            <v>0</v>
          </cell>
          <cell r="O31">
            <v>-0.02</v>
          </cell>
          <cell r="P31">
            <v>0.01</v>
          </cell>
          <cell r="Q31">
            <v>0.01</v>
          </cell>
          <cell r="S31">
            <v>-0.01</v>
          </cell>
          <cell r="T31">
            <v>0.04</v>
          </cell>
          <cell r="U31">
            <v>-0.01</v>
          </cell>
          <cell r="V31">
            <v>0.09</v>
          </cell>
          <cell r="W31">
            <v>0.04</v>
          </cell>
          <cell r="X31">
            <v>0.04</v>
          </cell>
          <cell r="Y31">
            <v>0.11</v>
          </cell>
          <cell r="Z31">
            <v>0.04</v>
          </cell>
          <cell r="AA31">
            <v>-0.03</v>
          </cell>
          <cell r="AB31">
            <v>0.01</v>
          </cell>
          <cell r="AC31">
            <v>0.02</v>
          </cell>
          <cell r="AD31">
            <v>-0.01</v>
          </cell>
          <cell r="AE31">
            <v>-0.01</v>
          </cell>
          <cell r="AF31">
            <v>0.08</v>
          </cell>
          <cell r="AG31">
            <v>0.03</v>
          </cell>
          <cell r="AH31">
            <v>0.02</v>
          </cell>
        </row>
        <row r="33">
          <cell r="A33" t="str">
            <v>Worldwide soup</v>
          </cell>
          <cell r="B33">
            <v>0.02</v>
          </cell>
          <cell r="C33">
            <v>0.02</v>
          </cell>
          <cell r="D33">
            <v>7.0000000000000007E-2</v>
          </cell>
          <cell r="E33">
            <v>0.06</v>
          </cell>
          <cell r="F33">
            <v>7.0000000000000007E-2</v>
          </cell>
          <cell r="G33">
            <v>-0.03</v>
          </cell>
          <cell r="H33">
            <v>0.08</v>
          </cell>
          <cell r="I33">
            <v>0.04</v>
          </cell>
          <cell r="J33">
            <v>7.0000000000000007E-2</v>
          </cell>
          <cell r="K33">
            <v>-0.15</v>
          </cell>
          <cell r="L33">
            <v>-0.06</v>
          </cell>
          <cell r="M33">
            <v>0</v>
          </cell>
          <cell r="N33">
            <v>-0.08</v>
          </cell>
          <cell r="O33">
            <v>-0.06</v>
          </cell>
          <cell r="P33">
            <v>0.09</v>
          </cell>
          <cell r="Q33">
            <v>-0.05</v>
          </cell>
          <cell r="R33">
            <v>-0.09</v>
          </cell>
          <cell r="S33">
            <v>-0.02</v>
          </cell>
          <cell r="T33">
            <v>0.04</v>
          </cell>
          <cell r="U33">
            <v>0.04</v>
          </cell>
          <cell r="V33">
            <v>0.08</v>
          </cell>
          <cell r="W33">
            <v>0.04</v>
          </cell>
          <cell r="X33">
            <v>0.05</v>
          </cell>
          <cell r="Y33">
            <v>7.0000000000000007E-2</v>
          </cell>
          <cell r="Z33">
            <v>-0.03</v>
          </cell>
          <cell r="AA33">
            <v>0</v>
          </cell>
          <cell r="AB33">
            <v>0.02</v>
          </cell>
          <cell r="AC33">
            <v>0.01</v>
          </cell>
          <cell r="AD33">
            <v>-0.06</v>
          </cell>
          <cell r="AE33">
            <v>0.02</v>
          </cell>
          <cell r="AF33">
            <v>0.09</v>
          </cell>
          <cell r="AG33">
            <v>0.06</v>
          </cell>
          <cell r="AH33">
            <v>0.02</v>
          </cell>
        </row>
        <row r="35">
          <cell r="A35" t="str">
            <v xml:space="preserve">Divisional </v>
          </cell>
        </row>
        <row r="36">
          <cell r="A36" t="str">
            <v>Sales Growth Components</v>
          </cell>
          <cell r="B36">
            <v>1995</v>
          </cell>
          <cell r="C36">
            <v>1996</v>
          </cell>
          <cell r="D36">
            <v>1997</v>
          </cell>
          <cell r="E36" t="str">
            <v>1Q98</v>
          </cell>
          <cell r="F36" t="str">
            <v>2Q98</v>
          </cell>
          <cell r="G36" t="str">
            <v>3Q98</v>
          </cell>
          <cell r="H36" t="str">
            <v>4Q98</v>
          </cell>
          <cell r="I36">
            <v>1998</v>
          </cell>
          <cell r="J36" t="str">
            <v>1Q99</v>
          </cell>
          <cell r="K36" t="str">
            <v>2Q99</v>
          </cell>
          <cell r="L36" t="str">
            <v>3Q99</v>
          </cell>
          <cell r="M36" t="str">
            <v>4Q99</v>
          </cell>
          <cell r="N36">
            <v>1999</v>
          </cell>
          <cell r="O36" t="str">
            <v>1Q00</v>
          </cell>
          <cell r="P36" t="str">
            <v>2Q00</v>
          </cell>
          <cell r="Q36" t="str">
            <v>3Q00</v>
          </cell>
          <cell r="R36" t="str">
            <v>4Q00</v>
          </cell>
          <cell r="Y36" t="str">
            <v>1Q02</v>
          </cell>
          <cell r="Z36" t="str">
            <v>2Q02</v>
          </cell>
          <cell r="AA36" t="str">
            <v>3Q02</v>
          </cell>
          <cell r="AB36" t="str">
            <v>4Q02</v>
          </cell>
          <cell r="AC36">
            <v>2002</v>
          </cell>
          <cell r="AD36" t="str">
            <v>1Q03</v>
          </cell>
          <cell r="AE36" t="str">
            <v>2Q03</v>
          </cell>
          <cell r="AF36" t="str">
            <v>3Q03</v>
          </cell>
          <cell r="AG36" t="str">
            <v>4Q03</v>
          </cell>
          <cell r="AH36">
            <v>2003</v>
          </cell>
          <cell r="AI36" t="str">
            <v>1Q04</v>
          </cell>
          <cell r="AJ36" t="str">
            <v>2Q04</v>
          </cell>
          <cell r="AK36" t="str">
            <v>3Q04</v>
          </cell>
          <cell r="AL36" t="str">
            <v>4Q04</v>
          </cell>
          <cell r="AM36">
            <v>2004</v>
          </cell>
          <cell r="AR36" t="str">
            <v>2005E</v>
          </cell>
          <cell r="AS36" t="str">
            <v>2006E</v>
          </cell>
          <cell r="AT36" t="str">
            <v>2007E</v>
          </cell>
          <cell r="AU36" t="str">
            <v>2008E</v>
          </cell>
        </row>
        <row r="37">
          <cell r="A37" t="str">
            <v>NA Soup and Away From Home</v>
          </cell>
        </row>
        <row r="38">
          <cell r="A38" t="str">
            <v>Volume</v>
          </cell>
          <cell r="X38">
            <v>0.06</v>
          </cell>
          <cell r="Y38">
            <v>0.06</v>
          </cell>
          <cell r="Z38">
            <v>-0.04</v>
          </cell>
          <cell r="AA38">
            <v>0.01</v>
          </cell>
          <cell r="AC38">
            <v>0.01</v>
          </cell>
          <cell r="AD38">
            <v>-0.06</v>
          </cell>
          <cell r="AE38">
            <v>0.02</v>
          </cell>
          <cell r="AF38">
            <v>0.08</v>
          </cell>
          <cell r="AG38">
            <v>0</v>
          </cell>
          <cell r="AH38">
            <v>0.01</v>
          </cell>
          <cell r="AI38">
            <v>0</v>
          </cell>
          <cell r="AJ38">
            <v>0.05</v>
          </cell>
          <cell r="AK38">
            <v>-0.04</v>
          </cell>
          <cell r="AL38">
            <v>0.03</v>
          </cell>
          <cell r="AM38">
            <v>0.01</v>
          </cell>
        </row>
        <row r="39">
          <cell r="A39" t="str">
            <v>Pricing</v>
          </cell>
          <cell r="Y39">
            <v>0.01</v>
          </cell>
          <cell r="Z39">
            <v>0</v>
          </cell>
          <cell r="AA39">
            <v>0</v>
          </cell>
          <cell r="AC39">
            <v>0</v>
          </cell>
          <cell r="AD39">
            <v>0</v>
          </cell>
          <cell r="AE39">
            <v>0</v>
          </cell>
          <cell r="AF39">
            <v>0.02</v>
          </cell>
          <cell r="AG39">
            <v>0.02</v>
          </cell>
          <cell r="AH39">
            <v>0.01</v>
          </cell>
          <cell r="AI39">
            <v>0.02</v>
          </cell>
          <cell r="AJ39">
            <v>0.03</v>
          </cell>
          <cell r="AK39">
            <v>0.03</v>
          </cell>
          <cell r="AL39">
            <v>3.9999999999999994E-2</v>
          </cell>
          <cell r="AM39">
            <v>0.03</v>
          </cell>
        </row>
        <row r="40">
          <cell r="A40" t="str">
            <v>Promotion</v>
          </cell>
          <cell r="X40">
            <v>-0.01</v>
          </cell>
          <cell r="Y40">
            <v>-0.03</v>
          </cell>
          <cell r="Z40">
            <v>-0.01</v>
          </cell>
          <cell r="AA40">
            <v>0</v>
          </cell>
          <cell r="AC40">
            <v>-0.01</v>
          </cell>
          <cell r="AD40">
            <v>-0.01</v>
          </cell>
          <cell r="AE40">
            <v>-0.01</v>
          </cell>
          <cell r="AF40">
            <v>0.05</v>
          </cell>
          <cell r="AG40">
            <v>9.9999999999999985E-3</v>
          </cell>
          <cell r="AH40">
            <v>0.01</v>
          </cell>
          <cell r="AI40">
            <v>0.04</v>
          </cell>
          <cell r="AJ40">
            <v>-0.02</v>
          </cell>
          <cell r="AK40">
            <v>-0.04</v>
          </cell>
          <cell r="AL40">
            <v>-0.02</v>
          </cell>
          <cell r="AM40">
            <v>-0.01</v>
          </cell>
        </row>
        <row r="41">
          <cell r="A41" t="str">
            <v>Net acquisitions</v>
          </cell>
          <cell r="Y41">
            <v>0</v>
          </cell>
          <cell r="Z41">
            <v>0</v>
          </cell>
          <cell r="AA41">
            <v>0</v>
          </cell>
          <cell r="AC41">
            <v>0</v>
          </cell>
          <cell r="AD41">
            <v>0</v>
          </cell>
          <cell r="AE41">
            <v>0</v>
          </cell>
          <cell r="AF41">
            <v>0</v>
          </cell>
          <cell r="AG41">
            <v>0</v>
          </cell>
          <cell r="AH41">
            <v>0</v>
          </cell>
          <cell r="AI41">
            <v>0</v>
          </cell>
          <cell r="AJ41">
            <v>0</v>
          </cell>
          <cell r="AK41">
            <v>0</v>
          </cell>
          <cell r="AL41">
            <v>0</v>
          </cell>
          <cell r="AM41">
            <v>0</v>
          </cell>
        </row>
        <row r="42">
          <cell r="A42" t="str">
            <v>FX</v>
          </cell>
          <cell r="X42">
            <v>-0.01</v>
          </cell>
          <cell r="Y42">
            <v>0</v>
          </cell>
          <cell r="Z42">
            <v>0</v>
          </cell>
          <cell r="AA42">
            <v>0</v>
          </cell>
          <cell r="AC42">
            <v>0</v>
          </cell>
          <cell r="AD42">
            <v>0</v>
          </cell>
          <cell r="AE42">
            <v>0</v>
          </cell>
          <cell r="AF42">
            <v>0.01</v>
          </cell>
          <cell r="AG42">
            <v>-0.01</v>
          </cell>
          <cell r="AH42">
            <v>0</v>
          </cell>
          <cell r="AI42">
            <v>0.02</v>
          </cell>
          <cell r="AJ42">
            <v>0.02</v>
          </cell>
          <cell r="AK42">
            <v>0.01</v>
          </cell>
          <cell r="AL42">
            <v>0.03</v>
          </cell>
          <cell r="AM42">
            <v>0.02</v>
          </cell>
        </row>
        <row r="43">
          <cell r="A43" t="str">
            <v>Days</v>
          </cell>
          <cell r="AL43">
            <v>-0.04</v>
          </cell>
          <cell r="AM43">
            <v>-0.01</v>
          </cell>
        </row>
        <row r="44">
          <cell r="A44" t="str">
            <v>Total Sales</v>
          </cell>
          <cell r="X44">
            <v>3.9999999999999994E-2</v>
          </cell>
          <cell r="Y44">
            <v>3.9999999999999994E-2</v>
          </cell>
          <cell r="Z44">
            <v>-0.05</v>
          </cell>
          <cell r="AA44">
            <v>0.01</v>
          </cell>
          <cell r="AC44">
            <v>0</v>
          </cell>
          <cell r="AD44">
            <v>-6.9999999999999993E-2</v>
          </cell>
          <cell r="AE44">
            <v>0.01</v>
          </cell>
          <cell r="AF44">
            <v>0.16000000000000003</v>
          </cell>
          <cell r="AG44">
            <v>1.9999999999999962E-2</v>
          </cell>
          <cell r="AH44">
            <v>0.03</v>
          </cell>
          <cell r="AI44">
            <v>0.08</v>
          </cell>
          <cell r="AJ44">
            <v>0.08</v>
          </cell>
          <cell r="AK44">
            <v>-0.04</v>
          </cell>
          <cell r="AL44">
            <v>4.0000000000000008E-2</v>
          </cell>
          <cell r="AM44">
            <v>0.04</v>
          </cell>
        </row>
        <row r="46">
          <cell r="A46" t="str">
            <v>NA Sauces and Beverages</v>
          </cell>
        </row>
        <row r="47">
          <cell r="A47" t="str">
            <v>Volume</v>
          </cell>
          <cell r="Y47">
            <v>7.0000000000000007E-2</v>
          </cell>
          <cell r="Z47">
            <v>0.04</v>
          </cell>
          <cell r="AA47">
            <v>-0.01</v>
          </cell>
          <cell r="AC47">
            <v>0.03</v>
          </cell>
          <cell r="AD47">
            <v>0</v>
          </cell>
          <cell r="AE47">
            <v>-0.02</v>
          </cell>
          <cell r="AF47">
            <v>0.06</v>
          </cell>
          <cell r="AG47">
            <v>0.12000000000000001</v>
          </cell>
          <cell r="AH47">
            <v>0.04</v>
          </cell>
          <cell r="AI47">
            <v>0.03</v>
          </cell>
          <cell r="AJ47">
            <v>0.05</v>
          </cell>
          <cell r="AK47">
            <v>0</v>
          </cell>
          <cell r="AL47">
            <v>-0.04</v>
          </cell>
          <cell r="AM47">
            <v>0.01</v>
          </cell>
        </row>
        <row r="48">
          <cell r="A48" t="str">
            <v>Pricing</v>
          </cell>
          <cell r="Y48">
            <v>0.01</v>
          </cell>
          <cell r="Z48">
            <v>0</v>
          </cell>
          <cell r="AA48">
            <v>0</v>
          </cell>
          <cell r="AC48">
            <v>0</v>
          </cell>
          <cell r="AD48">
            <v>0</v>
          </cell>
          <cell r="AE48">
            <v>0</v>
          </cell>
          <cell r="AF48">
            <v>0.01</v>
          </cell>
          <cell r="AG48">
            <v>0.03</v>
          </cell>
          <cell r="AH48">
            <v>0.01</v>
          </cell>
          <cell r="AI48">
            <v>0</v>
          </cell>
          <cell r="AJ48">
            <v>0</v>
          </cell>
          <cell r="AK48">
            <v>0</v>
          </cell>
          <cell r="AL48">
            <v>0</v>
          </cell>
          <cell r="AM48">
            <v>0</v>
          </cell>
        </row>
        <row r="49">
          <cell r="A49" t="str">
            <v>Promotion</v>
          </cell>
          <cell r="Y49">
            <v>-0.03</v>
          </cell>
          <cell r="Z49">
            <v>-0.02</v>
          </cell>
          <cell r="AA49">
            <v>0</v>
          </cell>
          <cell r="AC49">
            <v>-0.01</v>
          </cell>
          <cell r="AD49">
            <v>-0.02</v>
          </cell>
          <cell r="AE49">
            <v>0.02</v>
          </cell>
          <cell r="AF49">
            <v>0.01</v>
          </cell>
          <cell r="AG49">
            <v>0.03</v>
          </cell>
          <cell r="AH49">
            <v>0.01</v>
          </cell>
          <cell r="AI49">
            <v>0.04</v>
          </cell>
          <cell r="AJ49">
            <v>-0.03</v>
          </cell>
          <cell r="AK49">
            <v>0.02</v>
          </cell>
          <cell r="AL49">
            <v>9.9999999999999985E-3</v>
          </cell>
          <cell r="AM49">
            <v>0.01</v>
          </cell>
        </row>
        <row r="50">
          <cell r="A50" t="str">
            <v>Net acquisitions</v>
          </cell>
          <cell r="Y50">
            <v>0</v>
          </cell>
          <cell r="Z50">
            <v>0</v>
          </cell>
          <cell r="AA50">
            <v>0</v>
          </cell>
          <cell r="AC50">
            <v>0</v>
          </cell>
          <cell r="AD50">
            <v>0</v>
          </cell>
          <cell r="AE50">
            <v>0</v>
          </cell>
          <cell r="AF50">
            <v>0</v>
          </cell>
          <cell r="AG50">
            <v>0</v>
          </cell>
          <cell r="AH50">
            <v>0</v>
          </cell>
          <cell r="AI50">
            <v>0</v>
          </cell>
          <cell r="AJ50">
            <v>0</v>
          </cell>
          <cell r="AK50">
            <v>0</v>
          </cell>
          <cell r="AL50">
            <v>0</v>
          </cell>
          <cell r="AM50">
            <v>0</v>
          </cell>
        </row>
        <row r="51">
          <cell r="A51" t="str">
            <v>FX</v>
          </cell>
          <cell r="Y51">
            <v>0</v>
          </cell>
          <cell r="Z51">
            <v>0</v>
          </cell>
          <cell r="AA51">
            <v>0</v>
          </cell>
          <cell r="AC51">
            <v>0</v>
          </cell>
          <cell r="AD51">
            <v>0</v>
          </cell>
          <cell r="AE51">
            <v>0</v>
          </cell>
          <cell r="AF51">
            <v>-0.01</v>
          </cell>
          <cell r="AG51">
            <v>-0.03</v>
          </cell>
          <cell r="AH51">
            <v>-0.01</v>
          </cell>
          <cell r="AI51">
            <v>0</v>
          </cell>
          <cell r="AJ51">
            <v>0</v>
          </cell>
          <cell r="AK51">
            <v>0</v>
          </cell>
          <cell r="AL51">
            <v>0</v>
          </cell>
          <cell r="AM51">
            <v>0</v>
          </cell>
        </row>
        <row r="52">
          <cell r="A52" t="str">
            <v>Days</v>
          </cell>
          <cell r="AL52">
            <v>-0.08</v>
          </cell>
          <cell r="AM52">
            <v>-0.02</v>
          </cell>
        </row>
        <row r="53">
          <cell r="A53" t="str">
            <v>Total Sales</v>
          </cell>
          <cell r="X53">
            <v>0</v>
          </cell>
          <cell r="Y53">
            <v>0.05</v>
          </cell>
          <cell r="Z53">
            <v>0.02</v>
          </cell>
          <cell r="AA53">
            <v>-0.01</v>
          </cell>
          <cell r="AC53">
            <v>1.9999999999999997E-2</v>
          </cell>
          <cell r="AD53">
            <v>-0.02</v>
          </cell>
          <cell r="AE53">
            <v>0</v>
          </cell>
          <cell r="AF53">
            <v>6.9999999999999993E-2</v>
          </cell>
          <cell r="AG53">
            <v>0.15000000000000002</v>
          </cell>
          <cell r="AH53">
            <v>0.05</v>
          </cell>
          <cell r="AI53">
            <v>7.0000000000000007E-2</v>
          </cell>
          <cell r="AJ53">
            <v>2.0000000000000004E-2</v>
          </cell>
          <cell r="AK53">
            <v>0.02</v>
          </cell>
          <cell r="AL53">
            <v>-0.11000000000000001</v>
          </cell>
          <cell r="AM53">
            <v>0</v>
          </cell>
        </row>
        <row r="55">
          <cell r="A55" t="str">
            <v>Biscuit and Confectionery</v>
          </cell>
        </row>
        <row r="56">
          <cell r="A56" t="str">
            <v>Volume</v>
          </cell>
          <cell r="X56">
            <v>0.09</v>
          </cell>
          <cell r="Y56">
            <v>7.0000000000000007E-2</v>
          </cell>
          <cell r="Z56">
            <v>0.02</v>
          </cell>
          <cell r="AA56">
            <v>0.03</v>
          </cell>
          <cell r="AC56">
            <v>0.04</v>
          </cell>
          <cell r="AD56">
            <v>0.01</v>
          </cell>
          <cell r="AE56">
            <v>0.01</v>
          </cell>
          <cell r="AF56">
            <v>0.04</v>
          </cell>
          <cell r="AG56">
            <v>0.06</v>
          </cell>
          <cell r="AH56">
            <v>0.03</v>
          </cell>
          <cell r="AI56">
            <v>0.05</v>
          </cell>
          <cell r="AJ56">
            <v>0.02</v>
          </cell>
          <cell r="AK56">
            <v>0.02</v>
          </cell>
          <cell r="AL56">
            <v>6.9999999999999993E-2</v>
          </cell>
          <cell r="AM56">
            <v>0.04</v>
          </cell>
        </row>
        <row r="57">
          <cell r="A57" t="str">
            <v>Pricing</v>
          </cell>
          <cell r="X57">
            <v>0.01</v>
          </cell>
          <cell r="Y57">
            <v>0</v>
          </cell>
          <cell r="Z57">
            <v>0.01</v>
          </cell>
          <cell r="AA57">
            <v>0.02</v>
          </cell>
          <cell r="AC57">
            <v>0.01</v>
          </cell>
          <cell r="AD57">
            <v>0.02</v>
          </cell>
          <cell r="AE57">
            <v>0.03</v>
          </cell>
          <cell r="AF57">
            <v>0.04</v>
          </cell>
          <cell r="AG57">
            <v>7.0000000000000007E-2</v>
          </cell>
          <cell r="AH57">
            <v>0.04</v>
          </cell>
          <cell r="AI57">
            <v>0.03</v>
          </cell>
          <cell r="AJ57">
            <v>0.03</v>
          </cell>
          <cell r="AK57">
            <v>0.01</v>
          </cell>
          <cell r="AL57">
            <v>1.0000000000000009E-2</v>
          </cell>
          <cell r="AM57">
            <v>0.02</v>
          </cell>
        </row>
        <row r="58">
          <cell r="A58" t="str">
            <v>Promotion</v>
          </cell>
          <cell r="X58">
            <v>-0.01</v>
          </cell>
          <cell r="Y58">
            <v>-0.01</v>
          </cell>
          <cell r="Z58">
            <v>-0.01</v>
          </cell>
          <cell r="AA58">
            <v>0</v>
          </cell>
          <cell r="AC58">
            <v>0</v>
          </cell>
          <cell r="AD58">
            <v>-0.01</v>
          </cell>
          <cell r="AE58">
            <v>0</v>
          </cell>
          <cell r="AF58">
            <v>-0.02</v>
          </cell>
          <cell r="AG58">
            <v>-1.0000000000000002E-2</v>
          </cell>
          <cell r="AH58">
            <v>-0.01</v>
          </cell>
          <cell r="AI58">
            <v>0</v>
          </cell>
          <cell r="AJ58">
            <v>-0.01</v>
          </cell>
          <cell r="AK58">
            <v>-0.01</v>
          </cell>
          <cell r="AL58">
            <v>-0.02</v>
          </cell>
          <cell r="AM58">
            <v>-0.01</v>
          </cell>
        </row>
        <row r="59">
          <cell r="A59" t="str">
            <v>Net acquisitions</v>
          </cell>
          <cell r="Y59">
            <v>0</v>
          </cell>
          <cell r="Z59">
            <v>0</v>
          </cell>
          <cell r="AA59">
            <v>0</v>
          </cell>
          <cell r="AC59">
            <v>0</v>
          </cell>
          <cell r="AD59">
            <v>0.05</v>
          </cell>
          <cell r="AE59">
            <v>7.0000000000000007E-2</v>
          </cell>
          <cell r="AF59">
            <v>0.11</v>
          </cell>
          <cell r="AG59">
            <v>0.09</v>
          </cell>
          <cell r="AH59">
            <v>0.08</v>
          </cell>
          <cell r="AI59">
            <v>0.06</v>
          </cell>
          <cell r="AJ59">
            <v>0</v>
          </cell>
          <cell r="AK59">
            <v>0</v>
          </cell>
          <cell r="AL59">
            <v>2.0000000000000004E-2</v>
          </cell>
          <cell r="AM59">
            <v>0.02</v>
          </cell>
        </row>
        <row r="60">
          <cell r="A60" t="str">
            <v>FX</v>
          </cell>
          <cell r="X60">
            <v>-0.05</v>
          </cell>
          <cell r="Y60">
            <v>-0.03</v>
          </cell>
          <cell r="Z60">
            <v>-0.01</v>
          </cell>
          <cell r="AA60">
            <v>0</v>
          </cell>
          <cell r="AC60">
            <v>-0.01</v>
          </cell>
          <cell r="AD60">
            <v>0.01</v>
          </cell>
          <cell r="AE60">
            <v>0.03</v>
          </cell>
          <cell r="AF60">
            <v>0.05</v>
          </cell>
          <cell r="AG60">
            <v>7.0000000000000007E-2</v>
          </cell>
          <cell r="AH60">
            <v>0.04</v>
          </cell>
          <cell r="AI60">
            <v>0.06</v>
          </cell>
          <cell r="AJ60">
            <v>0.09</v>
          </cell>
          <cell r="AK60">
            <v>0.09</v>
          </cell>
          <cell r="AL60">
            <v>4.0000000000000036E-2</v>
          </cell>
          <cell r="AM60">
            <v>7.0000000000000007E-2</v>
          </cell>
        </row>
        <row r="61">
          <cell r="A61" t="str">
            <v>Days</v>
          </cell>
          <cell r="AL61">
            <v>-0.08</v>
          </cell>
          <cell r="AM61">
            <v>-0.02</v>
          </cell>
        </row>
        <row r="62">
          <cell r="A62" t="str">
            <v>Total Sales</v>
          </cell>
          <cell r="X62">
            <v>3.9999999999999994E-2</v>
          </cell>
          <cell r="Y62">
            <v>3.0000000000000006E-2</v>
          </cell>
          <cell r="Z62">
            <v>9.9999999999999967E-3</v>
          </cell>
          <cell r="AA62">
            <v>0.05</v>
          </cell>
          <cell r="AC62">
            <v>0.04</v>
          </cell>
          <cell r="AD62">
            <v>0.08</v>
          </cell>
          <cell r="AE62">
            <v>0.14000000000000001</v>
          </cell>
          <cell r="AF62">
            <v>0.21999999999999997</v>
          </cell>
          <cell r="AG62">
            <v>0.28000000000000003</v>
          </cell>
          <cell r="AH62">
            <v>0.18000000000000002</v>
          </cell>
          <cell r="AI62">
            <v>0.2</v>
          </cell>
          <cell r="AJ62">
            <v>0.13</v>
          </cell>
          <cell r="AK62">
            <v>0.10999999999999999</v>
          </cell>
          <cell r="AL62">
            <v>4.0000000000000036E-2</v>
          </cell>
          <cell r="AM62">
            <v>0.12000000000000001</v>
          </cell>
        </row>
        <row r="64">
          <cell r="A64" t="str">
            <v>International Soup and Sauces</v>
          </cell>
        </row>
        <row r="65">
          <cell r="A65" t="str">
            <v>Volume</v>
          </cell>
          <cell r="Y65">
            <v>0.03</v>
          </cell>
          <cell r="Z65">
            <v>-2.7E-2</v>
          </cell>
          <cell r="AA65">
            <v>-0.03</v>
          </cell>
          <cell r="AC65">
            <v>0</v>
          </cell>
          <cell r="AD65">
            <v>-0.03</v>
          </cell>
          <cell r="AE65">
            <v>0</v>
          </cell>
          <cell r="AF65">
            <v>0.03</v>
          </cell>
          <cell r="AG65">
            <v>0</v>
          </cell>
          <cell r="AH65">
            <v>0</v>
          </cell>
          <cell r="AI65">
            <v>0.08</v>
          </cell>
          <cell r="AJ65">
            <v>-0.02</v>
          </cell>
          <cell r="AK65">
            <v>-0.02</v>
          </cell>
          <cell r="AL65">
            <v>4.0000000000000008E-2</v>
          </cell>
          <cell r="AM65">
            <v>0.02</v>
          </cell>
        </row>
        <row r="66">
          <cell r="A66" t="str">
            <v>Pricing</v>
          </cell>
          <cell r="Y66">
            <v>0</v>
          </cell>
          <cell r="Z66">
            <v>0</v>
          </cell>
          <cell r="AA66">
            <v>0</v>
          </cell>
          <cell r="AC66">
            <v>0</v>
          </cell>
          <cell r="AD66">
            <v>0</v>
          </cell>
          <cell r="AE66">
            <v>0</v>
          </cell>
          <cell r="AF66">
            <v>-0.01</v>
          </cell>
          <cell r="AG66">
            <v>0.01</v>
          </cell>
          <cell r="AH66">
            <v>0</v>
          </cell>
          <cell r="AI66">
            <v>-0.01</v>
          </cell>
          <cell r="AJ66">
            <v>0.01</v>
          </cell>
          <cell r="AK66">
            <v>0</v>
          </cell>
          <cell r="AL66">
            <v>0</v>
          </cell>
          <cell r="AM66">
            <v>0</v>
          </cell>
        </row>
        <row r="67">
          <cell r="A67" t="str">
            <v>Promotion</v>
          </cell>
          <cell r="Y67">
            <v>0</v>
          </cell>
          <cell r="Z67">
            <v>0</v>
          </cell>
          <cell r="AA67">
            <v>0</v>
          </cell>
          <cell r="AC67">
            <v>0</v>
          </cell>
          <cell r="AD67">
            <v>0</v>
          </cell>
          <cell r="AE67">
            <v>0</v>
          </cell>
          <cell r="AF67">
            <v>0</v>
          </cell>
          <cell r="AG67">
            <v>0</v>
          </cell>
          <cell r="AH67">
            <v>0</v>
          </cell>
          <cell r="AI67">
            <v>-0.02</v>
          </cell>
          <cell r="AJ67">
            <v>0.01</v>
          </cell>
          <cell r="AK67">
            <v>0.01</v>
          </cell>
          <cell r="AL67">
            <v>0</v>
          </cell>
          <cell r="AM67">
            <v>0</v>
          </cell>
        </row>
        <row r="68">
          <cell r="A68" t="str">
            <v>Net acquisitions</v>
          </cell>
          <cell r="X68">
            <v>0.02</v>
          </cell>
          <cell r="Y68">
            <v>0.6</v>
          </cell>
          <cell r="Z68">
            <v>0.56000000000000005</v>
          </cell>
          <cell r="AA68">
            <v>0.64</v>
          </cell>
          <cell r="AC68">
            <v>0.44</v>
          </cell>
          <cell r="AD68">
            <v>0.01</v>
          </cell>
          <cell r="AE68">
            <v>0.03</v>
          </cell>
          <cell r="AF68">
            <v>0.03</v>
          </cell>
          <cell r="AG68">
            <v>9.999999999999995E-3</v>
          </cell>
          <cell r="AH68">
            <v>0.02</v>
          </cell>
          <cell r="AI68">
            <v>0.01</v>
          </cell>
          <cell r="AJ68">
            <v>-0.01</v>
          </cell>
          <cell r="AK68">
            <v>0</v>
          </cell>
          <cell r="AL68">
            <v>0</v>
          </cell>
          <cell r="AM68">
            <v>0</v>
          </cell>
        </row>
        <row r="69">
          <cell r="A69" t="str">
            <v>FX</v>
          </cell>
          <cell r="Y69">
            <v>0.01</v>
          </cell>
          <cell r="Z69">
            <v>-8.0000000000000002E-3</v>
          </cell>
          <cell r="AA69">
            <v>-0.02</v>
          </cell>
          <cell r="AC69">
            <v>0.02</v>
          </cell>
          <cell r="AD69">
            <v>7.0000000000000007E-2</v>
          </cell>
          <cell r="AE69">
            <v>0.13</v>
          </cell>
          <cell r="AF69">
            <v>0.17</v>
          </cell>
          <cell r="AG69">
            <v>0.10999999999999999</v>
          </cell>
          <cell r="AH69">
            <v>0.12</v>
          </cell>
          <cell r="AI69">
            <v>0.12</v>
          </cell>
          <cell r="AJ69">
            <v>0.15</v>
          </cell>
          <cell r="AK69">
            <v>0.14000000000000001</v>
          </cell>
          <cell r="AL69">
            <v>6.9999999999999951E-2</v>
          </cell>
          <cell r="AM69">
            <v>0.12</v>
          </cell>
        </row>
        <row r="70">
          <cell r="A70" t="str">
            <v>Days</v>
          </cell>
          <cell r="AL70">
            <v>-0.08</v>
          </cell>
          <cell r="AM70">
            <v>-0.02</v>
          </cell>
        </row>
        <row r="71">
          <cell r="A71" t="str">
            <v>Total Sales</v>
          </cell>
          <cell r="X71">
            <v>0.02</v>
          </cell>
          <cell r="Y71">
            <v>0.64</v>
          </cell>
          <cell r="Z71">
            <v>0.52500000000000002</v>
          </cell>
          <cell r="AA71">
            <v>0.59</v>
          </cell>
          <cell r="AC71">
            <v>0.46</v>
          </cell>
          <cell r="AD71">
            <v>5.000000000000001E-2</v>
          </cell>
          <cell r="AE71">
            <v>0.16</v>
          </cell>
          <cell r="AF71">
            <v>0.22</v>
          </cell>
          <cell r="AG71">
            <v>0.12999999999999998</v>
          </cell>
          <cell r="AH71">
            <v>0.13999999999999999</v>
          </cell>
          <cell r="AI71">
            <v>0.18</v>
          </cell>
          <cell r="AJ71">
            <v>0.13999999999999999</v>
          </cell>
          <cell r="AK71">
            <v>0.13</v>
          </cell>
          <cell r="AL71">
            <v>2.9999999999999971E-2</v>
          </cell>
          <cell r="AM71">
            <v>0.11999999999999998</v>
          </cell>
        </row>
        <row r="73">
          <cell r="A73" t="str">
            <v>Organic sales</v>
          </cell>
          <cell r="C73">
            <v>0.04</v>
          </cell>
          <cell r="D73">
            <v>5.6000000000000001E-2</v>
          </cell>
          <cell r="E73">
            <v>7.0000000000000007E-2</v>
          </cell>
          <cell r="F73">
            <v>0.05</v>
          </cell>
          <cell r="G73">
            <v>0.06</v>
          </cell>
          <cell r="H73">
            <v>0.04</v>
          </cell>
          <cell r="I73">
            <v>0.06</v>
          </cell>
          <cell r="J73">
            <v>7.0000000000000007E-2</v>
          </cell>
          <cell r="K73">
            <v>-5.8999999999999997E-2</v>
          </cell>
          <cell r="L73">
            <v>0.01</v>
          </cell>
          <cell r="M73">
            <v>0.04</v>
          </cell>
          <cell r="N73">
            <v>0.02</v>
          </cell>
          <cell r="O73">
            <v>0</v>
          </cell>
          <cell r="P73">
            <v>7.0000000000000007E-2</v>
          </cell>
          <cell r="Q73">
            <v>-0.04</v>
          </cell>
          <cell r="R73">
            <v>-0.05</v>
          </cell>
          <cell r="S73">
            <v>0</v>
          </cell>
          <cell r="T73">
            <v>0.04</v>
          </cell>
          <cell r="U73">
            <v>0.05</v>
          </cell>
          <cell r="V73">
            <v>0.05</v>
          </cell>
          <cell r="W73">
            <v>0.05</v>
          </cell>
          <cell r="X73">
            <v>0.05</v>
          </cell>
          <cell r="Y73">
            <v>6.9999999999999993E-2</v>
          </cell>
          <cell r="Z73">
            <v>0.01</v>
          </cell>
          <cell r="AA73">
            <v>0.01</v>
          </cell>
          <cell r="AB73">
            <v>0.05</v>
          </cell>
          <cell r="AC73">
            <v>0.03</v>
          </cell>
          <cell r="AD73">
            <v>-1.9999999999999997E-2</v>
          </cell>
          <cell r="AE73">
            <v>0.03</v>
          </cell>
          <cell r="AF73">
            <v>0.08</v>
          </cell>
          <cell r="AG73">
            <v>0.08</v>
          </cell>
          <cell r="AH73">
            <v>0.04</v>
          </cell>
          <cell r="AI73">
            <v>0.04</v>
          </cell>
          <cell r="AJ73">
            <v>0.05</v>
          </cell>
          <cell r="AK73">
            <v>0</v>
          </cell>
          <cell r="AL73">
            <v>0.05</v>
          </cell>
          <cell r="AM73">
            <v>0.04</v>
          </cell>
          <cell r="AR73">
            <v>0.03</v>
          </cell>
          <cell r="AS73">
            <v>0.02</v>
          </cell>
          <cell r="AT73">
            <v>0.02</v>
          </cell>
          <cell r="AU73">
            <v>0.02</v>
          </cell>
        </row>
        <row r="74">
          <cell r="BA74" t="str">
            <v>Nine</v>
          </cell>
          <cell r="BB74">
            <v>-0.06</v>
          </cell>
        </row>
        <row r="75">
          <cell r="AJ75" t="str">
            <v xml:space="preserve">Worlwide Soup Volume </v>
          </cell>
          <cell r="AX75" t="str">
            <v>1Q02</v>
          </cell>
          <cell r="AY75" t="str">
            <v>2Q02</v>
          </cell>
          <cell r="AZ75" t="str">
            <v>3Q02</v>
          </cell>
          <cell r="BA75" t="str">
            <v>Months</v>
          </cell>
          <cell r="BB75">
            <v>0.09</v>
          </cell>
        </row>
        <row r="76">
          <cell r="AW76" t="str">
            <v>Soup Format</v>
          </cell>
          <cell r="BB76">
            <v>0.03</v>
          </cell>
        </row>
        <row r="77">
          <cell r="AI77">
            <v>1995</v>
          </cell>
          <cell r="AJ77">
            <v>0.02</v>
          </cell>
          <cell r="AM77" t="str">
            <v>2000E</v>
          </cell>
          <cell r="AR77" t="str">
            <v>2000E</v>
          </cell>
          <cell r="AS77" t="str">
            <v>2000E</v>
          </cell>
          <cell r="AT77" t="str">
            <v>2000E</v>
          </cell>
          <cell r="AU77" t="str">
            <v>2000E</v>
          </cell>
          <cell r="AW77" t="str">
            <v>Condensed</v>
          </cell>
          <cell r="AX77">
            <v>0.01</v>
          </cell>
          <cell r="AY77">
            <v>-0.13</v>
          </cell>
          <cell r="AZ77">
            <v>-0.03</v>
          </cell>
          <cell r="BA77">
            <v>-0.06</v>
          </cell>
        </row>
        <row r="78">
          <cell r="AI78">
            <v>1996</v>
          </cell>
          <cell r="AJ78">
            <v>0.02</v>
          </cell>
          <cell r="AM78" t="str">
            <v>4Q00E</v>
          </cell>
          <cell r="AR78" t="str">
            <v>4Q00E</v>
          </cell>
          <cell r="AS78" t="str">
            <v>4Q00E</v>
          </cell>
          <cell r="AT78" t="str">
            <v>4Q00E</v>
          </cell>
          <cell r="AU78" t="str">
            <v>4Q00E</v>
          </cell>
          <cell r="AW78" t="str">
            <v>RTS Soup</v>
          </cell>
          <cell r="AX78">
            <v>0.17</v>
          </cell>
          <cell r="AY78">
            <v>0.01</v>
          </cell>
          <cell r="AZ78">
            <v>0.09</v>
          </cell>
          <cell r="BA78">
            <v>0.09</v>
          </cell>
        </row>
        <row r="79">
          <cell r="AI79">
            <v>1997</v>
          </cell>
          <cell r="AJ79">
            <v>7.0000000000000007E-2</v>
          </cell>
          <cell r="AM79" t="str">
            <v>3Q00</v>
          </cell>
          <cell r="AR79" t="str">
            <v>3Q00</v>
          </cell>
          <cell r="AS79" t="str">
            <v>3Q00</v>
          </cell>
          <cell r="AT79" t="str">
            <v>3Q00</v>
          </cell>
          <cell r="AU79" t="str">
            <v>3Q00</v>
          </cell>
          <cell r="AW79" t="str">
            <v>Soup Use</v>
          </cell>
          <cell r="BB79">
            <v>0</v>
          </cell>
        </row>
        <row r="80">
          <cell r="AI80" t="str">
            <v>1Q98</v>
          </cell>
          <cell r="AJ80">
            <v>0.06</v>
          </cell>
          <cell r="AM80" t="str">
            <v>2Q00</v>
          </cell>
          <cell r="AR80" t="str">
            <v>2Q00</v>
          </cell>
          <cell r="AS80" t="str">
            <v>2Q00</v>
          </cell>
          <cell r="AT80" t="str">
            <v>2Q00</v>
          </cell>
          <cell r="AU80" t="str">
            <v>2Q00</v>
          </cell>
          <cell r="AW80" t="str">
            <v>Eating</v>
          </cell>
          <cell r="AX80">
            <v>7.0000000000000007E-2</v>
          </cell>
          <cell r="AY80">
            <v>-0.08</v>
          </cell>
          <cell r="AZ80">
            <v>0.03</v>
          </cell>
          <cell r="BA80">
            <v>0</v>
          </cell>
          <cell r="BB80">
            <v>-0.01</v>
          </cell>
        </row>
        <row r="81">
          <cell r="AI81" t="str">
            <v>2Q98</v>
          </cell>
          <cell r="AJ81">
            <v>7.0000000000000007E-2</v>
          </cell>
          <cell r="AM81" t="str">
            <v>1Q00</v>
          </cell>
          <cell r="AR81" t="str">
            <v>1Q00</v>
          </cell>
          <cell r="AS81" t="str">
            <v>1Q00</v>
          </cell>
          <cell r="AT81" t="str">
            <v>1Q00</v>
          </cell>
          <cell r="AU81" t="str">
            <v>1Q00</v>
          </cell>
          <cell r="AW81" t="str">
            <v>Cooking</v>
          </cell>
          <cell r="AX81">
            <v>0.04</v>
          </cell>
          <cell r="AY81">
            <v>-0.05</v>
          </cell>
          <cell r="AZ81">
            <v>-0.03</v>
          </cell>
          <cell r="BA81">
            <v>-0.01</v>
          </cell>
        </row>
        <row r="82">
          <cell r="AI82" t="str">
            <v>3Q98</v>
          </cell>
          <cell r="AJ82">
            <v>-0.03</v>
          </cell>
          <cell r="AW82" t="str">
            <v>Total US Wet Soup</v>
          </cell>
          <cell r="AX82">
            <v>0.06</v>
          </cell>
          <cell r="AY82">
            <v>-0.06</v>
          </cell>
          <cell r="AZ82">
            <v>0.02</v>
          </cell>
          <cell r="BA82">
            <v>0</v>
          </cell>
          <cell r="BB82">
            <v>0</v>
          </cell>
        </row>
        <row r="83">
          <cell r="AI83" t="str">
            <v>4Q98</v>
          </cell>
          <cell r="AJ83">
            <v>0.08</v>
          </cell>
          <cell r="AM83" t="str">
            <v>1999</v>
          </cell>
          <cell r="AR83" t="str">
            <v>1999</v>
          </cell>
          <cell r="AS83" t="str">
            <v>1999</v>
          </cell>
          <cell r="AT83" t="str">
            <v>1999</v>
          </cell>
          <cell r="AU83" t="str">
            <v>1999</v>
          </cell>
          <cell r="BB83">
            <v>0.02</v>
          </cell>
        </row>
        <row r="84">
          <cell r="AI84">
            <v>1998</v>
          </cell>
          <cell r="AJ84">
            <v>0.04</v>
          </cell>
          <cell r="AM84" t="str">
            <v xml:space="preserve">4Q99 </v>
          </cell>
          <cell r="AR84" t="str">
            <v xml:space="preserve">4Q99 </v>
          </cell>
          <cell r="AS84" t="str">
            <v xml:space="preserve">4Q99 </v>
          </cell>
          <cell r="AT84" t="str">
            <v xml:space="preserve">4Q99 </v>
          </cell>
          <cell r="AU84" t="str">
            <v xml:space="preserve">4Q99 </v>
          </cell>
        </row>
        <row r="85">
          <cell r="AI85" t="str">
            <v>1Q99</v>
          </cell>
          <cell r="AJ85">
            <v>7.0000000000000007E-2</v>
          </cell>
          <cell r="AM85" t="str">
            <v>3Q99</v>
          </cell>
          <cell r="AR85" t="str">
            <v>3Q99</v>
          </cell>
          <cell r="AS85" t="str">
            <v>3Q99</v>
          </cell>
          <cell r="AT85" t="str">
            <v>3Q99</v>
          </cell>
          <cell r="AU85" t="str">
            <v>3Q99</v>
          </cell>
          <cell r="BB85">
            <v>0.01</v>
          </cell>
        </row>
        <row r="86">
          <cell r="AI86" t="str">
            <v>2Q99</v>
          </cell>
          <cell r="AJ86">
            <v>-0.15</v>
          </cell>
          <cell r="AM86" t="str">
            <v>2Q99</v>
          </cell>
          <cell r="AR86" t="str">
            <v>2Q99</v>
          </cell>
          <cell r="AS86" t="str">
            <v>2Q99</v>
          </cell>
          <cell r="AT86" t="str">
            <v>2Q99</v>
          </cell>
          <cell r="AU86" t="str">
            <v>2Q99</v>
          </cell>
        </row>
        <row r="87">
          <cell r="AI87" t="str">
            <v>3Q99</v>
          </cell>
          <cell r="AJ87">
            <v>-0.06</v>
          </cell>
          <cell r="AM87" t="str">
            <v>1Q99</v>
          </cell>
          <cell r="AR87" t="str">
            <v>1Q99</v>
          </cell>
          <cell r="AS87" t="str">
            <v>1Q99</v>
          </cell>
          <cell r="AT87" t="str">
            <v>1Q99</v>
          </cell>
          <cell r="AU87" t="str">
            <v>1Q99</v>
          </cell>
        </row>
        <row r="88">
          <cell r="AI88" t="str">
            <v>4Q99</v>
          </cell>
          <cell r="AJ88">
            <v>0</v>
          </cell>
        </row>
        <row r="89">
          <cell r="AI89">
            <v>1999</v>
          </cell>
          <cell r="AJ89">
            <v>-0.04</v>
          </cell>
          <cell r="AM89" t="str">
            <v>1998</v>
          </cell>
          <cell r="AR89" t="str">
            <v>1998</v>
          </cell>
          <cell r="AS89" t="str">
            <v>1998</v>
          </cell>
          <cell r="AT89" t="str">
            <v>1998</v>
          </cell>
          <cell r="AU89" t="str">
            <v>1998</v>
          </cell>
        </row>
        <row r="90">
          <cell r="AI90" t="str">
            <v>1Q00</v>
          </cell>
          <cell r="AJ90">
            <v>-0.06</v>
          </cell>
          <cell r="AM90" t="str">
            <v>4Q98</v>
          </cell>
          <cell r="AR90" t="str">
            <v>4Q98</v>
          </cell>
          <cell r="AS90" t="str">
            <v>4Q98</v>
          </cell>
          <cell r="AT90" t="str">
            <v>4Q98</v>
          </cell>
          <cell r="AU90" t="str">
            <v>4Q98</v>
          </cell>
        </row>
        <row r="91">
          <cell r="AI91" t="str">
            <v>2Q00</v>
          </cell>
          <cell r="AJ91">
            <v>0.09</v>
          </cell>
          <cell r="AM91" t="str">
            <v>3Q98</v>
          </cell>
          <cell r="AR91" t="str">
            <v>3Q98</v>
          </cell>
          <cell r="AS91" t="str">
            <v>3Q98</v>
          </cell>
          <cell r="AT91" t="str">
            <v>3Q98</v>
          </cell>
          <cell r="AU91" t="str">
            <v>3Q98</v>
          </cell>
        </row>
        <row r="92">
          <cell r="AI92" t="str">
            <v>3Q00</v>
          </cell>
          <cell r="AJ92">
            <v>-0.05</v>
          </cell>
          <cell r="AM92" t="str">
            <v>2Q98</v>
          </cell>
          <cell r="AR92" t="str">
            <v>2Q98</v>
          </cell>
          <cell r="AS92" t="str">
            <v>2Q98</v>
          </cell>
          <cell r="AT92" t="str">
            <v>2Q98</v>
          </cell>
          <cell r="AU92" t="str">
            <v>2Q98</v>
          </cell>
        </row>
        <row r="93">
          <cell r="AM93" t="str">
            <v>1Q98</v>
          </cell>
          <cell r="AR93" t="str">
            <v>1Q98</v>
          </cell>
          <cell r="AS93" t="str">
            <v>1Q98</v>
          </cell>
          <cell r="AT93" t="str">
            <v>1Q98</v>
          </cell>
          <cell r="AU93" t="str">
            <v>1Q98</v>
          </cell>
        </row>
        <row r="95">
          <cell r="AM95" t="str">
            <v>1997</v>
          </cell>
          <cell r="AR95" t="str">
            <v>1997</v>
          </cell>
          <cell r="AS95" t="str">
            <v>1997</v>
          </cell>
          <cell r="AT95" t="str">
            <v>1997</v>
          </cell>
          <cell r="AU95" t="str">
            <v>1997</v>
          </cell>
        </row>
        <row r="96">
          <cell r="AM96" t="str">
            <v>1996</v>
          </cell>
          <cell r="AR96" t="str">
            <v>1996</v>
          </cell>
          <cell r="AS96" t="str">
            <v>1996</v>
          </cell>
          <cell r="AT96" t="str">
            <v>1996</v>
          </cell>
          <cell r="AU96" t="str">
            <v>1996</v>
          </cell>
        </row>
        <row r="97">
          <cell r="AM97">
            <v>1995</v>
          </cell>
          <cell r="AR97">
            <v>1995</v>
          </cell>
          <cell r="AS97">
            <v>1995</v>
          </cell>
          <cell r="AT97">
            <v>1995</v>
          </cell>
          <cell r="AU97">
            <v>1995</v>
          </cell>
        </row>
        <row r="148">
          <cell r="G148">
            <v>1995</v>
          </cell>
          <cell r="H148">
            <v>0.01</v>
          </cell>
        </row>
        <row r="149">
          <cell r="G149" t="str">
            <v>1996</v>
          </cell>
          <cell r="H149">
            <v>0.03</v>
          </cell>
        </row>
        <row r="150">
          <cell r="G150" t="str">
            <v>1997</v>
          </cell>
          <cell r="H150">
            <v>0.02</v>
          </cell>
        </row>
        <row r="151">
          <cell r="G151" t="str">
            <v>1998</v>
          </cell>
          <cell r="H151">
            <v>0.01</v>
          </cell>
        </row>
        <row r="152">
          <cell r="G152" t="str">
            <v>1999</v>
          </cell>
          <cell r="H152">
            <v>-0.06</v>
          </cell>
        </row>
      </sheetData>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 sheetId="58" refreshError="1"/>
      <sheetData sheetId="59"/>
      <sheetData sheetId="60"/>
      <sheetData sheetId="61" refreshError="1"/>
      <sheetData sheetId="62" refreshError="1"/>
      <sheetData sheetId="63"/>
      <sheetData sheetId="64"/>
      <sheetData sheetId="65" refreshError="1"/>
      <sheetData sheetId="66" refreshError="1"/>
      <sheetData sheetId="67" refreshError="1"/>
      <sheetData sheetId="68" refreshError="1"/>
      <sheetData sheetId="69"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s"/>
      <sheetName val="mwareValPrintout"/>
      <sheetName val="mwareTaxoPres"/>
      <sheetName val="DCF - RI"/>
      <sheetName val="MW Valuation"/>
      <sheetName val="MWA RR"/>
      <sheetName val="MW-Cache"/>
      <sheetName val="Domestic Cigarette"/>
      <sheetName val="__FDSCACHE__"/>
      <sheetName val="Variance"/>
      <sheetName val="Per Unit"/>
      <sheetName val="RAI_Quarterly"/>
      <sheetName val="RAI_IS"/>
      <sheetName val="RAI_BS"/>
      <sheetName val="RAI_CF"/>
      <sheetName val="Model_Template"/>
      <sheetName val="Debt"/>
      <sheetName val="Conwood acq"/>
      <sheetName val="Sheet1"/>
      <sheetName val="BaseCase"/>
      <sheetName val="Volume"/>
      <sheetName val="2Q05"/>
      <sheetName val="Q_Income"/>
      <sheetName val="Quarterly"/>
      <sheetName val="Sheet5"/>
      <sheetName val="Metrics"/>
      <sheetName val="RAI_OPEB"/>
      <sheetName val="RAI_Pension"/>
      <sheetName val="&lt;-------- RAI ||| RJR+B&amp;W ----&gt;"/>
      <sheetName val="B&amp;W_IS"/>
      <sheetName val="B&amp;W_BS"/>
      <sheetName val="B&amp;W_CF"/>
      <sheetName val="RAI_IS_PRO"/>
      <sheetName val="RAI_BS_PRO"/>
      <sheetName val="RAI_CF_PRO"/>
      <sheetName val="Balance"/>
      <sheetName val="BAT"/>
      <sheetName val="FY_Income"/>
      <sheetName val="mwareDates"/>
      <sheetName val="mwareSettings"/>
      <sheetName val="C1500 (2)"/>
      <sheetName val="C1500 (3)"/>
      <sheetName val="C2500"/>
      <sheetName val="Quarterly Leverage"/>
      <sheetName val="C3400 (2)"/>
      <sheetName val="Pricing Impact"/>
      <sheetName val="C1071"/>
      <sheetName val="Sheet6"/>
      <sheetName val="Russia - PM Premium Vol Growth"/>
      <sheetName val="L2005"/>
      <sheetName val="Pricing"/>
      <sheetName val="EU Price Gaps"/>
      <sheetName val="Quarterly Repo"/>
      <sheetName val="Organic Volume-OCI Growth"/>
      <sheetName val="Sheet2"/>
      <sheetName val="Key Market share summary"/>
      <sheetName val="L2005 (3)"/>
      <sheetName val="Regional Mix by Company"/>
      <sheetName val="Org Growth"/>
      <sheetName val="Volume Decline Market Breakdown"/>
      <sheetName val="Organic Volume-OCI Growth (2)"/>
      <sheetName val="C1001"/>
      <sheetName val="OCI Split By Region"/>
      <sheetName val="Cash Returns Chart"/>
      <sheetName val="Annual Repo"/>
      <sheetName val="Share Growth Contribution"/>
      <sheetName val="FX EBIT Impact"/>
      <sheetName val="C3400 (3)"/>
      <sheetName val="Initiation charts"/>
      <sheetName val="PM Overall SOM"/>
      <sheetName val="Leverage Calcs_Reported"/>
      <sheetName val="FX Impact EPS v2"/>
      <sheetName val="Competitor Leverage"/>
      <sheetName val="Top 10 Markets"/>
      <sheetName val="L2005 (2)"/>
      <sheetName val="Russia - PMI Premium &amp; Overall"/>
      <sheetName val="Summary"/>
      <sheetName val="Organic EBIT data"/>
      <sheetName val="Reg'l Share Changes - Chart"/>
      <sheetName val="Div Increase"/>
      <sheetName val="PMI_Germany"/>
      <sheetName val="FCF-Dividends"/>
      <sheetName val="1H10 Volume Decline Chart"/>
      <sheetName val="Illicit Trade"/>
      <sheetName val="Excise increases"/>
      <sheetName val="FCF YoY"/>
      <sheetName val="Share Graph"/>
    </sheetNames>
    <sheetDataSet>
      <sheetData sheetId="0" refreshError="1"/>
      <sheetData sheetId="1"/>
      <sheetData sheetId="2"/>
      <sheetData sheetId="3"/>
      <sheetData sheetId="4"/>
      <sheetData sheetId="5" refreshError="1"/>
      <sheetData sheetId="6"/>
      <sheetData sheetId="7" refreshError="1"/>
      <sheetData sheetId="8"/>
      <sheetData sheetId="9"/>
      <sheetData sheetId="10" refreshError="1"/>
      <sheetData sheetId="11"/>
      <sheetData sheetId="12" refreshError="1"/>
      <sheetData sheetId="13" refreshError="1"/>
      <sheetData sheetId="14" refreshError="1"/>
      <sheetData sheetId="15"/>
      <sheetData sheetId="16"/>
      <sheetData sheetId="17" refreshError="1"/>
      <sheetData sheetId="18" refreshError="1"/>
      <sheetData sheetId="19"/>
      <sheetData sheetId="20"/>
      <sheetData sheetId="21"/>
      <sheetData sheetId="22"/>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puts"/>
      <sheetName val="Summary"/>
      <sheetName val="Floater Demand"/>
      <sheetName val="Interims"/>
      <sheetName val="Financial Statements"/>
      <sheetName val="FX"/>
      <sheetName val="Good 12-00 (2)"/>
      <sheetName val="Good 11-36"/>
      <sheetName val="Good 11-50"/>
      <sheetName val="Sheet3 (5)"/>
      <sheetName val="CPB"/>
      <sheetName val="Total_Food_Promo"/>
      <sheetName val="CPB_2yr"/>
      <sheetName val="Quero_Sales"/>
      <sheetName val="L2005"/>
      <sheetName val="C2000"/>
      <sheetName val="B11_BarSingle_AverageLine"/>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Basket_June09_2010"/>
      <sheetName val="C1070"/>
      <sheetName val="Basket_Jan09"/>
      <sheetName val="Basket_2010"/>
      <sheetName val="Inflation v Price 6mth lag"/>
      <sheetName val="Basket_2011"/>
      <sheetName val="Basket_June09"/>
      <sheetName val="Basket_June09_Futures"/>
      <sheetName val="Commodities Exposure"/>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2000"/>
      <sheetName val="2000 Sector PE1"/>
      <sheetName val="2000 Sector PE2"/>
      <sheetName val="2008 Sector PE1"/>
      <sheetName val="2008 Sector PE2"/>
      <sheetName val="YTD by Stock"/>
      <sheetName val="Rel PE"/>
      <sheetName val="PE"/>
      <sheetName val="Dividend Increases"/>
      <sheetName val="Non-Controllable Costs Per Pack"/>
      <sheetName val="Costs v. Volume"/>
      <sheetName val="Div Yield Spread"/>
      <sheetName val="Total costs"/>
      <sheetName val="Div Quadrants"/>
      <sheetName val="1995-2008 Annual Returns"/>
      <sheetName val="__FDSCACHE__"/>
      <sheetName val="Dividend Yields Over 10YR"/>
      <sheetName val="Valuation Summary"/>
      <sheetName val="Fwd PE vs. Staples 2005"/>
      <sheetName val="L1000"/>
      <sheetName val="L1000 (2)"/>
      <sheetName val="Fwd PE vs. Staples 2007"/>
      <sheetName val="WITP Summary"/>
      <sheetName val="Divs as % of CF"/>
      <sheetName val="Front Page"/>
      <sheetName val="Per Pack"/>
      <sheetName val="SET"/>
      <sheetName val="Retail gaps"/>
      <sheetName val="Call-out"/>
      <sheetName val="EPS Changes"/>
      <sheetName val="US Tobacco EV-EBITDA post-spin"/>
      <sheetName val="Total return chart 4"/>
      <sheetName val="Total return chart 2"/>
      <sheetName val="US Tobacco EV-EBITDA post-s (5)"/>
      <sheetName val="Industry Relative PE2"/>
      <sheetName val="US Tobacco PE Rel to SP500"/>
      <sheetName val="EV-EBITDA US Only"/>
      <sheetName val="NTM PE US Only"/>
      <sheetName val="US Tobacco PE"/>
      <sheetName val="PM v US Tobacco 2"/>
      <sheetName val="US Tobacco PE Rel to SP Staples"/>
      <sheetName val="LO EV-EBITDA vs RAI"/>
      <sheetName val="Total return chart 1"/>
      <sheetName val="US Tobacco EV-EBITDA post-s (2)"/>
      <sheetName val="RAI NTM PE"/>
      <sheetName val="US Tobacco EV-EBITDA post-s (3)"/>
      <sheetName val="EV-EBITDA Chart"/>
      <sheetName val="PM v Staples1"/>
      <sheetName val="NTM PE US Only 2005 (4)"/>
      <sheetName val="NTM PE US Only 2005 (3)"/>
      <sheetName val="Total return chart 3"/>
      <sheetName val="Industry PE"/>
      <sheetName val="US Tobacco EV-EBITDA post-s (6)"/>
      <sheetName val="RAI_BS"/>
      <sheetName val="MWA RR"/>
      <sheetName val="RAI_CF"/>
      <sheetName val="RAI_IS"/>
      <sheetName val="Sheet1"/>
      <sheetName val="Conwood acq"/>
      <sheetName val="Quarterly"/>
      <sheetName val="Per Unit"/>
      <sheetName val="Volumes"/>
      <sheetName val="Domestic Cigarette"/>
    </sheetNames>
    <sheetDataSet>
      <sheetData sheetId="0" refreshError="1"/>
      <sheetData sheetId="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refreshError="1"/>
      <sheetData sheetId="17" refreshError="1"/>
      <sheetData sheetId="18" refreshError="1"/>
      <sheetData sheetId="19" refreshError="1"/>
      <sheetData sheetId="20"/>
      <sheetData sheetId="21"/>
      <sheetData sheetId="22" refreshError="1"/>
      <sheetData sheetId="23"/>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 Quarterly"/>
      <sheetName val="Cigarette Unit Analysis"/>
      <sheetName val="IS Annual"/>
      <sheetName val="BS"/>
      <sheetName val="CFS"/>
      <sheetName val="Volumes"/>
      <sheetName val="Non-Menthol"/>
      <sheetName val="Variance"/>
      <sheetName val="Per Unit Analysis"/>
      <sheetName val="mwareTaxoPres"/>
      <sheetName val="Summary P&amp;L"/>
      <sheetName val="Valuation"/>
      <sheetName val="__FDSCACHE__"/>
      <sheetName val="MW-Cache"/>
      <sheetName val="Pension"/>
      <sheetName val="OPEB"/>
      <sheetName val="mwareDates"/>
      <sheetName val="OLD &gt;&gt;&gt;"/>
      <sheetName val="WaterFall"/>
      <sheetName val="mwareValPrintout"/>
      <sheetName val="Quarterly"/>
      <sheetName val="mwarePreview"/>
      <sheetName val="MWA RR"/>
      <sheetName val="Scenarios"/>
      <sheetName val="3Q13 Variance v2"/>
      <sheetName val="Preview CURRENT"/>
      <sheetName val="2012 Variance"/>
      <sheetName val="OM Bridge"/>
      <sheetName val="MW Valuation"/>
      <sheetName val="Sheet1"/>
      <sheetName val="3Q11 Variance"/>
      <sheetName val="2011 Variance"/>
      <sheetName val="2Q11 Variance"/>
      <sheetName val="3Q11 Preview"/>
      <sheetName val="2Q11 Preview"/>
      <sheetName val="1Q11 Preview"/>
      <sheetName val="Sheet1 (2)"/>
      <sheetName val="1Q11 Variance"/>
      <sheetName val="4Q10 Variance"/>
      <sheetName val="FY09 Variance"/>
      <sheetName val="4Q09 Variance"/>
      <sheetName val="3Q09 Variance"/>
      <sheetName val="2Q09 Variance"/>
      <sheetName val="mwareSettings"/>
      <sheetName val="Pension1"/>
      <sheetName val="OPEB1"/>
      <sheetName val="3Q13 Variance"/>
      <sheetName val="Pension_Old"/>
      <sheetName val="OPEB_Old"/>
      <sheetName val="Preview 4Q11"/>
      <sheetName val="1Q13 Variance"/>
      <sheetName val="2Q12_Variance"/>
      <sheetName val="Sheet2"/>
      <sheetName val="DCF - RI"/>
      <sheetName val="PerUnit"/>
      <sheetName val="Domestic Cigarette "/>
      <sheetName val="Quarterly_New"/>
      <sheetName val="Income"/>
      <sheetName val="Balance Sheet"/>
      <sheetName val="Cash Flow"/>
      <sheetName val="Debt_Repay"/>
      <sheetName val="Metrics"/>
      <sheetName val="4Q11 Variance"/>
      <sheetName val="1Q12_Variance"/>
      <sheetName val="4Q12_Variance"/>
      <sheetName val="Preview 3Q13"/>
      <sheetName val="LO_CURRENT"/>
      <sheetName val="Annual"/>
    </sheetNames>
    <sheetDataSet>
      <sheetData sheetId="0" refreshError="1">
        <row r="1">
          <cell r="A1" t="str">
            <v>Lorillard (LO)</v>
          </cell>
          <cell r="AV1">
            <v>991.87499999999977</v>
          </cell>
          <cell r="AY1" t="str">
            <v>Morgan Stanley Research</v>
          </cell>
          <cell r="AZ1">
            <v>20.928000000000001</v>
          </cell>
          <cell r="BD1" t="str">
            <v>Morgan Stanley Research</v>
          </cell>
          <cell r="BI1" t="str">
            <v>Morgan Stanley Research</v>
          </cell>
          <cell r="BN1" t="str">
            <v>Morgan Stanley Research</v>
          </cell>
          <cell r="BS1" t="str">
            <v>Morgan Stanley Research</v>
          </cell>
          <cell r="HJ1" t="str">
            <v>ElementName</v>
          </cell>
          <cell r="HK1" t="str">
            <v>ElementName</v>
          </cell>
          <cell r="HL1" t="str">
            <v>ScaleOverride</v>
          </cell>
          <cell r="HM1" t="str">
            <v>UnitOverride</v>
          </cell>
          <cell r="HN1" t="str">
            <v>ReverseSign</v>
          </cell>
          <cell r="HO1" t="str">
            <v>IsDrivingAssumption</v>
          </cell>
          <cell r="HP1" t="str">
            <v>SegmentID</v>
          </cell>
        </row>
        <row r="2">
          <cell r="A2" t="str">
            <v>Quarterly Income Statement</v>
          </cell>
          <cell r="AU2">
            <v>44.204877110441636</v>
          </cell>
          <cell r="AV2">
            <v>45.953623075173056</v>
          </cell>
          <cell r="AW2">
            <v>45.018727295843782</v>
          </cell>
          <cell r="AX2">
            <v>51.498929893028048</v>
          </cell>
          <cell r="AY2" t="str">
            <v>David Adelman 212.761.6382</v>
          </cell>
          <cell r="AZ2">
            <v>85</v>
          </cell>
          <cell r="BD2" t="str">
            <v>David Adelman 212.761.6382</v>
          </cell>
          <cell r="BI2" t="str">
            <v>David Adelman 212.761.6382</v>
          </cell>
          <cell r="BN2" t="str">
            <v>David Adelman 212.761.6382</v>
          </cell>
          <cell r="BS2" t="str">
            <v>Matthew Grainger 212.761.8023</v>
          </cell>
        </row>
        <row r="3">
          <cell r="AU3">
            <v>0.88409754220883274</v>
          </cell>
          <cell r="AV3">
            <v>0.91907246150346111</v>
          </cell>
          <cell r="AW3">
            <v>0.9003745459168756</v>
          </cell>
          <cell r="AX3">
            <v>1.0299785978605609</v>
          </cell>
          <cell r="AY3" t="str">
            <v>David.Adelman@morganstanley.com</v>
          </cell>
          <cell r="AZ3">
            <v>1.7</v>
          </cell>
          <cell r="BB3">
            <v>3.1920000000000006</v>
          </cell>
          <cell r="BC3">
            <v>3.5625</v>
          </cell>
          <cell r="BD3" t="str">
            <v>David.Adelman@morganstanley.com</v>
          </cell>
          <cell r="BI3" t="str">
            <v>David.Adelman@morganstanley.com</v>
          </cell>
          <cell r="BN3" t="str">
            <v>David.Adelman@morganstanley.com</v>
          </cell>
          <cell r="BS3" t="str">
            <v>John Colantuoni 212.761.6210</v>
          </cell>
        </row>
        <row r="4">
          <cell r="AZ4">
            <v>1.7</v>
          </cell>
          <cell r="BB4">
            <v>46.284000000000006</v>
          </cell>
          <cell r="BC4">
            <v>58.78125</v>
          </cell>
          <cell r="BD4">
            <v>0.10189266269121067</v>
          </cell>
          <cell r="BL4">
            <v>0.72074957543804941</v>
          </cell>
          <cell r="BS4" t="str">
            <v>Pamela Kaufman 212.761.7151</v>
          </cell>
        </row>
        <row r="5">
          <cell r="G5" t="str">
            <v>2003-Q1</v>
          </cell>
          <cell r="H5" t="str">
            <v>2003-Q2</v>
          </cell>
          <cell r="I5" t="str">
            <v>2003-Q3</v>
          </cell>
          <cell r="J5" t="str">
            <v>2003-Q4</v>
          </cell>
          <cell r="L5" t="str">
            <v>2004-Q1</v>
          </cell>
          <cell r="M5" t="str">
            <v>2004-Q2</v>
          </cell>
          <cell r="N5" t="str">
            <v>2004-Q3</v>
          </cell>
          <cell r="O5" t="str">
            <v>2004-Q4</v>
          </cell>
          <cell r="Q5" t="str">
            <v>2005-Q1</v>
          </cell>
          <cell r="R5" t="str">
            <v>2005-Q2</v>
          </cell>
          <cell r="S5" t="str">
            <v>2005-Q3</v>
          </cell>
          <cell r="T5" t="str">
            <v>2005-Q4</v>
          </cell>
          <cell r="V5" t="str">
            <v>2006-Q1</v>
          </cell>
          <cell r="W5" t="str">
            <v>2006-Q2</v>
          </cell>
          <cell r="X5" t="str">
            <v>2006-Q3</v>
          </cell>
          <cell r="Y5" t="str">
            <v>2006-Q4</v>
          </cell>
          <cell r="AA5" t="str">
            <v>2007-Q1</v>
          </cell>
          <cell r="AB5" t="str">
            <v>2007-Q2</v>
          </cell>
          <cell r="AC5" t="str">
            <v>2007-Q3</v>
          </cell>
          <cell r="AD5" t="str">
            <v>2007-Q4</v>
          </cell>
          <cell r="AF5" t="str">
            <v>2008-Q1</v>
          </cell>
          <cell r="AG5" t="str">
            <v>2008-Q2</v>
          </cell>
          <cell r="AH5" t="str">
            <v>2008-Q3</v>
          </cell>
          <cell r="AI5" t="str">
            <v>2008-Q4</v>
          </cell>
          <cell r="AK5" t="str">
            <v>2009-Q1</v>
          </cell>
          <cell r="AL5" t="str">
            <v>2009-Q2</v>
          </cell>
          <cell r="AM5" t="str">
            <v>2009-Q3</v>
          </cell>
          <cell r="AN5" t="str">
            <v>2009-Q4</v>
          </cell>
          <cell r="AP5" t="str">
            <v>2010-Q1</v>
          </cell>
          <cell r="AQ5" t="str">
            <v>2010-Q2</v>
          </cell>
          <cell r="AR5" t="str">
            <v>2010-Q3</v>
          </cell>
          <cell r="AS5" t="str">
            <v>2010-Q4</v>
          </cell>
          <cell r="AU5" t="str">
            <v>2011-Q1</v>
          </cell>
          <cell r="AV5" t="str">
            <v>2011-Q2</v>
          </cell>
          <cell r="AW5" t="str">
            <v>2011-Q3</v>
          </cell>
          <cell r="AX5" t="str">
            <v>2011-Q4</v>
          </cell>
          <cell r="AZ5" t="str">
            <v>2012-Q1</v>
          </cell>
          <cell r="BA5" t="str">
            <v>2012-Q2</v>
          </cell>
          <cell r="BB5" t="str">
            <v>2012-Q3</v>
          </cell>
          <cell r="BC5" t="str">
            <v>2012-Q4</v>
          </cell>
          <cell r="BE5" t="str">
            <v>2013-Q1</v>
          </cell>
          <cell r="BF5" t="str">
            <v>2013-Q2</v>
          </cell>
          <cell r="BG5" t="str">
            <v>2013-Q3</v>
          </cell>
          <cell r="BH5" t="str">
            <v>2013-Q4</v>
          </cell>
          <cell r="BJ5" t="str">
            <v>2014-Q1</v>
          </cell>
          <cell r="BK5" t="str">
            <v>2014-Q2</v>
          </cell>
          <cell r="BL5" t="str">
            <v>2014-Q3</v>
          </cell>
          <cell r="BM5" t="str">
            <v>2014-Q4</v>
          </cell>
          <cell r="BS5" t="str">
            <v>Tony Ryerson 212.761.6534</v>
          </cell>
        </row>
        <row r="6">
          <cell r="G6" t="str">
            <v>2003-Q1</v>
          </cell>
          <cell r="H6" t="str">
            <v>2003-Q2</v>
          </cell>
          <cell r="I6" t="str">
            <v>2003-Q3</v>
          </cell>
          <cell r="J6" t="str">
            <v>2003-Q4</v>
          </cell>
          <cell r="L6" t="str">
            <v>2004-Q1</v>
          </cell>
          <cell r="M6" t="str">
            <v>2004-Q2</v>
          </cell>
          <cell r="N6" t="str">
            <v>2004-Q3</v>
          </cell>
          <cell r="O6" t="str">
            <v>2004-Q4</v>
          </cell>
          <cell r="Q6" t="str">
            <v>2005-Q1</v>
          </cell>
          <cell r="R6" t="str">
            <v>2005-Q2</v>
          </cell>
          <cell r="S6" t="str">
            <v>2005-Q3</v>
          </cell>
          <cell r="T6" t="str">
            <v>2005-Q4</v>
          </cell>
          <cell r="V6" t="str">
            <v>2006-Q1</v>
          </cell>
          <cell r="W6" t="str">
            <v>2006-Q2</v>
          </cell>
          <cell r="X6" t="str">
            <v>2006-Q3</v>
          </cell>
          <cell r="Y6" t="str">
            <v>2006-Q4</v>
          </cell>
          <cell r="AA6" t="str">
            <v>2007-Q1</v>
          </cell>
          <cell r="AB6" t="str">
            <v>2007-Q2</v>
          </cell>
          <cell r="AC6" t="str">
            <v>2007-Q3</v>
          </cell>
          <cell r="AD6" t="str">
            <v>2007-Q4</v>
          </cell>
          <cell r="AF6" t="str">
            <v>2008-Q1</v>
          </cell>
          <cell r="AG6" t="str">
            <v>2008-Q2</v>
          </cell>
          <cell r="AH6" t="str">
            <v>2008-Q3</v>
          </cell>
          <cell r="AI6" t="str">
            <v>2008-Q4</v>
          </cell>
          <cell r="AK6" t="str">
            <v>2009-Q1</v>
          </cell>
          <cell r="AL6" t="str">
            <v>2009-Q2</v>
          </cell>
          <cell r="AM6" t="str">
            <v>2009-Q3</v>
          </cell>
          <cell r="AN6" t="str">
            <v>2009-Q4</v>
          </cell>
          <cell r="AP6" t="str">
            <v>2010-Q1</v>
          </cell>
          <cell r="AQ6" t="str">
            <v>2010-Q2</v>
          </cell>
          <cell r="AR6" t="str">
            <v>2010-Q3</v>
          </cell>
          <cell r="AS6" t="str">
            <v>2010-Q4</v>
          </cell>
          <cell r="AU6" t="str">
            <v>2011-Q1</v>
          </cell>
          <cell r="AV6" t="str">
            <v>2011-Q2</v>
          </cell>
          <cell r="AW6" t="str">
            <v>2011-Q3</v>
          </cell>
          <cell r="AX6" t="str">
            <v>2011-Q4</v>
          </cell>
          <cell r="AZ6" t="str">
            <v>2012-Q1</v>
          </cell>
          <cell r="BA6" t="str">
            <v>2012-Q2</v>
          </cell>
          <cell r="BB6" t="str">
            <v>2012-Q3</v>
          </cell>
          <cell r="BC6" t="str">
            <v>2012-Q4</v>
          </cell>
          <cell r="BE6" t="str">
            <v>2013-Q1</v>
          </cell>
          <cell r="BF6" t="str">
            <v>2013-Q2</v>
          </cell>
          <cell r="BG6" t="str">
            <v>2013-Q3</v>
          </cell>
          <cell r="BH6" t="str">
            <v>2013-Q4</v>
          </cell>
          <cell r="BJ6" t="str">
            <v>2014-Q1</v>
          </cell>
          <cell r="BK6" t="str">
            <v>2014-Q2</v>
          </cell>
          <cell r="BL6" t="str">
            <v>2014-Q3</v>
          </cell>
          <cell r="BM6" t="str">
            <v>2014-Q4</v>
          </cell>
          <cell r="BO6" t="str">
            <v>2015-Q1</v>
          </cell>
          <cell r="BP6" t="str">
            <v>2015-Q2</v>
          </cell>
          <cell r="BQ6" t="str">
            <v>2015-Q3</v>
          </cell>
          <cell r="BR6" t="str">
            <v>2015-Q4</v>
          </cell>
        </row>
        <row r="7">
          <cell r="A7" t="str">
            <v>$ millions, except per share</v>
          </cell>
          <cell r="B7" t="str">
            <v>1Q02</v>
          </cell>
          <cell r="C7" t="str">
            <v>2Q02</v>
          </cell>
          <cell r="D7" t="str">
            <v>3Q02</v>
          </cell>
          <cell r="E7" t="str">
            <v>4Q02</v>
          </cell>
          <cell r="F7">
            <v>2002</v>
          </cell>
          <cell r="G7" t="str">
            <v>1Q03</v>
          </cell>
          <cell r="H7" t="str">
            <v>2Q03</v>
          </cell>
          <cell r="I7" t="str">
            <v>3Q03</v>
          </cell>
          <cell r="J7" t="str">
            <v>4Q03</v>
          </cell>
          <cell r="K7">
            <v>2003</v>
          </cell>
          <cell r="L7" t="str">
            <v>1Q04</v>
          </cell>
          <cell r="M7" t="str">
            <v>2Q04</v>
          </cell>
          <cell r="N7" t="str">
            <v>3Q04</v>
          </cell>
          <cell r="O7" t="str">
            <v>4Q04</v>
          </cell>
          <cell r="P7">
            <v>2004</v>
          </cell>
          <cell r="Q7" t="str">
            <v>1Q05</v>
          </cell>
          <cell r="R7" t="str">
            <v>2Q05</v>
          </cell>
          <cell r="S7" t="str">
            <v>3Q05</v>
          </cell>
          <cell r="T7" t="str">
            <v>4Q05</v>
          </cell>
          <cell r="U7">
            <v>2005</v>
          </cell>
          <cell r="V7" t="str">
            <v>1Q06</v>
          </cell>
          <cell r="W7" t="str">
            <v>2Q06</v>
          </cell>
          <cell r="X7" t="str">
            <v>3Q06</v>
          </cell>
          <cell r="Y7" t="str">
            <v>4Q06</v>
          </cell>
          <cell r="Z7">
            <v>2006</v>
          </cell>
          <cell r="AA7" t="str">
            <v>1Q07</v>
          </cell>
          <cell r="AB7" t="str">
            <v>2Q07</v>
          </cell>
          <cell r="AC7" t="str">
            <v>3Q07</v>
          </cell>
          <cell r="AD7" t="str">
            <v>4Q07</v>
          </cell>
          <cell r="AE7">
            <v>2007</v>
          </cell>
          <cell r="AF7" t="str">
            <v>1Q08</v>
          </cell>
          <cell r="AG7" t="str">
            <v>2Q08</v>
          </cell>
          <cell r="AH7" t="str">
            <v>3Q08</v>
          </cell>
          <cell r="AI7" t="str">
            <v>4Q08</v>
          </cell>
          <cell r="AJ7">
            <v>2008</v>
          </cell>
          <cell r="AK7" t="str">
            <v>1Q09</v>
          </cell>
          <cell r="AL7" t="str">
            <v>2Q09</v>
          </cell>
          <cell r="AM7" t="str">
            <v>3Q09</v>
          </cell>
          <cell r="AN7" t="str">
            <v>4Q09</v>
          </cell>
          <cell r="AO7">
            <v>2009</v>
          </cell>
          <cell r="AP7" t="str">
            <v>1Q10</v>
          </cell>
          <cell r="AQ7" t="str">
            <v>2Q10</v>
          </cell>
          <cell r="AR7" t="str">
            <v>3Q10</v>
          </cell>
          <cell r="AS7" t="str">
            <v>4Q10</v>
          </cell>
          <cell r="AT7">
            <v>2010</v>
          </cell>
          <cell r="AU7" t="str">
            <v>1Q11</v>
          </cell>
          <cell r="AV7" t="str">
            <v>2Q11</v>
          </cell>
          <cell r="AW7" t="str">
            <v>3Q11</v>
          </cell>
          <cell r="AX7" t="str">
            <v>4Q11</v>
          </cell>
          <cell r="AY7">
            <v>2011</v>
          </cell>
          <cell r="AZ7" t="str">
            <v>1Q12</v>
          </cell>
          <cell r="BA7" t="str">
            <v>2Q12</v>
          </cell>
          <cell r="BB7" t="str">
            <v>3Q12</v>
          </cell>
          <cell r="BC7" t="str">
            <v>4Q12</v>
          </cell>
          <cell r="BD7">
            <v>2012</v>
          </cell>
          <cell r="BE7" t="str">
            <v>1Q13</v>
          </cell>
          <cell r="BF7" t="str">
            <v>2Q13</v>
          </cell>
          <cell r="BG7" t="str">
            <v>3Q13</v>
          </cell>
          <cell r="BH7" t="str">
            <v>4Q13</v>
          </cell>
          <cell r="BI7">
            <v>2013</v>
          </cell>
          <cell r="BJ7" t="str">
            <v>1Q14</v>
          </cell>
          <cell r="BK7" t="str">
            <v>2Q14</v>
          </cell>
          <cell r="BL7" t="str">
            <v>3Q14</v>
          </cell>
          <cell r="BM7" t="str">
            <v>4Q14</v>
          </cell>
          <cell r="BN7">
            <v>2014</v>
          </cell>
          <cell r="BO7" t="str">
            <v>1Q15E</v>
          </cell>
          <cell r="BP7" t="str">
            <v>2Q15E</v>
          </cell>
          <cell r="BQ7" t="str">
            <v>3Q15E</v>
          </cell>
          <cell r="BR7" t="str">
            <v>4Q15E</v>
          </cell>
          <cell r="BS7" t="str">
            <v>2015E</v>
          </cell>
        </row>
        <row r="9">
          <cell r="A9" t="str">
            <v>Gross Sales</v>
          </cell>
          <cell r="B9">
            <v>973.1</v>
          </cell>
          <cell r="C9">
            <v>1026.9000000000001</v>
          </cell>
          <cell r="D9">
            <v>963.4</v>
          </cell>
          <cell r="E9">
            <v>834.3</v>
          </cell>
          <cell r="F9">
            <v>3797.7</v>
          </cell>
          <cell r="G9">
            <v>844</v>
          </cell>
          <cell r="H9">
            <v>780.9</v>
          </cell>
          <cell r="I9">
            <v>842.8</v>
          </cell>
          <cell r="J9">
            <v>787.7</v>
          </cell>
          <cell r="K9">
            <v>3255.3999999999996</v>
          </cell>
          <cell r="L9">
            <v>767.9</v>
          </cell>
          <cell r="M9">
            <v>868.1</v>
          </cell>
          <cell r="N9">
            <v>879.3</v>
          </cell>
          <cell r="O9">
            <v>832.5</v>
          </cell>
          <cell r="P9">
            <v>3347.8</v>
          </cell>
          <cell r="Q9">
            <v>795.1</v>
          </cell>
          <cell r="R9">
            <v>928.3</v>
          </cell>
          <cell r="S9">
            <v>928.4</v>
          </cell>
          <cell r="T9">
            <v>916</v>
          </cell>
          <cell r="U9">
            <v>3567.8</v>
          </cell>
          <cell r="V9">
            <v>854.8</v>
          </cell>
          <cell r="W9">
            <v>977.3</v>
          </cell>
          <cell r="X9">
            <v>986</v>
          </cell>
          <cell r="Y9">
            <v>936.7</v>
          </cell>
          <cell r="Z9">
            <v>3754.8</v>
          </cell>
          <cell r="AA9">
            <v>913</v>
          </cell>
          <cell r="AB9">
            <v>1055.4000000000001</v>
          </cell>
          <cell r="AC9">
            <v>1043.8</v>
          </cell>
          <cell r="AD9">
            <v>957</v>
          </cell>
          <cell r="AE9">
            <v>3969.2</v>
          </cell>
          <cell r="AF9">
            <v>921</v>
          </cell>
          <cell r="AG9">
            <v>1070</v>
          </cell>
          <cell r="AH9">
            <v>1125</v>
          </cell>
          <cell r="AI9">
            <v>1088</v>
          </cell>
          <cell r="AJ9">
            <v>4204</v>
          </cell>
          <cell r="AK9">
            <v>917</v>
          </cell>
          <cell r="AL9">
            <v>1519</v>
          </cell>
          <cell r="AM9">
            <v>1419</v>
          </cell>
          <cell r="AN9">
            <v>1378</v>
          </cell>
          <cell r="AO9">
            <v>5233</v>
          </cell>
          <cell r="AP9">
            <v>1360</v>
          </cell>
          <cell r="AQ9">
            <v>1520</v>
          </cell>
          <cell r="AR9">
            <v>1567</v>
          </cell>
          <cell r="AS9">
            <v>1486</v>
          </cell>
          <cell r="AT9">
            <v>5932</v>
          </cell>
          <cell r="AU9">
            <v>1535</v>
          </cell>
          <cell r="AV9">
            <v>1692</v>
          </cell>
          <cell r="AW9">
            <v>1622</v>
          </cell>
          <cell r="AX9">
            <v>1618</v>
          </cell>
          <cell r="AY9">
            <v>6467</v>
          </cell>
          <cell r="AZ9">
            <v>1526</v>
          </cell>
          <cell r="BA9">
            <v>1731</v>
          </cell>
          <cell r="BB9">
            <v>1661</v>
          </cell>
          <cell r="BC9">
            <v>1704</v>
          </cell>
          <cell r="BD9">
            <v>6622</v>
          </cell>
          <cell r="BE9">
            <v>1577</v>
          </cell>
          <cell r="BF9">
            <v>1804</v>
          </cell>
          <cell r="BG9">
            <v>1827</v>
          </cell>
          <cell r="BH9">
            <v>1743</v>
          </cell>
          <cell r="BI9">
            <v>6951</v>
          </cell>
          <cell r="BJ9">
            <v>1592</v>
          </cell>
          <cell r="BK9">
            <v>1799</v>
          </cell>
          <cell r="BL9">
            <v>1831</v>
          </cell>
          <cell r="BM9">
            <v>1768</v>
          </cell>
          <cell r="BN9">
            <v>6990</v>
          </cell>
          <cell r="BO9">
            <v>1668</v>
          </cell>
          <cell r="BP9">
            <v>1842.404602445612</v>
          </cell>
          <cell r="BQ9">
            <v>1855.8872935407082</v>
          </cell>
          <cell r="BR9">
            <v>1775.7766664396734</v>
          </cell>
          <cell r="BS9">
            <v>7142.0685624259932</v>
          </cell>
          <cell r="HJ9" t="str">
            <v>mstag:revenueNetOfDiscountsAndAllowances</v>
          </cell>
          <cell r="HK9" t="str">
            <v>mstag:revenueNetOfDiscountsAndAllowances</v>
          </cell>
          <cell r="HL9">
            <v>6</v>
          </cell>
          <cell r="HM9" t="str">
            <v>ISO4217:USD</v>
          </cell>
          <cell r="HN9" t="b">
            <v>0</v>
          </cell>
          <cell r="HO9" t="b">
            <v>0</v>
          </cell>
        </row>
        <row r="10">
          <cell r="A10" t="str">
            <v>Excise Taxes</v>
          </cell>
          <cell r="B10">
            <v>180.4</v>
          </cell>
          <cell r="C10">
            <v>176.1</v>
          </cell>
          <cell r="D10">
            <v>161.5</v>
          </cell>
          <cell r="E10">
            <v>149.6</v>
          </cell>
          <cell r="F10">
            <v>667.6</v>
          </cell>
          <cell r="G10">
            <v>156.9</v>
          </cell>
          <cell r="H10">
            <v>163.4</v>
          </cell>
          <cell r="I10">
            <v>173.1</v>
          </cell>
          <cell r="J10">
            <v>158</v>
          </cell>
          <cell r="K10">
            <v>651.4</v>
          </cell>
          <cell r="L10">
            <v>156.1</v>
          </cell>
          <cell r="M10">
            <v>169.5</v>
          </cell>
          <cell r="N10">
            <v>167.9</v>
          </cell>
          <cell r="O10">
            <v>164.5</v>
          </cell>
          <cell r="P10">
            <v>658</v>
          </cell>
          <cell r="Q10">
            <v>156.19999999999999</v>
          </cell>
          <cell r="R10">
            <v>179</v>
          </cell>
          <cell r="S10">
            <v>176.2</v>
          </cell>
          <cell r="T10">
            <v>164.7</v>
          </cell>
          <cell r="U10">
            <v>676.09999999999991</v>
          </cell>
          <cell r="V10">
            <v>163.9</v>
          </cell>
          <cell r="W10">
            <v>176.7</v>
          </cell>
          <cell r="X10">
            <v>185.8</v>
          </cell>
          <cell r="Y10">
            <v>172.1</v>
          </cell>
          <cell r="Z10">
            <v>698.50000000000011</v>
          </cell>
          <cell r="AA10">
            <v>161.69999999999999</v>
          </cell>
          <cell r="AB10">
            <v>180</v>
          </cell>
          <cell r="AC10">
            <v>180.7</v>
          </cell>
          <cell r="AD10">
            <v>165</v>
          </cell>
          <cell r="AE10">
            <v>687.4</v>
          </cell>
          <cell r="AF10">
            <v>163</v>
          </cell>
          <cell r="AG10">
            <v>184</v>
          </cell>
          <cell r="AH10">
            <v>189</v>
          </cell>
          <cell r="AI10">
            <v>176</v>
          </cell>
          <cell r="AJ10">
            <v>712</v>
          </cell>
          <cell r="AK10">
            <v>150</v>
          </cell>
          <cell r="AL10">
            <v>486</v>
          </cell>
          <cell r="AM10">
            <v>466</v>
          </cell>
          <cell r="AN10">
            <v>446</v>
          </cell>
          <cell r="AO10">
            <v>1548</v>
          </cell>
          <cell r="AP10">
            <v>437</v>
          </cell>
          <cell r="AQ10">
            <v>482</v>
          </cell>
          <cell r="AR10">
            <v>494</v>
          </cell>
          <cell r="AS10">
            <v>466</v>
          </cell>
          <cell r="AT10">
            <v>1879</v>
          </cell>
          <cell r="AU10">
            <v>479</v>
          </cell>
          <cell r="AV10">
            <v>533</v>
          </cell>
          <cell r="AW10">
            <v>509</v>
          </cell>
          <cell r="AX10">
            <v>493</v>
          </cell>
          <cell r="AY10">
            <v>2014</v>
          </cell>
          <cell r="AZ10">
            <v>467</v>
          </cell>
          <cell r="BA10">
            <v>526</v>
          </cell>
          <cell r="BB10">
            <v>498</v>
          </cell>
          <cell r="BC10">
            <v>495</v>
          </cell>
          <cell r="BD10">
            <v>1986</v>
          </cell>
          <cell r="BE10">
            <v>455</v>
          </cell>
          <cell r="BF10">
            <v>516</v>
          </cell>
          <cell r="BG10">
            <v>517</v>
          </cell>
          <cell r="BH10">
            <v>490</v>
          </cell>
          <cell r="BI10">
            <v>1978</v>
          </cell>
          <cell r="BJ10">
            <v>445</v>
          </cell>
          <cell r="BK10">
            <v>502</v>
          </cell>
          <cell r="BL10">
            <v>507</v>
          </cell>
          <cell r="BM10">
            <v>485</v>
          </cell>
          <cell r="BN10">
            <v>1939</v>
          </cell>
          <cell r="BO10">
            <v>458</v>
          </cell>
          <cell r="BP10">
            <v>501.42083759618964</v>
          </cell>
          <cell r="BQ10">
            <v>503.50472524432945</v>
          </cell>
          <cell r="BR10">
            <v>478.57618913012016</v>
          </cell>
          <cell r="BS10">
            <v>1941.5017519706391</v>
          </cell>
          <cell r="HJ10" t="str">
            <v>mstag:exciseOrOtherSalesTax</v>
          </cell>
          <cell r="HK10" t="str">
            <v>mstag:exciseOrOtherSalesTax</v>
          </cell>
          <cell r="HL10">
            <v>6</v>
          </cell>
          <cell r="HM10" t="str">
            <v>ISO4217:USD</v>
          </cell>
          <cell r="HN10" t="b">
            <v>0</v>
          </cell>
          <cell r="HO10" t="b">
            <v>0</v>
          </cell>
        </row>
        <row r="11">
          <cell r="A11" t="str">
            <v>Net Sales</v>
          </cell>
          <cell r="B11">
            <v>792.7</v>
          </cell>
          <cell r="C11">
            <v>850.80000000000007</v>
          </cell>
          <cell r="D11">
            <v>801.9</v>
          </cell>
          <cell r="E11">
            <v>684.69999999999993</v>
          </cell>
          <cell r="F11">
            <v>3130.1</v>
          </cell>
          <cell r="G11">
            <v>687.1</v>
          </cell>
          <cell r="H11">
            <v>617.5</v>
          </cell>
          <cell r="I11">
            <v>669.69999999999993</v>
          </cell>
          <cell r="J11">
            <v>629.70000000000005</v>
          </cell>
          <cell r="K11">
            <v>2603.9999999999995</v>
          </cell>
          <cell r="L11">
            <v>611.79999999999995</v>
          </cell>
          <cell r="M11">
            <v>698.6</v>
          </cell>
          <cell r="N11">
            <v>711.4</v>
          </cell>
          <cell r="O11">
            <v>668</v>
          </cell>
          <cell r="P11">
            <v>2689.8</v>
          </cell>
          <cell r="Q11">
            <v>638.90000000000009</v>
          </cell>
          <cell r="R11">
            <v>749.3</v>
          </cell>
          <cell r="S11">
            <v>752.2</v>
          </cell>
          <cell r="T11">
            <v>751.3</v>
          </cell>
          <cell r="U11">
            <v>2891.7000000000003</v>
          </cell>
          <cell r="V11">
            <v>690.9</v>
          </cell>
          <cell r="W11">
            <v>800.59999999999991</v>
          </cell>
          <cell r="X11">
            <v>800.2</v>
          </cell>
          <cell r="Y11">
            <v>764.6</v>
          </cell>
          <cell r="Z11">
            <v>3056.3</v>
          </cell>
          <cell r="AA11">
            <v>751.3</v>
          </cell>
          <cell r="AB11">
            <v>875.40000000000009</v>
          </cell>
          <cell r="AC11">
            <v>863.09999999999991</v>
          </cell>
          <cell r="AD11">
            <v>792</v>
          </cell>
          <cell r="AE11">
            <v>3281.7999999999997</v>
          </cell>
          <cell r="AF11">
            <v>758</v>
          </cell>
          <cell r="AG11">
            <v>886</v>
          </cell>
          <cell r="AH11">
            <v>936</v>
          </cell>
          <cell r="AI11">
            <v>912</v>
          </cell>
          <cell r="AJ11">
            <v>3492</v>
          </cell>
          <cell r="AK11">
            <v>767</v>
          </cell>
          <cell r="AL11">
            <v>1033</v>
          </cell>
          <cell r="AM11">
            <v>953</v>
          </cell>
          <cell r="AN11">
            <v>932</v>
          </cell>
          <cell r="AO11">
            <v>3685</v>
          </cell>
          <cell r="AP11">
            <v>923</v>
          </cell>
          <cell r="AQ11">
            <v>1038</v>
          </cell>
          <cell r="AR11">
            <v>1073</v>
          </cell>
          <cell r="AS11">
            <v>1019</v>
          </cell>
          <cell r="AT11">
            <v>4053</v>
          </cell>
          <cell r="AU11">
            <v>1056</v>
          </cell>
          <cell r="AV11">
            <v>1159</v>
          </cell>
          <cell r="AW11">
            <v>1113</v>
          </cell>
          <cell r="AX11">
            <v>1125</v>
          </cell>
          <cell r="AY11">
            <v>4453</v>
          </cell>
          <cell r="AZ11">
            <v>1059</v>
          </cell>
          <cell r="BA11">
            <v>1205</v>
          </cell>
          <cell r="BB11">
            <v>1163</v>
          </cell>
          <cell r="BC11">
            <v>1209</v>
          </cell>
          <cell r="BD11">
            <v>4636</v>
          </cell>
          <cell r="BE11">
            <v>1122</v>
          </cell>
          <cell r="BF11">
            <v>1288</v>
          </cell>
          <cell r="BG11">
            <v>1310</v>
          </cell>
          <cell r="BH11">
            <v>1253</v>
          </cell>
          <cell r="BI11">
            <v>4973</v>
          </cell>
          <cell r="BJ11">
            <v>1147</v>
          </cell>
          <cell r="BK11">
            <v>1297</v>
          </cell>
          <cell r="BL11">
            <v>1324</v>
          </cell>
          <cell r="BM11">
            <v>1283</v>
          </cell>
          <cell r="BN11">
            <v>5051</v>
          </cell>
          <cell r="BO11">
            <v>1210</v>
          </cell>
          <cell r="BP11">
            <v>1340.9837648494224</v>
          </cell>
          <cell r="BQ11">
            <v>1352.3825682963788</v>
          </cell>
          <cell r="BR11">
            <v>1297.2004773095532</v>
          </cell>
          <cell r="BS11">
            <v>5200.5668104553542</v>
          </cell>
          <cell r="BU11">
            <v>1.9855975841543527E-2</v>
          </cell>
        </row>
        <row r="13">
          <cell r="A13" t="str">
            <v>COGS</v>
          </cell>
          <cell r="B13">
            <v>123.6</v>
          </cell>
          <cell r="C13">
            <v>119.6</v>
          </cell>
          <cell r="D13">
            <v>122.4</v>
          </cell>
          <cell r="E13">
            <v>76.900000000000006</v>
          </cell>
          <cell r="F13">
            <v>442.5</v>
          </cell>
          <cell r="G13">
            <v>112.1</v>
          </cell>
          <cell r="H13">
            <v>111.4</v>
          </cell>
          <cell r="I13">
            <v>126.3</v>
          </cell>
          <cell r="J13">
            <v>106.7</v>
          </cell>
          <cell r="K13">
            <v>456.5</v>
          </cell>
          <cell r="L13">
            <v>110.10000000000005</v>
          </cell>
          <cell r="M13">
            <v>128.5</v>
          </cell>
          <cell r="N13">
            <v>123.29999999999998</v>
          </cell>
          <cell r="O13">
            <v>99.799999999999983</v>
          </cell>
          <cell r="P13">
            <v>461.70000000000005</v>
          </cell>
          <cell r="Q13">
            <v>131.80000000000001</v>
          </cell>
          <cell r="R13">
            <v>159.79999999999998</v>
          </cell>
          <cell r="S13">
            <v>143.79999999999998</v>
          </cell>
          <cell r="T13">
            <v>126.5</v>
          </cell>
          <cell r="U13">
            <v>561.9</v>
          </cell>
          <cell r="V13">
            <v>130.79999999999998</v>
          </cell>
          <cell r="W13">
            <v>139.40000000000003</v>
          </cell>
          <cell r="X13">
            <v>145.10000000000002</v>
          </cell>
          <cell r="Y13">
            <v>134.29999999999998</v>
          </cell>
          <cell r="Z13">
            <v>549.6</v>
          </cell>
          <cell r="AA13">
            <v>133.49999999999997</v>
          </cell>
          <cell r="AB13">
            <v>158.30000000000001</v>
          </cell>
          <cell r="AC13">
            <v>156.09999999999997</v>
          </cell>
          <cell r="AD13">
            <v>123</v>
          </cell>
          <cell r="AE13">
            <v>570.89999999999986</v>
          </cell>
          <cell r="AF13">
            <v>135</v>
          </cell>
          <cell r="AG13">
            <v>150</v>
          </cell>
          <cell r="AH13">
            <v>160</v>
          </cell>
          <cell r="AI13">
            <v>155</v>
          </cell>
          <cell r="AJ13">
            <v>600</v>
          </cell>
          <cell r="AK13">
            <v>137</v>
          </cell>
          <cell r="AL13">
            <v>172</v>
          </cell>
          <cell r="AM13">
            <v>171</v>
          </cell>
          <cell r="AN13">
            <v>171</v>
          </cell>
          <cell r="AO13">
            <v>651</v>
          </cell>
          <cell r="AP13">
            <v>169</v>
          </cell>
          <cell r="AQ13">
            <v>185</v>
          </cell>
          <cell r="AR13">
            <v>183</v>
          </cell>
          <cell r="AS13">
            <v>182</v>
          </cell>
          <cell r="AT13">
            <v>718</v>
          </cell>
          <cell r="AU13">
            <v>194</v>
          </cell>
          <cell r="AV13">
            <v>207</v>
          </cell>
          <cell r="AW13">
            <v>209</v>
          </cell>
          <cell r="AX13">
            <v>193</v>
          </cell>
          <cell r="AY13">
            <v>803</v>
          </cell>
          <cell r="AZ13">
            <v>199</v>
          </cell>
          <cell r="BA13">
            <v>229</v>
          </cell>
          <cell r="BB13">
            <v>218</v>
          </cell>
          <cell r="BC13">
            <v>239</v>
          </cell>
          <cell r="BD13">
            <v>885</v>
          </cell>
          <cell r="BE13">
            <v>233</v>
          </cell>
          <cell r="BF13">
            <v>267</v>
          </cell>
          <cell r="BG13">
            <v>272</v>
          </cell>
          <cell r="BH13">
            <v>241</v>
          </cell>
          <cell r="BI13">
            <v>1013</v>
          </cell>
          <cell r="BJ13">
            <v>242</v>
          </cell>
          <cell r="BK13">
            <v>256</v>
          </cell>
          <cell r="BL13">
            <v>241</v>
          </cell>
          <cell r="BM13">
            <v>226</v>
          </cell>
          <cell r="BN13">
            <v>965</v>
          </cell>
          <cell r="BO13">
            <v>208</v>
          </cell>
          <cell r="BP13">
            <v>250.90286675326581</v>
          </cell>
          <cell r="BQ13">
            <v>231.37642601886276</v>
          </cell>
          <cell r="BR13">
            <v>248.20243433059636</v>
          </cell>
          <cell r="BS13">
            <v>938.4817271027249</v>
          </cell>
          <cell r="HJ13" t="str">
            <v>mstag:costOfSalesWithDepreciation</v>
          </cell>
          <cell r="HK13" t="str">
            <v>mstag:costOfSalesWithDepreciation</v>
          </cell>
          <cell r="HL13">
            <v>6</v>
          </cell>
          <cell r="HM13" t="str">
            <v>ISO4217:USD</v>
          </cell>
          <cell r="HN13" t="b">
            <v>0</v>
          </cell>
          <cell r="HO13" t="b">
            <v>0</v>
          </cell>
        </row>
        <row r="15">
          <cell r="A15" t="str">
            <v>Gross Profit</v>
          </cell>
          <cell r="B15">
            <v>669.1</v>
          </cell>
          <cell r="C15">
            <v>731.2</v>
          </cell>
          <cell r="D15">
            <v>679.5</v>
          </cell>
          <cell r="E15">
            <v>607.79999999999995</v>
          </cell>
          <cell r="F15">
            <v>2687.6000000000004</v>
          </cell>
          <cell r="G15">
            <v>575</v>
          </cell>
          <cell r="H15">
            <v>506.1</v>
          </cell>
          <cell r="I15">
            <v>543.4</v>
          </cell>
          <cell r="J15">
            <v>523</v>
          </cell>
          <cell r="K15">
            <v>2147.4999999999995</v>
          </cell>
          <cell r="L15">
            <v>501.69999999999993</v>
          </cell>
          <cell r="M15">
            <v>570.1</v>
          </cell>
          <cell r="N15">
            <v>588.1</v>
          </cell>
          <cell r="O15">
            <v>568.20000000000005</v>
          </cell>
          <cell r="P15">
            <v>2228.1000000000004</v>
          </cell>
          <cell r="Q15">
            <v>507.10000000000008</v>
          </cell>
          <cell r="R15">
            <v>589.5</v>
          </cell>
          <cell r="S15">
            <v>608.40000000000009</v>
          </cell>
          <cell r="T15">
            <v>624.79999999999995</v>
          </cell>
          <cell r="U15">
            <v>2329.8000000000002</v>
          </cell>
          <cell r="V15">
            <v>560.1</v>
          </cell>
          <cell r="W15">
            <v>661.19999999999982</v>
          </cell>
          <cell r="X15">
            <v>655.1</v>
          </cell>
          <cell r="Y15">
            <v>630.30000000000007</v>
          </cell>
          <cell r="Z15">
            <v>2506.7000000000003</v>
          </cell>
          <cell r="AA15">
            <v>617.79999999999995</v>
          </cell>
          <cell r="AB15">
            <v>717.10000000000014</v>
          </cell>
          <cell r="AC15">
            <v>707</v>
          </cell>
          <cell r="AD15">
            <v>669</v>
          </cell>
          <cell r="AE15">
            <v>2710.8999999999996</v>
          </cell>
          <cell r="AF15">
            <v>623</v>
          </cell>
          <cell r="AG15">
            <v>736</v>
          </cell>
          <cell r="AH15">
            <v>776</v>
          </cell>
          <cell r="AI15">
            <v>757</v>
          </cell>
          <cell r="AJ15">
            <v>2892</v>
          </cell>
          <cell r="AK15">
            <v>630</v>
          </cell>
          <cell r="AL15">
            <v>861</v>
          </cell>
          <cell r="AM15">
            <v>782</v>
          </cell>
          <cell r="AN15">
            <v>761</v>
          </cell>
          <cell r="AO15">
            <v>3034</v>
          </cell>
          <cell r="AP15">
            <v>754</v>
          </cell>
          <cell r="AQ15">
            <v>853</v>
          </cell>
          <cell r="AR15">
            <v>890</v>
          </cell>
          <cell r="AS15">
            <v>837</v>
          </cell>
          <cell r="AT15">
            <v>3335</v>
          </cell>
          <cell r="AU15">
            <v>862</v>
          </cell>
          <cell r="AV15">
            <v>952</v>
          </cell>
          <cell r="AW15">
            <v>904</v>
          </cell>
          <cell r="AX15">
            <v>932</v>
          </cell>
          <cell r="AY15">
            <v>3650</v>
          </cell>
          <cell r="AZ15">
            <v>860</v>
          </cell>
          <cell r="BA15">
            <v>976</v>
          </cell>
          <cell r="BB15">
            <v>945</v>
          </cell>
          <cell r="BC15">
            <v>970</v>
          </cell>
          <cell r="BD15">
            <v>3751</v>
          </cell>
          <cell r="BE15">
            <v>889</v>
          </cell>
          <cell r="BF15">
            <v>1021</v>
          </cell>
          <cell r="BG15">
            <v>1038</v>
          </cell>
          <cell r="BH15">
            <v>1012</v>
          </cell>
          <cell r="BI15">
            <v>3960</v>
          </cell>
          <cell r="BJ15">
            <v>905</v>
          </cell>
          <cell r="BK15">
            <v>1041</v>
          </cell>
          <cell r="BL15">
            <v>1083</v>
          </cell>
          <cell r="BM15">
            <v>1057</v>
          </cell>
          <cell r="BN15">
            <v>4086</v>
          </cell>
          <cell r="BO15">
            <v>1002</v>
          </cell>
          <cell r="BP15">
            <v>1090.0808980961565</v>
          </cell>
          <cell r="BQ15">
            <v>1121.0061422775161</v>
          </cell>
          <cell r="BR15">
            <v>1048.9980429789568</v>
          </cell>
          <cell r="BS15">
            <v>4262.0850833526292</v>
          </cell>
        </row>
        <row r="16">
          <cell r="A16" t="str">
            <v>Margin % (Net Sales)</v>
          </cell>
          <cell r="B16">
            <v>0.84407720449098023</v>
          </cell>
          <cell r="C16">
            <v>0.85942642219087917</v>
          </cell>
          <cell r="D16">
            <v>0.84736251402918072</v>
          </cell>
          <cell r="E16">
            <v>0.88768803855703227</v>
          </cell>
          <cell r="F16">
            <v>0.85863071467365271</v>
          </cell>
          <cell r="G16">
            <v>0.83685053121816322</v>
          </cell>
          <cell r="H16">
            <v>0.81959514170040493</v>
          </cell>
          <cell r="I16">
            <v>0.81140809317604901</v>
          </cell>
          <cell r="J16">
            <v>0.83055423217405111</v>
          </cell>
          <cell r="K16">
            <v>0.82469278033794158</v>
          </cell>
          <cell r="L16">
            <v>0.82003922850604771</v>
          </cell>
          <cell r="M16">
            <v>0.8160606928141998</v>
          </cell>
          <cell r="N16">
            <v>0.82667978633680073</v>
          </cell>
          <cell r="O16">
            <v>0.85059880239520969</v>
          </cell>
          <cell r="P16">
            <v>0.82835155030113772</v>
          </cell>
          <cell r="Q16">
            <v>0.79370793551416496</v>
          </cell>
          <cell r="R16">
            <v>0.78673428533297751</v>
          </cell>
          <cell r="S16">
            <v>0.80882743951076852</v>
          </cell>
          <cell r="T16">
            <v>0.83162518301610544</v>
          </cell>
          <cell r="U16">
            <v>0.80568523705778605</v>
          </cell>
          <cell r="V16">
            <v>0.81068171949630918</v>
          </cell>
          <cell r="W16">
            <v>0.8258805895578315</v>
          </cell>
          <cell r="X16">
            <v>0.8186703324168958</v>
          </cell>
          <cell r="Y16">
            <v>0.82435260266806176</v>
          </cell>
          <cell r="Z16">
            <v>0.82017472106795808</v>
          </cell>
          <cell r="AA16">
            <v>0.82230799946758948</v>
          </cell>
          <cell r="AB16">
            <v>0.81916838016906568</v>
          </cell>
          <cell r="AC16">
            <v>0.81914030819140315</v>
          </cell>
          <cell r="AD16">
            <v>0.84469696969696972</v>
          </cell>
          <cell r="AE16">
            <v>0.82604058748247911</v>
          </cell>
          <cell r="AF16">
            <v>0.82189973614775724</v>
          </cell>
          <cell r="AG16">
            <v>0.83069977426636565</v>
          </cell>
          <cell r="AH16">
            <v>0.82905982905982911</v>
          </cell>
          <cell r="AI16">
            <v>0.83004385964912286</v>
          </cell>
          <cell r="AJ16">
            <v>0.82817869415807566</v>
          </cell>
          <cell r="AK16">
            <v>0.82138200782268578</v>
          </cell>
          <cell r="AL16">
            <v>0.83349467570183933</v>
          </cell>
          <cell r="AM16">
            <v>0.82056663168940192</v>
          </cell>
          <cell r="AN16">
            <v>0.8165236051502146</v>
          </cell>
          <cell r="AO16">
            <v>0.82333785617367705</v>
          </cell>
          <cell r="AP16">
            <v>0.81690140845070425</v>
          </cell>
          <cell r="AQ16">
            <v>0.82177263969171488</v>
          </cell>
          <cell r="AR16">
            <v>0.8294501397949674</v>
          </cell>
          <cell r="AS16">
            <v>0.82139352306182534</v>
          </cell>
          <cell r="AT16">
            <v>0.82284727362447574</v>
          </cell>
          <cell r="AU16">
            <v>0.81628787878787878</v>
          </cell>
          <cell r="AV16">
            <v>0.82139775668679893</v>
          </cell>
          <cell r="AW16">
            <v>0.81221922731356688</v>
          </cell>
          <cell r="AX16">
            <v>0.82844444444444443</v>
          </cell>
          <cell r="AY16">
            <v>0.81967213114754101</v>
          </cell>
          <cell r="AZ16">
            <v>0.81208687440982064</v>
          </cell>
          <cell r="BA16">
            <v>0.8099585062240664</v>
          </cell>
          <cell r="BB16">
            <v>0.81255374032674121</v>
          </cell>
          <cell r="BC16">
            <v>0.80231596360628621</v>
          </cell>
          <cell r="BD16">
            <v>0.80910267471958586</v>
          </cell>
          <cell r="BE16">
            <v>0.79233511586452765</v>
          </cell>
          <cell r="BF16">
            <v>0.79270186335403725</v>
          </cell>
          <cell r="BG16">
            <v>0.79236641221374049</v>
          </cell>
          <cell r="BH16">
            <v>0.80766161213088583</v>
          </cell>
          <cell r="BI16">
            <v>0.79630002010858636</v>
          </cell>
          <cell r="BJ16">
            <v>0.7890148212728858</v>
          </cell>
          <cell r="BK16">
            <v>0.80262143407864306</v>
          </cell>
          <cell r="BL16">
            <v>0.81797583081571001</v>
          </cell>
          <cell r="BM16">
            <v>0.8238503507404521</v>
          </cell>
          <cell r="BN16">
            <v>0.80894872302514353</v>
          </cell>
          <cell r="BO16">
            <v>0.82809917355371898</v>
          </cell>
          <cell r="BP16">
            <v>0.81289641729447815</v>
          </cell>
          <cell r="BQ16">
            <v>0.82891200208951832</v>
          </cell>
          <cell r="BR16">
            <v>0.80866301032714827</v>
          </cell>
          <cell r="BS16">
            <v>0.81954241502753566</v>
          </cell>
          <cell r="BU16">
            <v>390.84352280833178</v>
          </cell>
          <cell r="BV16">
            <v>102.74983215835087</v>
          </cell>
          <cell r="BW16">
            <v>109.36171273808304</v>
          </cell>
          <cell r="BX16">
            <v>-151.87340413303829</v>
          </cell>
          <cell r="BY16">
            <v>130.04051049122501</v>
          </cell>
          <cell r="BZ16">
            <v>109.36171273808304</v>
          </cell>
          <cell r="CA16">
            <v>-151.87340413303829</v>
          </cell>
        </row>
        <row r="18">
          <cell r="A18" t="str">
            <v>SG&amp;A</v>
          </cell>
          <cell r="B18">
            <v>111.8</v>
          </cell>
          <cell r="C18">
            <v>111.6</v>
          </cell>
          <cell r="D18">
            <v>93.3</v>
          </cell>
          <cell r="E18">
            <v>92.6</v>
          </cell>
          <cell r="F18">
            <v>409.29999999999995</v>
          </cell>
          <cell r="G18">
            <v>106.69999999999999</v>
          </cell>
          <cell r="H18">
            <v>94.1</v>
          </cell>
          <cell r="I18">
            <v>98</v>
          </cell>
          <cell r="J18">
            <v>107.8</v>
          </cell>
          <cell r="K18">
            <v>406.59999999999997</v>
          </cell>
          <cell r="L18">
            <v>100</v>
          </cell>
          <cell r="M18">
            <v>103.3</v>
          </cell>
          <cell r="N18">
            <v>85.1</v>
          </cell>
          <cell r="O18">
            <v>92.7</v>
          </cell>
          <cell r="P18">
            <v>381.09999999999997</v>
          </cell>
          <cell r="Q18">
            <v>90</v>
          </cell>
          <cell r="R18">
            <v>97.2</v>
          </cell>
          <cell r="S18">
            <v>95.3</v>
          </cell>
          <cell r="T18">
            <v>87</v>
          </cell>
          <cell r="U18">
            <v>369.5</v>
          </cell>
          <cell r="V18">
            <v>92.9</v>
          </cell>
          <cell r="W18">
            <v>108.9</v>
          </cell>
          <cell r="X18">
            <v>83.6</v>
          </cell>
          <cell r="Y18">
            <v>68.900000000000006</v>
          </cell>
          <cell r="Z18">
            <v>354.29999999999995</v>
          </cell>
          <cell r="AA18">
            <v>81.900000000000006</v>
          </cell>
          <cell r="AB18">
            <v>82.9</v>
          </cell>
          <cell r="AC18">
            <v>81.7</v>
          </cell>
          <cell r="AD18">
            <v>76</v>
          </cell>
          <cell r="AE18">
            <v>322.5</v>
          </cell>
          <cell r="AF18">
            <v>100</v>
          </cell>
          <cell r="AG18">
            <v>91</v>
          </cell>
          <cell r="AH18">
            <v>90</v>
          </cell>
          <cell r="AI18">
            <v>80</v>
          </cell>
          <cell r="AJ18">
            <v>361</v>
          </cell>
          <cell r="AK18">
            <v>89</v>
          </cell>
          <cell r="AL18">
            <v>98</v>
          </cell>
          <cell r="AM18">
            <v>96</v>
          </cell>
          <cell r="AN18">
            <v>83</v>
          </cell>
          <cell r="AO18">
            <v>366</v>
          </cell>
          <cell r="AP18">
            <v>96</v>
          </cell>
          <cell r="AQ18">
            <v>97</v>
          </cell>
          <cell r="AR18">
            <v>101</v>
          </cell>
          <cell r="AS18">
            <v>105</v>
          </cell>
          <cell r="AT18">
            <v>398</v>
          </cell>
          <cell r="AU18">
            <v>122</v>
          </cell>
          <cell r="AV18">
            <v>112</v>
          </cell>
          <cell r="AW18">
            <v>108</v>
          </cell>
          <cell r="AX18">
            <v>108</v>
          </cell>
          <cell r="AY18">
            <v>450</v>
          </cell>
          <cell r="AZ18">
            <v>131</v>
          </cell>
          <cell r="BA18">
            <v>123</v>
          </cell>
          <cell r="BB18">
            <v>121</v>
          </cell>
          <cell r="BC18">
            <v>122</v>
          </cell>
          <cell r="BD18">
            <v>497</v>
          </cell>
          <cell r="BE18">
            <v>132</v>
          </cell>
          <cell r="BF18">
            <v>138</v>
          </cell>
          <cell r="BG18">
            <v>128</v>
          </cell>
          <cell r="BH18">
            <v>136</v>
          </cell>
          <cell r="BI18">
            <v>534</v>
          </cell>
          <cell r="BJ18">
            <v>141</v>
          </cell>
          <cell r="BK18">
            <v>141</v>
          </cell>
          <cell r="BL18">
            <v>141</v>
          </cell>
          <cell r="BM18">
            <v>126</v>
          </cell>
          <cell r="BN18">
            <v>549</v>
          </cell>
          <cell r="BO18">
            <v>145</v>
          </cell>
          <cell r="BP18">
            <v>134.62816330979388</v>
          </cell>
          <cell r="BQ18">
            <v>133.88496668357186</v>
          </cell>
          <cell r="BR18">
            <v>112.26369184386976</v>
          </cell>
          <cell r="BS18">
            <v>525.7768218372355</v>
          </cell>
          <cell r="HJ18" t="str">
            <v>mstag:sellingGeneralAndAdministrativeExpenses</v>
          </cell>
          <cell r="HK18" t="str">
            <v>mstag:sellingGeneralAndAdministrativeExpenses</v>
          </cell>
          <cell r="HL18">
            <v>6</v>
          </cell>
          <cell r="HM18" t="str">
            <v>ISO4217:USD</v>
          </cell>
          <cell r="HN18" t="b">
            <v>0</v>
          </cell>
          <cell r="HO18" t="b">
            <v>0</v>
          </cell>
        </row>
        <row r="19">
          <cell r="A19" t="str">
            <v>% of sales</v>
          </cell>
          <cell r="B19">
            <v>0.14103696228081239</v>
          </cell>
          <cell r="C19">
            <v>0.1311706629055007</v>
          </cell>
          <cell r="D19">
            <v>0.11634867190422746</v>
          </cell>
          <cell r="E19">
            <v>0.13524171169855412</v>
          </cell>
          <cell r="F19">
            <v>0.13076259544423499</v>
          </cell>
          <cell r="G19">
            <v>0.15529035074952699</v>
          </cell>
          <cell r="H19">
            <v>0.15238866396761133</v>
          </cell>
          <cell r="I19">
            <v>0.14633417948335076</v>
          </cell>
          <cell r="J19">
            <v>0.17119263141178337</v>
          </cell>
          <cell r="K19">
            <v>0.15614439324116744</v>
          </cell>
          <cell r="L19">
            <v>0.16345210853220007</v>
          </cell>
          <cell r="M19">
            <v>0.14786716289722301</v>
          </cell>
          <cell r="N19">
            <v>0.11962327804329491</v>
          </cell>
          <cell r="O19">
            <v>0.13877245508982036</v>
          </cell>
          <cell r="P19">
            <v>0.14168339653505835</v>
          </cell>
          <cell r="Q19">
            <v>0.14086711535451554</v>
          </cell>
          <cell r="R19">
            <v>0.12972107300146804</v>
          </cell>
          <cell r="S19">
            <v>0.12669502791810688</v>
          </cell>
          <cell r="T19">
            <v>0.11579928124584055</v>
          </cell>
          <cell r="U19">
            <v>0.12777950686447417</v>
          </cell>
          <cell r="V19">
            <v>0.13446229555652051</v>
          </cell>
          <cell r="W19">
            <v>0.13602298276292782</v>
          </cell>
          <cell r="X19">
            <v>0.10447388152961758</v>
          </cell>
          <cell r="Y19">
            <v>9.0112477112215539E-2</v>
          </cell>
          <cell r="Z19">
            <v>0.11592448385302488</v>
          </cell>
          <cell r="AA19">
            <v>0.10901104751763611</v>
          </cell>
          <cell r="AB19">
            <v>9.4699565912725603E-2</v>
          </cell>
          <cell r="AC19">
            <v>9.4658788089445042E-2</v>
          </cell>
          <cell r="AD19">
            <v>9.5959595959595953E-2</v>
          </cell>
          <cell r="AE19">
            <v>9.826924248887807E-2</v>
          </cell>
          <cell r="AF19">
            <v>0.13192612137203166</v>
          </cell>
          <cell r="AG19">
            <v>0.10270880361173815</v>
          </cell>
          <cell r="AH19">
            <v>9.6153846153846159E-2</v>
          </cell>
          <cell r="AI19">
            <v>8.771929824561403E-2</v>
          </cell>
          <cell r="AJ19">
            <v>0.10337915234822451</v>
          </cell>
          <cell r="AK19">
            <v>0.11603650586701435</v>
          </cell>
          <cell r="AL19">
            <v>9.4869312681510165E-2</v>
          </cell>
          <cell r="AM19">
            <v>0.10073452256033578</v>
          </cell>
          <cell r="AN19">
            <v>8.9055793991416304E-2</v>
          </cell>
          <cell r="AO19">
            <v>9.9321573948439615E-2</v>
          </cell>
          <cell r="AP19">
            <v>0.10400866738894908</v>
          </cell>
          <cell r="AQ19">
            <v>9.3448940269749523E-2</v>
          </cell>
          <cell r="AR19">
            <v>9.4128611369990678E-2</v>
          </cell>
          <cell r="AS19">
            <v>0.10304219823356231</v>
          </cell>
          <cell r="AT19">
            <v>9.819886503824328E-2</v>
          </cell>
          <cell r="AU19">
            <v>0.11553030303030302</v>
          </cell>
          <cell r="AV19">
            <v>9.6635030198446936E-2</v>
          </cell>
          <cell r="AW19">
            <v>9.7035040431266845E-2</v>
          </cell>
          <cell r="AX19">
            <v>9.6000000000000002E-2</v>
          </cell>
          <cell r="AY19">
            <v>0.10105546822366944</v>
          </cell>
          <cell r="AZ19">
            <v>0.12370160528800755</v>
          </cell>
          <cell r="BA19">
            <v>0.1020746887966805</v>
          </cell>
          <cell r="BB19">
            <v>0.10404127257093723</v>
          </cell>
          <cell r="BC19">
            <v>0.10090984284532671</v>
          </cell>
          <cell r="BD19">
            <v>0.10720448662640207</v>
          </cell>
          <cell r="BE19">
            <v>0.11764705882352941</v>
          </cell>
          <cell r="BF19">
            <v>0.10714285714285714</v>
          </cell>
          <cell r="BG19">
            <v>9.7709923664122136E-2</v>
          </cell>
          <cell r="BH19">
            <v>0.10853950518754989</v>
          </cell>
          <cell r="BI19">
            <v>0.10737985119646089</v>
          </cell>
          <cell r="BJ19">
            <v>0.12292938099389712</v>
          </cell>
          <cell r="BK19">
            <v>0.1087124132613724</v>
          </cell>
          <cell r="BL19">
            <v>0.10649546827794562</v>
          </cell>
          <cell r="BM19">
            <v>9.8207326578332033E-2</v>
          </cell>
          <cell r="BN19">
            <v>0.1086913482478717</v>
          </cell>
          <cell r="BO19">
            <v>0.11983471074380166</v>
          </cell>
          <cell r="BP19">
            <v>0.10039507325796082</v>
          </cell>
          <cell r="BQ19">
            <v>9.8999328904563755E-2</v>
          </cell>
          <cell r="BR19">
            <v>8.6543054683967779E-2</v>
          </cell>
          <cell r="BS19">
            <v>0.10109990718323245</v>
          </cell>
        </row>
        <row r="21">
          <cell r="A21" t="str">
            <v>MSA</v>
          </cell>
          <cell r="B21">
            <v>296.2</v>
          </cell>
          <cell r="C21">
            <v>291.89999999999998</v>
          </cell>
          <cell r="D21">
            <v>255.2</v>
          </cell>
          <cell r="E21">
            <v>219</v>
          </cell>
          <cell r="F21">
            <v>1062.3</v>
          </cell>
          <cell r="G21">
            <v>197.5</v>
          </cell>
          <cell r="H21">
            <v>180.1</v>
          </cell>
          <cell r="I21">
            <v>214.6</v>
          </cell>
          <cell r="J21">
            <v>193</v>
          </cell>
          <cell r="K21">
            <v>785.2</v>
          </cell>
          <cell r="L21">
            <v>201.1</v>
          </cell>
          <cell r="M21">
            <v>234.3</v>
          </cell>
          <cell r="N21">
            <v>213.6</v>
          </cell>
          <cell r="O21">
            <v>196.9</v>
          </cell>
          <cell r="P21">
            <v>845.9</v>
          </cell>
          <cell r="Q21">
            <v>198.7</v>
          </cell>
          <cell r="R21">
            <v>235.6</v>
          </cell>
          <cell r="S21">
            <v>223.9</v>
          </cell>
          <cell r="T21">
            <v>218.2</v>
          </cell>
          <cell r="U21">
            <v>876.39999999999986</v>
          </cell>
          <cell r="V21">
            <v>217</v>
          </cell>
          <cell r="W21">
            <v>236.5</v>
          </cell>
          <cell r="X21">
            <v>242.8</v>
          </cell>
          <cell r="Y21">
            <v>215.1</v>
          </cell>
          <cell r="Z21">
            <v>911.4</v>
          </cell>
          <cell r="AA21">
            <v>249.1</v>
          </cell>
          <cell r="AB21">
            <v>275.2</v>
          </cell>
          <cell r="AC21">
            <v>277.10000000000002</v>
          </cell>
          <cell r="AD21">
            <v>247</v>
          </cell>
          <cell r="AE21">
            <v>1048.4000000000001</v>
          </cell>
          <cell r="AF21">
            <v>257</v>
          </cell>
          <cell r="AG21">
            <v>293</v>
          </cell>
          <cell r="AH21">
            <v>304</v>
          </cell>
          <cell r="AI21">
            <v>263</v>
          </cell>
          <cell r="AJ21">
            <v>1117</v>
          </cell>
          <cell r="AK21">
            <v>247</v>
          </cell>
          <cell r="AL21">
            <v>307</v>
          </cell>
          <cell r="AM21">
            <v>294</v>
          </cell>
          <cell r="AN21">
            <v>280</v>
          </cell>
          <cell r="AO21">
            <v>1128</v>
          </cell>
          <cell r="AP21">
            <v>276</v>
          </cell>
          <cell r="AQ21">
            <v>311</v>
          </cell>
          <cell r="AR21">
            <v>324</v>
          </cell>
          <cell r="AS21">
            <v>300</v>
          </cell>
          <cell r="AT21">
            <v>1212</v>
          </cell>
          <cell r="AU21">
            <v>319</v>
          </cell>
          <cell r="AV21">
            <v>353</v>
          </cell>
          <cell r="AW21">
            <v>341</v>
          </cell>
          <cell r="AX21">
            <v>319</v>
          </cell>
          <cell r="AY21">
            <v>1332</v>
          </cell>
          <cell r="AZ21">
            <v>330</v>
          </cell>
          <cell r="BA21">
            <v>364</v>
          </cell>
          <cell r="BB21">
            <v>343</v>
          </cell>
          <cell r="BC21">
            <v>334</v>
          </cell>
          <cell r="BD21">
            <v>1371</v>
          </cell>
          <cell r="BE21">
            <v>319</v>
          </cell>
          <cell r="BF21">
            <v>354</v>
          </cell>
          <cell r="BG21">
            <v>369</v>
          </cell>
          <cell r="BH21">
            <v>353</v>
          </cell>
          <cell r="BI21">
            <v>1395</v>
          </cell>
          <cell r="BJ21">
            <v>317</v>
          </cell>
          <cell r="BK21">
            <v>368</v>
          </cell>
          <cell r="BL21">
            <v>372</v>
          </cell>
          <cell r="BM21">
            <v>341</v>
          </cell>
          <cell r="BN21">
            <v>1398</v>
          </cell>
          <cell r="BO21">
            <v>339</v>
          </cell>
          <cell r="BP21">
            <v>373.41917036519845</v>
          </cell>
          <cell r="BQ21">
            <v>374.86662676264393</v>
          </cell>
          <cell r="BR21">
            <v>333.51499760850515</v>
          </cell>
          <cell r="BS21">
            <v>1420.8007947363474</v>
          </cell>
          <cell r="HJ21" t="str">
            <v>mstag:otherOperatingExpense</v>
          </cell>
          <cell r="HK21" t="str">
            <v>mstag:otherOperatingExpense</v>
          </cell>
          <cell r="HL21">
            <v>6</v>
          </cell>
          <cell r="HM21" t="str">
            <v>ISO4217:USD</v>
          </cell>
          <cell r="HN21" t="b">
            <v>0</v>
          </cell>
          <cell r="HO21" t="b">
            <v>0</v>
          </cell>
        </row>
        <row r="23">
          <cell r="A23" t="str">
            <v>Operating Income</v>
          </cell>
          <cell r="B23">
            <v>261.10000000000014</v>
          </cell>
          <cell r="C23">
            <v>327.70000000000016</v>
          </cell>
          <cell r="D23">
            <v>331</v>
          </cell>
          <cell r="E23">
            <v>296.19999999999993</v>
          </cell>
          <cell r="F23">
            <v>1216.0000000000002</v>
          </cell>
          <cell r="G23">
            <v>270.80000000000007</v>
          </cell>
          <cell r="H23">
            <v>231.89999999999998</v>
          </cell>
          <cell r="I23">
            <v>230.79999999999995</v>
          </cell>
          <cell r="J23">
            <v>222.20000000000005</v>
          </cell>
          <cell r="K23">
            <v>955.69999999999959</v>
          </cell>
          <cell r="L23">
            <v>200.59999999999991</v>
          </cell>
          <cell r="M23">
            <v>232.5</v>
          </cell>
          <cell r="N23">
            <v>289.39999999999998</v>
          </cell>
          <cell r="O23">
            <v>278.60000000000002</v>
          </cell>
          <cell r="P23">
            <v>1001.1000000000004</v>
          </cell>
          <cell r="Q23">
            <v>218.40000000000009</v>
          </cell>
          <cell r="R23">
            <v>256.70000000000005</v>
          </cell>
          <cell r="S23">
            <v>289.20000000000016</v>
          </cell>
          <cell r="T23">
            <v>319.59999999999997</v>
          </cell>
          <cell r="U23">
            <v>1083.9000000000003</v>
          </cell>
          <cell r="V23">
            <v>250.20000000000005</v>
          </cell>
          <cell r="W23">
            <v>315.79999999999984</v>
          </cell>
          <cell r="X23">
            <v>328.7</v>
          </cell>
          <cell r="Y23">
            <v>346.30000000000007</v>
          </cell>
          <cell r="Z23">
            <v>1241.0000000000005</v>
          </cell>
          <cell r="AA23">
            <v>286.79999999999995</v>
          </cell>
          <cell r="AB23">
            <v>359.00000000000017</v>
          </cell>
          <cell r="AC23">
            <v>348.19999999999993</v>
          </cell>
          <cell r="AD23">
            <v>346</v>
          </cell>
          <cell r="AE23">
            <v>1339.9999999999995</v>
          </cell>
          <cell r="AF23">
            <v>266</v>
          </cell>
          <cell r="AG23">
            <v>352</v>
          </cell>
          <cell r="AH23">
            <v>382</v>
          </cell>
          <cell r="AI23">
            <v>414</v>
          </cell>
          <cell r="AJ23">
            <v>1414</v>
          </cell>
          <cell r="AK23">
            <v>294</v>
          </cell>
          <cell r="AL23">
            <v>456</v>
          </cell>
          <cell r="AM23">
            <v>392</v>
          </cell>
          <cell r="AN23">
            <v>398</v>
          </cell>
          <cell r="AO23">
            <v>1540</v>
          </cell>
          <cell r="AP23">
            <v>382</v>
          </cell>
          <cell r="AQ23">
            <v>445</v>
          </cell>
          <cell r="AR23">
            <v>465</v>
          </cell>
          <cell r="AS23">
            <v>432</v>
          </cell>
          <cell r="AT23">
            <v>1725</v>
          </cell>
          <cell r="AU23">
            <v>421</v>
          </cell>
          <cell r="AV23">
            <v>487</v>
          </cell>
          <cell r="AW23">
            <v>455</v>
          </cell>
          <cell r="AX23">
            <v>505</v>
          </cell>
          <cell r="AY23">
            <v>1868</v>
          </cell>
          <cell r="AZ23">
            <v>399</v>
          </cell>
          <cell r="BA23">
            <v>489</v>
          </cell>
          <cell r="BB23">
            <v>481</v>
          </cell>
          <cell r="BC23">
            <v>514</v>
          </cell>
          <cell r="BD23">
            <v>1883</v>
          </cell>
          <cell r="BE23">
            <v>438</v>
          </cell>
          <cell r="BF23">
            <v>529</v>
          </cell>
          <cell r="BG23">
            <v>541</v>
          </cell>
          <cell r="BH23">
            <v>523</v>
          </cell>
          <cell r="BI23">
            <v>2031</v>
          </cell>
          <cell r="BJ23">
            <v>447</v>
          </cell>
          <cell r="BK23">
            <v>532</v>
          </cell>
          <cell r="BL23">
            <v>570</v>
          </cell>
          <cell r="BM23">
            <v>590</v>
          </cell>
          <cell r="BN23">
            <v>2139</v>
          </cell>
          <cell r="BO23">
            <v>518</v>
          </cell>
          <cell r="BP23">
            <v>582.0335644211641</v>
          </cell>
          <cell r="BQ23">
            <v>612.25454883130033</v>
          </cell>
          <cell r="BR23">
            <v>603.21935352658193</v>
          </cell>
          <cell r="BS23">
            <v>2315.5074667790459</v>
          </cell>
          <cell r="BU23">
            <v>6.004812541985749E-2</v>
          </cell>
        </row>
        <row r="24">
          <cell r="A24" t="str">
            <v>Operating Margin (Net Sales)</v>
          </cell>
          <cell r="B24">
            <v>0.32938059795635188</v>
          </cell>
          <cell r="C24">
            <v>0.38516690173953944</v>
          </cell>
          <cell r="D24">
            <v>0.41276967202893128</v>
          </cell>
          <cell r="E24">
            <v>0.43259821819775079</v>
          </cell>
          <cell r="F24">
            <v>0.3884859908629118</v>
          </cell>
          <cell r="G24">
            <v>0.39412021539804987</v>
          </cell>
          <cell r="H24">
            <v>0.37554655870445341</v>
          </cell>
          <cell r="I24">
            <v>0.34463192474242194</v>
          </cell>
          <cell r="J24">
            <v>0.35286644433857395</v>
          </cell>
          <cell r="K24">
            <v>0.36701228878648223</v>
          </cell>
          <cell r="L24">
            <v>0.32788492971559319</v>
          </cell>
          <cell r="M24">
            <v>0.3328084740910392</v>
          </cell>
          <cell r="N24">
            <v>0.40680348608377842</v>
          </cell>
          <cell r="O24">
            <v>0.41706586826347308</v>
          </cell>
          <cell r="P24">
            <v>0.37218380548739693</v>
          </cell>
          <cell r="Q24">
            <v>0.3418375332602912</v>
          </cell>
          <cell r="R24">
            <v>0.34258641398638739</v>
          </cell>
          <cell r="S24">
            <v>0.38447221483647986</v>
          </cell>
          <cell r="T24">
            <v>0.42539598030081188</v>
          </cell>
          <cell r="U24">
            <v>0.37483141404710041</v>
          </cell>
          <cell r="V24">
            <v>0.36213634389926191</v>
          </cell>
          <cell r="W24">
            <v>0.39445415938046452</v>
          </cell>
          <cell r="X24">
            <v>0.41077230692326916</v>
          </cell>
          <cell r="Y24">
            <v>0.45291655767721695</v>
          </cell>
          <cell r="Z24">
            <v>0.4060465268461867</v>
          </cell>
          <cell r="AA24">
            <v>0.38173832024490878</v>
          </cell>
          <cell r="AB24">
            <v>0.41009824080420393</v>
          </cell>
          <cell r="AC24">
            <v>0.40342949832000924</v>
          </cell>
          <cell r="AD24">
            <v>0.43686868686868685</v>
          </cell>
          <cell r="AE24">
            <v>0.40831251142665598</v>
          </cell>
          <cell r="AF24">
            <v>0.35092348284960423</v>
          </cell>
          <cell r="AG24">
            <v>0.39729119638826182</v>
          </cell>
          <cell r="AH24">
            <v>0.40811965811965811</v>
          </cell>
          <cell r="AI24">
            <v>0.45394736842105265</v>
          </cell>
          <cell r="AJ24">
            <v>0.40492554410080184</v>
          </cell>
          <cell r="AK24">
            <v>0.3833116036505867</v>
          </cell>
          <cell r="AL24">
            <v>0.44143272023233299</v>
          </cell>
          <cell r="AM24">
            <v>0.41133263378803775</v>
          </cell>
          <cell r="AN24">
            <v>0.42703862660944208</v>
          </cell>
          <cell r="AO24">
            <v>0.41791044776119401</v>
          </cell>
          <cell r="AP24">
            <v>0.41386782231852653</v>
          </cell>
          <cell r="AQ24">
            <v>0.42870905587668595</v>
          </cell>
          <cell r="AR24">
            <v>0.43336439888164024</v>
          </cell>
          <cell r="AS24">
            <v>0.42394504416094209</v>
          </cell>
          <cell r="AT24">
            <v>0.42561065877128051</v>
          </cell>
          <cell r="AU24">
            <v>0.39867424242424243</v>
          </cell>
          <cell r="AV24">
            <v>0.42018981880931838</v>
          </cell>
          <cell r="AW24">
            <v>0.4088050314465409</v>
          </cell>
          <cell r="AX24">
            <v>0.44888888888888889</v>
          </cell>
          <cell r="AY24">
            <v>0.41949247698181003</v>
          </cell>
          <cell r="AZ24">
            <v>0.37677053824362605</v>
          </cell>
          <cell r="BA24">
            <v>0.4058091286307054</v>
          </cell>
          <cell r="BB24">
            <v>0.41358555460017199</v>
          </cell>
          <cell r="BC24">
            <v>0.4251447477253929</v>
          </cell>
          <cell r="BD24">
            <v>0.40616911130284727</v>
          </cell>
          <cell r="BE24">
            <v>0.39037433155080214</v>
          </cell>
          <cell r="BF24">
            <v>0.4107142857142857</v>
          </cell>
          <cell r="BG24">
            <v>0.41297709923664122</v>
          </cell>
          <cell r="BH24">
            <v>0.41739824421388666</v>
          </cell>
          <cell r="BI24">
            <v>0.40840538910114621</v>
          </cell>
          <cell r="BJ24">
            <v>0.38971229293809939</v>
          </cell>
          <cell r="BK24">
            <v>0.41017733230531994</v>
          </cell>
          <cell r="BL24">
            <v>0.43051359516616317</v>
          </cell>
          <cell r="BM24">
            <v>0.45985970381917379</v>
          </cell>
          <cell r="BN24">
            <v>0.42348049891110673</v>
          </cell>
          <cell r="BO24">
            <v>0.42809917355371901</v>
          </cell>
          <cell r="BP24">
            <v>0.4340347584197039</v>
          </cell>
          <cell r="BQ24">
            <v>0.45272289305131214</v>
          </cell>
          <cell r="BR24">
            <v>0.46501629014019752</v>
          </cell>
          <cell r="BS24">
            <v>0.44524136525347385</v>
          </cell>
          <cell r="BW24">
            <v>424.61459605287132</v>
          </cell>
        </row>
        <row r="26">
          <cell r="A26" t="str">
            <v>Investment Income</v>
          </cell>
          <cell r="B26">
            <v>14.2</v>
          </cell>
          <cell r="C26">
            <v>18.2</v>
          </cell>
          <cell r="D26">
            <v>37.1</v>
          </cell>
          <cell r="E26">
            <v>13.5</v>
          </cell>
          <cell r="F26">
            <v>83</v>
          </cell>
          <cell r="G26">
            <v>8.8000000000000007</v>
          </cell>
          <cell r="H26">
            <v>8.9</v>
          </cell>
          <cell r="I26">
            <v>2.9</v>
          </cell>
          <cell r="J26">
            <v>11.5</v>
          </cell>
          <cell r="K26">
            <v>32.1</v>
          </cell>
          <cell r="L26">
            <v>8.5</v>
          </cell>
          <cell r="M26">
            <v>6.5</v>
          </cell>
          <cell r="N26">
            <v>8.1</v>
          </cell>
          <cell r="O26">
            <v>16.899999999999999</v>
          </cell>
          <cell r="P26">
            <v>40</v>
          </cell>
          <cell r="Q26">
            <v>12.2</v>
          </cell>
          <cell r="R26">
            <v>18.3</v>
          </cell>
          <cell r="S26">
            <v>20.5</v>
          </cell>
          <cell r="T26">
            <v>21.5</v>
          </cell>
          <cell r="U26">
            <v>72.5</v>
          </cell>
          <cell r="V26">
            <v>26</v>
          </cell>
          <cell r="W26">
            <v>21.3</v>
          </cell>
          <cell r="X26">
            <v>29.7</v>
          </cell>
          <cell r="Y26">
            <v>34.4</v>
          </cell>
          <cell r="Z26">
            <v>111.4</v>
          </cell>
          <cell r="AA26">
            <v>34.299999999999997</v>
          </cell>
          <cell r="AB26">
            <v>26.4</v>
          </cell>
          <cell r="AC26">
            <v>36</v>
          </cell>
          <cell r="AD26">
            <v>21</v>
          </cell>
          <cell r="AE26">
            <v>117.69999999999999</v>
          </cell>
          <cell r="AF26">
            <v>16</v>
          </cell>
          <cell r="AG26">
            <v>7.5</v>
          </cell>
          <cell r="AH26">
            <v>4</v>
          </cell>
          <cell r="AI26">
            <v>1</v>
          </cell>
          <cell r="AJ26">
            <v>28.5</v>
          </cell>
          <cell r="AK26">
            <v>1</v>
          </cell>
          <cell r="AL26">
            <v>1</v>
          </cell>
          <cell r="AM26">
            <v>1</v>
          </cell>
          <cell r="AN26">
            <v>1</v>
          </cell>
          <cell r="AO26">
            <v>5</v>
          </cell>
          <cell r="AP26">
            <v>1</v>
          </cell>
          <cell r="AQ26">
            <v>1</v>
          </cell>
          <cell r="AR26">
            <v>1</v>
          </cell>
          <cell r="AS26">
            <v>0.64047001031608852</v>
          </cell>
          <cell r="AT26">
            <v>3.6404700103160885</v>
          </cell>
          <cell r="AU26">
            <v>1</v>
          </cell>
          <cell r="AV26">
            <v>1</v>
          </cell>
          <cell r="AW26">
            <v>0</v>
          </cell>
          <cell r="AX26">
            <v>1</v>
          </cell>
          <cell r="AY26">
            <v>3</v>
          </cell>
          <cell r="AZ26">
            <v>1</v>
          </cell>
          <cell r="BA26">
            <v>0</v>
          </cell>
          <cell r="BB26">
            <v>1</v>
          </cell>
          <cell r="BC26">
            <v>1.3979153019464738</v>
          </cell>
          <cell r="BD26">
            <v>3.3979153019464738</v>
          </cell>
          <cell r="BE26">
            <v>1</v>
          </cell>
          <cell r="BF26">
            <v>0</v>
          </cell>
          <cell r="BG26">
            <v>0</v>
          </cell>
          <cell r="BH26">
            <v>1</v>
          </cell>
          <cell r="BI26">
            <v>2</v>
          </cell>
          <cell r="BJ26">
            <v>1</v>
          </cell>
          <cell r="BK26">
            <v>-2</v>
          </cell>
          <cell r="BL26">
            <v>0</v>
          </cell>
          <cell r="BM26">
            <v>1</v>
          </cell>
          <cell r="BN26">
            <v>0</v>
          </cell>
          <cell r="BO26">
            <v>1</v>
          </cell>
          <cell r="BP26">
            <v>0.90216317298263349</v>
          </cell>
          <cell r="BQ26">
            <v>0.9021631729826336</v>
          </cell>
          <cell r="BR26">
            <v>0.90216317298263382</v>
          </cell>
          <cell r="BS26">
            <v>3.7064895189479006</v>
          </cell>
          <cell r="HJ26" t="str">
            <v>mstag:interestAndDividendIncome</v>
          </cell>
          <cell r="HK26" t="str">
            <v>mstag:interestAndDividendIncome</v>
          </cell>
          <cell r="HL26">
            <v>6</v>
          </cell>
          <cell r="HM26" t="str">
            <v>ISO4217:USD</v>
          </cell>
          <cell r="HN26" t="b">
            <v>0</v>
          </cell>
          <cell r="HO26" t="b">
            <v>0</v>
          </cell>
        </row>
        <row r="27">
          <cell r="A27" t="str">
            <v>Interest Expense</v>
          </cell>
          <cell r="B27">
            <v>50</v>
          </cell>
          <cell r="C27">
            <v>50</v>
          </cell>
          <cell r="D27">
            <v>50</v>
          </cell>
          <cell r="E27">
            <v>49.4</v>
          </cell>
          <cell r="F27">
            <v>199.4</v>
          </cell>
          <cell r="G27">
            <v>48.2</v>
          </cell>
          <cell r="H27">
            <v>47.3</v>
          </cell>
          <cell r="I27">
            <v>45.2</v>
          </cell>
          <cell r="J27">
            <v>42.1</v>
          </cell>
          <cell r="K27">
            <v>182.79999999999998</v>
          </cell>
          <cell r="L27">
            <v>40.299999999999997</v>
          </cell>
          <cell r="M27">
            <v>39.799999999999997</v>
          </cell>
          <cell r="N27">
            <v>39.299999999999997</v>
          </cell>
          <cell r="O27">
            <v>38.1</v>
          </cell>
          <cell r="P27">
            <v>157.5</v>
          </cell>
          <cell r="Q27">
            <v>36.6</v>
          </cell>
          <cell r="R27">
            <v>35.6</v>
          </cell>
          <cell r="S27">
            <v>34.799999999999997</v>
          </cell>
          <cell r="T27">
            <v>33.9</v>
          </cell>
          <cell r="U27">
            <v>140.9</v>
          </cell>
          <cell r="V27">
            <v>31.5</v>
          </cell>
          <cell r="W27">
            <v>29.8</v>
          </cell>
          <cell r="X27">
            <v>28.3</v>
          </cell>
          <cell r="Y27">
            <v>26</v>
          </cell>
          <cell r="Z27">
            <v>115.6</v>
          </cell>
          <cell r="AA27">
            <v>23.2</v>
          </cell>
          <cell r="AB27">
            <v>23</v>
          </cell>
          <cell r="AC27">
            <v>19.3</v>
          </cell>
          <cell r="AD27">
            <v>8</v>
          </cell>
          <cell r="AE27">
            <v>73.5</v>
          </cell>
          <cell r="AF27">
            <v>7</v>
          </cell>
          <cell r="AG27">
            <v>2.5</v>
          </cell>
          <cell r="AH27">
            <v>0</v>
          </cell>
          <cell r="AI27">
            <v>0</v>
          </cell>
          <cell r="AJ27">
            <v>9.5</v>
          </cell>
          <cell r="AK27">
            <v>0</v>
          </cell>
          <cell r="AL27">
            <v>1.8</v>
          </cell>
          <cell r="AM27">
            <v>15</v>
          </cell>
          <cell r="AN27">
            <v>9</v>
          </cell>
          <cell r="AO27">
            <v>25.8</v>
          </cell>
          <cell r="AP27">
            <v>10</v>
          </cell>
          <cell r="AQ27">
            <v>28</v>
          </cell>
          <cell r="AR27">
            <v>29</v>
          </cell>
          <cell r="AS27">
            <v>28</v>
          </cell>
          <cell r="AT27">
            <v>94</v>
          </cell>
          <cell r="AU27">
            <v>28</v>
          </cell>
          <cell r="AV27">
            <v>28</v>
          </cell>
          <cell r="AW27">
            <v>34</v>
          </cell>
          <cell r="AX27">
            <v>35</v>
          </cell>
          <cell r="AY27">
            <v>125</v>
          </cell>
          <cell r="AZ27">
            <v>39</v>
          </cell>
          <cell r="BA27">
            <v>37</v>
          </cell>
          <cell r="BB27">
            <v>38</v>
          </cell>
          <cell r="BC27">
            <v>39</v>
          </cell>
          <cell r="BD27">
            <v>153</v>
          </cell>
          <cell r="BE27">
            <v>41</v>
          </cell>
          <cell r="BF27">
            <v>41</v>
          </cell>
          <cell r="BG27">
            <v>45</v>
          </cell>
          <cell r="BH27">
            <v>45</v>
          </cell>
          <cell r="BI27">
            <v>172</v>
          </cell>
          <cell r="BJ27">
            <v>45</v>
          </cell>
          <cell r="BK27">
            <v>45</v>
          </cell>
          <cell r="BL27">
            <v>45</v>
          </cell>
          <cell r="BM27">
            <v>44</v>
          </cell>
          <cell r="BN27">
            <v>179</v>
          </cell>
          <cell r="BO27">
            <v>45</v>
          </cell>
          <cell r="BP27">
            <v>44.35</v>
          </cell>
          <cell r="BQ27">
            <v>44.350000000000009</v>
          </cell>
          <cell r="BR27">
            <v>44.350000000000023</v>
          </cell>
          <cell r="BS27">
            <v>178.05</v>
          </cell>
          <cell r="HJ27" t="str">
            <v>mstag:interestExpense</v>
          </cell>
          <cell r="HK27" t="str">
            <v>mstag:interestExpense</v>
          </cell>
          <cell r="HL27">
            <v>6</v>
          </cell>
          <cell r="HM27" t="str">
            <v>ISO4217:USD</v>
          </cell>
          <cell r="HN27" t="b">
            <v>0</v>
          </cell>
          <cell r="HO27" t="b">
            <v>0</v>
          </cell>
        </row>
        <row r="28">
          <cell r="A28" t="str">
            <v>Net Interest Expense</v>
          </cell>
          <cell r="B28">
            <v>35.799999999999997</v>
          </cell>
          <cell r="C28">
            <v>31.8</v>
          </cell>
          <cell r="D28">
            <v>12.899999999999999</v>
          </cell>
          <cell r="E28">
            <v>35.9</v>
          </cell>
          <cell r="F28">
            <v>116.4</v>
          </cell>
          <cell r="G28">
            <v>39.400000000000006</v>
          </cell>
          <cell r="H28">
            <v>38.4</v>
          </cell>
          <cell r="I28">
            <v>42.3</v>
          </cell>
          <cell r="J28">
            <v>30.5</v>
          </cell>
          <cell r="K28">
            <v>150.69999999999999</v>
          </cell>
          <cell r="L28">
            <v>31.799999999999997</v>
          </cell>
          <cell r="M28">
            <v>33.299999999999997</v>
          </cell>
          <cell r="N28">
            <v>31.199999999999996</v>
          </cell>
          <cell r="O28">
            <v>21.200000000000003</v>
          </cell>
          <cell r="P28">
            <v>117.5</v>
          </cell>
          <cell r="Q28">
            <v>24.400000000000002</v>
          </cell>
          <cell r="R28">
            <v>17.3</v>
          </cell>
          <cell r="S28">
            <v>14.299999999999997</v>
          </cell>
          <cell r="T28">
            <v>12.399999999999999</v>
          </cell>
          <cell r="U28">
            <v>68.400000000000006</v>
          </cell>
          <cell r="V28">
            <v>5.5</v>
          </cell>
          <cell r="W28">
            <v>8.5</v>
          </cell>
          <cell r="X28">
            <v>-1.3999999999999986</v>
          </cell>
          <cell r="Y28">
            <v>-8.3999999999999986</v>
          </cell>
          <cell r="Z28">
            <v>4.1999999999999886</v>
          </cell>
          <cell r="AA28">
            <v>-11.099999999999998</v>
          </cell>
          <cell r="AB28">
            <v>-3.3999999999999986</v>
          </cell>
          <cell r="AC28">
            <v>-16.7</v>
          </cell>
          <cell r="AD28">
            <v>-13</v>
          </cell>
          <cell r="AE28">
            <v>-44.199999999999989</v>
          </cell>
          <cell r="AF28">
            <v>-9</v>
          </cell>
          <cell r="AG28">
            <v>-5</v>
          </cell>
          <cell r="AH28">
            <v>-4</v>
          </cell>
          <cell r="AI28">
            <v>-1</v>
          </cell>
          <cell r="AJ28">
            <v>-19</v>
          </cell>
          <cell r="AK28">
            <v>-1</v>
          </cell>
          <cell r="AL28">
            <v>0.8</v>
          </cell>
          <cell r="AM28">
            <v>14</v>
          </cell>
          <cell r="AN28">
            <v>8</v>
          </cell>
          <cell r="AO28">
            <v>20.8</v>
          </cell>
          <cell r="AP28">
            <v>9</v>
          </cell>
          <cell r="AQ28">
            <v>27</v>
          </cell>
          <cell r="AR28">
            <v>28</v>
          </cell>
          <cell r="AS28">
            <v>27.35952998968391</v>
          </cell>
          <cell r="AT28">
            <v>90.359529989683907</v>
          </cell>
          <cell r="AU28">
            <v>27</v>
          </cell>
          <cell r="AV28">
            <v>27</v>
          </cell>
          <cell r="AW28">
            <v>34</v>
          </cell>
          <cell r="AX28">
            <v>34</v>
          </cell>
          <cell r="AY28">
            <v>122</v>
          </cell>
          <cell r="AZ28">
            <v>38</v>
          </cell>
          <cell r="BA28">
            <v>37</v>
          </cell>
          <cell r="BB28">
            <v>37</v>
          </cell>
          <cell r="BC28">
            <v>37.602084698053524</v>
          </cell>
          <cell r="BD28">
            <v>149.60208469805352</v>
          </cell>
          <cell r="BE28">
            <v>40</v>
          </cell>
          <cell r="BF28">
            <v>41</v>
          </cell>
          <cell r="BG28">
            <v>45</v>
          </cell>
          <cell r="BH28">
            <v>44</v>
          </cell>
          <cell r="BI28">
            <v>170</v>
          </cell>
          <cell r="BJ28">
            <v>44</v>
          </cell>
          <cell r="BK28">
            <v>47</v>
          </cell>
          <cell r="BL28">
            <v>45</v>
          </cell>
          <cell r="BM28">
            <v>43</v>
          </cell>
          <cell r="BN28">
            <v>179</v>
          </cell>
          <cell r="BO28">
            <v>44</v>
          </cell>
          <cell r="BP28">
            <v>43.447836827017369</v>
          </cell>
          <cell r="BQ28">
            <v>43.447836827017376</v>
          </cell>
          <cell r="BR28">
            <v>43.44783682701739</v>
          </cell>
          <cell r="BS28">
            <v>174.34351048105211</v>
          </cell>
        </row>
        <row r="30">
          <cell r="A30" t="str">
            <v>Pre-tax income</v>
          </cell>
          <cell r="B30">
            <v>225.30000000000013</v>
          </cell>
          <cell r="C30">
            <v>295.90000000000015</v>
          </cell>
          <cell r="D30">
            <v>318.10000000000002</v>
          </cell>
          <cell r="E30">
            <v>260.29999999999995</v>
          </cell>
          <cell r="F30">
            <v>1099.6000000000004</v>
          </cell>
          <cell r="G30">
            <v>231.40000000000006</v>
          </cell>
          <cell r="H30">
            <v>193.49999999999997</v>
          </cell>
          <cell r="I30">
            <v>188.49999999999994</v>
          </cell>
          <cell r="J30">
            <v>191.70000000000005</v>
          </cell>
          <cell r="K30">
            <v>804.99999999999955</v>
          </cell>
          <cell r="L30">
            <v>168.7999999999999</v>
          </cell>
          <cell r="M30">
            <v>199.2</v>
          </cell>
          <cell r="N30">
            <v>258.2</v>
          </cell>
          <cell r="O30">
            <v>257.40000000000003</v>
          </cell>
          <cell r="P30">
            <v>883.60000000000036</v>
          </cell>
          <cell r="Q30">
            <v>194.00000000000009</v>
          </cell>
          <cell r="R30">
            <v>239.40000000000003</v>
          </cell>
          <cell r="S30">
            <v>274.90000000000015</v>
          </cell>
          <cell r="T30">
            <v>307.2</v>
          </cell>
          <cell r="U30">
            <v>1015.5000000000003</v>
          </cell>
          <cell r="V30">
            <v>244.70000000000005</v>
          </cell>
          <cell r="W30">
            <v>307.29999999999984</v>
          </cell>
          <cell r="X30">
            <v>330.09999999999997</v>
          </cell>
          <cell r="Y30">
            <v>354.70000000000005</v>
          </cell>
          <cell r="Z30">
            <v>1236.8000000000004</v>
          </cell>
          <cell r="AA30">
            <v>297.89999999999998</v>
          </cell>
          <cell r="AB30">
            <v>362.40000000000015</v>
          </cell>
          <cell r="AC30">
            <v>364.89999999999992</v>
          </cell>
          <cell r="AD30">
            <v>359</v>
          </cell>
          <cell r="AE30">
            <v>1384.1999999999996</v>
          </cell>
          <cell r="AF30">
            <v>275</v>
          </cell>
          <cell r="AG30">
            <v>357</v>
          </cell>
          <cell r="AH30">
            <v>386</v>
          </cell>
          <cell r="AI30">
            <v>415</v>
          </cell>
          <cell r="AJ30">
            <v>1433</v>
          </cell>
          <cell r="AK30">
            <v>295</v>
          </cell>
          <cell r="AL30">
            <v>455.2</v>
          </cell>
          <cell r="AM30">
            <v>378</v>
          </cell>
          <cell r="AN30">
            <v>390</v>
          </cell>
          <cell r="AO30">
            <v>1519.2</v>
          </cell>
          <cell r="AP30">
            <v>373</v>
          </cell>
          <cell r="AQ30">
            <v>418</v>
          </cell>
          <cell r="AR30">
            <v>437</v>
          </cell>
          <cell r="AS30">
            <v>404.64047001031611</v>
          </cell>
          <cell r="AT30">
            <v>1634.640470010316</v>
          </cell>
          <cell r="AU30">
            <v>394</v>
          </cell>
          <cell r="AV30">
            <v>460</v>
          </cell>
          <cell r="AW30">
            <v>421</v>
          </cell>
          <cell r="AX30">
            <v>471</v>
          </cell>
          <cell r="AY30">
            <v>1746</v>
          </cell>
          <cell r="AZ30">
            <v>361</v>
          </cell>
          <cell r="BA30">
            <v>452</v>
          </cell>
          <cell r="BB30">
            <v>444</v>
          </cell>
          <cell r="BC30">
            <v>476.39791530194645</v>
          </cell>
          <cell r="BD30">
            <v>1733.3979153019463</v>
          </cell>
          <cell r="BE30">
            <v>398</v>
          </cell>
          <cell r="BF30">
            <v>488</v>
          </cell>
          <cell r="BG30">
            <v>496</v>
          </cell>
          <cell r="BH30">
            <v>479</v>
          </cell>
          <cell r="BI30">
            <v>1861</v>
          </cell>
          <cell r="BJ30">
            <v>403</v>
          </cell>
          <cell r="BK30">
            <v>485</v>
          </cell>
          <cell r="BL30">
            <v>525</v>
          </cell>
          <cell r="BM30">
            <v>547</v>
          </cell>
          <cell r="BN30">
            <v>1960</v>
          </cell>
          <cell r="BO30">
            <v>474</v>
          </cell>
          <cell r="BP30">
            <v>538.58572759414676</v>
          </cell>
          <cell r="BQ30">
            <v>568.80671200428299</v>
          </cell>
          <cell r="BR30">
            <v>559.77151669956459</v>
          </cell>
          <cell r="BS30">
            <v>2141.163956297994</v>
          </cell>
        </row>
        <row r="31">
          <cell r="A31" t="str">
            <v>EBT Margin % (Net Sales)</v>
          </cell>
          <cell r="B31">
            <v>0.28421849375551927</v>
          </cell>
          <cell r="C31">
            <v>0.3477903149976494</v>
          </cell>
          <cell r="D31">
            <v>0.39668287816435971</v>
          </cell>
          <cell r="E31">
            <v>0.38016649627574117</v>
          </cell>
          <cell r="F31">
            <v>0.35129868055333707</v>
          </cell>
          <cell r="G31">
            <v>0.3367777616067531</v>
          </cell>
          <cell r="H31">
            <v>0.31336032388663965</v>
          </cell>
          <cell r="I31">
            <v>0.28146931461848584</v>
          </cell>
          <cell r="J31">
            <v>0.30443068127679851</v>
          </cell>
          <cell r="K31">
            <v>0.30913978494623645</v>
          </cell>
          <cell r="L31">
            <v>0.27590715920235359</v>
          </cell>
          <cell r="M31">
            <v>0.28514171199541938</v>
          </cell>
          <cell r="N31">
            <v>0.36294630306438008</v>
          </cell>
          <cell r="O31">
            <v>0.38532934131736535</v>
          </cell>
          <cell r="P31">
            <v>0.32850026024239731</v>
          </cell>
          <cell r="Q31">
            <v>0.30364689309751142</v>
          </cell>
          <cell r="R31">
            <v>0.31949819831843063</v>
          </cell>
          <cell r="S31">
            <v>0.36546131348045752</v>
          </cell>
          <cell r="T31">
            <v>0.40889125515772662</v>
          </cell>
          <cell r="U31">
            <v>0.35117750804025322</v>
          </cell>
          <cell r="V31">
            <v>0.35417571283832688</v>
          </cell>
          <cell r="W31">
            <v>0.38383712215838106</v>
          </cell>
          <cell r="X31">
            <v>0.41252186953261677</v>
          </cell>
          <cell r="Y31">
            <v>0.46390269421919961</v>
          </cell>
          <cell r="Z31">
            <v>0.40467231619932609</v>
          </cell>
          <cell r="AA31">
            <v>0.3965127113004126</v>
          </cell>
          <cell r="AB31">
            <v>0.41398217957505151</v>
          </cell>
          <cell r="AC31">
            <v>0.42277835708492639</v>
          </cell>
          <cell r="AD31">
            <v>0.45328282828282829</v>
          </cell>
          <cell r="AE31">
            <v>0.42178073008714723</v>
          </cell>
          <cell r="AF31">
            <v>0.36279683377308708</v>
          </cell>
          <cell r="AG31">
            <v>0.40293453724604966</v>
          </cell>
          <cell r="AH31">
            <v>0.41239316239316237</v>
          </cell>
          <cell r="AI31">
            <v>0.45504385964912281</v>
          </cell>
          <cell r="AJ31">
            <v>0.41036655211912942</v>
          </cell>
          <cell r="AK31">
            <v>0.38461538461538464</v>
          </cell>
          <cell r="AL31">
            <v>0.44065827686350434</v>
          </cell>
          <cell r="AM31">
            <v>0.39664218258132217</v>
          </cell>
          <cell r="AN31">
            <v>0.41845493562231761</v>
          </cell>
          <cell r="AO31">
            <v>0.4122659430122117</v>
          </cell>
          <cell r="AP31">
            <v>0.40411700975081255</v>
          </cell>
          <cell r="AQ31">
            <v>0.40269749518304432</v>
          </cell>
          <cell r="AR31">
            <v>0.40726933830382106</v>
          </cell>
          <cell r="AS31">
            <v>0.39709565261071256</v>
          </cell>
          <cell r="AT31">
            <v>0.40331617814219489</v>
          </cell>
          <cell r="AU31">
            <v>0.37310606060606061</v>
          </cell>
          <cell r="AV31">
            <v>0.39689387402933562</v>
          </cell>
          <cell r="AW31">
            <v>0.37825696316262353</v>
          </cell>
          <cell r="AX31">
            <v>0.41866666666666669</v>
          </cell>
          <cell r="AY31">
            <v>0.39209521670783742</v>
          </cell>
          <cell r="AZ31">
            <v>0.34088762983947118</v>
          </cell>
          <cell r="BA31">
            <v>0.37510373443983402</v>
          </cell>
          <cell r="BB31">
            <v>0.38177128116938952</v>
          </cell>
          <cell r="BC31">
            <v>0.39404294069639906</v>
          </cell>
          <cell r="BD31">
            <v>0.37389946404269764</v>
          </cell>
          <cell r="BE31">
            <v>0.35472370766488415</v>
          </cell>
          <cell r="BF31">
            <v>0.37888198757763975</v>
          </cell>
          <cell r="BG31">
            <v>0.37862595419847328</v>
          </cell>
          <cell r="BH31">
            <v>0.38228252194732643</v>
          </cell>
          <cell r="BI31">
            <v>0.37422079227830285</v>
          </cell>
          <cell r="BJ31">
            <v>0.35135135135135137</v>
          </cell>
          <cell r="BK31">
            <v>0.37393986121819583</v>
          </cell>
          <cell r="BL31">
            <v>0.39652567975830816</v>
          </cell>
          <cell r="BM31">
            <v>0.42634450506625099</v>
          </cell>
          <cell r="BN31">
            <v>0.3880419718867551</v>
          </cell>
          <cell r="BO31">
            <v>0.39173553719008264</v>
          </cell>
          <cell r="BP31">
            <v>0.40163478612630626</v>
          </cell>
          <cell r="BQ31">
            <v>0.42059600984122358</v>
          </cell>
          <cell r="BR31">
            <v>0.43152274956030973</v>
          </cell>
          <cell r="BS31">
            <v>0.4117174212613407</v>
          </cell>
        </row>
        <row r="33">
          <cell r="A33" t="str">
            <v>Taxes</v>
          </cell>
          <cell r="B33">
            <v>87.4</v>
          </cell>
          <cell r="C33">
            <v>117.17640000000006</v>
          </cell>
          <cell r="D33">
            <v>126.44475000000001</v>
          </cell>
          <cell r="E33">
            <v>99.955199999999991</v>
          </cell>
          <cell r="F33">
            <v>430.97635000000008</v>
          </cell>
          <cell r="G33">
            <v>90.01460000000003</v>
          </cell>
          <cell r="H33">
            <v>68.111999999999981</v>
          </cell>
          <cell r="I33">
            <v>72.082399999999978</v>
          </cell>
          <cell r="J33">
            <v>72.5</v>
          </cell>
          <cell r="K33">
            <v>302.70899999999995</v>
          </cell>
          <cell r="L33">
            <v>65.8</v>
          </cell>
          <cell r="M33">
            <v>77.8</v>
          </cell>
          <cell r="N33">
            <v>98.3</v>
          </cell>
          <cell r="O33">
            <v>95.7</v>
          </cell>
          <cell r="P33">
            <v>337.59999999999997</v>
          </cell>
          <cell r="Q33">
            <v>75.500000000000028</v>
          </cell>
          <cell r="R33">
            <v>97.300000000000011</v>
          </cell>
          <cell r="S33">
            <v>102.90000000000006</v>
          </cell>
          <cell r="T33">
            <v>116.7</v>
          </cell>
          <cell r="U33">
            <v>392.40000000000009</v>
          </cell>
          <cell r="V33">
            <v>94.6</v>
          </cell>
          <cell r="W33">
            <v>120.1</v>
          </cell>
          <cell r="X33">
            <v>127.2</v>
          </cell>
          <cell r="Y33">
            <v>134.69999999999999</v>
          </cell>
          <cell r="Z33">
            <v>476.59999999999997</v>
          </cell>
          <cell r="AA33">
            <v>109.32929999999999</v>
          </cell>
          <cell r="AB33">
            <v>135.30000000000001</v>
          </cell>
          <cell r="AC33">
            <v>131.30000000000001</v>
          </cell>
          <cell r="AD33">
            <v>106.59726962457337</v>
          </cell>
          <cell r="AE33">
            <v>482.52656962457337</v>
          </cell>
          <cell r="AF33">
            <v>100.95335641047694</v>
          </cell>
          <cell r="AG33">
            <v>140</v>
          </cell>
          <cell r="AH33">
            <v>149</v>
          </cell>
          <cell r="AI33">
            <v>157</v>
          </cell>
          <cell r="AJ33">
            <v>546.953356410477</v>
          </cell>
          <cell r="AK33">
            <v>111</v>
          </cell>
          <cell r="AL33">
            <v>169.07428571428571</v>
          </cell>
          <cell r="AM33">
            <v>143</v>
          </cell>
          <cell r="AN33">
            <v>148</v>
          </cell>
          <cell r="AO33">
            <v>571.07428571428568</v>
          </cell>
          <cell r="AP33">
            <v>141</v>
          </cell>
          <cell r="AQ33">
            <v>155</v>
          </cell>
          <cell r="AR33">
            <v>163.001</v>
          </cell>
          <cell r="AS33">
            <v>147</v>
          </cell>
          <cell r="AT33">
            <v>606.00099999999998</v>
          </cell>
          <cell r="AU33">
            <v>146</v>
          </cell>
          <cell r="AV33">
            <v>169</v>
          </cell>
          <cell r="AW33">
            <v>154</v>
          </cell>
          <cell r="AX33">
            <v>176.49900000000002</v>
          </cell>
          <cell r="AY33">
            <v>645.49900000000002</v>
          </cell>
          <cell r="AZ33">
            <v>133</v>
          </cell>
          <cell r="BA33">
            <v>165.60000000000002</v>
          </cell>
          <cell r="BB33">
            <v>161</v>
          </cell>
          <cell r="BC33">
            <v>172.39791530194645</v>
          </cell>
          <cell r="BD33">
            <v>631.99791530194648</v>
          </cell>
          <cell r="BE33">
            <v>147</v>
          </cell>
          <cell r="BF33">
            <v>181.10000000000002</v>
          </cell>
          <cell r="BG33">
            <v>186</v>
          </cell>
          <cell r="BH33">
            <v>179</v>
          </cell>
          <cell r="BI33">
            <v>693.1</v>
          </cell>
          <cell r="BJ33">
            <v>151</v>
          </cell>
          <cell r="BK33">
            <v>181</v>
          </cell>
          <cell r="BL33">
            <v>199</v>
          </cell>
          <cell r="BM33">
            <v>213</v>
          </cell>
          <cell r="BN33">
            <v>744</v>
          </cell>
          <cell r="BO33">
            <v>178</v>
          </cell>
          <cell r="BP33">
            <v>201.87495978036577</v>
          </cell>
          <cell r="BQ33">
            <v>213.20251582157721</v>
          </cell>
          <cell r="BR33">
            <v>209.8590080098046</v>
          </cell>
          <cell r="BS33">
            <v>802.93648361174758</v>
          </cell>
          <cell r="HJ33" t="str">
            <v>mstag:taxExpenseIncome</v>
          </cell>
          <cell r="HK33" t="str">
            <v>mstag:taxExpenseIncome</v>
          </cell>
          <cell r="HL33">
            <v>6</v>
          </cell>
          <cell r="HM33" t="str">
            <v>ISO4217:USD</v>
          </cell>
          <cell r="HN33" t="b">
            <v>0</v>
          </cell>
          <cell r="HO33" t="b">
            <v>0</v>
          </cell>
        </row>
        <row r="34">
          <cell r="A34" t="str">
            <v>Effective Tax Rate</v>
          </cell>
          <cell r="B34">
            <v>0.38792720816688842</v>
          </cell>
          <cell r="C34">
            <v>0.39600000000000002</v>
          </cell>
          <cell r="D34">
            <v>0.39750000000000002</v>
          </cell>
          <cell r="E34">
            <v>0.38400000000000001</v>
          </cell>
          <cell r="F34">
            <v>0.39193920516551467</v>
          </cell>
          <cell r="G34">
            <v>0.38900000000000001</v>
          </cell>
          <cell r="H34">
            <v>0.35199999999999992</v>
          </cell>
          <cell r="I34">
            <v>0.38240000000000002</v>
          </cell>
          <cell r="J34">
            <v>0.37819509650495559</v>
          </cell>
          <cell r="K34">
            <v>0.37603602484472065</v>
          </cell>
          <cell r="L34">
            <v>0.38981042654028458</v>
          </cell>
          <cell r="M34">
            <v>0.39056224899598396</v>
          </cell>
          <cell r="N34">
            <v>0.38071262587141752</v>
          </cell>
          <cell r="O34">
            <v>0.37179487179487175</v>
          </cell>
          <cell r="P34">
            <v>0.38207333635128998</v>
          </cell>
          <cell r="Q34">
            <v>0.38917525773195877</v>
          </cell>
          <cell r="R34">
            <v>0.4064327485380117</v>
          </cell>
          <cell r="S34">
            <v>0.37431793379410699</v>
          </cell>
          <cell r="T34">
            <v>0.3798828125</v>
          </cell>
          <cell r="U34">
            <v>0.38641063515509599</v>
          </cell>
          <cell r="V34">
            <v>0.38659583163056793</v>
          </cell>
          <cell r="W34">
            <v>0.39082329970712676</v>
          </cell>
          <cell r="X34">
            <v>0.3853377764313845</v>
          </cell>
          <cell r="Y34">
            <v>0.37975754158443747</v>
          </cell>
          <cell r="Z34">
            <v>0.38534928848641642</v>
          </cell>
          <cell r="AA34">
            <v>0.36699999999999999</v>
          </cell>
          <cell r="AB34">
            <v>0.37334437086092703</v>
          </cell>
          <cell r="AC34">
            <v>0.35982460948204997</v>
          </cell>
          <cell r="AD34">
            <v>0.29692832764505117</v>
          </cell>
          <cell r="AE34">
            <v>0.34859599019258308</v>
          </cell>
          <cell r="AF34">
            <v>0.36710311421991615</v>
          </cell>
          <cell r="AG34">
            <v>0.39215686274509803</v>
          </cell>
          <cell r="AH34">
            <v>0.3860103626943005</v>
          </cell>
          <cell r="AI34">
            <v>0.37831325301204821</v>
          </cell>
          <cell r="AJ34">
            <v>0.38168412868839985</v>
          </cell>
          <cell r="AK34">
            <v>0.37627118644067797</v>
          </cell>
          <cell r="AL34">
            <v>0.37142857142857144</v>
          </cell>
          <cell r="AM34">
            <v>0.37830687830687831</v>
          </cell>
          <cell r="AN34">
            <v>0.37948717948717947</v>
          </cell>
          <cell r="AO34">
            <v>0.37590461144963511</v>
          </cell>
          <cell r="AP34">
            <v>0.37801608579088469</v>
          </cell>
          <cell r="AQ34">
            <v>0.37081339712918659</v>
          </cell>
          <cell r="AR34">
            <v>0.373</v>
          </cell>
          <cell r="AS34">
            <v>0.36328546177363896</v>
          </cell>
          <cell r="AT34">
            <v>0.3707243342605947</v>
          </cell>
          <cell r="AU34">
            <v>0.37055837563451777</v>
          </cell>
          <cell r="AV34">
            <v>0.36739130434782608</v>
          </cell>
          <cell r="AW34">
            <v>0.36579572446555819</v>
          </cell>
          <cell r="AX34">
            <v>0.37473248407643317</v>
          </cell>
          <cell r="AY34">
            <v>0.36970160366552118</v>
          </cell>
          <cell r="AZ34">
            <v>0.36842105263157893</v>
          </cell>
          <cell r="BA34">
            <v>0.36637168141592924</v>
          </cell>
          <cell r="BB34">
            <v>0.36261261261261263</v>
          </cell>
          <cell r="BC34">
            <v>0.36187798007612748</v>
          </cell>
          <cell r="BD34">
            <v>0.36460059731400835</v>
          </cell>
          <cell r="BE34">
            <v>0.3693467336683417</v>
          </cell>
          <cell r="BF34">
            <v>0.37110655737704923</v>
          </cell>
          <cell r="BG34">
            <v>0.375</v>
          </cell>
          <cell r="BH34">
            <v>0.37369519832985387</v>
          </cell>
          <cell r="BI34">
            <v>0.37243417517463728</v>
          </cell>
          <cell r="BJ34">
            <v>0.37468982630272951</v>
          </cell>
          <cell r="BK34">
            <v>0.3731958762886598</v>
          </cell>
          <cell r="BL34">
            <v>0.37904761904761902</v>
          </cell>
          <cell r="BM34">
            <v>0.38939670932358317</v>
          </cell>
          <cell r="BN34">
            <v>0.37959183673469388</v>
          </cell>
          <cell r="BO34">
            <v>0.37552742616033757</v>
          </cell>
          <cell r="BP34">
            <v>0.37482419127988736</v>
          </cell>
          <cell r="BQ34">
            <v>0.37482419127988742</v>
          </cell>
          <cell r="BR34">
            <v>0.37490119048418497</v>
          </cell>
          <cell r="BS34">
            <v>0.37499999999999994</v>
          </cell>
        </row>
        <row r="35">
          <cell r="A35" t="str">
            <v>Statutory Tax Rate</v>
          </cell>
          <cell r="B35">
            <v>0.35</v>
          </cell>
          <cell r="C35">
            <v>0.35</v>
          </cell>
          <cell r="D35">
            <v>0.35</v>
          </cell>
          <cell r="E35">
            <v>0.35</v>
          </cell>
          <cell r="F35">
            <v>0.35</v>
          </cell>
          <cell r="G35">
            <v>0.35</v>
          </cell>
          <cell r="H35">
            <v>0.35</v>
          </cell>
          <cell r="I35">
            <v>0.35</v>
          </cell>
          <cell r="J35">
            <v>0.35</v>
          </cell>
          <cell r="K35">
            <v>0.35</v>
          </cell>
          <cell r="L35">
            <v>0.35</v>
          </cell>
          <cell r="M35">
            <v>0.35</v>
          </cell>
          <cell r="N35">
            <v>0.35</v>
          </cell>
          <cell r="O35">
            <v>0.35</v>
          </cell>
          <cell r="P35">
            <v>0.35</v>
          </cell>
          <cell r="Q35">
            <v>0.35</v>
          </cell>
          <cell r="R35">
            <v>0.35</v>
          </cell>
          <cell r="S35">
            <v>0.35</v>
          </cell>
          <cell r="T35">
            <v>0.35</v>
          </cell>
          <cell r="U35">
            <v>0.35</v>
          </cell>
          <cell r="V35">
            <v>0.35</v>
          </cell>
          <cell r="W35">
            <v>0.35</v>
          </cell>
          <cell r="X35">
            <v>0.35</v>
          </cell>
          <cell r="Y35">
            <v>0.35</v>
          </cell>
          <cell r="Z35">
            <v>0.35</v>
          </cell>
          <cell r="AA35">
            <v>0.35</v>
          </cell>
          <cell r="AB35">
            <v>0.35</v>
          </cell>
          <cell r="AC35">
            <v>0.35</v>
          </cell>
          <cell r="AD35">
            <v>0.35</v>
          </cell>
          <cell r="AE35">
            <v>0.35</v>
          </cell>
          <cell r="AF35">
            <v>0.35</v>
          </cell>
          <cell r="AG35">
            <v>0.35</v>
          </cell>
          <cell r="AH35">
            <v>0.35</v>
          </cell>
          <cell r="AI35">
            <v>0.35</v>
          </cell>
          <cell r="AJ35">
            <v>0.35</v>
          </cell>
          <cell r="AK35">
            <v>0.35</v>
          </cell>
          <cell r="AL35">
            <v>0.35</v>
          </cell>
          <cell r="AM35">
            <v>0.35</v>
          </cell>
          <cell r="AN35">
            <v>0.35</v>
          </cell>
          <cell r="AO35">
            <v>0.35</v>
          </cell>
          <cell r="AP35">
            <v>0.35</v>
          </cell>
          <cell r="AQ35">
            <v>0.35</v>
          </cell>
          <cell r="AR35">
            <v>0.35</v>
          </cell>
          <cell r="AS35">
            <v>0.35</v>
          </cell>
          <cell r="AT35">
            <v>0.35</v>
          </cell>
          <cell r="AU35">
            <v>0.35</v>
          </cell>
          <cell r="AV35">
            <v>0.35</v>
          </cell>
          <cell r="AW35">
            <v>0.35</v>
          </cell>
          <cell r="AX35">
            <v>0.35</v>
          </cell>
          <cell r="AY35">
            <v>0.35</v>
          </cell>
          <cell r="HJ35" t="str">
            <v>mstag:statutoryTaxRate</v>
          </cell>
          <cell r="HK35" t="str">
            <v>mstag:statutoryTaxRate</v>
          </cell>
          <cell r="HL35">
            <v>0</v>
          </cell>
          <cell r="HM35" t="str">
            <v>ms_eqr_gcim_Decimal:ms_eqr_gcim_decimal</v>
          </cell>
          <cell r="HN35" t="b">
            <v>0</v>
          </cell>
          <cell r="HO35" t="b">
            <v>0</v>
          </cell>
        </row>
        <row r="37">
          <cell r="A37" t="str">
            <v>Net Income</v>
          </cell>
          <cell r="B37">
            <v>137.90000000000012</v>
          </cell>
          <cell r="C37">
            <v>178.72360000000009</v>
          </cell>
          <cell r="D37">
            <v>191.65525000000002</v>
          </cell>
          <cell r="E37">
            <v>160.34479999999996</v>
          </cell>
          <cell r="F37">
            <v>668.62365000000023</v>
          </cell>
          <cell r="G37">
            <v>141.38540000000003</v>
          </cell>
          <cell r="H37">
            <v>125.38799999999999</v>
          </cell>
          <cell r="I37">
            <v>116.41759999999996</v>
          </cell>
          <cell r="J37">
            <v>119.20000000000005</v>
          </cell>
          <cell r="K37">
            <v>502.2909999999996</v>
          </cell>
          <cell r="L37">
            <v>102.9999999999999</v>
          </cell>
          <cell r="M37">
            <v>121.39999999999999</v>
          </cell>
          <cell r="N37">
            <v>159.89999999999998</v>
          </cell>
          <cell r="O37">
            <v>161.70000000000005</v>
          </cell>
          <cell r="P37">
            <v>546.00000000000045</v>
          </cell>
          <cell r="Q37">
            <v>118.50000000000006</v>
          </cell>
          <cell r="R37">
            <v>142.10000000000002</v>
          </cell>
          <cell r="S37">
            <v>172.00000000000009</v>
          </cell>
          <cell r="T37">
            <v>190.5</v>
          </cell>
          <cell r="U37">
            <v>623.10000000000025</v>
          </cell>
          <cell r="V37">
            <v>150.10000000000005</v>
          </cell>
          <cell r="W37">
            <v>187.19999999999985</v>
          </cell>
          <cell r="X37">
            <v>202.89999999999998</v>
          </cell>
          <cell r="Y37">
            <v>220.00000000000006</v>
          </cell>
          <cell r="Z37">
            <v>760.2000000000005</v>
          </cell>
          <cell r="AA37">
            <v>188.57069999999999</v>
          </cell>
          <cell r="AB37">
            <v>227.10000000000014</v>
          </cell>
          <cell r="AC37">
            <v>233.59999999999991</v>
          </cell>
          <cell r="AD37">
            <v>252.40273037542664</v>
          </cell>
          <cell r="AE37">
            <v>901.67343037542628</v>
          </cell>
          <cell r="AF37">
            <v>174.04664358952306</v>
          </cell>
          <cell r="AG37">
            <v>217</v>
          </cell>
          <cell r="AH37">
            <v>237</v>
          </cell>
          <cell r="AI37">
            <v>258</v>
          </cell>
          <cell r="AJ37">
            <v>886.046643589523</v>
          </cell>
          <cell r="AK37">
            <v>184</v>
          </cell>
          <cell r="AL37">
            <v>286.12571428571425</v>
          </cell>
          <cell r="AM37">
            <v>235</v>
          </cell>
          <cell r="AN37">
            <v>242</v>
          </cell>
          <cell r="AO37">
            <v>948.12571428571437</v>
          </cell>
          <cell r="AP37">
            <v>232</v>
          </cell>
          <cell r="AQ37">
            <v>263</v>
          </cell>
          <cell r="AR37">
            <v>273.99900000000002</v>
          </cell>
          <cell r="AS37">
            <v>257.64047001031611</v>
          </cell>
          <cell r="AT37">
            <v>1028.639470010316</v>
          </cell>
          <cell r="AU37">
            <v>248</v>
          </cell>
          <cell r="AV37">
            <v>291</v>
          </cell>
          <cell r="AW37">
            <v>267</v>
          </cell>
          <cell r="AX37">
            <v>294.50099999999998</v>
          </cell>
          <cell r="AY37">
            <v>1100.501</v>
          </cell>
          <cell r="AZ37">
            <v>228</v>
          </cell>
          <cell r="BA37">
            <v>286.39999999999998</v>
          </cell>
          <cell r="BB37">
            <v>283</v>
          </cell>
          <cell r="BC37">
            <v>304</v>
          </cell>
          <cell r="BD37">
            <v>1101.3999999999999</v>
          </cell>
          <cell r="BE37">
            <v>251</v>
          </cell>
          <cell r="BF37">
            <v>306.89999999999998</v>
          </cell>
          <cell r="BG37">
            <v>310</v>
          </cell>
          <cell r="BH37">
            <v>300</v>
          </cell>
          <cell r="BI37">
            <v>1167.9000000000001</v>
          </cell>
          <cell r="BJ37">
            <v>252</v>
          </cell>
          <cell r="BK37">
            <v>304</v>
          </cell>
          <cell r="BL37">
            <v>326</v>
          </cell>
          <cell r="BM37">
            <v>334</v>
          </cell>
          <cell r="BN37">
            <v>1216</v>
          </cell>
          <cell r="BO37">
            <v>296</v>
          </cell>
          <cell r="BP37">
            <v>336.71076781378099</v>
          </cell>
          <cell r="BQ37">
            <v>355.60419618270578</v>
          </cell>
          <cell r="BR37">
            <v>349.91250868975999</v>
          </cell>
          <cell r="BS37">
            <v>1338.2274726862465</v>
          </cell>
        </row>
        <row r="39">
          <cell r="A39" t="str">
            <v>EPS</v>
          </cell>
          <cell r="B39">
            <v>0.26588729091606739</v>
          </cell>
          <cell r="C39">
            <v>0.34287501199040787</v>
          </cell>
          <cell r="D39">
            <v>0.36791685863472323</v>
          </cell>
          <cell r="E39">
            <v>0.30788172043010748</v>
          </cell>
          <cell r="F39">
            <v>1.2832112732820917</v>
          </cell>
          <cell r="G39">
            <v>0.27147734254992328</v>
          </cell>
          <cell r="H39">
            <v>0.24076036866359449</v>
          </cell>
          <cell r="I39">
            <v>0.22353609831029181</v>
          </cell>
          <cell r="J39">
            <v>0.22887864823348705</v>
          </cell>
          <cell r="K39">
            <v>0.96446044546850929</v>
          </cell>
          <cell r="L39">
            <v>0.19777265745007663</v>
          </cell>
          <cell r="M39">
            <v>0.23310291858678955</v>
          </cell>
          <cell r="N39">
            <v>0.30702764976958524</v>
          </cell>
          <cell r="O39">
            <v>0.31048387096774205</v>
          </cell>
          <cell r="P39">
            <v>1.0483870967741946</v>
          </cell>
          <cell r="Q39">
            <v>0.22753456221198171</v>
          </cell>
          <cell r="R39">
            <v>0.27284946236559149</v>
          </cell>
          <cell r="S39">
            <v>0.33026113671274981</v>
          </cell>
          <cell r="T39">
            <v>0.37000349609602612</v>
          </cell>
          <cell r="U39">
            <v>1.2075581395348842</v>
          </cell>
          <cell r="V39">
            <v>0.2882104454685101</v>
          </cell>
          <cell r="W39">
            <v>0.36279069767441829</v>
          </cell>
          <cell r="X39">
            <v>0.38936864325465353</v>
          </cell>
          <cell r="Y39">
            <v>0.42150243477624399</v>
          </cell>
          <cell r="Z39">
            <v>1.4582426463510803</v>
          </cell>
          <cell r="AA39">
            <v>0.36172301577515847</v>
          </cell>
          <cell r="AB39">
            <v>0.43381088825214925</v>
          </cell>
          <cell r="AC39">
            <v>0.44809981871561694</v>
          </cell>
          <cell r="AD39">
            <v>0.48380818550014687</v>
          </cell>
          <cell r="AE39">
            <v>1.7274886567647409</v>
          </cell>
          <cell r="AF39">
            <v>0.33386245479677612</v>
          </cell>
          <cell r="AG39">
            <v>0.41588267990229966</v>
          </cell>
          <cell r="AH39">
            <v>0.45799756507623629</v>
          </cell>
          <cell r="AI39">
            <v>0.51102263949135418</v>
          </cell>
          <cell r="AJ39">
            <v>1.7150507008681706</v>
          </cell>
          <cell r="AK39">
            <v>0.3646886272644389</v>
          </cell>
          <cell r="AL39">
            <v>0.56842027591178312</v>
          </cell>
          <cell r="AM39">
            <v>0.47845915791188204</v>
          </cell>
          <cell r="AN39">
            <v>0.50768875742127673</v>
          </cell>
          <cell r="AO39">
            <v>1.9198269029395261</v>
          </cell>
          <cell r="AP39">
            <v>0.49982764563943466</v>
          </cell>
          <cell r="AQ39">
            <v>0.57592081636228265</v>
          </cell>
          <cell r="AR39">
            <v>0.60269895737099122</v>
          </cell>
          <cell r="AS39">
            <v>0.57730678051966511</v>
          </cell>
          <cell r="AT39">
            <v>2.2589091727832664</v>
          </cell>
          <cell r="AU39">
            <v>0.57035094981831569</v>
          </cell>
          <cell r="AV39">
            <v>0.68329106790645255</v>
          </cell>
          <cell r="AW39">
            <v>0.64954021310757548</v>
          </cell>
          <cell r="AX39">
            <v>0.73498098289958369</v>
          </cell>
          <cell r="AY39">
            <v>2.6277483285577841</v>
          </cell>
          <cell r="AZ39">
            <v>0.58103975535168195</v>
          </cell>
          <cell r="BA39">
            <v>0.73160139985184036</v>
          </cell>
          <cell r="BB39">
            <v>0.72369262242679966</v>
          </cell>
          <cell r="BC39">
            <v>0.78840218885344537</v>
          </cell>
          <cell r="BD39">
            <v>2.8231615102658085</v>
          </cell>
          <cell r="BE39">
            <v>0.66153602867534655</v>
          </cell>
          <cell r="BF39">
            <v>0.81490135684129461</v>
          </cell>
          <cell r="BG39">
            <v>0.83384888506334565</v>
          </cell>
          <cell r="BH39">
            <v>0.81701571393556471</v>
          </cell>
          <cell r="BI39">
            <v>3.1249832766970811</v>
          </cell>
          <cell r="BJ39">
            <v>0.69476992638747215</v>
          </cell>
          <cell r="BK39">
            <v>0.84226858393594328</v>
          </cell>
          <cell r="BL39">
            <v>0.90636120996441283</v>
          </cell>
          <cell r="BM39">
            <v>0.92855157075340566</v>
          </cell>
          <cell r="BN39">
            <v>3.3706619359130725</v>
          </cell>
          <cell r="BO39">
            <v>0.82242782917951707</v>
          </cell>
          <cell r="BP39">
            <v>0.9335514938944981</v>
          </cell>
          <cell r="BQ39">
            <v>0.98593469622901087</v>
          </cell>
          <cell r="BR39">
            <v>0.97015413953247298</v>
          </cell>
          <cell r="BS39">
            <v>3.7120681588354989</v>
          </cell>
          <cell r="BW39">
            <v>7.8617591667773379E-2</v>
          </cell>
          <cell r="BX39">
            <v>0.10128758962293949</v>
          </cell>
        </row>
        <row r="41">
          <cell r="A41" t="str">
            <v>Basic Shares Outstanding</v>
          </cell>
          <cell r="B41">
            <v>521.25</v>
          </cell>
          <cell r="C41">
            <v>521.25</v>
          </cell>
          <cell r="D41">
            <v>521.25</v>
          </cell>
          <cell r="E41">
            <v>521.25</v>
          </cell>
          <cell r="F41">
            <v>521.25</v>
          </cell>
          <cell r="G41">
            <v>520.79999999999995</v>
          </cell>
          <cell r="H41">
            <v>520.79999999999995</v>
          </cell>
          <cell r="I41">
            <v>520.79999999999995</v>
          </cell>
          <cell r="J41">
            <v>520.79999999999995</v>
          </cell>
          <cell r="K41">
            <v>520.79999999999995</v>
          </cell>
          <cell r="L41">
            <v>520.79999999999995</v>
          </cell>
          <cell r="M41">
            <v>520.79999999999995</v>
          </cell>
          <cell r="N41">
            <v>520.79999999999995</v>
          </cell>
          <cell r="O41">
            <v>520.79999999999995</v>
          </cell>
          <cell r="P41">
            <v>520.79999999999995</v>
          </cell>
          <cell r="Q41">
            <v>520.79999999999995</v>
          </cell>
          <cell r="R41">
            <v>520.79999999999995</v>
          </cell>
          <cell r="S41">
            <v>520.79999999999995</v>
          </cell>
          <cell r="T41">
            <v>514.86</v>
          </cell>
          <cell r="U41">
            <v>516</v>
          </cell>
          <cell r="V41">
            <v>520.79999999999995</v>
          </cell>
          <cell r="W41">
            <v>520.79999999999995</v>
          </cell>
          <cell r="X41">
            <v>520.79999999999995</v>
          </cell>
          <cell r="Y41">
            <v>520.79999999999995</v>
          </cell>
          <cell r="Z41">
            <v>521.31241799999998</v>
          </cell>
          <cell r="AA41">
            <v>521.31241799999998</v>
          </cell>
          <cell r="AB41">
            <v>521.31241799999998</v>
          </cell>
          <cell r="AC41">
            <v>521.31241799999998</v>
          </cell>
          <cell r="AD41">
            <v>521.31241799999998</v>
          </cell>
          <cell r="AE41">
            <v>521.95620899999994</v>
          </cell>
          <cell r="AF41">
            <v>521.31241799999998</v>
          </cell>
          <cell r="AG41">
            <v>521.78176800000006</v>
          </cell>
          <cell r="AH41">
            <v>517.11</v>
          </cell>
          <cell r="AI41">
            <v>504.57</v>
          </cell>
          <cell r="AJ41">
            <v>516.27</v>
          </cell>
          <cell r="AK41">
            <v>504.21</v>
          </cell>
          <cell r="AL41">
            <v>502.98</v>
          </cell>
          <cell r="AM41">
            <v>490.74</v>
          </cell>
          <cell r="AN41">
            <v>476.16</v>
          </cell>
          <cell r="AO41">
            <v>493.44</v>
          </cell>
          <cell r="AP41">
            <v>463.65</v>
          </cell>
          <cell r="AQ41">
            <v>456.12</v>
          </cell>
          <cell r="AR41">
            <v>453.99</v>
          </cell>
          <cell r="AS41">
            <v>445.47</v>
          </cell>
          <cell r="AT41">
            <v>454.77</v>
          </cell>
          <cell r="AU41">
            <v>434.4</v>
          </cell>
          <cell r="AV41">
            <v>425.37</v>
          </cell>
          <cell r="AW41">
            <v>410.22</v>
          </cell>
          <cell r="AX41">
            <v>399.78</v>
          </cell>
          <cell r="AY41">
            <v>417.33</v>
          </cell>
          <cell r="AZ41">
            <v>391.44</v>
          </cell>
          <cell r="BA41">
            <v>390.54</v>
          </cell>
          <cell r="BB41">
            <v>390.21</v>
          </cell>
          <cell r="BC41">
            <v>384.8</v>
          </cell>
          <cell r="BD41">
            <v>389.27</v>
          </cell>
          <cell r="BE41">
            <v>378.62</v>
          </cell>
          <cell r="BF41">
            <v>375.86</v>
          </cell>
          <cell r="BG41">
            <v>371.01</v>
          </cell>
          <cell r="BH41">
            <v>366.53</v>
          </cell>
          <cell r="BI41">
            <v>372.96</v>
          </cell>
          <cell r="BJ41">
            <v>362.12</v>
          </cell>
          <cell r="BK41">
            <v>360.31</v>
          </cell>
          <cell r="BL41">
            <v>359.06</v>
          </cell>
          <cell r="BM41">
            <v>359.07</v>
          </cell>
          <cell r="BN41">
            <v>360.14</v>
          </cell>
          <cell r="BO41">
            <v>359.23</v>
          </cell>
          <cell r="BP41">
            <v>360.04723100000001</v>
          </cell>
          <cell r="BQ41">
            <v>360.04723100000001</v>
          </cell>
          <cell r="BR41">
            <v>360.04723100000001</v>
          </cell>
          <cell r="BS41">
            <v>360.04723100000001</v>
          </cell>
          <cell r="HJ41" t="str">
            <v>mstag:averageBasicSharesOutstanding</v>
          </cell>
          <cell r="HK41" t="str">
            <v>mstag:averageBasicSharesOutstanding</v>
          </cell>
          <cell r="HL41">
            <v>6</v>
          </cell>
          <cell r="HM41" t="str">
            <v>ms_eqr_gcim_Decimal:ms_eqr_gcim_decimal</v>
          </cell>
          <cell r="HN41" t="b">
            <v>0</v>
          </cell>
          <cell r="HO41" t="b">
            <v>0</v>
          </cell>
        </row>
        <row r="42">
          <cell r="A42" t="str">
            <v>Diluted Shares Outstanding</v>
          </cell>
          <cell r="B42">
            <v>521.25</v>
          </cell>
          <cell r="C42">
            <v>521.25</v>
          </cell>
          <cell r="D42">
            <v>520.91999999999996</v>
          </cell>
          <cell r="E42">
            <v>520.79999999999995</v>
          </cell>
          <cell r="F42">
            <v>521.05499999999995</v>
          </cell>
          <cell r="G42">
            <v>520.79999999999995</v>
          </cell>
          <cell r="H42">
            <v>520.79999999999995</v>
          </cell>
          <cell r="I42">
            <v>520.79999999999995</v>
          </cell>
          <cell r="J42">
            <v>520.79999999999995</v>
          </cell>
          <cell r="K42">
            <v>520.79999999999995</v>
          </cell>
          <cell r="L42">
            <v>520.79999999999995</v>
          </cell>
          <cell r="M42">
            <v>520.79999999999995</v>
          </cell>
          <cell r="N42">
            <v>520.79999999999995</v>
          </cell>
          <cell r="O42">
            <v>520.79999999999995</v>
          </cell>
          <cell r="P42">
            <v>520.79999999999995</v>
          </cell>
          <cell r="Q42">
            <v>520.79999999999995</v>
          </cell>
          <cell r="R42">
            <v>520.79999999999995</v>
          </cell>
          <cell r="S42">
            <v>520.79999999999995</v>
          </cell>
          <cell r="T42">
            <v>514.86</v>
          </cell>
          <cell r="U42">
            <v>516</v>
          </cell>
          <cell r="V42">
            <v>520.79999999999995</v>
          </cell>
          <cell r="W42">
            <v>516</v>
          </cell>
          <cell r="X42">
            <v>521.1</v>
          </cell>
          <cell r="Y42">
            <v>521.94241799999998</v>
          </cell>
          <cell r="Z42">
            <v>521.31241799999998</v>
          </cell>
          <cell r="AA42">
            <v>521.31241799999998</v>
          </cell>
          <cell r="AB42">
            <v>523.5</v>
          </cell>
          <cell r="AC42">
            <v>521.31241799999998</v>
          </cell>
          <cell r="AD42">
            <v>521.70000000000005</v>
          </cell>
          <cell r="AE42">
            <v>521.95620899999994</v>
          </cell>
          <cell r="AF42">
            <v>521.31241799999998</v>
          </cell>
          <cell r="AG42">
            <v>521.78176800000006</v>
          </cell>
          <cell r="AH42">
            <v>517.47</v>
          </cell>
          <cell r="AI42">
            <v>504.87</v>
          </cell>
          <cell r="AJ42">
            <v>516.63</v>
          </cell>
          <cell r="AK42">
            <v>504.54</v>
          </cell>
          <cell r="AL42">
            <v>503.37</v>
          </cell>
          <cell r="AM42">
            <v>491.16</v>
          </cell>
          <cell r="AN42">
            <v>476.67</v>
          </cell>
          <cell r="AO42">
            <v>493.86</v>
          </cell>
          <cell r="AP42">
            <v>464.16</v>
          </cell>
          <cell r="AQ42">
            <v>456.66</v>
          </cell>
          <cell r="AR42">
            <v>454.62</v>
          </cell>
          <cell r="AS42">
            <v>446.28</v>
          </cell>
          <cell r="AT42">
            <v>455.37</v>
          </cell>
          <cell r="AU42">
            <v>434.82</v>
          </cell>
          <cell r="AV42">
            <v>425.88</v>
          </cell>
          <cell r="AW42">
            <v>411.06</v>
          </cell>
          <cell r="AX42">
            <v>400.69200000000001</v>
          </cell>
          <cell r="AY42">
            <v>418.8</v>
          </cell>
          <cell r="AZ42">
            <v>392.4</v>
          </cell>
          <cell r="BA42">
            <v>391.47</v>
          </cell>
          <cell r="BB42">
            <v>391.05</v>
          </cell>
          <cell r="BC42">
            <v>385.59</v>
          </cell>
          <cell r="BD42">
            <v>390.13</v>
          </cell>
          <cell r="BE42">
            <v>379.42</v>
          </cell>
          <cell r="BF42">
            <v>376.61</v>
          </cell>
          <cell r="BG42">
            <v>371.77</v>
          </cell>
          <cell r="BH42">
            <v>367.19</v>
          </cell>
          <cell r="BI42">
            <v>373.73</v>
          </cell>
          <cell r="BJ42">
            <v>362.71</v>
          </cell>
          <cell r="BK42">
            <v>360.93</v>
          </cell>
          <cell r="BL42">
            <v>359.68</v>
          </cell>
          <cell r="BM42">
            <v>359.7</v>
          </cell>
          <cell r="BN42">
            <v>360.76</v>
          </cell>
          <cell r="BO42">
            <v>359.91</v>
          </cell>
          <cell r="BP42">
            <v>360.67723100000001</v>
          </cell>
          <cell r="BQ42">
            <v>360.67723100000001</v>
          </cell>
          <cell r="BR42">
            <v>360.67723100000001</v>
          </cell>
          <cell r="BS42">
            <v>360.67723100000001</v>
          </cell>
          <cell r="HJ42" t="str">
            <v>mstag:averageDilutedSharesOutstanding</v>
          </cell>
          <cell r="HK42" t="str">
            <v>mstag:averageDilutedSharesOutstanding</v>
          </cell>
          <cell r="HL42">
            <v>6</v>
          </cell>
          <cell r="HM42" t="str">
            <v>ms_eqr_gcim_Decimal:ms_eqr_gcim_decimal</v>
          </cell>
          <cell r="HN42" t="b">
            <v>0</v>
          </cell>
          <cell r="HO42" t="b">
            <v>0</v>
          </cell>
        </row>
        <row r="43">
          <cell r="A43" t="str">
            <v>Period End Basic Shares Outstanding</v>
          </cell>
          <cell r="L43">
            <v>520.79999999999995</v>
          </cell>
          <cell r="M43">
            <v>520.79999999999995</v>
          </cell>
          <cell r="N43">
            <v>520.79999999999995</v>
          </cell>
          <cell r="O43">
            <v>520.79999999999995</v>
          </cell>
          <cell r="P43">
            <v>520.79999999999995</v>
          </cell>
          <cell r="Q43">
            <v>520.79999999999995</v>
          </cell>
          <cell r="R43">
            <v>520.79999999999995</v>
          </cell>
          <cell r="S43">
            <v>520.79999999999995</v>
          </cell>
          <cell r="T43">
            <v>514.86</v>
          </cell>
          <cell r="U43">
            <v>516</v>
          </cell>
          <cell r="V43">
            <v>520.79999999999995</v>
          </cell>
          <cell r="W43">
            <v>520.79999999999995</v>
          </cell>
          <cell r="X43">
            <v>520.79999999999995</v>
          </cell>
          <cell r="Y43">
            <v>520.79999999999995</v>
          </cell>
          <cell r="Z43">
            <v>521.31241799999998</v>
          </cell>
          <cell r="AA43">
            <v>521.31241799999998</v>
          </cell>
          <cell r="AB43">
            <v>521.31241799999998</v>
          </cell>
          <cell r="AC43">
            <v>521.31241799999998</v>
          </cell>
          <cell r="AD43">
            <v>521.31241799999998</v>
          </cell>
          <cell r="AE43">
            <v>521.95620899999994</v>
          </cell>
          <cell r="AF43">
            <v>521.31241799999998</v>
          </cell>
          <cell r="AG43">
            <v>521.78176800000006</v>
          </cell>
          <cell r="AH43">
            <v>510.09899369641846</v>
          </cell>
          <cell r="AI43">
            <v>504.19161848372914</v>
          </cell>
          <cell r="AJ43">
            <v>504.19161848372914</v>
          </cell>
          <cell r="AK43">
            <v>504.19161848372914</v>
          </cell>
          <cell r="AL43">
            <v>497.71903092646596</v>
          </cell>
          <cell r="AM43">
            <v>491.16</v>
          </cell>
          <cell r="AN43">
            <v>467.33389611467146</v>
          </cell>
          <cell r="AO43">
            <v>467.33389611467146</v>
          </cell>
          <cell r="AP43">
            <v>459.53389611467145</v>
          </cell>
          <cell r="AQ43">
            <v>454.22692421040506</v>
          </cell>
          <cell r="AR43">
            <v>450.86070966046674</v>
          </cell>
          <cell r="AS43">
            <v>440.72692421040506</v>
          </cell>
          <cell r="AT43">
            <v>440.72692421040506</v>
          </cell>
          <cell r="AU43">
            <v>429.32692421040508</v>
          </cell>
          <cell r="AV43">
            <v>415.82692421040508</v>
          </cell>
          <cell r="AW43">
            <v>403.82692421040508</v>
          </cell>
          <cell r="AX43">
            <v>393.92692421040499</v>
          </cell>
          <cell r="AY43">
            <v>393.92692421040499</v>
          </cell>
          <cell r="AZ43">
            <v>389.12692421040504</v>
          </cell>
          <cell r="BA43">
            <v>393</v>
          </cell>
          <cell r="BB43">
            <v>390</v>
          </cell>
          <cell r="BC43">
            <v>382</v>
          </cell>
          <cell r="BD43">
            <v>382</v>
          </cell>
          <cell r="BE43">
            <v>378</v>
          </cell>
          <cell r="BF43">
            <v>375</v>
          </cell>
          <cell r="BG43">
            <v>369</v>
          </cell>
          <cell r="BH43">
            <v>365</v>
          </cell>
          <cell r="BI43">
            <v>365</v>
          </cell>
          <cell r="BJ43">
            <v>363</v>
          </cell>
          <cell r="BK43">
            <v>360</v>
          </cell>
          <cell r="BL43">
            <v>360</v>
          </cell>
          <cell r="BM43">
            <v>360.04723100000001</v>
          </cell>
          <cell r="BN43">
            <v>360.76</v>
          </cell>
          <cell r="BO43">
            <v>360.04723100000001</v>
          </cell>
          <cell r="BP43">
            <v>360.04723100000001</v>
          </cell>
          <cell r="BQ43">
            <v>360.04723100000001</v>
          </cell>
          <cell r="BR43">
            <v>360.04723100000001</v>
          </cell>
          <cell r="BS43">
            <v>360.50724701834611</v>
          </cell>
        </row>
        <row r="45">
          <cell r="A45" t="str">
            <v>Blu ecig assumptions</v>
          </cell>
          <cell r="G45" t="str">
            <v>1Q03</v>
          </cell>
          <cell r="H45" t="str">
            <v>2Q03</v>
          </cell>
          <cell r="I45" t="str">
            <v>3Q03</v>
          </cell>
          <cell r="J45" t="str">
            <v>4Q03</v>
          </cell>
          <cell r="K45">
            <v>2003</v>
          </cell>
          <cell r="L45" t="str">
            <v>1Q04</v>
          </cell>
          <cell r="M45" t="str">
            <v>2Q04</v>
          </cell>
          <cell r="N45" t="str">
            <v>3Q04</v>
          </cell>
          <cell r="O45" t="str">
            <v>4Q04</v>
          </cell>
          <cell r="P45">
            <v>2004</v>
          </cell>
          <cell r="Q45" t="str">
            <v>1Q05E</v>
          </cell>
          <cell r="R45" t="str">
            <v>2Q05E</v>
          </cell>
          <cell r="S45" t="str">
            <v>3Q05E</v>
          </cell>
          <cell r="T45" t="str">
            <v>4Q05E</v>
          </cell>
          <cell r="U45" t="str">
            <v>2005E</v>
          </cell>
          <cell r="V45" t="str">
            <v>1Q06</v>
          </cell>
          <cell r="W45" t="str">
            <v>2Q06</v>
          </cell>
          <cell r="X45" t="str">
            <v>3Q06</v>
          </cell>
          <cell r="Y45" t="str">
            <v>4Q06</v>
          </cell>
          <cell r="Z45">
            <v>2006</v>
          </cell>
          <cell r="AA45" t="str">
            <v>1Q07</v>
          </cell>
          <cell r="AB45" t="str">
            <v>2Q07</v>
          </cell>
          <cell r="AC45" t="str">
            <v>3Q07</v>
          </cell>
          <cell r="AD45" t="str">
            <v>4Q07</v>
          </cell>
          <cell r="AE45">
            <v>2007</v>
          </cell>
          <cell r="AF45" t="str">
            <v>1Q08</v>
          </cell>
          <cell r="AG45" t="str">
            <v>2Q08</v>
          </cell>
          <cell r="AH45" t="str">
            <v>3Q08</v>
          </cell>
          <cell r="AI45" t="str">
            <v>4Q08</v>
          </cell>
          <cell r="AJ45">
            <v>2008</v>
          </cell>
          <cell r="AK45" t="str">
            <v>1Q09</v>
          </cell>
          <cell r="AL45" t="str">
            <v>2Q09</v>
          </cell>
          <cell r="AM45" t="str">
            <v>3Q09</v>
          </cell>
          <cell r="AN45" t="str">
            <v>4Q09</v>
          </cell>
          <cell r="AO45">
            <v>2009</v>
          </cell>
          <cell r="AP45" t="str">
            <v>1Q10</v>
          </cell>
          <cell r="AQ45" t="str">
            <v>2Q10</v>
          </cell>
          <cell r="AR45" t="str">
            <v>3Q10</v>
          </cell>
          <cell r="AS45" t="str">
            <v>4Q10</v>
          </cell>
          <cell r="AT45">
            <v>2010</v>
          </cell>
          <cell r="AU45" t="str">
            <v>1Q11</v>
          </cell>
          <cell r="AV45" t="str">
            <v>2Q11</v>
          </cell>
          <cell r="AW45" t="str">
            <v>3Q11</v>
          </cell>
          <cell r="AX45" t="str">
            <v>4Q11E</v>
          </cell>
          <cell r="AY45" t="str">
            <v>2011E</v>
          </cell>
          <cell r="AZ45" t="str">
            <v>1Q12E</v>
          </cell>
          <cell r="BA45" t="str">
            <v>2Q12E</v>
          </cell>
          <cell r="BB45" t="str">
            <v>3Q12E</v>
          </cell>
          <cell r="BC45" t="str">
            <v>4Q12E</v>
          </cell>
          <cell r="BD45" t="str">
            <v>2012E</v>
          </cell>
          <cell r="BE45">
            <v>0.36842105263157893</v>
          </cell>
          <cell r="BF45">
            <v>0.375</v>
          </cell>
          <cell r="BG45">
            <v>0.375</v>
          </cell>
        </row>
        <row r="46">
          <cell r="A46" t="str">
            <v xml:space="preserve">   Net sales</v>
          </cell>
          <cell r="U46">
            <v>1.9881085405389687E-2</v>
          </cell>
          <cell r="Z46">
            <v>2.6629503167501678E-2</v>
          </cell>
          <cell r="AA46">
            <v>-9.5487636441274892E-3</v>
          </cell>
          <cell r="AB46">
            <v>3.6305689285319742E-2</v>
          </cell>
          <cell r="AC46">
            <v>-1.627581941057854E-2</v>
          </cell>
          <cell r="AD46">
            <v>-4.3052728495183823E-2</v>
          </cell>
          <cell r="AE46">
            <v>-7.9902328375115461E-3</v>
          </cell>
          <cell r="AF46">
            <v>3.3349421240711496E-3</v>
          </cell>
          <cell r="AG46">
            <v>-1.0329910050823621E-3</v>
          </cell>
          <cell r="AH46">
            <v>4.5118594641716525E-2</v>
          </cell>
          <cell r="AI46">
            <v>8.2535368098198836E-2</v>
          </cell>
          <cell r="AJ46">
            <v>3.2032269922957823E-2</v>
          </cell>
          <cell r="AK46">
            <v>-8.1986181471364494E-2</v>
          </cell>
          <cell r="AL46">
            <v>2.0736764523295204E-2</v>
          </cell>
          <cell r="AM46">
            <v>-6.1247754985529368E-2</v>
          </cell>
          <cell r="AN46">
            <v>-3.5975984406743655E-2</v>
          </cell>
          <cell r="AO46">
            <v>-3.8692630392518912E-2</v>
          </cell>
          <cell r="AP46">
            <v>0.12651575196325937</v>
          </cell>
          <cell r="AQ46">
            <v>-6.0016018764541545E-3</v>
          </cell>
          <cell r="AR46">
            <v>5.8489587606731508E-2</v>
          </cell>
          <cell r="AS46">
            <v>4.627902017676977E-2</v>
          </cell>
          <cell r="AT46">
            <v>5.2697257739617864E-2</v>
          </cell>
          <cell r="AU46">
            <v>9.4358944424131286E-2</v>
          </cell>
          <cell r="AV46">
            <v>0.10369720887828349</v>
          </cell>
          <cell r="AW46">
            <v>2.8137478949025407E-2</v>
          </cell>
          <cell r="AX46">
            <v>2.7366460492973088E-2</v>
          </cell>
          <cell r="AY46">
            <v>6.2723499619271372E-2</v>
          </cell>
          <cell r="AZ46">
            <v>2.8794447951432378E-3</v>
          </cell>
          <cell r="BA46">
            <v>8</v>
          </cell>
          <cell r="BB46">
            <v>14</v>
          </cell>
          <cell r="BC46">
            <v>39</v>
          </cell>
          <cell r="BD46">
            <v>61</v>
          </cell>
          <cell r="BE46">
            <v>57</v>
          </cell>
          <cell r="BF46">
            <v>57</v>
          </cell>
          <cell r="BG46">
            <v>63</v>
          </cell>
          <cell r="BH46">
            <v>54</v>
          </cell>
          <cell r="BI46">
            <v>231</v>
          </cell>
          <cell r="BJ46">
            <v>51</v>
          </cell>
          <cell r="BK46">
            <v>37</v>
          </cell>
          <cell r="BL46">
            <v>38</v>
          </cell>
          <cell r="BM46">
            <v>39</v>
          </cell>
          <cell r="BN46">
            <v>165</v>
          </cell>
          <cell r="BO46">
            <v>28</v>
          </cell>
          <cell r="BP46">
            <v>30.9375</v>
          </cell>
          <cell r="BQ46">
            <v>30.9375</v>
          </cell>
          <cell r="BR46">
            <v>33.875</v>
          </cell>
          <cell r="BS46">
            <v>123.75</v>
          </cell>
          <cell r="BU46">
            <v>-0.12698412698412698</v>
          </cell>
          <cell r="BW46">
            <v>-0.27777777777777779</v>
          </cell>
        </row>
        <row r="47">
          <cell r="A47" t="str">
            <v xml:space="preserve">   COGS</v>
          </cell>
          <cell r="G47">
            <v>-0.13266879046346725</v>
          </cell>
          <cell r="H47">
            <v>-0.23955594507741751</v>
          </cell>
          <cell r="I47">
            <v>-0.12518164832883538</v>
          </cell>
          <cell r="J47">
            <v>-5.585520795876775E-2</v>
          </cell>
          <cell r="K47">
            <v>-0.14279695605234755</v>
          </cell>
          <cell r="L47">
            <v>-9.0165876777251186E-2</v>
          </cell>
          <cell r="M47">
            <v>0.11166602637981815</v>
          </cell>
          <cell r="N47">
            <v>4.3308020882771636E-2</v>
          </cell>
          <cell r="O47">
            <v>5.687444458550206E-2</v>
          </cell>
          <cell r="P47">
            <v>2.8383608773115521E-2</v>
          </cell>
          <cell r="Q47">
            <v>3.5421278812345358E-2</v>
          </cell>
          <cell r="R47">
            <v>6.9346849441308533E-2</v>
          </cell>
          <cell r="S47">
            <v>5.583987262595258E-2</v>
          </cell>
          <cell r="T47">
            <v>0.10030030030030024</v>
          </cell>
          <cell r="U47">
            <v>6.5714797777645106E-2</v>
          </cell>
          <cell r="V47">
            <v>7.5084894981763295E-2</v>
          </cell>
          <cell r="W47">
            <v>5.2784660131423022E-2</v>
          </cell>
          <cell r="X47">
            <v>6.2042223179664013E-2</v>
          </cell>
          <cell r="Y47">
            <v>2.2598253275109226E-2</v>
          </cell>
          <cell r="Z47">
            <v>5.2413251863893784E-2</v>
          </cell>
          <cell r="AA47">
            <v>6.8086102012166583E-2</v>
          </cell>
          <cell r="AB47">
            <v>7.9914048910263213E-2</v>
          </cell>
          <cell r="AC47">
            <v>5.862068965517242E-2</v>
          </cell>
          <cell r="AD47">
            <v>2.1671826625387025E-2</v>
          </cell>
          <cell r="AE47">
            <v>5.7100245019708007E-2</v>
          </cell>
          <cell r="AF47">
            <v>8.7623220153341119E-3</v>
          </cell>
          <cell r="AG47">
            <v>1.3833617585749414E-2</v>
          </cell>
          <cell r="AH47">
            <v>7.7792680590151431E-2</v>
          </cell>
          <cell r="AI47">
            <v>0.13688610240334387</v>
          </cell>
          <cell r="AJ47">
            <v>5.9155497329436812E-2</v>
          </cell>
          <cell r="AK47">
            <v>-4.3431053203040193E-3</v>
          </cell>
          <cell r="AL47">
            <v>0.41962616822429899</v>
          </cell>
          <cell r="AM47">
            <v>0.26133333333333342</v>
          </cell>
          <cell r="AN47">
            <v>0.26654411764705888</v>
          </cell>
          <cell r="AO47">
            <v>0.24476688867745011</v>
          </cell>
          <cell r="AP47">
            <v>0.48309705561613958</v>
          </cell>
          <cell r="AQ47">
            <v>6.5832784726804761E-4</v>
          </cell>
          <cell r="AR47">
            <v>0.1042988019732205</v>
          </cell>
          <cell r="AS47">
            <v>7.8374455732946213E-2</v>
          </cell>
          <cell r="AT47">
            <v>0.13357538696732285</v>
          </cell>
          <cell r="AU47">
            <v>0.12867647058823528</v>
          </cell>
          <cell r="AV47">
            <v>0.11315789473684212</v>
          </cell>
          <cell r="AW47">
            <v>3.5098915124441632E-2</v>
          </cell>
          <cell r="AX47">
            <v>5.1308942353380127E-2</v>
          </cell>
          <cell r="AY47">
            <v>8.0789799112798821E-2</v>
          </cell>
          <cell r="AZ47">
            <v>3.0550406838272037E-2</v>
          </cell>
          <cell r="BA47">
            <v>8</v>
          </cell>
          <cell r="BB47">
            <v>9</v>
          </cell>
          <cell r="BC47">
            <v>23</v>
          </cell>
          <cell r="BD47">
            <v>40</v>
          </cell>
          <cell r="BE47">
            <v>36</v>
          </cell>
          <cell r="BF47">
            <v>39</v>
          </cell>
          <cell r="BG47">
            <v>48</v>
          </cell>
          <cell r="BH47">
            <v>38</v>
          </cell>
          <cell r="BI47">
            <v>161</v>
          </cell>
          <cell r="BJ47">
            <v>35.6</v>
          </cell>
          <cell r="BK47">
            <v>28</v>
          </cell>
          <cell r="BL47">
            <v>26</v>
          </cell>
          <cell r="BM47">
            <v>37</v>
          </cell>
          <cell r="BN47">
            <v>126.6</v>
          </cell>
          <cell r="BO47">
            <v>23</v>
          </cell>
          <cell r="BP47">
            <v>27</v>
          </cell>
          <cell r="BQ47">
            <v>24</v>
          </cell>
          <cell r="BR47">
            <v>25</v>
          </cell>
          <cell r="BS47">
            <v>99</v>
          </cell>
          <cell r="BU47">
            <v>-0.14230118443316397</v>
          </cell>
        </row>
        <row r="48">
          <cell r="A48" t="str">
            <v xml:space="preserve">   Gross Profit</v>
          </cell>
          <cell r="G48">
            <v>-0.13026607538802659</v>
          </cell>
          <cell r="H48">
            <v>-7.2118114707552472E-2</v>
          </cell>
          <cell r="I48">
            <v>7.1826625386996801E-2</v>
          </cell>
          <cell r="J48">
            <v>5.6149732620320858E-2</v>
          </cell>
          <cell r="K48">
            <v>-2.426602756141405E-2</v>
          </cell>
          <cell r="L48">
            <v>-5.0987890376036349E-3</v>
          </cell>
          <cell r="M48">
            <v>3.733170134638919E-2</v>
          </cell>
          <cell r="N48">
            <v>-3.00404390525707E-2</v>
          </cell>
          <cell r="O48">
            <v>4.1139240506329111E-2</v>
          </cell>
          <cell r="P48">
            <v>1.0132023334356699E-2</v>
          </cell>
          <cell r="Q48">
            <v>6.4061499039080871E-4</v>
          </cell>
          <cell r="R48">
            <v>5.6047197640118007E-2</v>
          </cell>
          <cell r="S48">
            <v>4.9434187016080822E-2</v>
          </cell>
          <cell r="T48">
            <v>1.2158054711246535E-3</v>
          </cell>
          <cell r="U48">
            <v>2.7507598784194398E-2</v>
          </cell>
          <cell r="V48">
            <v>4.929577464788748E-2</v>
          </cell>
          <cell r="W48">
            <v>-1.2849162011173254E-2</v>
          </cell>
          <cell r="X48">
            <v>5.4483541430193183E-2</v>
          </cell>
          <cell r="Y48">
            <v>4.493017607771721E-2</v>
          </cell>
          <cell r="Z48">
            <v>3.3131193610413057E-2</v>
          </cell>
          <cell r="AA48">
            <v>-1.34228187919464E-2</v>
          </cell>
          <cell r="AB48">
            <v>1.8675721561969505E-2</v>
          </cell>
          <cell r="AC48">
            <v>-2.7448869752422111E-2</v>
          </cell>
          <cell r="AD48">
            <v>-4.1255084253341012E-2</v>
          </cell>
          <cell r="AE48">
            <v>-1.5891195418754611E-2</v>
          </cell>
          <cell r="AF48">
            <v>8.0395794681509258E-3</v>
          </cell>
          <cell r="AG48">
            <v>2.2222222222222143E-2</v>
          </cell>
          <cell r="AH48">
            <v>4.5932484781405769E-2</v>
          </cell>
          <cell r="AI48">
            <v>6.6666666666666652E-2</v>
          </cell>
          <cell r="AJ48">
            <v>3.5787023567064313E-2</v>
          </cell>
          <cell r="AK48">
            <v>-7.9754601226993849E-2</v>
          </cell>
          <cell r="AL48">
            <v>1.6413043478260869</v>
          </cell>
          <cell r="AM48">
            <v>1.4656084656084656</v>
          </cell>
          <cell r="AN48">
            <v>1.5340909090909092</v>
          </cell>
          <cell r="AO48">
            <v>1.1741573033707864</v>
          </cell>
          <cell r="AP48">
            <v>1.9133333333333336</v>
          </cell>
          <cell r="AQ48">
            <v>-8.2304526748970819E-3</v>
          </cell>
          <cell r="AR48">
            <v>6.0085836909871349E-2</v>
          </cell>
          <cell r="AS48">
            <v>4.4843049327354167E-2</v>
          </cell>
          <cell r="AT48">
            <v>0.21382428940568476</v>
          </cell>
          <cell r="AU48">
            <v>9.6109839816933551E-2</v>
          </cell>
          <cell r="AV48">
            <v>0.10580912863070546</v>
          </cell>
          <cell r="AW48">
            <v>3.0364372469635637E-2</v>
          </cell>
          <cell r="AX48">
            <v>2.9134795591382545E-2</v>
          </cell>
          <cell r="AY48">
            <v>6.4702934936447187E-2</v>
          </cell>
          <cell r="AZ48">
            <v>3.1159771292885718E-3</v>
          </cell>
          <cell r="BA48">
            <v>0</v>
          </cell>
          <cell r="BB48">
            <v>5</v>
          </cell>
          <cell r="BC48">
            <v>16</v>
          </cell>
          <cell r="BD48">
            <v>21</v>
          </cell>
          <cell r="BE48">
            <v>21</v>
          </cell>
          <cell r="BF48">
            <v>18</v>
          </cell>
          <cell r="BG48">
            <v>15</v>
          </cell>
          <cell r="BH48">
            <v>16</v>
          </cell>
          <cell r="BI48">
            <v>70</v>
          </cell>
          <cell r="BJ48">
            <v>15.399999999999999</v>
          </cell>
          <cell r="BK48">
            <v>9</v>
          </cell>
          <cell r="BL48">
            <v>12</v>
          </cell>
          <cell r="BM48">
            <v>2</v>
          </cell>
          <cell r="BN48">
            <v>38.400000000000006</v>
          </cell>
          <cell r="BO48">
            <v>5</v>
          </cell>
          <cell r="BP48">
            <v>3.9375</v>
          </cell>
          <cell r="BQ48">
            <v>6.9375</v>
          </cell>
          <cell r="BR48">
            <v>8.875</v>
          </cell>
          <cell r="BS48">
            <v>24.75</v>
          </cell>
          <cell r="BU48">
            <v>-7.796954314720872E-2</v>
          </cell>
        </row>
        <row r="49">
          <cell r="A49" t="str">
            <v xml:space="preserve">   SG&amp;A</v>
          </cell>
          <cell r="G49">
            <v>-0.13321559227955093</v>
          </cell>
          <cell r="H49">
            <v>-0.27421250587682189</v>
          </cell>
          <cell r="I49">
            <v>-0.16485846115475755</v>
          </cell>
          <cell r="J49">
            <v>-8.0327150576894879E-2</v>
          </cell>
          <cell r="K49">
            <v>-0.16807769719817267</v>
          </cell>
          <cell r="L49">
            <v>-0.10959103478387433</v>
          </cell>
          <cell r="M49">
            <v>0.13133603238866409</v>
          </cell>
          <cell r="N49">
            <v>6.2266686576078811E-2</v>
          </cell>
          <cell r="O49">
            <v>6.0822613943147363E-2</v>
          </cell>
          <cell r="P49">
            <v>3.2949308755760631E-2</v>
          </cell>
          <cell r="Q49">
            <v>4.429552141222648E-2</v>
          </cell>
          <cell r="R49">
            <v>7.2573718866304038E-2</v>
          </cell>
          <cell r="S49">
            <v>5.7351700871520972E-2</v>
          </cell>
          <cell r="T49">
            <v>0.12470059880239504</v>
          </cell>
          <cell r="U49">
            <v>7.5061342850769597E-2</v>
          </cell>
          <cell r="V49">
            <v>8.1389888871497673E-2</v>
          </cell>
          <cell r="W49">
            <v>6.8463899639663595E-2</v>
          </cell>
          <cell r="X49">
            <v>6.3812815740494466E-2</v>
          </cell>
          <cell r="Y49">
            <v>1.7702648742180305E-2</v>
          </cell>
          <cell r="Z49">
            <v>5.6921534045716982E-2</v>
          </cell>
          <cell r="AA49">
            <v>8.7422202923722603E-2</v>
          </cell>
          <cell r="AB49">
            <v>9.3429927554334435E-2</v>
          </cell>
          <cell r="AC49">
            <v>7.8605348662834196E-2</v>
          </cell>
          <cell r="AD49">
            <v>3.5835731101229396E-2</v>
          </cell>
          <cell r="AE49">
            <v>7.3782024015966785E-2</v>
          </cell>
          <cell r="AF49">
            <v>8.9178756821510774E-3</v>
          </cell>
          <cell r="AG49">
            <v>1.2108750285583669E-2</v>
          </cell>
          <cell r="AH49">
            <v>8.4462982273201259E-2</v>
          </cell>
          <cell r="AI49">
            <v>0.1515151515151516</v>
          </cell>
          <cell r="AJ49">
            <v>6.4050216344688993E-2</v>
          </cell>
          <cell r="AK49">
            <v>1.1873350923482739E-2</v>
          </cell>
          <cell r="AL49">
            <v>0.16591422121896171</v>
          </cell>
          <cell r="AM49">
            <v>1.8162393162393098E-2</v>
          </cell>
          <cell r="AN49">
            <v>2.1929824561403466E-2</v>
          </cell>
          <cell r="AO49">
            <v>5.5269186712485707E-2</v>
          </cell>
          <cell r="AP49">
            <v>0.20338983050847448</v>
          </cell>
          <cell r="AQ49">
            <v>4.8402710551791461E-3</v>
          </cell>
          <cell r="AR49">
            <v>0.12591815320041966</v>
          </cell>
          <cell r="AS49">
            <v>9.3347639484978595E-2</v>
          </cell>
          <cell r="AT49">
            <v>9.9864314789687825E-2</v>
          </cell>
          <cell r="AU49">
            <v>0.14409534127843981</v>
          </cell>
          <cell r="AV49">
            <v>0.11657032755298657</v>
          </cell>
          <cell r="AW49">
            <v>3.7278657968313089E-2</v>
          </cell>
          <cell r="AX49">
            <v>6.2481132081980695E-2</v>
          </cell>
          <cell r="AY49">
            <v>8.8247785243409371E-2</v>
          </cell>
          <cell r="AZ49">
            <v>4.2994622586949083E-2</v>
          </cell>
          <cell r="BA49">
            <v>1</v>
          </cell>
          <cell r="BB49">
            <v>9</v>
          </cell>
          <cell r="BC49">
            <v>9</v>
          </cell>
          <cell r="BD49">
            <v>19</v>
          </cell>
          <cell r="BE49">
            <v>14</v>
          </cell>
          <cell r="BF49">
            <v>16</v>
          </cell>
          <cell r="BG49">
            <v>15</v>
          </cell>
          <cell r="BH49">
            <v>19</v>
          </cell>
          <cell r="BI49">
            <v>64</v>
          </cell>
          <cell r="BJ49">
            <v>20.5</v>
          </cell>
          <cell r="BK49">
            <v>26</v>
          </cell>
          <cell r="BL49">
            <v>25</v>
          </cell>
          <cell r="BM49">
            <v>22</v>
          </cell>
          <cell r="BN49">
            <v>93.5</v>
          </cell>
          <cell r="BO49">
            <v>23</v>
          </cell>
          <cell r="BP49">
            <v>19.8</v>
          </cell>
          <cell r="BQ49">
            <v>18.857142857142858</v>
          </cell>
          <cell r="BR49">
            <v>12.592857142857142</v>
          </cell>
          <cell r="BS49">
            <v>74.25</v>
          </cell>
          <cell r="BU49">
            <v>0.41649746192893411</v>
          </cell>
        </row>
        <row r="50">
          <cell r="A50" t="str">
            <v xml:space="preserve">   EBIT</v>
          </cell>
          <cell r="G50">
            <v>-0.14063667613211783</v>
          </cell>
          <cell r="H50">
            <v>-0.30785010940919033</v>
          </cell>
          <cell r="I50">
            <v>-0.20029433406916852</v>
          </cell>
          <cell r="J50">
            <v>-0.1395195788088186</v>
          </cell>
          <cell r="K50">
            <v>-0.20095996428039919</v>
          </cell>
          <cell r="L50">
            <v>-0.12747826086956537</v>
          </cell>
          <cell r="M50">
            <v>0.12645722189290654</v>
          </cell>
          <cell r="N50">
            <v>8.225984541774034E-2</v>
          </cell>
          <cell r="O50">
            <v>8.6424474187380529E-2</v>
          </cell>
          <cell r="P50">
            <v>3.7532013969732603E-2</v>
          </cell>
          <cell r="Q50">
            <v>1.0763404424955381E-2</v>
          </cell>
          <cell r="R50">
            <v>3.4029117698649358E-2</v>
          </cell>
          <cell r="S50">
            <v>3.4517939125999098E-2</v>
          </cell>
          <cell r="T50">
            <v>9.9612812390003302E-2</v>
          </cell>
          <cell r="U50">
            <v>4.5644270903460349E-2</v>
          </cell>
          <cell r="V50">
            <v>0.10451587458095046</v>
          </cell>
          <cell r="W50">
            <v>0.12162849872773496</v>
          </cell>
          <cell r="X50">
            <v>7.6758711374095956E-2</v>
          </cell>
          <cell r="Y50">
            <v>8.8028169014087165E-3</v>
          </cell>
          <cell r="Z50">
            <v>7.5929264314533507E-2</v>
          </cell>
          <cell r="AA50">
            <v>0.10301731833601124</v>
          </cell>
          <cell r="AB50">
            <v>8.4543254688445701E-2</v>
          </cell>
          <cell r="AC50">
            <v>7.9224545870859364E-2</v>
          </cell>
          <cell r="AD50">
            <v>6.1399333650642429E-2</v>
          </cell>
          <cell r="AE50">
            <v>8.1461682690389559E-2</v>
          </cell>
          <cell r="AF50">
            <v>8.416963418582224E-3</v>
          </cell>
          <cell r="AG50">
            <v>2.6356156742434633E-2</v>
          </cell>
          <cell r="AH50">
            <v>9.7595473833097524E-2</v>
          </cell>
          <cell r="AI50">
            <v>0.13153961136023917</v>
          </cell>
          <cell r="AJ50">
            <v>6.6804382308458532E-2</v>
          </cell>
          <cell r="AK50">
            <v>1.1235955056179803E-2</v>
          </cell>
          <cell r="AL50">
            <v>0.16983695652173902</v>
          </cell>
          <cell r="AM50">
            <v>7.7319587628865705E-3</v>
          </cell>
          <cell r="AN50">
            <v>5.2840158520475189E-3</v>
          </cell>
          <cell r="AO50">
            <v>4.9100968188105165E-2</v>
          </cell>
          <cell r="AP50">
            <v>0.19682539682539679</v>
          </cell>
          <cell r="AQ50">
            <v>-9.2915214866434725E-3</v>
          </cell>
          <cell r="AR50">
            <v>0.13810741687979533</v>
          </cell>
          <cell r="AS50">
            <v>9.9868593955321883E-2</v>
          </cell>
          <cell r="AT50">
            <v>9.9208965062623555E-2</v>
          </cell>
          <cell r="AU50">
            <v>0.14323607427055696</v>
          </cell>
          <cell r="AV50">
            <v>0.1160609613130128</v>
          </cell>
          <cell r="AW50">
            <v>1.5730337078651679E-2</v>
          </cell>
          <cell r="AX50">
            <v>6.0532676063245416E-2</v>
          </cell>
          <cell r="AY50">
            <v>8.1159175371795067E-2</v>
          </cell>
          <cell r="AZ50">
            <v>4.6684966434852981E-2</v>
          </cell>
          <cell r="BA50">
            <v>-1</v>
          </cell>
          <cell r="BB50">
            <v>-4</v>
          </cell>
          <cell r="BC50">
            <v>7</v>
          </cell>
          <cell r="BD50">
            <v>2</v>
          </cell>
          <cell r="BE50">
            <v>7</v>
          </cell>
          <cell r="BF50">
            <v>2</v>
          </cell>
          <cell r="BG50">
            <v>0</v>
          </cell>
          <cell r="BH50">
            <v>-3</v>
          </cell>
          <cell r="BI50">
            <v>6</v>
          </cell>
          <cell r="BJ50">
            <v>-5.1000000000000014</v>
          </cell>
          <cell r="BK50">
            <v>-17</v>
          </cell>
          <cell r="BL50">
            <v>-13</v>
          </cell>
          <cell r="BM50">
            <v>-20</v>
          </cell>
          <cell r="BN50">
            <v>-55.1</v>
          </cell>
          <cell r="BO50">
            <v>-18</v>
          </cell>
          <cell r="BP50">
            <v>-15.862500000000001</v>
          </cell>
          <cell r="BQ50">
            <v>-11.919642857142858</v>
          </cell>
          <cell r="BR50">
            <v>-3.7178571428571416</v>
          </cell>
          <cell r="BS50">
            <v>-49.5</v>
          </cell>
          <cell r="BU50" t="e">
            <v>#DIV/0!</v>
          </cell>
        </row>
        <row r="51">
          <cell r="A51" t="str">
            <v>Cigarettes</v>
          </cell>
          <cell r="G51">
            <v>-0.33322079675894667</v>
          </cell>
          <cell r="H51">
            <v>-0.38300787941075709</v>
          </cell>
          <cell r="I51">
            <v>-0.15909090909090906</v>
          </cell>
          <cell r="J51">
            <v>-0.11872146118721461</v>
          </cell>
          <cell r="K51">
            <v>-0.26084910100724834</v>
          </cell>
          <cell r="L51">
            <v>1.8227848101265876E-2</v>
          </cell>
          <cell r="M51">
            <v>0.30094392004441994</v>
          </cell>
          <cell r="N51">
            <v>-4.6598322460391639E-3</v>
          </cell>
          <cell r="O51">
            <v>2.0207253886010301E-2</v>
          </cell>
          <cell r="P51">
            <v>7.7305145185939894E-2</v>
          </cell>
          <cell r="Q51">
            <v>-1.1934361014420691E-2</v>
          </cell>
          <cell r="R51">
            <v>5.5484421681604168E-3</v>
          </cell>
          <cell r="S51">
            <v>4.8220973782771681E-2</v>
          </cell>
          <cell r="T51">
            <v>0.10817673946165551</v>
          </cell>
          <cell r="U51">
            <v>3.6056271426882391E-2</v>
          </cell>
          <cell r="V51">
            <v>9.2098641167589479E-2</v>
          </cell>
          <cell r="W51">
            <v>3.8200339558573937E-3</v>
          </cell>
          <cell r="X51">
            <v>8.4412684234033142E-2</v>
          </cell>
          <cell r="Y51">
            <v>-1.4207149404216302E-2</v>
          </cell>
          <cell r="Z51">
            <v>3.9936102236421966E-2</v>
          </cell>
          <cell r="AA51">
            <v>0.14792626728110592</v>
          </cell>
          <cell r="AB51">
            <v>0.16363636363636358</v>
          </cell>
          <cell r="AC51">
            <v>0.14126853377265247</v>
          </cell>
          <cell r="AD51">
            <v>0.14830311483031156</v>
          </cell>
          <cell r="AE51">
            <v>0.15031819179284622</v>
          </cell>
          <cell r="AF51">
            <v>3.1714171015656323E-2</v>
          </cell>
          <cell r="AG51">
            <v>6.4680232558139483E-2</v>
          </cell>
          <cell r="AH51">
            <v>9.7076867556838531E-2</v>
          </cell>
          <cell r="AI51">
            <v>6.4777327935222617E-2</v>
          </cell>
          <cell r="AJ51">
            <v>6.5433040824112831E-2</v>
          </cell>
          <cell r="AK51">
            <v>-3.8910505836575848E-2</v>
          </cell>
          <cell r="AL51">
            <v>4.7781569965870352E-2</v>
          </cell>
          <cell r="AM51">
            <v>-3.289473684210531E-2</v>
          </cell>
          <cell r="AN51">
            <v>6.4638783269961975E-2</v>
          </cell>
          <cell r="AO51">
            <v>9.8478066248881557E-3</v>
          </cell>
          <cell r="AP51">
            <v>0.1174089068825912</v>
          </cell>
          <cell r="AQ51">
            <v>1.3029315960912058E-2</v>
          </cell>
          <cell r="AR51">
            <v>0.1020408163265305</v>
          </cell>
          <cell r="AS51">
            <v>7.1428571428571397E-2</v>
          </cell>
          <cell r="AT51">
            <v>7.4468085106383031E-2</v>
          </cell>
          <cell r="AU51">
            <v>0.15579710144927539</v>
          </cell>
          <cell r="AV51">
            <v>0.135048231511254</v>
          </cell>
          <cell r="AW51">
            <v>5.2469135802469147E-2</v>
          </cell>
          <cell r="AX51">
            <v>6.7005374641354809E-2</v>
          </cell>
          <cell r="AY51">
            <v>9.9918822105945937E-2</v>
          </cell>
          <cell r="AZ51">
            <v>4.2994622586948861E-2</v>
          </cell>
          <cell r="BA51">
            <v>3.2512140941554524E-2</v>
          </cell>
          <cell r="BB51">
            <v>6.4351527807968933E-2</v>
          </cell>
          <cell r="BC51">
            <v>5.845676248126086E-2</v>
          </cell>
          <cell r="BD51">
            <v>4.9387123552286027E-2</v>
          </cell>
        </row>
        <row r="52">
          <cell r="A52" t="str">
            <v>Cigarettes</v>
          </cell>
          <cell r="G52">
            <v>3.7150517043278208E-2</v>
          </cell>
          <cell r="H52">
            <v>-0.29234055538602421</v>
          </cell>
          <cell r="I52">
            <v>-0.3027190332326285</v>
          </cell>
          <cell r="J52">
            <v>-0.24983119513841967</v>
          </cell>
          <cell r="K52">
            <v>-0.21406250000000049</v>
          </cell>
          <cell r="L52">
            <v>-0.25923190546528851</v>
          </cell>
          <cell r="M52">
            <v>2.5873221216041742E-3</v>
          </cell>
          <cell r="N52">
            <v>0.25389948006932417</v>
          </cell>
          <cell r="O52">
            <v>0.25382538253825371</v>
          </cell>
          <cell r="P52">
            <v>4.7504447002198136E-2</v>
          </cell>
          <cell r="Q52">
            <v>8.8733798604188285E-2</v>
          </cell>
          <cell r="R52">
            <v>0.10408602150537649</v>
          </cell>
          <cell r="S52">
            <v>-6.9108500345482771E-4</v>
          </cell>
          <cell r="T52">
            <v>0.14716439339554888</v>
          </cell>
          <cell r="U52">
            <v>8.2709020077914142E-2</v>
          </cell>
          <cell r="V52">
            <v>0.14560439560439531</v>
          </cell>
          <cell r="W52">
            <v>0.23022984028048232</v>
          </cell>
          <cell r="X52">
            <v>0.13658367911479874</v>
          </cell>
          <cell r="Y52">
            <v>8.3541927409261918E-2</v>
          </cell>
          <cell r="Z52">
            <v>0.14493957007103986</v>
          </cell>
          <cell r="AA52">
            <v>0.14628297362110265</v>
          </cell>
          <cell r="AB52">
            <v>0.13679544015199596</v>
          </cell>
          <cell r="AC52">
            <v>5.9324612108305308E-2</v>
          </cell>
          <cell r="AD52">
            <v>-8.6630089517780728E-4</v>
          </cell>
          <cell r="AE52">
            <v>7.9774375503625317E-2</v>
          </cell>
          <cell r="AF52">
            <v>-7.2524407252440581E-2</v>
          </cell>
          <cell r="AG52">
            <v>-1.9498607242340316E-2</v>
          </cell>
          <cell r="AH52">
            <v>9.7070649052269031E-2</v>
          </cell>
          <cell r="AI52">
            <v>0.19653179190751446</v>
          </cell>
          <cell r="AJ52">
            <v>5.5223880597015329E-2</v>
          </cell>
          <cell r="AK52">
            <v>0.10526315789473695</v>
          </cell>
          <cell r="AL52">
            <v>0.29545454545454541</v>
          </cell>
          <cell r="AM52">
            <v>2.6178010471204161E-2</v>
          </cell>
          <cell r="AN52">
            <v>-3.8647342995169032E-2</v>
          </cell>
          <cell r="AO52">
            <v>8.9108910891089188E-2</v>
          </cell>
          <cell r="AP52">
            <v>0.29931972789115657</v>
          </cell>
          <cell r="AQ52">
            <v>-2.4122807017543879E-2</v>
          </cell>
          <cell r="AR52">
            <v>0.18622448979591844</v>
          </cell>
          <cell r="AS52">
            <v>8.5427135678391997E-2</v>
          </cell>
          <cell r="AT52">
            <v>0.12012987012987009</v>
          </cell>
          <cell r="AU52">
            <v>1535</v>
          </cell>
          <cell r="AV52">
            <v>1692</v>
          </cell>
          <cell r="AW52">
            <v>1622</v>
          </cell>
          <cell r="AX52">
            <v>1618</v>
          </cell>
          <cell r="AY52">
            <v>6467</v>
          </cell>
          <cell r="AZ52">
            <v>1526</v>
          </cell>
          <cell r="BA52">
            <v>1723</v>
          </cell>
          <cell r="BB52">
            <v>1647</v>
          </cell>
          <cell r="BC52">
            <v>1665</v>
          </cell>
          <cell r="BD52">
            <v>6561</v>
          </cell>
          <cell r="BE52">
            <v>1520</v>
          </cell>
          <cell r="BF52">
            <v>1747</v>
          </cell>
          <cell r="BG52">
            <v>1764</v>
          </cell>
          <cell r="BH52">
            <v>1689</v>
          </cell>
          <cell r="BI52">
            <v>6720</v>
          </cell>
          <cell r="BJ52">
            <v>1580.877659615925</v>
          </cell>
          <cell r="BK52">
            <v>1793.657192530404</v>
          </cell>
          <cell r="BL52">
            <v>1812.9737308251224</v>
          </cell>
          <cell r="BM52">
            <v>3.7531276063386132E-2</v>
          </cell>
          <cell r="BN52">
            <v>6925.0843772151429</v>
          </cell>
        </row>
        <row r="53">
          <cell r="A53" t="str">
            <v xml:space="preserve">   Gross sales</v>
          </cell>
          <cell r="G53">
            <v>2.7075011096315826E-2</v>
          </cell>
          <cell r="H53">
            <v>-0.34606285907401191</v>
          </cell>
          <cell r="I53">
            <v>-0.40741905061301498</v>
          </cell>
          <cell r="J53">
            <v>-0.26354206684594672</v>
          </cell>
          <cell r="K53">
            <v>-0.26791560567479145</v>
          </cell>
          <cell r="L53">
            <v>-0.27052722558340603</v>
          </cell>
          <cell r="M53">
            <v>2.9457364341085368E-2</v>
          </cell>
          <cell r="N53">
            <v>0.36976127320954943</v>
          </cell>
          <cell r="O53">
            <v>0.34272300469483552</v>
          </cell>
          <cell r="P53">
            <v>9.7639751552796028E-2</v>
          </cell>
          <cell r="Q53">
            <v>0.14928909952606761</v>
          </cell>
          <cell r="R53">
            <v>0.20180722891566294</v>
          </cell>
          <cell r="S53">
            <v>6.467854376452431E-2</v>
          </cell>
          <cell r="T53">
            <v>0.19347319347319325</v>
          </cell>
          <cell r="U53">
            <v>0.14927569035762778</v>
          </cell>
          <cell r="V53">
            <v>0.26134020618556675</v>
          </cell>
          <cell r="W53">
            <v>0.28362573099415123</v>
          </cell>
          <cell r="X53">
            <v>0.20080029101491381</v>
          </cell>
          <cell r="Y53">
            <v>0.15462239583333348</v>
          </cell>
          <cell r="Z53">
            <v>0.21792220580994592</v>
          </cell>
          <cell r="AA53">
            <v>0.21740907233346918</v>
          </cell>
          <cell r="AB53">
            <v>0.17930361210543544</v>
          </cell>
          <cell r="AC53">
            <v>0.10542259921235986</v>
          </cell>
          <cell r="AD53">
            <v>1.2122920778122159E-2</v>
          </cell>
          <cell r="AE53">
            <v>0.11917852522638994</v>
          </cell>
          <cell r="AF53">
            <v>-7.6871433366901609E-2</v>
          </cell>
          <cell r="AG53">
            <v>-1.4900662251655983E-2</v>
          </cell>
          <cell r="AH53">
            <v>5.7824061386681613E-2</v>
          </cell>
          <cell r="AI53">
            <v>0.15598885793871875</v>
          </cell>
          <cell r="AJ53">
            <v>3.5255020950730076E-2</v>
          </cell>
          <cell r="AK53">
            <v>7.2727272727272751E-2</v>
          </cell>
          <cell r="AL53">
            <v>0.27507002801120439</v>
          </cell>
          <cell r="AM53">
            <v>-2.0725388601036232E-2</v>
          </cell>
          <cell r="AN53">
            <v>-6.0240963855421659E-2</v>
          </cell>
          <cell r="AO53">
            <v>6.0153524075366338E-2</v>
          </cell>
          <cell r="AP53">
            <v>0.264406779661017</v>
          </cell>
          <cell r="AQ53">
            <v>-8.1722319859402481E-2</v>
          </cell>
          <cell r="AR53">
            <v>0.15608465608465605</v>
          </cell>
          <cell r="AS53">
            <v>3.7539666693118257E-2</v>
          </cell>
          <cell r="AT53">
            <v>7.5987671149497116E-2</v>
          </cell>
          <cell r="AU53">
            <v>1535</v>
          </cell>
          <cell r="AV53">
            <v>1692</v>
          </cell>
          <cell r="AW53">
            <v>1622</v>
          </cell>
          <cell r="AX53">
            <v>1618</v>
          </cell>
          <cell r="AY53">
            <v>6467</v>
          </cell>
          <cell r="AZ53">
            <v>1526</v>
          </cell>
          <cell r="BA53">
            <v>1723</v>
          </cell>
          <cell r="BB53">
            <v>1647</v>
          </cell>
          <cell r="BC53">
            <v>1665</v>
          </cell>
          <cell r="BD53">
            <v>6561</v>
          </cell>
          <cell r="BE53">
            <v>1520</v>
          </cell>
          <cell r="BF53">
            <v>1747</v>
          </cell>
          <cell r="BG53">
            <v>1764</v>
          </cell>
          <cell r="BH53">
            <v>1689</v>
          </cell>
          <cell r="BI53">
            <v>6720</v>
          </cell>
          <cell r="BJ53">
            <v>1541</v>
          </cell>
          <cell r="BK53">
            <v>1762</v>
          </cell>
          <cell r="BL53">
            <v>1793</v>
          </cell>
          <cell r="BM53">
            <v>1729</v>
          </cell>
          <cell r="BN53">
            <v>6825</v>
          </cell>
          <cell r="BO53">
            <v>1640</v>
          </cell>
          <cell r="BP53">
            <v>1811.467102445612</v>
          </cell>
          <cell r="BQ53">
            <v>1824.9497935407082</v>
          </cell>
          <cell r="BR53">
            <v>1741.9016664396734</v>
          </cell>
          <cell r="BS53">
            <v>7018.3185624259932</v>
          </cell>
        </row>
        <row r="54">
          <cell r="A54" t="str">
            <v xml:space="preserve">   Net sales</v>
          </cell>
          <cell r="G54">
            <v>2.5274836838288017E-2</v>
          </cell>
          <cell r="H54">
            <v>-0.29842505410589348</v>
          </cell>
          <cell r="I54">
            <v>-0.39256764424663582</v>
          </cell>
          <cell r="J54">
            <v>-0.25660202264120779</v>
          </cell>
          <cell r="K54">
            <v>-0.24876872063978084</v>
          </cell>
          <cell r="L54">
            <v>-0.27149479366327867</v>
          </cell>
          <cell r="M54">
            <v>-3.1805276421986162E-2</v>
          </cell>
          <cell r="N54">
            <v>0.37350366267643409</v>
          </cell>
          <cell r="O54">
            <v>0.35654362416107377</v>
          </cell>
          <cell r="P54">
            <v>8.7019277669719175E-2</v>
          </cell>
          <cell r="Q54">
            <v>0.15048543689320559</v>
          </cell>
          <cell r="R54">
            <v>0.17051070840197724</v>
          </cell>
          <cell r="S54">
            <v>7.5672295184491034E-2</v>
          </cell>
          <cell r="T54">
            <v>0.17810760667903502</v>
          </cell>
          <cell r="U54">
            <v>0.14120879120879071</v>
          </cell>
          <cell r="V54">
            <v>0.26666666666666639</v>
          </cell>
          <cell r="W54">
            <v>0.31738212526389731</v>
          </cell>
          <cell r="X54">
            <v>0.17965116279069693</v>
          </cell>
          <cell r="Y54">
            <v>0.15485564304461974</v>
          </cell>
          <cell r="Z54">
            <v>0.22002888781897001</v>
          </cell>
          <cell r="AA54">
            <v>0.25630046635576242</v>
          </cell>
          <cell r="AB54">
            <v>0.21314102564102733</v>
          </cell>
          <cell r="AC54">
            <v>0.1513060620995561</v>
          </cell>
          <cell r="AD54">
            <v>0.14728513807012078</v>
          </cell>
          <cell r="AE54">
            <v>0.18610027673694507</v>
          </cell>
          <cell r="AF54">
            <v>-7.7021808851942208E-2</v>
          </cell>
          <cell r="AG54">
            <v>-4.447380008806745E-2</v>
          </cell>
          <cell r="AH54">
            <v>1.455479452054842E-2</v>
          </cell>
          <cell r="AI54">
            <v>2.2175947210427926E-2</v>
          </cell>
          <cell r="AJ54">
            <v>-1.7330871975895779E-2</v>
          </cell>
          <cell r="AK54">
            <v>5.7187867603762932E-2</v>
          </cell>
          <cell r="AL54">
            <v>0.31855167873601031</v>
          </cell>
          <cell r="AM54">
            <v>-8.4388185654008518E-3</v>
          </cell>
          <cell r="AN54">
            <v>-6.2015503875968991E-2</v>
          </cell>
          <cell r="AO54">
            <v>7.0062982739484969E-2</v>
          </cell>
          <cell r="AP54">
            <v>0.26086956521739135</v>
          </cell>
          <cell r="AQ54">
            <v>-8.0823613995845922E-2</v>
          </cell>
          <cell r="AR54">
            <v>0.16595319148936172</v>
          </cell>
          <cell r="AS54">
            <v>6.4630041364942548E-2</v>
          </cell>
          <cell r="AT54">
            <v>8.4918860981697986E-2</v>
          </cell>
          <cell r="AU54">
            <v>1056</v>
          </cell>
          <cell r="AV54">
            <v>1159</v>
          </cell>
          <cell r="AW54">
            <v>1113</v>
          </cell>
          <cell r="AX54">
            <v>1125</v>
          </cell>
          <cell r="AY54">
            <v>4453</v>
          </cell>
          <cell r="AZ54">
            <v>1059</v>
          </cell>
          <cell r="BA54">
            <v>1197</v>
          </cell>
          <cell r="BB54">
            <v>1149</v>
          </cell>
          <cell r="BC54">
            <v>1170</v>
          </cell>
          <cell r="BD54">
            <v>4575</v>
          </cell>
          <cell r="BE54">
            <v>1065</v>
          </cell>
          <cell r="BF54">
            <v>1231</v>
          </cell>
          <cell r="BG54">
            <v>1247</v>
          </cell>
          <cell r="BH54">
            <v>1199</v>
          </cell>
          <cell r="BI54">
            <v>4742</v>
          </cell>
          <cell r="BJ54">
            <v>1096</v>
          </cell>
          <cell r="BK54">
            <v>1260</v>
          </cell>
          <cell r="BL54">
            <v>1286</v>
          </cell>
          <cell r="BM54">
            <v>1244</v>
          </cell>
          <cell r="BN54">
            <v>4886</v>
          </cell>
          <cell r="BO54">
            <v>1182</v>
          </cell>
          <cell r="BP54">
            <v>1310.0462648494224</v>
          </cell>
          <cell r="BQ54">
            <v>1321.4450682963788</v>
          </cell>
          <cell r="BR54">
            <v>1263.3254773095532</v>
          </cell>
          <cell r="BS54">
            <v>5076.8168104553542</v>
          </cell>
        </row>
        <row r="55">
          <cell r="A55" t="str">
            <v xml:space="preserve">   COGS</v>
          </cell>
          <cell r="G55">
            <v>2.4442801111043577E-2</v>
          </cell>
          <cell r="H55">
            <v>-0.29781885455586965</v>
          </cell>
          <cell r="I55">
            <v>-0.39242768287434238</v>
          </cell>
          <cell r="J55">
            <v>-0.25660202264120779</v>
          </cell>
          <cell r="K55">
            <v>-0.24840089426451806</v>
          </cell>
          <cell r="L55">
            <v>-0.27149479366327878</v>
          </cell>
          <cell r="M55">
            <v>-3.1805276421986162E-2</v>
          </cell>
          <cell r="N55">
            <v>0.37350366267643409</v>
          </cell>
          <cell r="O55">
            <v>0.35654362416107377</v>
          </cell>
          <cell r="P55">
            <v>8.7019277669719175E-2</v>
          </cell>
          <cell r="Q55">
            <v>0.15048543689320559</v>
          </cell>
          <cell r="R55">
            <v>0.17051070840197724</v>
          </cell>
          <cell r="S55">
            <v>7.5672295184491034E-2</v>
          </cell>
          <cell r="T55">
            <v>0.19169957184174602</v>
          </cell>
          <cell r="U55">
            <v>0.15182468694096563</v>
          </cell>
          <cell r="V55">
            <v>0.26666666666666639</v>
          </cell>
          <cell r="W55">
            <v>0.32963684270821281</v>
          </cell>
          <cell r="X55">
            <v>0.17897203143618312</v>
          </cell>
          <cell r="Y55">
            <v>0.13918500561100755</v>
          </cell>
          <cell r="Z55">
            <v>0.20759622134032596</v>
          </cell>
          <cell r="AA55">
            <v>0.25506560037110226</v>
          </cell>
          <cell r="AB55">
            <v>0.1957607817206688</v>
          </cell>
          <cell r="AC55">
            <v>0.15083694200447506</v>
          </cell>
          <cell r="AD55">
            <v>0.14781824630972351</v>
          </cell>
          <cell r="AE55">
            <v>0.18463731745014278</v>
          </cell>
          <cell r="AF55">
            <v>-7.7021808851942208E-2</v>
          </cell>
          <cell r="AG55">
            <v>-4.1327243818345516E-2</v>
          </cell>
          <cell r="AH55">
            <v>2.2088262363035849E-2</v>
          </cell>
          <cell r="AI55">
            <v>5.625050341608806E-2</v>
          </cell>
          <cell r="AJ55">
            <v>-7.2000217470973293E-3</v>
          </cell>
          <cell r="AK55">
            <v>9.2331952948787821E-2</v>
          </cell>
          <cell r="AL55">
            <v>0.36678035268340103</v>
          </cell>
          <cell r="AM55">
            <v>4.4676204407854803E-2</v>
          </cell>
          <cell r="AN55">
            <v>-6.5239420182945373E-3</v>
          </cell>
          <cell r="AO55">
            <v>0.11939950344773842</v>
          </cell>
          <cell r="AP55">
            <v>0.37056000179848025</v>
          </cell>
          <cell r="AQ55">
            <v>1.3195413267881984E-2</v>
          </cell>
          <cell r="AR55">
            <v>0.25966646766951529</v>
          </cell>
          <cell r="AS55">
            <v>0.13712736805912695</v>
          </cell>
          <cell r="AT55">
            <v>0.17662127211810486</v>
          </cell>
          <cell r="AU55">
            <v>194</v>
          </cell>
          <cell r="AV55">
            <v>207</v>
          </cell>
          <cell r="AW55">
            <v>209</v>
          </cell>
          <cell r="AX55">
            <v>193</v>
          </cell>
          <cell r="AY55">
            <v>803</v>
          </cell>
          <cell r="AZ55">
            <v>199</v>
          </cell>
          <cell r="BA55">
            <v>221</v>
          </cell>
          <cell r="BB55">
            <v>209</v>
          </cell>
          <cell r="BC55">
            <v>216</v>
          </cell>
          <cell r="BD55">
            <v>845</v>
          </cell>
          <cell r="BE55">
            <v>197</v>
          </cell>
          <cell r="BF55">
            <v>228</v>
          </cell>
          <cell r="BG55">
            <v>224</v>
          </cell>
          <cell r="BH55">
            <v>203</v>
          </cell>
          <cell r="BI55">
            <v>852</v>
          </cell>
          <cell r="BJ55">
            <v>206.4</v>
          </cell>
          <cell r="BK55">
            <v>228</v>
          </cell>
          <cell r="BL55">
            <v>215</v>
          </cell>
          <cell r="BM55">
            <v>189</v>
          </cell>
          <cell r="BN55">
            <v>838.4</v>
          </cell>
          <cell r="BO55">
            <v>185</v>
          </cell>
          <cell r="BP55">
            <v>223.90286675326581</v>
          </cell>
          <cell r="BQ55">
            <v>207.37642601886276</v>
          </cell>
          <cell r="BR55">
            <v>223.20243433059636</v>
          </cell>
          <cell r="BS55">
            <v>839.4817271027249</v>
          </cell>
        </row>
        <row r="56">
          <cell r="A56" t="str">
            <v xml:space="preserve">   Gross Profit</v>
          </cell>
          <cell r="AU56">
            <v>862</v>
          </cell>
          <cell r="AV56">
            <v>952</v>
          </cell>
          <cell r="AW56">
            <v>904</v>
          </cell>
          <cell r="AX56">
            <v>932</v>
          </cell>
          <cell r="AY56">
            <v>3650</v>
          </cell>
          <cell r="AZ56">
            <v>860</v>
          </cell>
          <cell r="BA56">
            <v>976</v>
          </cell>
          <cell r="BB56">
            <v>940</v>
          </cell>
          <cell r="BC56">
            <v>954</v>
          </cell>
          <cell r="BD56">
            <v>3730</v>
          </cell>
          <cell r="BE56">
            <v>868</v>
          </cell>
          <cell r="BF56">
            <v>1003</v>
          </cell>
          <cell r="BG56">
            <v>1023</v>
          </cell>
          <cell r="BH56">
            <v>996</v>
          </cell>
          <cell r="BI56">
            <v>3890</v>
          </cell>
          <cell r="BJ56">
            <v>889.6</v>
          </cell>
          <cell r="BK56">
            <v>1032</v>
          </cell>
          <cell r="BL56">
            <v>1071</v>
          </cell>
          <cell r="BM56">
            <v>1055</v>
          </cell>
          <cell r="BN56">
            <v>4047.6</v>
          </cell>
          <cell r="BO56">
            <v>997</v>
          </cell>
          <cell r="BP56">
            <v>1086.1433980961565</v>
          </cell>
          <cell r="BQ56">
            <v>1114.0686422775161</v>
          </cell>
          <cell r="BR56">
            <v>1040.1230429789568</v>
          </cell>
          <cell r="BS56">
            <v>4237.3350833526292</v>
          </cell>
        </row>
        <row r="57">
          <cell r="A57" t="str">
            <v xml:space="preserve">   SG&amp;A</v>
          </cell>
          <cell r="B57" t="str">
            <v>1Q02</v>
          </cell>
          <cell r="C57" t="str">
            <v>2Q02</v>
          </cell>
          <cell r="D57" t="str">
            <v>3Q02</v>
          </cell>
          <cell r="E57" t="str">
            <v>4Q02</v>
          </cell>
          <cell r="F57">
            <v>2002</v>
          </cell>
          <cell r="G57" t="str">
            <v>1Q03</v>
          </cell>
          <cell r="H57" t="str">
            <v>2Q03</v>
          </cell>
          <cell r="I57" t="str">
            <v>3Q03</v>
          </cell>
          <cell r="J57" t="str">
            <v>4Q03</v>
          </cell>
          <cell r="K57">
            <v>2003</v>
          </cell>
          <cell r="L57" t="str">
            <v>1Q04</v>
          </cell>
          <cell r="M57" t="str">
            <v>2Q04</v>
          </cell>
          <cell r="N57" t="str">
            <v>3Q04</v>
          </cell>
          <cell r="O57" t="str">
            <v>4Q04</v>
          </cell>
          <cell r="P57">
            <v>2004</v>
          </cell>
          <cell r="Q57" t="str">
            <v>1Q05</v>
          </cell>
          <cell r="R57" t="str">
            <v>2Q05</v>
          </cell>
          <cell r="S57" t="str">
            <v>3Q05</v>
          </cell>
          <cell r="T57" t="str">
            <v>4Q05</v>
          </cell>
          <cell r="U57">
            <v>2005</v>
          </cell>
          <cell r="V57" t="str">
            <v>1Q06</v>
          </cell>
          <cell r="W57" t="str">
            <v>2Q06</v>
          </cell>
          <cell r="X57" t="str">
            <v>3Q06</v>
          </cell>
          <cell r="Y57" t="str">
            <v>4Q06</v>
          </cell>
          <cell r="Z57">
            <v>2006</v>
          </cell>
          <cell r="AA57" t="str">
            <v>1Q07</v>
          </cell>
          <cell r="AB57" t="str">
            <v>2Q07</v>
          </cell>
          <cell r="AC57" t="str">
            <v>3Q07</v>
          </cell>
          <cell r="AD57" t="str">
            <v>4Q07</v>
          </cell>
          <cell r="AE57">
            <v>2007</v>
          </cell>
          <cell r="AF57" t="str">
            <v>1Q08</v>
          </cell>
          <cell r="AG57" t="str">
            <v>2Q08</v>
          </cell>
          <cell r="AH57" t="str">
            <v>3Q08</v>
          </cell>
          <cell r="AI57" t="str">
            <v>4Q08</v>
          </cell>
          <cell r="AJ57">
            <v>2008</v>
          </cell>
          <cell r="AK57" t="str">
            <v>1Q09</v>
          </cell>
          <cell r="AL57" t="str">
            <v>2Q09</v>
          </cell>
          <cell r="AM57" t="str">
            <v>3Q09</v>
          </cell>
          <cell r="AN57" t="str">
            <v>4Q09</v>
          </cell>
          <cell r="AO57">
            <v>2009</v>
          </cell>
          <cell r="AP57" t="str">
            <v>1Q10</v>
          </cell>
          <cell r="AQ57" t="str">
            <v>2Q10</v>
          </cell>
          <cell r="AR57" t="str">
            <v>3Q10</v>
          </cell>
          <cell r="AS57" t="str">
            <v>4Q10</v>
          </cell>
          <cell r="AT57">
            <v>2010</v>
          </cell>
          <cell r="AU57">
            <v>122</v>
          </cell>
          <cell r="AV57">
            <v>112</v>
          </cell>
          <cell r="AW57">
            <v>108</v>
          </cell>
          <cell r="AX57">
            <v>108</v>
          </cell>
          <cell r="AY57">
            <v>450</v>
          </cell>
          <cell r="AZ57">
            <v>131</v>
          </cell>
          <cell r="BA57">
            <v>122</v>
          </cell>
          <cell r="BB57">
            <v>112</v>
          </cell>
          <cell r="BC57">
            <v>113</v>
          </cell>
          <cell r="BD57">
            <v>478</v>
          </cell>
          <cell r="BE57">
            <v>118</v>
          </cell>
          <cell r="BF57">
            <v>122</v>
          </cell>
          <cell r="BG57">
            <v>113</v>
          </cell>
          <cell r="BH57">
            <v>117</v>
          </cell>
          <cell r="BI57">
            <v>470</v>
          </cell>
          <cell r="BJ57">
            <v>120.5</v>
          </cell>
          <cell r="BK57">
            <v>115</v>
          </cell>
          <cell r="BL57">
            <v>116</v>
          </cell>
          <cell r="BM57">
            <v>104</v>
          </cell>
          <cell r="BN57">
            <v>455.5</v>
          </cell>
          <cell r="BO57">
            <v>122</v>
          </cell>
          <cell r="BP57">
            <v>114.82816330979388</v>
          </cell>
          <cell r="BQ57">
            <v>115.027823826429</v>
          </cell>
          <cell r="BR57">
            <v>99.670834701012623</v>
          </cell>
          <cell r="BS57">
            <v>451.5268218372355</v>
          </cell>
        </row>
        <row r="58">
          <cell r="A58" t="str">
            <v xml:space="preserve">   EBIT</v>
          </cell>
          <cell r="B58">
            <v>9.5559999999999992</v>
          </cell>
          <cell r="C58">
            <v>9.3780000000000001</v>
          </cell>
          <cell r="D58">
            <v>8.6840000000000011</v>
          </cell>
          <cell r="E58">
            <v>7.8100000000000005</v>
          </cell>
          <cell r="F58">
            <v>35.427999999999997</v>
          </cell>
          <cell r="G58">
            <v>9.0339999999999989</v>
          </cell>
          <cell r="H58">
            <v>8.5920000000000005</v>
          </cell>
          <cell r="I58">
            <v>9.2100000000000009</v>
          </cell>
          <cell r="J58">
            <v>8.3477329999999981</v>
          </cell>
          <cell r="K58">
            <v>35.183732999999997</v>
          </cell>
          <cell r="L58">
            <v>8.144228</v>
          </cell>
          <cell r="M58">
            <v>8.9319489999999995</v>
          </cell>
          <cell r="N58">
            <v>8.849456</v>
          </cell>
          <cell r="O58">
            <v>8.5819899999999993</v>
          </cell>
          <cell r="P58">
            <v>34.507622999999995</v>
          </cell>
          <cell r="Q58">
            <v>8.2139889999999998</v>
          </cell>
          <cell r="R58">
            <v>9.3954470000000008</v>
          </cell>
          <cell r="S58">
            <v>9.1005230000000008</v>
          </cell>
          <cell r="T58">
            <v>8.4837130000000016</v>
          </cell>
          <cell r="U58">
            <v>35.193671999999985</v>
          </cell>
          <cell r="V58">
            <v>8.4681119999999996</v>
          </cell>
          <cell r="W58">
            <v>9.1415699999999998</v>
          </cell>
          <cell r="X58">
            <v>9.6225569999999987</v>
          </cell>
          <cell r="Y58">
            <v>8.8986229999999988</v>
          </cell>
          <cell r="Z58">
            <v>36.130862</v>
          </cell>
          <cell r="AA58">
            <v>8.3872520000000002</v>
          </cell>
          <cell r="AB58">
            <v>9.4734610000000004</v>
          </cell>
          <cell r="AC58">
            <v>9.4659420000000001</v>
          </cell>
          <cell r="AD58">
            <v>8.5155130000000003</v>
          </cell>
          <cell r="AE58">
            <v>35.842168000000001</v>
          </cell>
          <cell r="AF58">
            <v>8.415223000000001</v>
          </cell>
          <cell r="AG58">
            <v>9.4636750000000021</v>
          </cell>
          <cell r="AH58">
            <v>9.8930319999999998</v>
          </cell>
          <cell r="AI58">
            <v>9.2183439999999983</v>
          </cell>
          <cell r="AJ58">
            <v>36.990273999999999</v>
          </cell>
          <cell r="AK58">
            <v>7.7252910000000004</v>
          </cell>
          <cell r="AL58">
            <v>9.6599209999999989</v>
          </cell>
          <cell r="AM58">
            <v>9.2871059999999979</v>
          </cell>
          <cell r="AN58">
            <v>8.8867049999999992</v>
          </cell>
          <cell r="AO58">
            <v>35.559022999999996</v>
          </cell>
          <cell r="AP58">
            <v>8.7026620000000001</v>
          </cell>
          <cell r="AQ58">
            <v>9.6019459999999999</v>
          </cell>
          <cell r="AR58">
            <v>9.8303049999999992</v>
          </cell>
          <cell r="AS58">
            <v>9.2979730000000007</v>
          </cell>
          <cell r="AT58">
            <v>37.432885999999996</v>
          </cell>
          <cell r="AU58">
            <v>421</v>
          </cell>
          <cell r="AV58">
            <v>487</v>
          </cell>
          <cell r="AW58">
            <v>455</v>
          </cell>
          <cell r="AX58">
            <v>505</v>
          </cell>
          <cell r="AY58">
            <v>1868</v>
          </cell>
          <cell r="AZ58">
            <v>399</v>
          </cell>
          <cell r="BA58">
            <v>490</v>
          </cell>
          <cell r="BB58">
            <v>485</v>
          </cell>
          <cell r="BC58">
            <v>507</v>
          </cell>
          <cell r="BD58">
            <v>1881</v>
          </cell>
          <cell r="BE58">
            <v>431</v>
          </cell>
          <cell r="BF58">
            <v>527</v>
          </cell>
          <cell r="BG58">
            <v>541</v>
          </cell>
          <cell r="BH58">
            <v>526</v>
          </cell>
          <cell r="BI58">
            <v>2025</v>
          </cell>
          <cell r="BJ58">
            <v>452.1</v>
          </cell>
          <cell r="BK58">
            <v>549</v>
          </cell>
          <cell r="BL58">
            <v>583</v>
          </cell>
          <cell r="BM58">
            <v>610</v>
          </cell>
          <cell r="BN58">
            <v>2194.1</v>
          </cell>
          <cell r="BO58">
            <v>536</v>
          </cell>
          <cell r="BP58">
            <v>597.89606442116406</v>
          </cell>
          <cell r="BQ58">
            <v>624.17419168844322</v>
          </cell>
          <cell r="BR58">
            <v>606.93721066943908</v>
          </cell>
          <cell r="BS58">
            <v>2365.0074667790459</v>
          </cell>
        </row>
        <row r="59">
          <cell r="A59" t="str">
            <v>Gross Revenue</v>
          </cell>
          <cell r="Q59">
            <v>96.798279130882705</v>
          </cell>
          <cell r="R59">
            <v>98.803175623256649</v>
          </cell>
          <cell r="S59">
            <v>102.01611489801189</v>
          </cell>
          <cell r="T59">
            <v>107.97159215546304</v>
          </cell>
          <cell r="U59">
            <v>101.37617921767304</v>
          </cell>
          <cell r="V59">
            <v>100.94339800890683</v>
          </cell>
          <cell r="W59">
            <v>106.90723803460456</v>
          </cell>
          <cell r="X59">
            <v>102.46756657300135</v>
          </cell>
          <cell r="Y59">
            <v>105.26347728182216</v>
          </cell>
          <cell r="Z59">
            <v>103.92223689542752</v>
          </cell>
          <cell r="AA59">
            <v>108.85567764030459</v>
          </cell>
          <cell r="AB59">
            <v>111.40595818149249</v>
          </cell>
          <cell r="AC59">
            <v>110.26900439491389</v>
          </cell>
          <cell r="AD59">
            <v>112.38312947205881</v>
          </cell>
          <cell r="AE59">
            <v>110.74106901122721</v>
          </cell>
          <cell r="AF59">
            <v>109.44451501760558</v>
          </cell>
          <cell r="AG59">
            <v>113.06389959503045</v>
          </cell>
          <cell r="AH59">
            <v>113.71640160468499</v>
          </cell>
          <cell r="AI59">
            <v>118.0255369077136</v>
          </cell>
          <cell r="AJ59">
            <v>113.6514966069189</v>
          </cell>
          <cell r="AK59">
            <v>118.70103016184115</v>
          </cell>
          <cell r="AL59">
            <v>157.24766279144521</v>
          </cell>
          <cell r="AM59">
            <v>152.79248454793134</v>
          </cell>
          <cell r="AN59">
            <v>155.0630970646601</v>
          </cell>
          <cell r="AO59">
            <v>147.16377331289448</v>
          </cell>
          <cell r="AP59">
            <v>156.27402282198253</v>
          </cell>
          <cell r="AQ59">
            <v>158.30124435192616</v>
          </cell>
          <cell r="AR59">
            <v>159.40502354708224</v>
          </cell>
          <cell r="AS59">
            <v>159.81978007464636</v>
          </cell>
          <cell r="AT59">
            <v>158.47028198680701</v>
          </cell>
          <cell r="AU59">
            <v>161.17455193474564</v>
          </cell>
          <cell r="AV59">
            <v>159.6581729839688</v>
          </cell>
          <cell r="AW59">
            <v>160.48434214034862</v>
          </cell>
          <cell r="AX59">
            <v>163.54433439145302</v>
          </cell>
          <cell r="AY59">
            <v>161.16427678058272</v>
          </cell>
          <cell r="AZ59">
            <v>165.62160180903598</v>
          </cell>
          <cell r="BA59">
            <v>164.92015380748822</v>
          </cell>
          <cell r="BB59">
            <v>3.4179304989339521E-2</v>
          </cell>
          <cell r="BC59">
            <v>168.44476528625489</v>
          </cell>
          <cell r="BD59">
            <v>166.30134760818638</v>
          </cell>
          <cell r="BE59">
            <v>0.40469483568075115</v>
          </cell>
          <cell r="BF59">
            <v>0.42810722989439481</v>
          </cell>
          <cell r="BG59">
            <v>0.43384121892542099</v>
          </cell>
          <cell r="BH59">
            <v>0.43869891576313597</v>
          </cell>
          <cell r="BJ59">
            <v>0.41250000000000003</v>
          </cell>
          <cell r="BK59">
            <v>0.43571428571428572</v>
          </cell>
          <cell r="BL59">
            <v>0.44224009801521125</v>
          </cell>
          <cell r="BM59">
            <v>0.45287296595050835</v>
          </cell>
        </row>
        <row r="60">
          <cell r="A60" t="str">
            <v>Cigarette YoY % Growth</v>
          </cell>
          <cell r="G60" t="str">
            <v>1Q03</v>
          </cell>
          <cell r="H60" t="str">
            <v>2Q03</v>
          </cell>
          <cell r="I60" t="str">
            <v>3Q03</v>
          </cell>
          <cell r="J60" t="str">
            <v>4Q03</v>
          </cell>
          <cell r="K60">
            <v>2003</v>
          </cell>
          <cell r="L60" t="str">
            <v>1Q04</v>
          </cell>
          <cell r="M60" t="str">
            <v>2Q04</v>
          </cell>
          <cell r="N60" t="str">
            <v>3Q04</v>
          </cell>
          <cell r="O60" t="str">
            <v>4Q04</v>
          </cell>
          <cell r="P60">
            <v>2004</v>
          </cell>
          <cell r="Q60" t="str">
            <v>1Q05E</v>
          </cell>
          <cell r="R60" t="str">
            <v>2Q05E</v>
          </cell>
          <cell r="S60" t="str">
            <v>3Q05E</v>
          </cell>
          <cell r="T60" t="str">
            <v>4Q05E</v>
          </cell>
          <cell r="U60" t="str">
            <v>2005E</v>
          </cell>
          <cell r="V60" t="str">
            <v>1Q06</v>
          </cell>
          <cell r="W60" t="str">
            <v>2Q06</v>
          </cell>
          <cell r="X60" t="str">
            <v>3Q06</v>
          </cell>
          <cell r="Y60" t="str">
            <v>4Q06</v>
          </cell>
          <cell r="Z60">
            <v>2006</v>
          </cell>
          <cell r="AA60" t="str">
            <v>1Q07</v>
          </cell>
          <cell r="AB60" t="str">
            <v>2Q07</v>
          </cell>
          <cell r="AC60" t="str">
            <v>3Q07</v>
          </cell>
          <cell r="AD60" t="str">
            <v>4Q07</v>
          </cell>
          <cell r="AE60">
            <v>2007</v>
          </cell>
          <cell r="AF60" t="str">
            <v>1Q08</v>
          </cell>
          <cell r="AG60" t="str">
            <v>2Q08</v>
          </cell>
          <cell r="AH60" t="str">
            <v>3Q08</v>
          </cell>
          <cell r="AI60" t="str">
            <v>4Q08</v>
          </cell>
          <cell r="AJ60">
            <v>2008</v>
          </cell>
          <cell r="AK60" t="str">
            <v>1Q09</v>
          </cell>
          <cell r="AL60" t="str">
            <v>2Q09</v>
          </cell>
          <cell r="AM60" t="str">
            <v>3Q09</v>
          </cell>
          <cell r="AN60" t="str">
            <v>4Q09</v>
          </cell>
          <cell r="AO60">
            <v>2009</v>
          </cell>
          <cell r="AP60" t="str">
            <v>1Q10</v>
          </cell>
          <cell r="AQ60" t="str">
            <v>2Q10</v>
          </cell>
          <cell r="AR60" t="str">
            <v>3Q10</v>
          </cell>
          <cell r="AS60" t="str">
            <v>4Q10</v>
          </cell>
          <cell r="AT60">
            <v>2010</v>
          </cell>
          <cell r="AU60" t="str">
            <v>1Q11</v>
          </cell>
          <cell r="AV60" t="str">
            <v>2Q11</v>
          </cell>
          <cell r="AW60" t="str">
            <v>3Q11</v>
          </cell>
          <cell r="AX60" t="str">
            <v>4Q11</v>
          </cell>
          <cell r="AY60">
            <v>2011</v>
          </cell>
          <cell r="AZ60" t="str">
            <v>1Q12</v>
          </cell>
          <cell r="BA60" t="str">
            <v>2Q12</v>
          </cell>
          <cell r="BB60" t="str">
            <v>3Q12</v>
          </cell>
          <cell r="BC60" t="str">
            <v>4Q12</v>
          </cell>
          <cell r="BD60">
            <v>2012</v>
          </cell>
          <cell r="BE60" t="str">
            <v>1Q13</v>
          </cell>
          <cell r="BF60" t="str">
            <v>2Q13</v>
          </cell>
          <cell r="BG60" t="str">
            <v>3Q13</v>
          </cell>
          <cell r="BH60" t="str">
            <v>4Q13</v>
          </cell>
          <cell r="BI60">
            <v>2013</v>
          </cell>
          <cell r="BJ60" t="str">
            <v>1Q14E</v>
          </cell>
          <cell r="BK60" t="str">
            <v>2Q14E</v>
          </cell>
          <cell r="BL60" t="str">
            <v>3Q14E</v>
          </cell>
          <cell r="BM60" t="str">
            <v>4Q14E</v>
          </cell>
          <cell r="BN60" t="str">
            <v>2014E</v>
          </cell>
        </row>
        <row r="61">
          <cell r="A61" t="str">
            <v>Volume</v>
          </cell>
          <cell r="B61">
            <v>82.953118459606543</v>
          </cell>
          <cell r="C61">
            <v>90.722968650032001</v>
          </cell>
          <cell r="D61">
            <v>92.342238599723615</v>
          </cell>
          <cell r="E61">
            <v>87.669654289372588</v>
          </cell>
          <cell r="F61">
            <v>88.351021790674054</v>
          </cell>
          <cell r="G61">
            <v>76.05711755589995</v>
          </cell>
          <cell r="H61">
            <v>71.86918063314711</v>
          </cell>
          <cell r="I61">
            <v>72.714440825189996</v>
          </cell>
          <cell r="J61">
            <v>75.433653663815093</v>
          </cell>
          <cell r="K61">
            <v>74.011475701000791</v>
          </cell>
          <cell r="L61">
            <v>75.120686699832078</v>
          </cell>
          <cell r="M61">
            <v>78.213612728868029</v>
          </cell>
          <cell r="N61">
            <v>80.389122224010151</v>
          </cell>
          <cell r="O61">
            <v>77.83742465325642</v>
          </cell>
          <cell r="P61">
            <v>77.947994273613119</v>
          </cell>
          <cell r="Q61">
            <v>77.781940053730295</v>
          </cell>
          <cell r="R61">
            <v>79.751394478623524</v>
          </cell>
          <cell r="S61">
            <v>82.654590291129423</v>
          </cell>
          <cell r="T61">
            <v>88.557922692575744</v>
          </cell>
          <cell r="U61">
            <v>1.9881085405389687E-2</v>
          </cell>
          <cell r="V61">
            <v>81.588434352308994</v>
          </cell>
          <cell r="W61">
            <v>87.577954333883554</v>
          </cell>
          <cell r="X61">
            <v>83.158769545350594</v>
          </cell>
          <cell r="Y61">
            <v>85.923406351746792</v>
          </cell>
          <cell r="Z61">
            <v>2.6629503167501678E-2</v>
          </cell>
          <cell r="AA61">
            <v>-9.5487636441274892E-3</v>
          </cell>
          <cell r="AB61">
            <v>3.6305689285319742E-2</v>
          </cell>
          <cell r="AC61">
            <v>-1.627581941057854E-2</v>
          </cell>
          <cell r="AD61">
            <v>-4.3052728495183823E-2</v>
          </cell>
          <cell r="AE61">
            <v>-7.9902328375115461E-3</v>
          </cell>
          <cell r="AF61">
            <v>3.3349421240711496E-3</v>
          </cell>
          <cell r="AG61">
            <v>-1.0329910050823621E-3</v>
          </cell>
          <cell r="AH61">
            <v>4.5118594641716525E-2</v>
          </cell>
          <cell r="AI61">
            <v>8.2535368098198836E-2</v>
          </cell>
          <cell r="AJ61">
            <v>5.3236232808238526E-2</v>
          </cell>
          <cell r="AK61">
            <v>-6.0145049037916176E-2</v>
          </cell>
          <cell r="AL61">
            <v>4.298266793819483E-2</v>
          </cell>
          <cell r="AM61">
            <v>-4.4018052301862842E-2</v>
          </cell>
          <cell r="AN61">
            <v>-1.8610609454365989E-2</v>
          </cell>
          <cell r="AO61">
            <v>-3.8844410914147254E-2</v>
          </cell>
          <cell r="AP61">
            <v>0.1206285578528703</v>
          </cell>
          <cell r="AQ61">
            <v>-8.6862309911127644E-3</v>
          </cell>
          <cell r="AR61">
            <v>5.7688558148190738E-2</v>
          </cell>
          <cell r="AS61">
            <v>4.5228000886502917E-2</v>
          </cell>
          <cell r="AT61">
            <v>5.0245063352232888E-2</v>
          </cell>
          <cell r="AU61">
            <v>9.5278191695030268E-2</v>
          </cell>
          <cell r="AV61">
            <v>9.9108180189667161E-2</v>
          </cell>
          <cell r="AW61">
            <v>2.8069949544908379E-2</v>
          </cell>
          <cell r="AX61">
            <v>5.5872105117273696E-2</v>
          </cell>
          <cell r="AY61">
            <v>6.8841003859425376E-2</v>
          </cell>
          <cell r="AZ61">
            <v>-2.7456174615889228E-2</v>
          </cell>
          <cell r="BA61">
            <v>-1.1704914529855004E-2</v>
          </cell>
          <cell r="BB61">
            <v>-2.0773261923614839E-2</v>
          </cell>
          <cell r="BC61">
            <v>2.7990008690663704E-3</v>
          </cell>
          <cell r="BD61">
            <v>-1.4193343229490063E-2</v>
          </cell>
          <cell r="BE61">
            <v>-2.3134106874614369E-2</v>
          </cell>
          <cell r="BF61">
            <v>-1.698948034153569E-2</v>
          </cell>
          <cell r="BG61">
            <v>3.5305665863315516E-2</v>
          </cell>
          <cell r="BH61">
            <v>-1.6104715206603171E-2</v>
          </cell>
          <cell r="BI61">
            <v>-5.0978536862942292E-3</v>
          </cell>
          <cell r="BJ61">
            <v>-2.8901171905622802E-2</v>
          </cell>
          <cell r="BK61">
            <v>-3.4103550697678675E-2</v>
          </cell>
          <cell r="BL61">
            <v>-2.1257261638836455E-2</v>
          </cell>
          <cell r="BM61">
            <v>-9.0221489661075349E-3</v>
          </cell>
          <cell r="BN61">
            <v>-2.336471502022841E-2</v>
          </cell>
          <cell r="BO61">
            <v>3.0921073566972268E-2</v>
          </cell>
          <cell r="BP61">
            <v>-2.6994440672900577E-4</v>
          </cell>
          <cell r="BQ61">
            <v>-7.1862207674030509E-3</v>
          </cell>
          <cell r="BR61">
            <v>-1.5421050219913912E-2</v>
          </cell>
          <cell r="BS61">
            <v>1.2902279374105152E-3</v>
          </cell>
        </row>
        <row r="62">
          <cell r="A62" t="str">
            <v>Gross Sales</v>
          </cell>
          <cell r="B62">
            <v>12.934282126412725</v>
          </cell>
          <cell r="C62">
            <v>12.753252292599701</v>
          </cell>
          <cell r="D62">
            <v>14.094887148779364</v>
          </cell>
          <cell r="E62">
            <v>9.8463508322663245</v>
          </cell>
          <cell r="F62">
            <v>12.490120808400137</v>
          </cell>
          <cell r="G62">
            <v>-0.13266879046346725</v>
          </cell>
          <cell r="H62">
            <v>-0.23955594507741751</v>
          </cell>
          <cell r="I62">
            <v>-0.12518164832883538</v>
          </cell>
          <cell r="J62">
            <v>-5.585520795876775E-2</v>
          </cell>
          <cell r="K62">
            <v>-0.14279695605234755</v>
          </cell>
          <cell r="L62">
            <v>-9.0165876777251186E-2</v>
          </cell>
          <cell r="M62">
            <v>0.11166602637981815</v>
          </cell>
          <cell r="N62">
            <v>4.3308020882771636E-2</v>
          </cell>
          <cell r="O62">
            <v>5.687444458550206E-2</v>
          </cell>
          <cell r="P62">
            <v>2.8383608773115521E-2</v>
          </cell>
          <cell r="Q62">
            <v>3.5421278812345358E-2</v>
          </cell>
          <cell r="R62">
            <v>6.9346849441308533E-2</v>
          </cell>
          <cell r="S62">
            <v>5.583987262595258E-2</v>
          </cell>
          <cell r="T62">
            <v>0.10030030030030024</v>
          </cell>
          <cell r="U62">
            <v>6.5714797777645106E-2</v>
          </cell>
          <cell r="V62">
            <v>7.5084894981763295E-2</v>
          </cell>
          <cell r="W62">
            <v>5.2784660131423022E-2</v>
          </cell>
          <cell r="X62">
            <v>6.2042223179664013E-2</v>
          </cell>
          <cell r="Y62">
            <v>2.2598253275109226E-2</v>
          </cell>
          <cell r="Z62">
            <v>5.2413251863893784E-2</v>
          </cell>
          <cell r="AA62">
            <v>6.8086102012166583E-2</v>
          </cell>
          <cell r="AB62">
            <v>7.9914048910263213E-2</v>
          </cell>
          <cell r="AC62">
            <v>5.862068965517242E-2</v>
          </cell>
          <cell r="AD62">
            <v>2.1671826625387025E-2</v>
          </cell>
          <cell r="AE62">
            <v>5.7100245019708007E-2</v>
          </cell>
          <cell r="AF62">
            <v>8.7623220153341119E-3</v>
          </cell>
          <cell r="AG62">
            <v>1.3833617585749414E-2</v>
          </cell>
          <cell r="AH62">
            <v>7.7792680590151431E-2</v>
          </cell>
          <cell r="AI62">
            <v>0.13688610240334387</v>
          </cell>
          <cell r="AJ62">
            <v>5.9155497329436812E-2</v>
          </cell>
          <cell r="AK62">
            <v>-4.3431053203040193E-3</v>
          </cell>
          <cell r="AL62">
            <v>0.41962616822429899</v>
          </cell>
          <cell r="AM62">
            <v>0.26133333333333342</v>
          </cell>
          <cell r="AN62">
            <v>0.26654411764705888</v>
          </cell>
          <cell r="AO62">
            <v>0.24476688867745011</v>
          </cell>
          <cell r="AP62">
            <v>0.48309705561613958</v>
          </cell>
          <cell r="AQ62">
            <v>6.5832784726804761E-4</v>
          </cell>
          <cell r="AR62">
            <v>0.1042988019732205</v>
          </cell>
          <cell r="AS62">
            <v>7.8374455732946213E-2</v>
          </cell>
          <cell r="AT62">
            <v>0.13357538696732285</v>
          </cell>
          <cell r="AU62">
            <v>0.12867647058823528</v>
          </cell>
          <cell r="AV62">
            <v>0.11315789473684212</v>
          </cell>
          <cell r="AW62">
            <v>3.5098915124441632E-2</v>
          </cell>
          <cell r="AX62">
            <v>8.8829071332436005E-2</v>
          </cell>
          <cell r="AY62">
            <v>9.0188806473364691E-2</v>
          </cell>
          <cell r="AZ62">
            <v>-5.8631921824103816E-3</v>
          </cell>
          <cell r="BA62">
            <v>1.8321513002364176E-2</v>
          </cell>
          <cell r="BB62">
            <v>1.5413070283600394E-2</v>
          </cell>
          <cell r="BC62">
            <v>2.9048207663782355E-2</v>
          </cell>
          <cell r="BD62">
            <v>1.4535333230245806E-2</v>
          </cell>
          <cell r="BE62">
            <v>-3.9318479685451768E-3</v>
          </cell>
          <cell r="BF62">
            <v>1.3929193267556483E-2</v>
          </cell>
          <cell r="BG62">
            <v>7.1038251366120297E-2</v>
          </cell>
          <cell r="BH62">
            <v>1.4414414414414489E-2</v>
          </cell>
          <cell r="BI62">
            <v>2.4234110653863716E-2</v>
          </cell>
          <cell r="BJ62">
            <v>1.3815789473684115E-2</v>
          </cell>
          <cell r="BK62">
            <v>8.5861476817401527E-3</v>
          </cell>
          <cell r="BL62">
            <v>1.6439909297052191E-2</v>
          </cell>
          <cell r="BM62">
            <v>2.3682652457075237E-2</v>
          </cell>
          <cell r="BN62">
            <v>1.5625E-2</v>
          </cell>
          <cell r="BO62">
            <v>6.4243997404282993E-2</v>
          </cell>
          <cell r="BP62">
            <v>2.807440547424056E-2</v>
          </cell>
          <cell r="BQ62">
            <v>1.7819182119747978E-2</v>
          </cell>
          <cell r="BR62">
            <v>7.4619239095854439E-3</v>
          </cell>
          <cell r="BS62">
            <v>2.8325064091720531E-2</v>
          </cell>
        </row>
        <row r="63">
          <cell r="A63" t="str">
            <v>Excise Taxes</v>
          </cell>
          <cell r="B63">
            <v>11.69945583926329</v>
          </cell>
          <cell r="C63">
            <v>11.900191938579654</v>
          </cell>
          <cell r="D63">
            <v>10.743896821741131</v>
          </cell>
          <cell r="E63">
            <v>11.856594110115235</v>
          </cell>
          <cell r="F63">
            <v>11.553008919498701</v>
          </cell>
          <cell r="G63">
            <v>-0.13026607538802659</v>
          </cell>
          <cell r="H63">
            <v>-7.2118114707552472E-2</v>
          </cell>
          <cell r="I63">
            <v>7.1826625386996801E-2</v>
          </cell>
          <cell r="J63">
            <v>5.6149732620320858E-2</v>
          </cell>
          <cell r="K63">
            <v>-2.426602756141405E-2</v>
          </cell>
          <cell r="L63">
            <v>-5.0987890376036349E-3</v>
          </cell>
          <cell r="M63">
            <v>3.733170134638919E-2</v>
          </cell>
          <cell r="N63">
            <v>-3.00404390525707E-2</v>
          </cell>
          <cell r="O63">
            <v>4.1139240506329111E-2</v>
          </cell>
          <cell r="P63">
            <v>1.0132023334356699E-2</v>
          </cell>
          <cell r="Q63">
            <v>6.4061499039080871E-4</v>
          </cell>
          <cell r="R63">
            <v>5.6047197640118007E-2</v>
          </cell>
          <cell r="S63">
            <v>4.9434187016080822E-2</v>
          </cell>
          <cell r="T63">
            <v>1.2158054711246535E-3</v>
          </cell>
          <cell r="U63">
            <v>2.7507598784194398E-2</v>
          </cell>
          <cell r="V63">
            <v>4.929577464788748E-2</v>
          </cell>
          <cell r="W63">
            <v>-1.2849162011173254E-2</v>
          </cell>
          <cell r="X63">
            <v>5.4483541430193183E-2</v>
          </cell>
          <cell r="Y63">
            <v>4.493017607771721E-2</v>
          </cell>
          <cell r="Z63">
            <v>3.3131193610413057E-2</v>
          </cell>
          <cell r="AA63">
            <v>-1.34228187919464E-2</v>
          </cell>
          <cell r="AB63">
            <v>1.8675721561969505E-2</v>
          </cell>
          <cell r="AC63">
            <v>-2.7448869752422111E-2</v>
          </cell>
          <cell r="AD63">
            <v>-4.1255084253341012E-2</v>
          </cell>
          <cell r="AE63">
            <v>-1.5891195418754611E-2</v>
          </cell>
          <cell r="AF63">
            <v>8.0395794681509258E-3</v>
          </cell>
          <cell r="AG63">
            <v>2.2222222222222143E-2</v>
          </cell>
          <cell r="AH63">
            <v>4.5932484781405769E-2</v>
          </cell>
          <cell r="AI63">
            <v>6.6666666666666652E-2</v>
          </cell>
          <cell r="AJ63">
            <v>3.5787023567064313E-2</v>
          </cell>
          <cell r="AK63">
            <v>-7.9754601226993849E-2</v>
          </cell>
          <cell r="AL63">
            <v>1.6413043478260869</v>
          </cell>
          <cell r="AM63">
            <v>1.4656084656084656</v>
          </cell>
          <cell r="AN63">
            <v>1.5340909090909092</v>
          </cell>
          <cell r="AO63">
            <v>1.1741573033707864</v>
          </cell>
          <cell r="AP63">
            <v>1.9133333333333336</v>
          </cell>
          <cell r="AQ63">
            <v>-8.2304526748970819E-3</v>
          </cell>
          <cell r="AR63">
            <v>6.0085836909871349E-2</v>
          </cell>
          <cell r="AS63">
            <v>4.4843049327354167E-2</v>
          </cell>
          <cell r="AT63">
            <v>0.21382428940568476</v>
          </cell>
          <cell r="AU63">
            <v>9.6109839816933551E-2</v>
          </cell>
          <cell r="AV63">
            <v>0.10580912863070546</v>
          </cell>
          <cell r="AW63">
            <v>3.0364372469635637E-2</v>
          </cell>
          <cell r="AX63">
            <v>5.7939914163090078E-2</v>
          </cell>
          <cell r="AY63">
            <v>7.1846726982437437E-2</v>
          </cell>
          <cell r="AZ63">
            <v>-2.5052192066805867E-2</v>
          </cell>
          <cell r="BA63">
            <v>-1.3133208255159512E-2</v>
          </cell>
          <cell r="BB63">
            <v>-2.16110019646365E-2</v>
          </cell>
          <cell r="BC63">
            <v>4.0567951318457585E-3</v>
          </cell>
          <cell r="BD63">
            <v>-1.3902681231380387E-2</v>
          </cell>
          <cell r="BE63">
            <v>-2.5695931477516032E-2</v>
          </cell>
          <cell r="BF63">
            <v>-1.9011406844106515E-2</v>
          </cell>
          <cell r="BG63">
            <v>3.8152610441767099E-2</v>
          </cell>
          <cell r="BH63">
            <v>-1.0101010101010055E-2</v>
          </cell>
          <cell r="BI63">
            <v>-4.0281973816717054E-3</v>
          </cell>
          <cell r="BJ63">
            <v>-2.1978021978022011E-2</v>
          </cell>
          <cell r="BK63">
            <v>-2.7131782945736482E-2</v>
          </cell>
          <cell r="BL63">
            <v>-1.934235976789167E-2</v>
          </cell>
          <cell r="BM63">
            <v>-1.0204081632653073E-2</v>
          </cell>
          <cell r="BN63">
            <v>-1.9716885743174872E-2</v>
          </cell>
          <cell r="BO63">
            <v>2.9213483146067309E-2</v>
          </cell>
          <cell r="BP63">
            <v>-1.153709967749772E-3</v>
          </cell>
          <cell r="BQ63">
            <v>-6.8940330486598755E-3</v>
          </cell>
          <cell r="BR63">
            <v>-1.324497086573162E-2</v>
          </cell>
          <cell r="BS63">
            <v>1.2902279374105152E-3</v>
          </cell>
        </row>
        <row r="64">
          <cell r="A64" t="str">
            <v>Net Sales</v>
          </cell>
          <cell r="B64">
            <v>30.996232733361239</v>
          </cell>
          <cell r="C64">
            <v>31.126039667306458</v>
          </cell>
          <cell r="D64">
            <v>29.387379087977884</v>
          </cell>
          <cell r="E64">
            <v>28.040973111395644</v>
          </cell>
          <cell r="F64">
            <v>29.984757818674495</v>
          </cell>
          <cell r="G64">
            <v>-0.13321559227955093</v>
          </cell>
          <cell r="H64">
            <v>-0.27421250587682189</v>
          </cell>
          <cell r="I64">
            <v>-0.16485846115475755</v>
          </cell>
          <cell r="J64">
            <v>-8.0327150576894879E-2</v>
          </cell>
          <cell r="K64">
            <v>-0.16807769719817267</v>
          </cell>
          <cell r="L64">
            <v>-0.10959103478387433</v>
          </cell>
          <cell r="M64">
            <v>0.13133603238866409</v>
          </cell>
          <cell r="N64">
            <v>6.2266686576078811E-2</v>
          </cell>
          <cell r="O64">
            <v>6.0822613943147363E-2</v>
          </cell>
          <cell r="P64">
            <v>3.2949308755760631E-2</v>
          </cell>
          <cell r="Q64">
            <v>4.429552141222648E-2</v>
          </cell>
          <cell r="R64">
            <v>7.2573718866304038E-2</v>
          </cell>
          <cell r="S64">
            <v>5.7351700871520972E-2</v>
          </cell>
          <cell r="T64">
            <v>0.12470059880239504</v>
          </cell>
          <cell r="U64">
            <v>7.5061342850769597E-2</v>
          </cell>
          <cell r="V64">
            <v>8.1389888871497673E-2</v>
          </cell>
          <cell r="W64">
            <v>6.8463899639663595E-2</v>
          </cell>
          <cell r="X64">
            <v>6.3812815740494466E-2</v>
          </cell>
          <cell r="Y64">
            <v>1.7702648742180305E-2</v>
          </cell>
          <cell r="Z64">
            <v>5.6921534045716982E-2</v>
          </cell>
          <cell r="AA64">
            <v>8.7422202923722603E-2</v>
          </cell>
          <cell r="AB64">
            <v>9.3429927554334435E-2</v>
          </cell>
          <cell r="AC64">
            <v>7.8605348662834196E-2</v>
          </cell>
          <cell r="AD64">
            <v>3.5835731101229396E-2</v>
          </cell>
          <cell r="AE64">
            <v>7.3782024015966785E-2</v>
          </cell>
          <cell r="AF64">
            <v>8.9178756821510774E-3</v>
          </cell>
          <cell r="AG64">
            <v>1.2108750285583669E-2</v>
          </cell>
          <cell r="AH64">
            <v>8.4462982273201259E-2</v>
          </cell>
          <cell r="AI64">
            <v>0.1515151515151516</v>
          </cell>
          <cell r="AJ64">
            <v>6.4050216344688993E-2</v>
          </cell>
          <cell r="AK64">
            <v>1.1873350923482739E-2</v>
          </cell>
          <cell r="AL64">
            <v>0.16591422121896171</v>
          </cell>
          <cell r="AM64">
            <v>1.8162393162393098E-2</v>
          </cell>
          <cell r="AN64">
            <v>2.1929824561403466E-2</v>
          </cell>
          <cell r="AO64">
            <v>5.5269186712485707E-2</v>
          </cell>
          <cell r="AP64">
            <v>0.20338983050847448</v>
          </cell>
          <cell r="AQ64">
            <v>4.8402710551791461E-3</v>
          </cell>
          <cell r="AR64">
            <v>0.12591815320041966</v>
          </cell>
          <cell r="AS64">
            <v>9.3347639484978595E-2</v>
          </cell>
          <cell r="AT64">
            <v>9.9864314789687825E-2</v>
          </cell>
          <cell r="AU64">
            <v>0.14409534127843981</v>
          </cell>
          <cell r="AV64">
            <v>0.11657032755298657</v>
          </cell>
          <cell r="AW64">
            <v>3.7278657968313089E-2</v>
          </cell>
          <cell r="AX64">
            <v>0.10402355250245332</v>
          </cell>
          <cell r="AY64">
            <v>9.8692326671601327E-2</v>
          </cell>
          <cell r="AZ64">
            <v>2.8409090909091717E-3</v>
          </cell>
          <cell r="BA64">
            <v>3.2786885245901676E-2</v>
          </cell>
          <cell r="BB64">
            <v>3.2345013477088846E-2</v>
          </cell>
          <cell r="BC64">
            <v>4.0000000000000036E-2</v>
          </cell>
          <cell r="BD64">
            <v>2.7397260273972712E-2</v>
          </cell>
          <cell r="BE64">
            <v>5.6657223796034994E-3</v>
          </cell>
          <cell r="BF64">
            <v>2.8404344193817987E-2</v>
          </cell>
          <cell r="BG64">
            <v>8.5291557876414181E-2</v>
          </cell>
          <cell r="BH64">
            <v>2.4786324786324698E-2</v>
          </cell>
          <cell r="BI64">
            <v>3.6502732240437208E-2</v>
          </cell>
          <cell r="BJ64">
            <v>2.9107981220657386E-2</v>
          </cell>
          <cell r="BK64">
            <v>2.3558082859463925E-2</v>
          </cell>
          <cell r="BL64">
            <v>3.1275060144346334E-2</v>
          </cell>
          <cell r="BM64">
            <v>3.7531276063386132E-2</v>
          </cell>
          <cell r="BN64">
            <v>3.0366933783213756E-2</v>
          </cell>
          <cell r="BO64">
            <v>7.8467153284671465E-2</v>
          </cell>
          <cell r="BP64">
            <v>3.9719257817001807E-2</v>
          </cell>
          <cell r="BQ64">
            <v>2.7562261505737817E-2</v>
          </cell>
          <cell r="BR64">
            <v>1.5534949605750192E-2</v>
          </cell>
          <cell r="BS64">
            <v>3.9053788468144557E-2</v>
          </cell>
        </row>
        <row r="65">
          <cell r="A65" t="str">
            <v>Gross Profit</v>
          </cell>
          <cell r="G65">
            <v>-0.14063667613211783</v>
          </cell>
          <cell r="H65">
            <v>-0.30785010940919033</v>
          </cell>
          <cell r="I65">
            <v>-0.20029433406916852</v>
          </cell>
          <cell r="J65">
            <v>-0.1395195788088186</v>
          </cell>
          <cell r="K65">
            <v>-0.20095996428039919</v>
          </cell>
          <cell r="L65">
            <v>-0.12747826086956537</v>
          </cell>
          <cell r="M65">
            <v>0.12645722189290654</v>
          </cell>
          <cell r="N65">
            <v>8.225984541774034E-2</v>
          </cell>
          <cell r="O65">
            <v>8.6424474187380529E-2</v>
          </cell>
          <cell r="P65">
            <v>3.7532013969732603E-2</v>
          </cell>
          <cell r="Q65">
            <v>1.0763404424955381E-2</v>
          </cell>
          <cell r="R65">
            <v>3.4029117698649358E-2</v>
          </cell>
          <cell r="S65">
            <v>3.4517939125999098E-2</v>
          </cell>
          <cell r="T65">
            <v>9.9612812390003302E-2</v>
          </cell>
          <cell r="U65">
            <v>4.5644270903460349E-2</v>
          </cell>
          <cell r="V65">
            <v>0.10451587458095046</v>
          </cell>
          <cell r="W65">
            <v>0.12162849872773496</v>
          </cell>
          <cell r="X65">
            <v>7.6758711374095956E-2</v>
          </cell>
          <cell r="Y65">
            <v>8.8028169014087165E-3</v>
          </cell>
          <cell r="Z65">
            <v>7.5929264314533507E-2</v>
          </cell>
          <cell r="AA65">
            <v>0.10301731833601124</v>
          </cell>
          <cell r="AB65">
            <v>8.4543254688445701E-2</v>
          </cell>
          <cell r="AC65">
            <v>7.9224545870859364E-2</v>
          </cell>
          <cell r="AD65">
            <v>6.1399333650642429E-2</v>
          </cell>
          <cell r="AE65">
            <v>8.1461682690389559E-2</v>
          </cell>
          <cell r="AF65">
            <v>8.416963418582224E-3</v>
          </cell>
          <cell r="AG65">
            <v>2.6356156742434633E-2</v>
          </cell>
          <cell r="AH65">
            <v>9.7595473833097524E-2</v>
          </cell>
          <cell r="AI65">
            <v>0.13153961136023917</v>
          </cell>
          <cell r="AJ65">
            <v>6.6804382308458532E-2</v>
          </cell>
          <cell r="AK65">
            <v>1.1235955056179803E-2</v>
          </cell>
          <cell r="AL65">
            <v>0.16983695652173902</v>
          </cell>
          <cell r="AM65">
            <v>7.7319587628865705E-3</v>
          </cell>
          <cell r="AN65">
            <v>5.2840158520475189E-3</v>
          </cell>
          <cell r="AO65">
            <v>4.9100968188105165E-2</v>
          </cell>
          <cell r="AP65">
            <v>0.19682539682539679</v>
          </cell>
          <cell r="AQ65">
            <v>-9.2915214866434725E-3</v>
          </cell>
          <cell r="AR65">
            <v>0.13810741687979533</v>
          </cell>
          <cell r="AS65">
            <v>9.9868593955321883E-2</v>
          </cell>
          <cell r="AT65">
            <v>9.9208965062623555E-2</v>
          </cell>
          <cell r="AU65">
            <v>0.14323607427055696</v>
          </cell>
          <cell r="AV65">
            <v>0.1160609613130128</v>
          </cell>
          <cell r="AW65">
            <v>1.5730337078651679E-2</v>
          </cell>
          <cell r="AX65">
            <v>0.11350059737156504</v>
          </cell>
          <cell r="AY65">
            <v>9.4452773613193486E-2</v>
          </cell>
          <cell r="AZ65">
            <v>-2.3201856148491462E-3</v>
          </cell>
          <cell r="BA65">
            <v>2.5210084033613356E-2</v>
          </cell>
          <cell r="BB65">
            <v>3.9823008849557473E-2</v>
          </cell>
          <cell r="BC65">
            <v>2.3605150214592197E-2</v>
          </cell>
          <cell r="BD65">
            <v>2.1917808219177992E-2</v>
          </cell>
          <cell r="BE65">
            <v>9.302325581395321E-3</v>
          </cell>
          <cell r="BF65">
            <v>2.7663934426229497E-2</v>
          </cell>
          <cell r="BG65">
            <v>8.8297872340425521E-2</v>
          </cell>
          <cell r="BH65">
            <v>4.4025157232704393E-2</v>
          </cell>
          <cell r="BI65">
            <v>4.2895442359249358E-2</v>
          </cell>
          <cell r="BJ65">
            <v>2.4884792626728158E-2</v>
          </cell>
          <cell r="BK65">
            <v>2.8913260219342041E-2</v>
          </cell>
          <cell r="BL65">
            <v>4.692082111436946E-2</v>
          </cell>
          <cell r="BM65">
            <v>5.9236947791164729E-2</v>
          </cell>
          <cell r="BN65">
            <v>4.0514138817480783E-2</v>
          </cell>
          <cell r="BO65">
            <v>0.1207284172661871</v>
          </cell>
          <cell r="BP65">
            <v>5.2464533038911298E-2</v>
          </cell>
          <cell r="BQ65">
            <v>4.0213484852956283E-2</v>
          </cell>
          <cell r="BR65">
            <v>-1.4101381062600171E-2</v>
          </cell>
          <cell r="BS65">
            <v>4.6875947068047541E-2</v>
          </cell>
        </row>
        <row r="66">
          <cell r="A66" t="str">
            <v>MSA</v>
          </cell>
          <cell r="G66">
            <v>-0.33322079675894667</v>
          </cell>
          <cell r="H66">
            <v>-0.38300787941075709</v>
          </cell>
          <cell r="I66">
            <v>-0.15909090909090906</v>
          </cell>
          <cell r="J66">
            <v>-0.11872146118721461</v>
          </cell>
          <cell r="K66">
            <v>-0.26084910100724834</v>
          </cell>
          <cell r="L66">
            <v>1.8227848101265876E-2</v>
          </cell>
          <cell r="M66">
            <v>0.30094392004441994</v>
          </cell>
          <cell r="N66">
            <v>-4.6598322460391639E-3</v>
          </cell>
          <cell r="O66">
            <v>2.0207253886010301E-2</v>
          </cell>
          <cell r="P66">
            <v>7.7305145185939894E-2</v>
          </cell>
          <cell r="Q66">
            <v>-1.1934361014420691E-2</v>
          </cell>
          <cell r="R66">
            <v>5.5484421681604168E-3</v>
          </cell>
          <cell r="S66">
            <v>4.8220973782771681E-2</v>
          </cell>
          <cell r="T66">
            <v>0.10817673946165551</v>
          </cell>
          <cell r="U66">
            <v>3.6056271426882391E-2</v>
          </cell>
          <cell r="V66">
            <v>9.2098641167589479E-2</v>
          </cell>
          <cell r="W66">
            <v>3.8200339558573937E-3</v>
          </cell>
          <cell r="X66">
            <v>8.4412684234033142E-2</v>
          </cell>
          <cell r="Y66">
            <v>-1.4207149404216302E-2</v>
          </cell>
          <cell r="Z66">
            <v>3.9936102236421966E-2</v>
          </cell>
          <cell r="AA66">
            <v>0.14792626728110592</v>
          </cell>
          <cell r="AB66">
            <v>0.16363636363636358</v>
          </cell>
          <cell r="AC66">
            <v>0.14126853377265247</v>
          </cell>
          <cell r="AD66">
            <v>0.14830311483031156</v>
          </cell>
          <cell r="AE66">
            <v>0.15031819179284622</v>
          </cell>
          <cell r="AF66">
            <v>3.1714171015656323E-2</v>
          </cell>
          <cell r="AG66">
            <v>6.4680232558139483E-2</v>
          </cell>
          <cell r="AH66">
            <v>9.7076867556838531E-2</v>
          </cell>
          <cell r="AI66">
            <v>6.4777327935222617E-2</v>
          </cell>
          <cell r="AJ66">
            <v>6.5433040824112831E-2</v>
          </cell>
          <cell r="AK66">
            <v>-3.8910505836575848E-2</v>
          </cell>
          <cell r="AL66">
            <v>4.7781569965870352E-2</v>
          </cell>
          <cell r="AM66">
            <v>-3.289473684210531E-2</v>
          </cell>
          <cell r="AN66">
            <v>6.4638783269961975E-2</v>
          </cell>
          <cell r="AO66">
            <v>9.8478066248881557E-3</v>
          </cell>
          <cell r="AP66">
            <v>0.1174089068825912</v>
          </cell>
          <cell r="AQ66">
            <v>1.3029315960912058E-2</v>
          </cell>
          <cell r="AR66">
            <v>0.1020408163265305</v>
          </cell>
          <cell r="AS66">
            <v>7.1428571428571397E-2</v>
          </cell>
          <cell r="AT66">
            <v>7.4468085106383031E-2</v>
          </cell>
          <cell r="AU66">
            <v>0.15579710144927539</v>
          </cell>
          <cell r="AV66">
            <v>0.135048231511254</v>
          </cell>
          <cell r="AW66">
            <v>5.2469135802469147E-2</v>
          </cell>
          <cell r="AX66">
            <v>6.3333333333333242E-2</v>
          </cell>
          <cell r="AY66">
            <v>9.9009900990099098E-2</v>
          </cell>
          <cell r="AZ66">
            <v>3.4482758620689724E-2</v>
          </cell>
          <cell r="BA66">
            <v>3.1161473087818692E-2</v>
          </cell>
          <cell r="BB66">
            <v>5.8651026392961825E-3</v>
          </cell>
          <cell r="BC66">
            <v>4.7021943573667624E-2</v>
          </cell>
          <cell r="BD66">
            <v>2.9279279279279313E-2</v>
          </cell>
          <cell r="BE66">
            <v>-3.3333333333333326E-2</v>
          </cell>
          <cell r="BF66">
            <v>-2.7472527472527486E-2</v>
          </cell>
          <cell r="BG66">
            <v>7.580174927113692E-2</v>
          </cell>
          <cell r="BH66">
            <v>5.6886227544910239E-2</v>
          </cell>
          <cell r="BI66">
            <v>1.7505470459518557E-2</v>
          </cell>
          <cell r="BJ66">
            <v>-6.2695924764890609E-3</v>
          </cell>
          <cell r="BK66">
            <v>3.9548022598870025E-2</v>
          </cell>
          <cell r="BL66">
            <v>8.1300813008129413E-3</v>
          </cell>
          <cell r="BM66">
            <v>-3.3994334277620442E-2</v>
          </cell>
          <cell r="BN66">
            <v>2.1505376344086446E-3</v>
          </cell>
          <cell r="BO66">
            <v>6.9400630914826511E-2</v>
          </cell>
          <cell r="BP66">
            <v>1.4726006427169702E-2</v>
          </cell>
          <cell r="BQ66">
            <v>7.705985921085734E-3</v>
          </cell>
          <cell r="BR66">
            <v>-2.1950153640747372E-2</v>
          </cell>
          <cell r="BS66">
            <v>1.6309581356471758E-2</v>
          </cell>
        </row>
        <row r="67">
          <cell r="A67" t="str">
            <v>Operating Income</v>
          </cell>
          <cell r="B67">
            <v>27.323147760569292</v>
          </cell>
          <cell r="C67">
            <v>34.943484751546187</v>
          </cell>
          <cell r="D67">
            <v>38.116075541225236</v>
          </cell>
          <cell r="E67">
            <v>37.92573623559538</v>
          </cell>
          <cell r="F67">
            <v>34.323134244100721</v>
          </cell>
          <cell r="G67">
            <v>3.7150517043278208E-2</v>
          </cell>
          <cell r="H67">
            <v>-0.29234055538602421</v>
          </cell>
          <cell r="I67">
            <v>-0.3027190332326285</v>
          </cell>
          <cell r="J67">
            <v>-0.24983119513841967</v>
          </cell>
          <cell r="K67">
            <v>-0.21406250000000049</v>
          </cell>
          <cell r="L67">
            <v>-0.25923190546528851</v>
          </cell>
          <cell r="M67">
            <v>2.5873221216041742E-3</v>
          </cell>
          <cell r="N67">
            <v>0.25389948006932417</v>
          </cell>
          <cell r="O67">
            <v>0.25382538253825371</v>
          </cell>
          <cell r="P67">
            <v>4.7504447002198136E-2</v>
          </cell>
          <cell r="Q67">
            <v>8.8733798604188285E-2</v>
          </cell>
          <cell r="R67">
            <v>0.10408602150537649</v>
          </cell>
          <cell r="S67">
            <v>-6.9108500345482771E-4</v>
          </cell>
          <cell r="T67">
            <v>0.14716439339554888</v>
          </cell>
          <cell r="U67">
            <v>8.2709020077914142E-2</v>
          </cell>
          <cell r="V67">
            <v>0.14560439560439531</v>
          </cell>
          <cell r="W67">
            <v>0.23022984028048232</v>
          </cell>
          <cell r="X67">
            <v>0.13658367911479874</v>
          </cell>
          <cell r="Y67">
            <v>8.3541927409261918E-2</v>
          </cell>
          <cell r="Z67">
            <v>0.14493957007103986</v>
          </cell>
          <cell r="AA67">
            <v>0.14628297362110265</v>
          </cell>
          <cell r="AB67">
            <v>0.13679544015199596</v>
          </cell>
          <cell r="AC67">
            <v>5.9324612108305308E-2</v>
          </cell>
          <cell r="AD67">
            <v>-8.6630089517780728E-4</v>
          </cell>
          <cell r="AE67">
            <v>7.9774375503625317E-2</v>
          </cell>
          <cell r="AF67">
            <v>-7.2524407252440581E-2</v>
          </cell>
          <cell r="AG67">
            <v>-1.9498607242340316E-2</v>
          </cell>
          <cell r="AH67">
            <v>9.7070649052269031E-2</v>
          </cell>
          <cell r="AI67">
            <v>0.19653179190751446</v>
          </cell>
          <cell r="AJ67">
            <v>5.5223880597015329E-2</v>
          </cell>
          <cell r="AK67">
            <v>0.10526315789473695</v>
          </cell>
          <cell r="AL67">
            <v>0.29545454545454541</v>
          </cell>
          <cell r="AM67">
            <v>2.6178010471204161E-2</v>
          </cell>
          <cell r="AN67">
            <v>-3.8647342995169032E-2</v>
          </cell>
          <cell r="AO67">
            <v>8.9108910891089188E-2</v>
          </cell>
          <cell r="AP67">
            <v>0.29931972789115657</v>
          </cell>
          <cell r="AQ67">
            <v>-2.4122807017543879E-2</v>
          </cell>
          <cell r="AR67">
            <v>0.18622448979591844</v>
          </cell>
          <cell r="AS67">
            <v>8.5427135678391997E-2</v>
          </cell>
          <cell r="AT67">
            <v>0.12012987012987009</v>
          </cell>
          <cell r="AU67">
            <v>0.10209424083769636</v>
          </cell>
          <cell r="AV67">
            <v>9.4382022471910076E-2</v>
          </cell>
          <cell r="AW67">
            <v>-2.1505376344086002E-2</v>
          </cell>
          <cell r="AX67">
            <v>0.1689814814814814</v>
          </cell>
          <cell r="AY67">
            <v>8.2898550724637587E-2</v>
          </cell>
          <cell r="AZ67">
            <v>-5.2256532066508266E-2</v>
          </cell>
          <cell r="BA67">
            <v>6.1601642710471527E-3</v>
          </cell>
          <cell r="BB67">
            <v>6.5934065934065922E-2</v>
          </cell>
          <cell r="BC67">
            <v>3.9603960396039639E-3</v>
          </cell>
          <cell r="BD67">
            <v>6.9593147751605411E-3</v>
          </cell>
          <cell r="BE67">
            <v>8.0200501253132828E-2</v>
          </cell>
          <cell r="BF67">
            <v>7.551020408163267E-2</v>
          </cell>
          <cell r="BG67">
            <v>0.11546391752577323</v>
          </cell>
          <cell r="BH67">
            <v>3.7475345167652829E-2</v>
          </cell>
          <cell r="BI67">
            <v>7.6555023923444931E-2</v>
          </cell>
          <cell r="BJ67">
            <v>4.8955916473317984E-2</v>
          </cell>
          <cell r="BK67">
            <v>4.1745730550284632E-2</v>
          </cell>
          <cell r="BL67">
            <v>7.7634011090573107E-2</v>
          </cell>
          <cell r="BM67">
            <v>0.15969581749049433</v>
          </cell>
          <cell r="BN67">
            <v>8.3506172839506121E-2</v>
          </cell>
          <cell r="BO67">
            <v>0.18557841185578416</v>
          </cell>
          <cell r="BP67">
            <v>8.9063869619606661E-2</v>
          </cell>
          <cell r="BQ67">
            <v>7.0624685571943679E-2</v>
          </cell>
          <cell r="BR67">
            <v>-5.0209661156735974E-3</v>
          </cell>
          <cell r="BS67">
            <v>7.7894110012782569E-2</v>
          </cell>
        </row>
        <row r="68">
          <cell r="A68" t="str">
            <v>Pre-tax income (Total Company)</v>
          </cell>
          <cell r="G68">
            <v>2.7075011096315826E-2</v>
          </cell>
          <cell r="H68">
            <v>-0.34606285907401191</v>
          </cell>
          <cell r="I68">
            <v>-0.40741905061301498</v>
          </cell>
          <cell r="J68">
            <v>-0.26354206684594672</v>
          </cell>
          <cell r="K68">
            <v>-0.26791560567479145</v>
          </cell>
          <cell r="L68">
            <v>-0.27052722558340603</v>
          </cell>
          <cell r="M68">
            <v>2.9457364341085368E-2</v>
          </cell>
          <cell r="N68">
            <v>0.36976127320954943</v>
          </cell>
          <cell r="O68">
            <v>0.34272300469483552</v>
          </cell>
          <cell r="P68">
            <v>9.7639751552796028E-2</v>
          </cell>
          <cell r="Q68">
            <v>0.14928909952606761</v>
          </cell>
          <cell r="R68">
            <v>0.20180722891566294</v>
          </cell>
          <cell r="S68">
            <v>6.467854376452431E-2</v>
          </cell>
          <cell r="T68">
            <v>0.19347319347319325</v>
          </cell>
          <cell r="U68">
            <v>0.14927569035762778</v>
          </cell>
          <cell r="V68">
            <v>0.26134020618556675</v>
          </cell>
          <cell r="W68">
            <v>0.28362573099415123</v>
          </cell>
          <cell r="X68">
            <v>0.20080029101491381</v>
          </cell>
          <cell r="Y68">
            <v>0.15462239583333348</v>
          </cell>
          <cell r="Z68">
            <v>0.21792220580994592</v>
          </cell>
          <cell r="AA68">
            <v>0.21740907233346918</v>
          </cell>
          <cell r="AB68">
            <v>0.17930361210543544</v>
          </cell>
          <cell r="AC68">
            <v>0.10542259921235986</v>
          </cell>
          <cell r="AD68">
            <v>1.2122920778122159E-2</v>
          </cell>
          <cell r="AE68">
            <v>0.11917852522638994</v>
          </cell>
          <cell r="AF68">
            <v>-7.6871433366901609E-2</v>
          </cell>
          <cell r="AG68">
            <v>-1.4900662251655983E-2</v>
          </cell>
          <cell r="AH68">
            <v>5.7824061386681613E-2</v>
          </cell>
          <cell r="AI68">
            <v>0.15598885793871875</v>
          </cell>
          <cell r="AJ68">
            <v>3.5255020950730076E-2</v>
          </cell>
          <cell r="AK68">
            <v>7.2727272727272751E-2</v>
          </cell>
          <cell r="AL68">
            <v>0.27507002801120439</v>
          </cell>
          <cell r="AM68">
            <v>-2.0725388601036232E-2</v>
          </cell>
          <cell r="AN68">
            <v>-6.0240963855421659E-2</v>
          </cell>
          <cell r="AO68">
            <v>6.0153524075366338E-2</v>
          </cell>
          <cell r="AP68">
            <v>0.264406779661017</v>
          </cell>
          <cell r="AQ68">
            <v>-8.1722319859402481E-2</v>
          </cell>
          <cell r="AR68">
            <v>0.15608465608465605</v>
          </cell>
          <cell r="AS68">
            <v>3.7539666693118257E-2</v>
          </cell>
          <cell r="AT68">
            <v>7.5987671149497116E-2</v>
          </cell>
          <cell r="AU68">
            <v>5.6300268096514783E-2</v>
          </cell>
          <cell r="AV68">
            <v>0.1004784688995215</v>
          </cell>
          <cell r="AW68">
            <v>-3.6613272311212808E-2</v>
          </cell>
          <cell r="AX68">
            <v>0.16399627547880247</v>
          </cell>
          <cell r="AY68">
            <v>6.8124784643917025E-2</v>
          </cell>
          <cell r="AZ68">
            <v>-8.3756345177664948E-2</v>
          </cell>
          <cell r="BA68">
            <v>-1.7391304347826098E-2</v>
          </cell>
          <cell r="BB68">
            <v>5.4631828978622288E-2</v>
          </cell>
          <cell r="BC68">
            <v>1.1460542042349253E-2</v>
          </cell>
          <cell r="BD68">
            <v>-7.2176888305003351E-3</v>
          </cell>
          <cell r="BE68">
            <v>0.10249307479224368</v>
          </cell>
          <cell r="BF68">
            <v>7.9646017699114946E-2</v>
          </cell>
          <cell r="BG68">
            <v>0.11711711711711703</v>
          </cell>
          <cell r="BH68">
            <v>5.4619984984700665E-3</v>
          </cell>
          <cell r="BI68">
            <v>7.3613844560223907E-2</v>
          </cell>
          <cell r="BJ68">
            <v>1.2562814070351758E-2</v>
          </cell>
          <cell r="BK68">
            <v>-6.147540983606592E-3</v>
          </cell>
          <cell r="BL68">
            <v>5.8467741935483764E-2</v>
          </cell>
          <cell r="BM68">
            <v>0.14196242171189977</v>
          </cell>
          <cell r="BN68">
            <v>5.3197205803331649E-2</v>
          </cell>
          <cell r="BO68">
            <v>0.17617866004962779</v>
          </cell>
          <cell r="BP68">
            <v>0.11048603627659115</v>
          </cell>
          <cell r="BQ68">
            <v>8.3441356198634242E-2</v>
          </cell>
          <cell r="BR68">
            <v>2.334829378348191E-2</v>
          </cell>
          <cell r="BS68">
            <v>9.2430589947956054E-2</v>
          </cell>
        </row>
        <row r="69">
          <cell r="A69" t="str">
            <v>Net Income (Total Company)</v>
          </cell>
          <cell r="B69" t="str">
            <v>1Q02</v>
          </cell>
          <cell r="C69" t="str">
            <v>2Q02</v>
          </cell>
          <cell r="D69" t="str">
            <v>3Q02</v>
          </cell>
          <cell r="E69" t="str">
            <v>4Q02</v>
          </cell>
          <cell r="F69">
            <v>2002</v>
          </cell>
          <cell r="G69">
            <v>2.5274836838288017E-2</v>
          </cell>
          <cell r="H69">
            <v>-0.29842505410589348</v>
          </cell>
          <cell r="I69">
            <v>-0.39256764424663582</v>
          </cell>
          <cell r="J69">
            <v>-0.25660202264120779</v>
          </cell>
          <cell r="K69">
            <v>-0.24876872063978084</v>
          </cell>
          <cell r="L69">
            <v>-0.27149479366327867</v>
          </cell>
          <cell r="M69">
            <v>-3.1805276421986162E-2</v>
          </cell>
          <cell r="N69">
            <v>0.37350366267643409</v>
          </cell>
          <cell r="O69">
            <v>0.35654362416107377</v>
          </cell>
          <cell r="P69">
            <v>8.7019277669719175E-2</v>
          </cell>
          <cell r="Q69">
            <v>0.15048543689320559</v>
          </cell>
          <cell r="R69">
            <v>0.17051070840197724</v>
          </cell>
          <cell r="S69">
            <v>7.5672295184491034E-2</v>
          </cell>
          <cell r="T69">
            <v>0.17810760667903502</v>
          </cell>
          <cell r="U69">
            <v>0.14120879120879071</v>
          </cell>
          <cell r="V69">
            <v>0.26666666666666639</v>
          </cell>
          <cell r="W69">
            <v>0.31738212526389731</v>
          </cell>
          <cell r="X69">
            <v>0.17965116279069693</v>
          </cell>
          <cell r="Y69">
            <v>0.15485564304461974</v>
          </cell>
          <cell r="Z69">
            <v>0.22002888781897001</v>
          </cell>
          <cell r="AA69">
            <v>0.25630046635576242</v>
          </cell>
          <cell r="AB69">
            <v>0.21314102564102733</v>
          </cell>
          <cell r="AC69">
            <v>0.1513060620995561</v>
          </cell>
          <cell r="AD69">
            <v>0.14728513807012078</v>
          </cell>
          <cell r="AE69">
            <v>0.18610027673694507</v>
          </cell>
          <cell r="AF69">
            <v>-7.7021808851942208E-2</v>
          </cell>
          <cell r="AG69">
            <v>-4.447380008806745E-2</v>
          </cell>
          <cell r="AH69">
            <v>1.455479452054842E-2</v>
          </cell>
          <cell r="AI69">
            <v>2.2175947210427926E-2</v>
          </cell>
          <cell r="AJ69">
            <v>-1.7330871975895779E-2</v>
          </cell>
          <cell r="AK69">
            <v>5.7187867603762932E-2</v>
          </cell>
          <cell r="AL69">
            <v>0.31855167873601031</v>
          </cell>
          <cell r="AM69">
            <v>-8.4388185654008518E-3</v>
          </cell>
          <cell r="AN69">
            <v>-6.2015503875968991E-2</v>
          </cell>
          <cell r="AO69">
            <v>7.0062982739484969E-2</v>
          </cell>
          <cell r="AP69">
            <v>0.26086956521739135</v>
          </cell>
          <cell r="AQ69">
            <v>-8.0823613995845922E-2</v>
          </cell>
          <cell r="AR69">
            <v>0.16595319148936172</v>
          </cell>
          <cell r="AS69">
            <v>6.4630041364942548E-2</v>
          </cell>
          <cell r="AT69">
            <v>8.4918860981697986E-2</v>
          </cell>
          <cell r="AU69">
            <v>6.8965517241379226E-2</v>
          </cell>
          <cell r="AV69">
            <v>0.10646387832699622</v>
          </cell>
          <cell r="AW69">
            <v>-2.5543888846309759E-2</v>
          </cell>
          <cell r="AX69">
            <v>0.14306964270096212</v>
          </cell>
          <cell r="AY69">
            <v>6.9860754992187246E-2</v>
          </cell>
          <cell r="AZ69">
            <v>-8.064516129032262E-2</v>
          </cell>
          <cell r="BA69">
            <v>-1.58075601374571E-2</v>
          </cell>
          <cell r="BB69">
            <v>5.9925093632958726E-2</v>
          </cell>
          <cell r="BC69">
            <v>3.2254559407268735E-2</v>
          </cell>
          <cell r="BD69">
            <v>8.1690066615114354E-4</v>
          </cell>
          <cell r="BE69">
            <v>0.10087719298245612</v>
          </cell>
          <cell r="BF69">
            <v>7.1578212290502874E-2</v>
          </cell>
          <cell r="BG69">
            <v>9.540636042402828E-2</v>
          </cell>
          <cell r="BH69">
            <v>-1.3157894736842146E-2</v>
          </cell>
          <cell r="BI69">
            <v>6.037770110768137E-2</v>
          </cell>
          <cell r="BJ69">
            <v>3.9840637450199168E-3</v>
          </cell>
          <cell r="BK69">
            <v>-9.4493320299771089E-3</v>
          </cell>
          <cell r="BL69">
            <v>5.1612903225806361E-2</v>
          </cell>
          <cell r="BM69">
            <v>0.11333333333333329</v>
          </cell>
          <cell r="BN69">
            <v>4.118503296515108E-2</v>
          </cell>
          <cell r="BO69">
            <v>0.17460317460317465</v>
          </cell>
          <cell r="BP69">
            <v>0.10760120991375333</v>
          </cell>
          <cell r="BQ69">
            <v>9.0810417738361293E-2</v>
          </cell>
          <cell r="BR69">
            <v>4.7642241586107748E-2</v>
          </cell>
          <cell r="BS69">
            <v>0.10051601372224228</v>
          </cell>
        </row>
        <row r="70">
          <cell r="A70" t="str">
            <v>EPS (Total Company)</v>
          </cell>
          <cell r="B70">
            <v>8.3477329999999981</v>
          </cell>
          <cell r="C70">
            <v>35.183732999999997</v>
          </cell>
          <cell r="D70">
            <v>0</v>
          </cell>
          <cell r="E70" t="e">
            <v>#REF!</v>
          </cell>
          <cell r="F70" t="e">
            <v>#REF!</v>
          </cell>
          <cell r="G70">
            <v>2.1024140020368565E-2</v>
          </cell>
          <cell r="H70">
            <v>-0.29781885455586976</v>
          </cell>
          <cell r="I70">
            <v>-0.39242768287434238</v>
          </cell>
          <cell r="J70">
            <v>-0.25660202264120768</v>
          </cell>
          <cell r="K70">
            <v>-0.24840089426451806</v>
          </cell>
          <cell r="L70">
            <v>-0.27149479366327867</v>
          </cell>
          <cell r="M70">
            <v>-3.1805276421986273E-2</v>
          </cell>
          <cell r="N70">
            <v>0.37350366267643409</v>
          </cell>
          <cell r="O70">
            <v>0.35654362416107377</v>
          </cell>
          <cell r="P70">
            <v>8.7019277669719175E-2</v>
          </cell>
          <cell r="Q70">
            <v>0.15048543689320559</v>
          </cell>
          <cell r="R70">
            <v>0.17051070840197724</v>
          </cell>
          <cell r="S70">
            <v>7.5672295184491034E-2</v>
          </cell>
          <cell r="T70">
            <v>0.19169957184174602</v>
          </cell>
          <cell r="U70">
            <v>0.1518246869409654</v>
          </cell>
          <cell r="V70">
            <v>0.26666666666666639</v>
          </cell>
          <cell r="W70">
            <v>0.32963684270821236</v>
          </cell>
          <cell r="X70">
            <v>0.17897203143618268</v>
          </cell>
          <cell r="Y70">
            <v>0.13918500561100777</v>
          </cell>
          <cell r="Z70">
            <v>0.20759622134032596</v>
          </cell>
          <cell r="AA70">
            <v>0.25506560037110226</v>
          </cell>
          <cell r="AB70">
            <v>0.1957607817206688</v>
          </cell>
          <cell r="AC70">
            <v>0.15083694200447528</v>
          </cell>
          <cell r="AD70">
            <v>0.14781824630972329</v>
          </cell>
          <cell r="AE70">
            <v>0.18463731745014278</v>
          </cell>
          <cell r="AF70">
            <v>-7.7021808851942319E-2</v>
          </cell>
          <cell r="AG70">
            <v>-4.1327243818345516E-2</v>
          </cell>
          <cell r="AH70">
            <v>2.2088262363035849E-2</v>
          </cell>
          <cell r="AI70">
            <v>5.6250503416087838E-2</v>
          </cell>
          <cell r="AJ70">
            <v>-7.2000217470974404E-3</v>
          </cell>
          <cell r="AK70">
            <v>9.2331952948788043E-2</v>
          </cell>
          <cell r="AL70">
            <v>0.36678035268340103</v>
          </cell>
          <cell r="AM70">
            <v>4.4676204407854803E-2</v>
          </cell>
          <cell r="AN70">
            <v>-6.5239420182945373E-3</v>
          </cell>
          <cell r="AO70">
            <v>0.11939950344773842</v>
          </cell>
          <cell r="AP70">
            <v>0.37056000179848025</v>
          </cell>
          <cell r="AQ70">
            <v>1.3195413267881984E-2</v>
          </cell>
          <cell r="AR70">
            <v>0.25966646766951529</v>
          </cell>
          <cell r="AS70">
            <v>0.13712736805912717</v>
          </cell>
          <cell r="AT70">
            <v>0.17662127211810486</v>
          </cell>
          <cell r="AU70">
            <v>0.14109524511926463</v>
          </cell>
          <cell r="AV70">
            <v>0.18643231585612408</v>
          </cell>
          <cell r="AW70">
            <v>7.7719158401913679E-2</v>
          </cell>
          <cell r="AX70">
            <v>0.27312030223859063</v>
          </cell>
          <cell r="AY70">
            <v>0.16328197707925574</v>
          </cell>
          <cell r="AZ70">
            <v>1.8740751701686875E-2</v>
          </cell>
          <cell r="BA70">
            <v>7.0702419824404616E-2</v>
          </cell>
          <cell r="BB70">
            <v>0.11416138342606841</v>
          </cell>
          <cell r="BC70">
            <v>7.2683793454231926E-2</v>
          </cell>
          <cell r="BD70">
            <v>7.4365257731997092E-2</v>
          </cell>
          <cell r="BE70">
            <v>0.13853832303599112</v>
          </cell>
          <cell r="BF70">
            <v>0.11385975615454491</v>
          </cell>
          <cell r="BG70">
            <v>0.15221415725802578</v>
          </cell>
          <cell r="BH70">
            <v>3.6293056369784304E-2</v>
          </cell>
          <cell r="BI70">
            <v>0.10690913903925225</v>
          </cell>
          <cell r="BJ70">
            <v>5.0237471991771754E-2</v>
          </cell>
          <cell r="BK70">
            <v>3.3583484509988937E-2</v>
          </cell>
          <cell r="BL70">
            <v>8.6960990414418626E-2</v>
          </cell>
          <cell r="BM70">
            <v>0.1365161708831435</v>
          </cell>
          <cell r="BN70">
            <v>7.8617591667773379E-2</v>
          </cell>
          <cell r="BO70">
            <v>0.1837412615940579</v>
          </cell>
          <cell r="BP70">
            <v>0.10837743648467502</v>
          </cell>
          <cell r="BQ70">
            <v>8.7794452575615356E-2</v>
          </cell>
          <cell r="BR70">
            <v>4.4803724520450672E-2</v>
          </cell>
          <cell r="BS70">
            <v>0.10128758962293949</v>
          </cell>
        </row>
        <row r="71">
          <cell r="A71" t="str">
            <v>Gross Revenue</v>
          </cell>
          <cell r="V71">
            <v>4.2822237288117737E-2</v>
          </cell>
          <cell r="W71">
            <v>8.2022286836703096E-2</v>
          </cell>
          <cell r="X71">
            <v>4.4252976644012509E-3</v>
          </cell>
          <cell r="Y71">
            <v>-2.5081735108079095E-2</v>
          </cell>
          <cell r="Z71">
            <v>2.511495005436748E-2</v>
          </cell>
          <cell r="AA71">
            <v>7.8383329543747049E-2</v>
          </cell>
          <cell r="AB71">
            <v>4.2080594631317192E-2</v>
          </cell>
          <cell r="AC71">
            <v>7.6135679638244635E-2</v>
          </cell>
          <cell r="AD71">
            <v>6.7636490586143072E-2</v>
          </cell>
          <cell r="AE71">
            <v>6.5614755027465277E-2</v>
          </cell>
          <cell r="AF71">
            <v>5.4093400552490678E-3</v>
          </cell>
          <cell r="AG71">
            <v>1.4881981543904299E-2</v>
          </cell>
          <cell r="AH71">
            <v>3.1263519868418355E-2</v>
          </cell>
          <cell r="AI71">
            <v>5.0206890145888305E-2</v>
          </cell>
          <cell r="AJ71">
            <v>2.6281375298956355E-2</v>
          </cell>
          <cell r="AK71">
            <v>8.4577241196112318E-2</v>
          </cell>
          <cell r="AL71">
            <v>0.39078577118488833</v>
          </cell>
          <cell r="AM71">
            <v>0.34362750132639142</v>
          </cell>
          <cell r="AN71">
            <v>0.31380971548476722</v>
          </cell>
          <cell r="AO71">
            <v>0.29486876729730116</v>
          </cell>
          <cell r="AP71">
            <v>0.31653468052394351</v>
          </cell>
          <cell r="AQ71">
            <v>6.7001413043468183E-3</v>
          </cell>
          <cell r="AR71">
            <v>4.3277907409618344E-2</v>
          </cell>
          <cell r="AS71">
            <v>3.0675790049535578E-2</v>
          </cell>
          <cell r="AT71">
            <v>7.6829429005418559E-2</v>
          </cell>
          <cell r="AU71">
            <v>3.1358565065836119E-2</v>
          </cell>
          <cell r="AV71">
            <v>8.5718127965310753E-3</v>
          </cell>
          <cell r="AW71">
            <v>6.7709195685892176E-3</v>
          </cell>
          <cell r="AX71">
            <v>2.3304714316757513E-2</v>
          </cell>
          <cell r="AY71">
            <v>1.6999999999999904E-2</v>
          </cell>
          <cell r="AZ71">
            <v>2.7591513802320389E-2</v>
          </cell>
          <cell r="BA71">
            <v>3.2957791794647306E-2</v>
          </cell>
          <cell r="BB71">
            <v>3.6026056720414257E-2</v>
          </cell>
          <cell r="BC71">
            <v>2.0874074966136469E-2</v>
          </cell>
          <cell r="BD71">
            <v>2.9500000000000082E-2</v>
          </cell>
        </row>
        <row r="72">
          <cell r="A72" t="str">
            <v>Per Thousand (Cigarettes)</v>
          </cell>
          <cell r="B72" t="str">
            <v>1Q02</v>
          </cell>
          <cell r="C72" t="str">
            <v>2Q02</v>
          </cell>
          <cell r="D72" t="str">
            <v>3Q02</v>
          </cell>
          <cell r="E72" t="str">
            <v>4Q02</v>
          </cell>
          <cell r="F72">
            <v>2002</v>
          </cell>
          <cell r="G72" t="str">
            <v>1Q03</v>
          </cell>
          <cell r="H72" t="str">
            <v>2Q03</v>
          </cell>
          <cell r="I72" t="str">
            <v>3Q03</v>
          </cell>
          <cell r="J72" t="str">
            <v>4Q03</v>
          </cell>
          <cell r="K72">
            <v>2003</v>
          </cell>
          <cell r="L72" t="str">
            <v>1Q04</v>
          </cell>
          <cell r="M72" t="str">
            <v>2Q04</v>
          </cell>
          <cell r="N72" t="str">
            <v>3Q04</v>
          </cell>
          <cell r="O72" t="str">
            <v>4Q04</v>
          </cell>
          <cell r="P72">
            <v>2004</v>
          </cell>
          <cell r="Q72" t="str">
            <v>1Q05</v>
          </cell>
          <cell r="R72" t="str">
            <v>2Q05</v>
          </cell>
          <cell r="S72" t="str">
            <v>3Q05</v>
          </cell>
          <cell r="T72" t="str">
            <v>4Q05</v>
          </cell>
          <cell r="U72">
            <v>2005</v>
          </cell>
          <cell r="V72" t="str">
            <v>1Q06</v>
          </cell>
          <cell r="W72" t="str">
            <v>2Q06</v>
          </cell>
          <cell r="X72" t="str">
            <v>3Q06</v>
          </cell>
          <cell r="Y72" t="str">
            <v>4Q06</v>
          </cell>
          <cell r="Z72">
            <v>2006</v>
          </cell>
          <cell r="AA72" t="str">
            <v>1Q07</v>
          </cell>
          <cell r="AB72" t="str">
            <v>2Q07</v>
          </cell>
          <cell r="AC72" t="str">
            <v>3Q07</v>
          </cell>
          <cell r="AD72" t="str">
            <v>4Q07</v>
          </cell>
          <cell r="AE72">
            <v>2007</v>
          </cell>
          <cell r="AF72" t="str">
            <v>1Q08</v>
          </cell>
          <cell r="AG72" t="str">
            <v>2Q08</v>
          </cell>
          <cell r="AH72" t="str">
            <v>3Q08</v>
          </cell>
          <cell r="AI72" t="str">
            <v>4Q08</v>
          </cell>
          <cell r="AJ72">
            <v>2008</v>
          </cell>
          <cell r="AK72" t="str">
            <v>1Q09</v>
          </cell>
          <cell r="AL72" t="str">
            <v>2Q09</v>
          </cell>
          <cell r="AM72" t="str">
            <v>3Q09</v>
          </cell>
          <cell r="AN72" t="str">
            <v>4Q09</v>
          </cell>
          <cell r="AO72">
            <v>2009</v>
          </cell>
          <cell r="AP72" t="str">
            <v>1Q10</v>
          </cell>
          <cell r="AQ72" t="str">
            <v>2Q10</v>
          </cell>
          <cell r="AR72" t="str">
            <v>3Q10</v>
          </cell>
          <cell r="AS72" t="str">
            <v>4Q10</v>
          </cell>
          <cell r="AT72">
            <v>2010</v>
          </cell>
          <cell r="AU72" t="str">
            <v>1Q11</v>
          </cell>
          <cell r="AV72" t="str">
            <v>2Q11</v>
          </cell>
          <cell r="AW72" t="str">
            <v>3Q11</v>
          </cell>
          <cell r="AX72" t="str">
            <v>4Q11</v>
          </cell>
          <cell r="AY72">
            <v>2011</v>
          </cell>
          <cell r="AZ72" t="str">
            <v>1Q12</v>
          </cell>
          <cell r="BA72" t="str">
            <v>2Q12</v>
          </cell>
          <cell r="BB72" t="str">
            <v>3Q12</v>
          </cell>
          <cell r="BC72" t="str">
            <v>4Q12</v>
          </cell>
          <cell r="BD72">
            <v>2012</v>
          </cell>
          <cell r="BE72" t="str">
            <v>1Q13</v>
          </cell>
          <cell r="BF72" t="str">
            <v>2Q13</v>
          </cell>
          <cell r="BG72" t="str">
            <v>3Q13</v>
          </cell>
          <cell r="BH72" t="str">
            <v>4Q13</v>
          </cell>
          <cell r="BI72">
            <v>2013</v>
          </cell>
          <cell r="BJ72" t="str">
            <v>1Q14E</v>
          </cell>
          <cell r="BK72" t="str">
            <v>2Q14E</v>
          </cell>
          <cell r="BL72" t="str">
            <v>3Q14E</v>
          </cell>
          <cell r="BM72" t="str">
            <v>4Q14E</v>
          </cell>
          <cell r="BN72" t="str">
            <v>2014E</v>
          </cell>
        </row>
        <row r="73">
          <cell r="A73" t="str">
            <v>Volume</v>
          </cell>
          <cell r="B73">
            <v>9.5559999999999992</v>
          </cell>
          <cell r="C73">
            <v>9.3780000000000001</v>
          </cell>
          <cell r="D73">
            <v>8.6840000000000011</v>
          </cell>
          <cell r="E73">
            <v>7.8100000000000005</v>
          </cell>
          <cell r="F73">
            <v>35.427999999999997</v>
          </cell>
          <cell r="G73">
            <v>9.0339999999999989</v>
          </cell>
          <cell r="H73">
            <v>8.5920000000000005</v>
          </cell>
          <cell r="I73">
            <v>9.2100000000000009</v>
          </cell>
          <cell r="J73">
            <v>8.3477329999999981</v>
          </cell>
          <cell r="K73">
            <v>35.183732999999997</v>
          </cell>
          <cell r="L73">
            <v>8.144228</v>
          </cell>
          <cell r="M73">
            <v>8.9319489999999995</v>
          </cell>
          <cell r="N73">
            <v>8.849456</v>
          </cell>
          <cell r="O73">
            <v>8.5819899999999993</v>
          </cell>
          <cell r="P73">
            <v>34.507622999999995</v>
          </cell>
          <cell r="Q73">
            <v>8.2139889999999998</v>
          </cell>
          <cell r="R73">
            <v>9.3954470000000008</v>
          </cell>
          <cell r="S73">
            <v>9.1005230000000008</v>
          </cell>
          <cell r="T73">
            <v>8.4837130000000016</v>
          </cell>
          <cell r="U73">
            <v>35.193671999999985</v>
          </cell>
          <cell r="V73">
            <v>8.4681119999999996</v>
          </cell>
          <cell r="W73">
            <v>9.1415699999999998</v>
          </cell>
          <cell r="X73">
            <v>9.6225569999999987</v>
          </cell>
          <cell r="Y73">
            <v>8.8986229999999988</v>
          </cell>
          <cell r="Z73">
            <v>36.130862</v>
          </cell>
          <cell r="AA73">
            <v>8.3872520000000002</v>
          </cell>
          <cell r="AB73">
            <v>9.4734610000000004</v>
          </cell>
          <cell r="AC73">
            <v>9.4659420000000001</v>
          </cell>
          <cell r="AD73">
            <v>8.5155130000000003</v>
          </cell>
          <cell r="AE73">
            <v>35.842168000000001</v>
          </cell>
          <cell r="AF73">
            <v>8.415223000000001</v>
          </cell>
          <cell r="AG73">
            <v>9.4636750000000021</v>
          </cell>
          <cell r="AH73">
            <v>9.8930319999999998</v>
          </cell>
          <cell r="AI73">
            <v>9.2183439999999983</v>
          </cell>
          <cell r="AJ73">
            <v>37.75027</v>
          </cell>
          <cell r="AK73">
            <v>7.9090890000000007</v>
          </cell>
          <cell r="AL73">
            <v>9.8704489999999989</v>
          </cell>
          <cell r="AM73">
            <v>9.4575599999999973</v>
          </cell>
          <cell r="AN73">
            <v>9.0467849999999999</v>
          </cell>
          <cell r="AO73">
            <v>36.283882999999996</v>
          </cell>
          <cell r="AP73">
            <v>8.8631510000000002</v>
          </cell>
          <cell r="AQ73">
            <v>9.7847120000000007</v>
          </cell>
          <cell r="AR73">
            <v>10.003152999999999</v>
          </cell>
          <cell r="AS73">
            <v>9.4559530000000009</v>
          </cell>
          <cell r="AT73">
            <v>38.106968999999999</v>
          </cell>
          <cell r="AU73">
            <v>9.7076159999999998</v>
          </cell>
          <cell r="AV73">
            <v>10.754456999999999</v>
          </cell>
          <cell r="AW73">
            <v>10.283940999999999</v>
          </cell>
          <cell r="AX73">
            <v>9.9842770000000005</v>
          </cell>
          <cell r="AY73">
            <v>40.730291000000001</v>
          </cell>
          <cell r="AZ73">
            <v>9.4410819999999998</v>
          </cell>
          <cell r="BA73">
            <v>10.628576999999998</v>
          </cell>
          <cell r="BB73">
            <v>10.070309999999997</v>
          </cell>
          <cell r="BC73">
            <v>10.012223000000001</v>
          </cell>
          <cell r="BD73">
            <v>40.152191999999992</v>
          </cell>
          <cell r="BE73">
            <v>9.2226710000000018</v>
          </cell>
          <cell r="BF73">
            <v>10.448003</v>
          </cell>
          <cell r="BG73">
            <v>10.425849000000001</v>
          </cell>
          <cell r="BH73">
            <v>9.8509789999999988</v>
          </cell>
          <cell r="BI73">
            <v>39.947502</v>
          </cell>
          <cell r="BJ73">
            <v>8.9561250000000001</v>
          </cell>
          <cell r="BK73">
            <v>10.091689000000001</v>
          </cell>
          <cell r="BL73">
            <v>10.204224</v>
          </cell>
          <cell r="BM73">
            <v>9.7621020000000023</v>
          </cell>
          <cell r="BN73">
            <v>39.014139999999998</v>
          </cell>
          <cell r="BO73">
            <v>9.2330579999999998</v>
          </cell>
          <cell r="BP73">
            <v>10.088964805000002</v>
          </cell>
          <cell r="BQ73">
            <v>10.130894193575967</v>
          </cell>
          <cell r="BR73">
            <v>9.61156013480608</v>
          </cell>
          <cell r="BS73">
            <v>39.064477133382042</v>
          </cell>
        </row>
        <row r="74">
          <cell r="A74" t="str">
            <v>Gross Revenue</v>
          </cell>
          <cell r="G74">
            <v>-4.0636487974591406E-2</v>
          </cell>
          <cell r="H74">
            <v>1.6646503241718236E-2</v>
          </cell>
          <cell r="I74">
            <v>-2.7068829703434161E-2</v>
          </cell>
          <cell r="J74">
            <v>0.29813710507813074</v>
          </cell>
          <cell r="K74">
            <v>3.8800683136897884E-2</v>
          </cell>
          <cell r="L74">
            <v>8.9461454164671883E-2</v>
          </cell>
          <cell r="M74">
            <v>0.10959877992438827</v>
          </cell>
          <cell r="N74">
            <v>1.6021228242086183E-2</v>
          </cell>
          <cell r="O74">
            <v>-9.0198460151614368E-2</v>
          </cell>
          <cell r="P74">
            <v>3.1207265644515703E-2</v>
          </cell>
          <cell r="Q74">
            <v>96.798279130882705</v>
          </cell>
          <cell r="R74">
            <v>98.803175623256649</v>
          </cell>
          <cell r="S74">
            <v>102.01611489801189</v>
          </cell>
          <cell r="T74">
            <v>107.97159215546304</v>
          </cell>
          <cell r="U74">
            <v>101.37617921767304</v>
          </cell>
          <cell r="V74">
            <v>100.94339800890683</v>
          </cell>
          <cell r="W74">
            <v>106.90723803460456</v>
          </cell>
          <cell r="X74">
            <v>102.46756657300135</v>
          </cell>
          <cell r="Y74">
            <v>105.26347728182216</v>
          </cell>
          <cell r="Z74">
            <v>103.92223689542752</v>
          </cell>
          <cell r="AA74">
            <v>108.85567764030459</v>
          </cell>
          <cell r="AB74">
            <v>111.40595818149249</v>
          </cell>
          <cell r="AC74">
            <v>110.26900439491389</v>
          </cell>
          <cell r="AD74">
            <v>112.38312947205881</v>
          </cell>
          <cell r="AE74">
            <v>110.74106901122721</v>
          </cell>
          <cell r="AF74">
            <v>109.44451501760558</v>
          </cell>
          <cell r="AG74">
            <v>113.06389959503045</v>
          </cell>
          <cell r="AH74">
            <v>113.71640160468499</v>
          </cell>
          <cell r="AI74">
            <v>118.0255369077136</v>
          </cell>
          <cell r="AJ74">
            <v>111.36344190385923</v>
          </cell>
          <cell r="AK74">
            <v>115.94255672176655</v>
          </cell>
          <cell r="AL74">
            <v>153.89370838145257</v>
          </cell>
          <cell r="AM74">
            <v>150.03869919937071</v>
          </cell>
          <cell r="AN74">
            <v>152.31930459273653</v>
          </cell>
          <cell r="AO74">
            <v>144.2238141932053</v>
          </cell>
          <cell r="AP74">
            <v>153.44429988838056</v>
          </cell>
          <cell r="AQ74">
            <v>155.34437804607839</v>
          </cell>
          <cell r="AR74">
            <v>156.65060806327767</v>
          </cell>
          <cell r="AS74">
            <v>157.14968126427868</v>
          </cell>
          <cell r="AT74">
            <v>155.66706446791923</v>
          </cell>
          <cell r="AU74">
            <v>158.12327146026377</v>
          </cell>
          <cell r="AV74">
            <v>157.33011903808813</v>
          </cell>
          <cell r="AW74">
            <v>157.72163609262248</v>
          </cell>
          <cell r="AX74">
            <v>162.05479876009048</v>
          </cell>
          <cell r="AY74">
            <v>158.77617962513452</v>
          </cell>
          <cell r="AZ74">
            <v>161.63401610112061</v>
          </cell>
          <cell r="BA74">
            <v>162.11013007667916</v>
          </cell>
          <cell r="BB74">
            <v>163.55007939179632</v>
          </cell>
          <cell r="BC74">
            <v>166.29673550019811</v>
          </cell>
          <cell r="BD74">
            <v>163.40328318812584</v>
          </cell>
          <cell r="BE74">
            <v>164.81125695582111</v>
          </cell>
          <cell r="BF74">
            <v>167.20898721028314</v>
          </cell>
          <cell r="BG74">
            <v>169.19485405936723</v>
          </cell>
          <cell r="BH74">
            <v>171.45504015387712</v>
          </cell>
          <cell r="BI74">
            <v>168.22078136450185</v>
          </cell>
          <cell r="BJ74">
            <v>172.06101969322671</v>
          </cell>
          <cell r="BK74">
            <v>174.59911814563449</v>
          </cell>
          <cell r="BL74">
            <v>175.71154847247573</v>
          </cell>
          <cell r="BM74">
            <v>177.1134946141722</v>
          </cell>
          <cell r="BN74">
            <v>174.9365742779413</v>
          </cell>
          <cell r="BO74">
            <v>177.62262513676401</v>
          </cell>
          <cell r="BP74">
            <v>179.54935292745446</v>
          </cell>
          <cell r="BQ74">
            <v>180.1370894484235</v>
          </cell>
          <cell r="BR74">
            <v>181.22985675673738</v>
          </cell>
          <cell r="BS74">
            <v>179.65986178344571</v>
          </cell>
        </row>
        <row r="75">
          <cell r="A75" t="str">
            <v>Excise Taxes</v>
          </cell>
          <cell r="G75">
            <v>9.5287015500575833E-3</v>
          </cell>
          <cell r="H75">
            <v>-7.9674641076470376E-2</v>
          </cell>
          <cell r="I75">
            <v>-9.6137173234274176E-3</v>
          </cell>
          <cell r="J75">
            <v>8.9156426186213666E-2</v>
          </cell>
          <cell r="K75">
            <v>3.0018558296296405E-4</v>
          </cell>
          <cell r="L75">
            <v>3.9598737552720475E-2</v>
          </cell>
          <cell r="M75">
            <v>5.5987389178123292E-2</v>
          </cell>
          <cell r="N75">
            <v>-9.6253683242662258E-2</v>
          </cell>
          <cell r="O75">
            <v>-0.1635470465254284</v>
          </cell>
          <cell r="P75">
            <v>-4.4350919915622677E-2</v>
          </cell>
          <cell r="Q75">
            <v>19.016339077152402</v>
          </cell>
          <cell r="R75">
            <v>19.051781144633139</v>
          </cell>
          <cell r="S75">
            <v>19.36152460688248</v>
          </cell>
          <cell r="T75">
            <v>19.413669462887295</v>
          </cell>
          <cell r="U75">
            <v>19.210839948727152</v>
          </cell>
          <cell r="V75">
            <v>19.354963656597835</v>
          </cell>
          <cell r="W75">
            <v>19.329283700720993</v>
          </cell>
          <cell r="X75">
            <v>19.308797027650762</v>
          </cell>
          <cell r="Y75">
            <v>19.340070930075363</v>
          </cell>
          <cell r="Z75">
            <v>19.332503055144382</v>
          </cell>
          <cell r="AA75">
            <v>19.27925857002985</v>
          </cell>
          <cell r="AB75">
            <v>19.000447671658751</v>
          </cell>
          <cell r="AC75">
            <v>19.089489455988637</v>
          </cell>
          <cell r="AD75">
            <v>19.376401633113588</v>
          </cell>
          <cell r="AE75">
            <v>19.178527370330947</v>
          </cell>
          <cell r="AF75">
            <v>19.369659009630521</v>
          </cell>
          <cell r="AG75">
            <v>19.442764042509907</v>
          </cell>
          <cell r="AH75">
            <v>19.10435546958708</v>
          </cell>
          <cell r="AI75">
            <v>19.092366264483083</v>
          </cell>
          <cell r="AJ75">
            <v>18.860792253936197</v>
          </cell>
          <cell r="AK75">
            <v>18.965521819263884</v>
          </cell>
          <cell r="AL75">
            <v>49.237881680965074</v>
          </cell>
          <cell r="AM75">
            <v>49.2727511112803</v>
          </cell>
          <cell r="AN75">
            <v>49.299281457445936</v>
          </cell>
          <cell r="AO75">
            <v>42.663570489409864</v>
          </cell>
          <cell r="AP75">
            <v>49.30526400825169</v>
          </cell>
          <cell r="AQ75">
            <v>49.260519880401176</v>
          </cell>
          <cell r="AR75">
            <v>49.384429089508082</v>
          </cell>
          <cell r="AS75">
            <v>49.281124811005299</v>
          </cell>
          <cell r="AT75">
            <v>49.308566105060734</v>
          </cell>
          <cell r="AU75">
            <v>49.342701647860814</v>
          </cell>
          <cell r="AV75">
            <v>49.560847191076228</v>
          </cell>
          <cell r="AW75">
            <v>49.494644125243433</v>
          </cell>
          <cell r="AX75">
            <v>49.377636457802602</v>
          </cell>
          <cell r="AY75">
            <v>49.44722835395406</v>
          </cell>
          <cell r="AZ75">
            <v>49.464669409713842</v>
          </cell>
          <cell r="BA75">
            <v>49.489221369897407</v>
          </cell>
          <cell r="BB75">
            <v>49.452300872565012</v>
          </cell>
          <cell r="BC75">
            <v>49.439570013572407</v>
          </cell>
          <cell r="BD75">
            <v>49.461807714009744</v>
          </cell>
          <cell r="BE75">
            <v>49.334948628222769</v>
          </cell>
          <cell r="BF75">
            <v>49.387428391818034</v>
          </cell>
          <cell r="BG75">
            <v>49.588287726016361</v>
          </cell>
          <cell r="BH75">
            <v>49.741249067732262</v>
          </cell>
          <cell r="BI75">
            <v>49.514985943301284</v>
          </cell>
          <cell r="BJ75">
            <v>49.686666945805243</v>
          </cell>
          <cell r="BK75">
            <v>49.743903126622307</v>
          </cell>
          <cell r="BL75">
            <v>49.685306790599661</v>
          </cell>
          <cell r="BM75">
            <v>49.699929307681785</v>
          </cell>
          <cell r="BN75">
            <v>49.699929307681785</v>
          </cell>
          <cell r="BO75">
            <v>49.60436726380361</v>
          </cell>
          <cell r="BP75">
            <v>49.699929307681785</v>
          </cell>
          <cell r="BQ75">
            <v>49.699929307681785</v>
          </cell>
          <cell r="BR75">
            <v>49.699929307681785</v>
          </cell>
          <cell r="BS75">
            <v>49.699929307681785</v>
          </cell>
        </row>
        <row r="76">
          <cell r="A76" t="str">
            <v>Net Revenue</v>
          </cell>
          <cell r="B76">
            <v>82.953118459606543</v>
          </cell>
          <cell r="C76">
            <v>90.722968650032001</v>
          </cell>
          <cell r="D76">
            <v>92.342238599723615</v>
          </cell>
          <cell r="E76">
            <v>87.669654289372588</v>
          </cell>
          <cell r="F76">
            <v>88.351021790674054</v>
          </cell>
          <cell r="G76">
            <v>76.05711755589995</v>
          </cell>
          <cell r="H76">
            <v>71.86918063314711</v>
          </cell>
          <cell r="I76">
            <v>72.714440825189996</v>
          </cell>
          <cell r="J76">
            <v>75.433653663815093</v>
          </cell>
          <cell r="K76">
            <v>74.011475701000791</v>
          </cell>
          <cell r="L76">
            <v>75.120686699832078</v>
          </cell>
          <cell r="M76">
            <v>78.213612728868029</v>
          </cell>
          <cell r="N76">
            <v>80.389122224010151</v>
          </cell>
          <cell r="O76">
            <v>77.83742465325642</v>
          </cell>
          <cell r="P76">
            <v>77.947994273613119</v>
          </cell>
          <cell r="Q76">
            <v>77.781940053730295</v>
          </cell>
          <cell r="R76">
            <v>79.751394478623524</v>
          </cell>
          <cell r="S76">
            <v>82.654590291129423</v>
          </cell>
          <cell r="T76">
            <v>88.557922692575744</v>
          </cell>
          <cell r="U76">
            <v>82.165339268945885</v>
          </cell>
          <cell r="V76">
            <v>81.588434352308994</v>
          </cell>
          <cell r="W76">
            <v>87.577954333883554</v>
          </cell>
          <cell r="X76">
            <v>83.158769545350594</v>
          </cell>
          <cell r="Y76">
            <v>85.923406351746792</v>
          </cell>
          <cell r="Z76">
            <v>84.589733840283145</v>
          </cell>
          <cell r="AA76">
            <v>89.576419070274738</v>
          </cell>
          <cell r="AB76">
            <v>92.405510509833746</v>
          </cell>
          <cell r="AC76">
            <v>91.179514938925237</v>
          </cell>
          <cell r="AD76">
            <v>93.006727838945224</v>
          </cell>
          <cell r="AE76">
            <v>91.562541640896271</v>
          </cell>
          <cell r="AF76">
            <v>90.074856007975058</v>
          </cell>
          <cell r="AG76">
            <v>93.621135552520542</v>
          </cell>
          <cell r="AH76">
            <v>94.612046135097913</v>
          </cell>
          <cell r="AI76">
            <v>98.933170643230511</v>
          </cell>
          <cell r="AJ76">
            <v>92.502649649923029</v>
          </cell>
          <cell r="AK76">
            <v>96.977034902502666</v>
          </cell>
          <cell r="AL76">
            <v>104.65582670048749</v>
          </cell>
          <cell r="AM76">
            <v>100.7659480880904</v>
          </cell>
          <cell r="AN76">
            <v>103.0200231352906</v>
          </cell>
          <cell r="AO76">
            <v>101.56024370379544</v>
          </cell>
          <cell r="AP76">
            <v>104.13903588012886</v>
          </cell>
          <cell r="AQ76">
            <v>106.08385816567723</v>
          </cell>
          <cell r="AR76">
            <v>107.26617897376958</v>
          </cell>
          <cell r="AS76">
            <v>107.7628029665545</v>
          </cell>
          <cell r="AT76">
            <v>106.35849836285851</v>
          </cell>
          <cell r="AU76">
            <v>108.78056981240296</v>
          </cell>
          <cell r="AV76">
            <v>107.76927184701191</v>
          </cell>
          <cell r="AW76">
            <v>108.22699196737905</v>
          </cell>
          <cell r="AX76">
            <v>112.67716230228788</v>
          </cell>
          <cell r="AY76">
            <v>109.32895127118046</v>
          </cell>
          <cell r="AZ76">
            <v>112.16934669140677</v>
          </cell>
          <cell r="BA76">
            <v>112.62090870678175</v>
          </cell>
          <cell r="BB76">
            <v>114.09777851923131</v>
          </cell>
          <cell r="BC76">
            <v>116.85716548662569</v>
          </cell>
          <cell r="BD76">
            <v>113.9414754741161</v>
          </cell>
          <cell r="BE76">
            <v>115.47630832759835</v>
          </cell>
          <cell r="BF76">
            <v>117.82155881846512</v>
          </cell>
          <cell r="BG76">
            <v>119.60656633335087</v>
          </cell>
          <cell r="BH76">
            <v>121.71379108614485</v>
          </cell>
          <cell r="BI76">
            <v>118.70579542120055</v>
          </cell>
          <cell r="BJ76">
            <v>122.37435274742145</v>
          </cell>
          <cell r="BK76">
            <v>124.85521501901218</v>
          </cell>
          <cell r="BL76">
            <v>126.02624168187606</v>
          </cell>
          <cell r="BM76">
            <v>127.43157160209959</v>
          </cell>
          <cell r="BN76">
            <v>125.2366449702595</v>
          </cell>
          <cell r="BO76">
            <v>128.01825787296039</v>
          </cell>
          <cell r="BP76">
            <v>129.84942361977267</v>
          </cell>
          <cell r="BQ76">
            <v>130.43716014074172</v>
          </cell>
          <cell r="BR76">
            <v>131.43812862749587</v>
          </cell>
          <cell r="BS76">
            <v>129.95993247576394</v>
          </cell>
        </row>
        <row r="77">
          <cell r="A77" t="str">
            <v>COGS</v>
          </cell>
          <cell r="B77">
            <v>12.934282126412725</v>
          </cell>
          <cell r="C77">
            <v>12.753252292599701</v>
          </cell>
          <cell r="D77">
            <v>14.094887148779364</v>
          </cell>
          <cell r="E77">
            <v>9.8463508322663245</v>
          </cell>
          <cell r="F77">
            <v>12.490120808400137</v>
          </cell>
          <cell r="G77">
            <v>12.408678326322782</v>
          </cell>
          <cell r="H77">
            <v>12.965549348230912</v>
          </cell>
          <cell r="I77">
            <v>13.713355048859933</v>
          </cell>
          <cell r="J77">
            <v>12.781913364981849</v>
          </cell>
          <cell r="K77">
            <v>12.974746028228445</v>
          </cell>
          <cell r="L77">
            <v>13.518776733657266</v>
          </cell>
          <cell r="M77">
            <v>14.386557737846466</v>
          </cell>
          <cell r="N77">
            <v>13.933059840062484</v>
          </cell>
          <cell r="O77">
            <v>11.629004461669146</v>
          </cell>
          <cell r="P77">
            <v>13.379652374201495</v>
          </cell>
          <cell r="Q77">
            <v>16.045796993397484</v>
          </cell>
          <cell r="R77">
            <v>17.00823813917528</v>
          </cell>
          <cell r="S77">
            <v>15.80128966214359</v>
          </cell>
          <cell r="T77">
            <v>14.910924025836326</v>
          </cell>
          <cell r="U77">
            <v>15.965938422111799</v>
          </cell>
          <cell r="V77">
            <v>15.446182100567398</v>
          </cell>
          <cell r="W77">
            <v>15.249021776346956</v>
          </cell>
          <cell r="X77">
            <v>15.079152038278396</v>
          </cell>
          <cell r="Y77">
            <v>15.092222695578855</v>
          </cell>
          <cell r="Z77">
            <v>15.211372482616108</v>
          </cell>
          <cell r="AA77">
            <v>15.917013105126681</v>
          </cell>
          <cell r="AB77">
            <v>16.709838146797669</v>
          </cell>
          <cell r="AC77">
            <v>16.490698971111378</v>
          </cell>
          <cell r="AD77">
            <v>14.444226671957402</v>
          </cell>
          <cell r="AE77">
            <v>15.928165952461354</v>
          </cell>
          <cell r="AF77">
            <v>16.042355621473131</v>
          </cell>
          <cell r="AG77">
            <v>15.850079382480903</v>
          </cell>
          <cell r="AH77">
            <v>16.172999339332979</v>
          </cell>
          <cell r="AI77">
            <v>16.81429983519817</v>
          </cell>
          <cell r="AJ77">
            <v>15.893926056687807</v>
          </cell>
          <cell r="AK77">
            <v>17.321843261594349</v>
          </cell>
          <cell r="AL77">
            <v>17.425752364456777</v>
          </cell>
          <cell r="AM77">
            <v>18.080773476456933</v>
          </cell>
          <cell r="AN77">
            <v>18.901742442204608</v>
          </cell>
          <cell r="AO77">
            <v>17.941850380236318</v>
          </cell>
          <cell r="AP77">
            <v>19.067710794953172</v>
          </cell>
          <cell r="AQ77">
            <v>18.907046012187173</v>
          </cell>
          <cell r="AR77">
            <v>18.294231828704412</v>
          </cell>
          <cell r="AS77">
            <v>19.247134582838978</v>
          </cell>
          <cell r="AT77">
            <v>18.841697958187122</v>
          </cell>
          <cell r="AU77">
            <v>19.984309226899786</v>
          </cell>
          <cell r="AV77">
            <v>19.247833712106527</v>
          </cell>
          <cell r="AW77">
            <v>20.322948177162825</v>
          </cell>
          <cell r="AX77">
            <v>19.330393177192498</v>
          </cell>
          <cell r="AY77">
            <v>19.715056786606311</v>
          </cell>
          <cell r="AZ77">
            <v>21.078092532190695</v>
          </cell>
          <cell r="BA77">
            <v>20.7929998531318</v>
          </cell>
          <cell r="BB77">
            <v>20.754078077040333</v>
          </cell>
          <cell r="BC77">
            <v>21.57363055137705</v>
          </cell>
          <cell r="BD77">
            <v>21.044928256967893</v>
          </cell>
          <cell r="BE77">
            <v>21.360406329142606</v>
          </cell>
          <cell r="BF77">
            <v>21.822352080105642</v>
          </cell>
          <cell r="BG77">
            <v>21.48506083293552</v>
          </cell>
          <cell r="BH77">
            <v>20.607088899489078</v>
          </cell>
          <cell r="BI77">
            <v>21.327991922999342</v>
          </cell>
          <cell r="BJ77">
            <v>23.045681028346522</v>
          </cell>
          <cell r="BK77">
            <v>22.592848432011728</v>
          </cell>
          <cell r="BL77">
            <v>21.069706035461394</v>
          </cell>
          <cell r="BM77">
            <v>19.360584431508702</v>
          </cell>
          <cell r="BN77">
            <v>21.48964452375472</v>
          </cell>
          <cell r="BO77">
            <v>20.036698567256916</v>
          </cell>
          <cell r="BP77">
            <v>22.192848432011729</v>
          </cell>
          <cell r="BQ77">
            <v>20.469706035461392</v>
          </cell>
          <cell r="BR77">
            <v>23.222289742777502</v>
          </cell>
          <cell r="BS77">
            <v>21.48964452375472</v>
          </cell>
        </row>
        <row r="78">
          <cell r="A78" t="str">
            <v>SG&amp;A</v>
          </cell>
          <cell r="B78">
            <v>11.69945583926329</v>
          </cell>
          <cell r="C78">
            <v>11.900191938579654</v>
          </cell>
          <cell r="D78">
            <v>10.743896821741131</v>
          </cell>
          <cell r="E78">
            <v>11.856594110115235</v>
          </cell>
          <cell r="F78">
            <v>11.553008919498701</v>
          </cell>
          <cell r="G78">
            <v>11.810936462253709</v>
          </cell>
          <cell r="H78">
            <v>10.952048417132215</v>
          </cell>
          <cell r="I78">
            <v>10.640608034744842</v>
          </cell>
          <cell r="J78">
            <v>12.91368566771362</v>
          </cell>
          <cell r="K78">
            <v>11.556476966216177</v>
          </cell>
          <cell r="L78">
            <v>12.278634635474351</v>
          </cell>
          <cell r="M78">
            <v>11.565225014159845</v>
          </cell>
          <cell r="N78">
            <v>9.6164103194591846</v>
          </cell>
          <cell r="O78">
            <v>10.801690517001303</v>
          </cell>
          <cell r="P78">
            <v>11.043936581780786</v>
          </cell>
          <cell r="Q78">
            <v>10.95691752204684</v>
          </cell>
          <cell r="R78">
            <v>10.345436465130398</v>
          </cell>
          <cell r="S78">
            <v>10.471925624494327</v>
          </cell>
          <cell r="T78">
            <v>10.254943796424984</v>
          </cell>
          <cell r="U78">
            <v>10.49904653313812</v>
          </cell>
          <cell r="V78">
            <v>10.970568173873941</v>
          </cell>
          <cell r="W78">
            <v>11.912614572770323</v>
          </cell>
          <cell r="X78">
            <v>8.6879194376297288</v>
          </cell>
          <cell r="Y78">
            <v>7.742770988275379</v>
          </cell>
          <cell r="Z78">
            <v>9.8060212346995748</v>
          </cell>
          <cell r="AA78">
            <v>9.7648192757294048</v>
          </cell>
          <cell r="AB78">
            <v>8.75076173322506</v>
          </cell>
          <cell r="AC78">
            <v>8.6309423827021128</v>
          </cell>
          <cell r="AD78">
            <v>8.9248880249492899</v>
          </cell>
          <cell r="AE78">
            <v>8.9977816074072301</v>
          </cell>
          <cell r="AF78">
            <v>11.883226386276393</v>
          </cell>
          <cell r="AG78">
            <v>9.6157148253717484</v>
          </cell>
          <cell r="AH78">
            <v>9.0973121283747993</v>
          </cell>
          <cell r="AI78">
            <v>8.6783483020377652</v>
          </cell>
          <cell r="AJ78">
            <v>9.5628455107738297</v>
          </cell>
          <cell r="AK78">
            <v>11.252876279429906</v>
          </cell>
          <cell r="AL78">
            <v>9.9286263471904892</v>
          </cell>
          <cell r="AM78">
            <v>10.150609670993367</v>
          </cell>
          <cell r="AN78">
            <v>9.1745299573273815</v>
          </cell>
          <cell r="AO78">
            <v>10.087123255248068</v>
          </cell>
          <cell r="AP78">
            <v>10.831362345062157</v>
          </cell>
          <cell r="AQ78">
            <v>9.9134241253089499</v>
          </cell>
          <cell r="AR78">
            <v>10.096816473765822</v>
          </cell>
          <cell r="AS78">
            <v>11.104116105484026</v>
          </cell>
          <cell r="AT78">
            <v>10.444283826404561</v>
          </cell>
          <cell r="AU78">
            <v>12.567452194235949</v>
          </cell>
          <cell r="AV78">
            <v>10.414286839400633</v>
          </cell>
          <cell r="AW78">
            <v>10.50181054130902</v>
          </cell>
          <cell r="AX78">
            <v>10.817007581019636</v>
          </cell>
          <cell r="AY78">
            <v>11.048288361111881</v>
          </cell>
          <cell r="AZ78">
            <v>13.875528249834076</v>
          </cell>
          <cell r="BA78">
            <v>11.478488606706243</v>
          </cell>
          <cell r="BB78">
            <v>11.121802605878074</v>
          </cell>
          <cell r="BC78">
            <v>11.286204871785216</v>
          </cell>
          <cell r="BD78">
            <v>11.904704978497813</v>
          </cell>
          <cell r="BE78">
            <v>12.794558105780849</v>
          </cell>
          <cell r="BF78">
            <v>11.676872604267055</v>
          </cell>
          <cell r="BG78">
            <v>10.838445866614794</v>
          </cell>
          <cell r="BH78">
            <v>11.87699212433607</v>
          </cell>
          <cell r="BI78">
            <v>11.765441553767241</v>
          </cell>
          <cell r="BJ78">
            <v>13.454479476336028</v>
          </cell>
          <cell r="BK78">
            <v>11.395515656497142</v>
          </cell>
          <cell r="BL78">
            <v>11.367841395876845</v>
          </cell>
          <cell r="BM78">
            <v>10.653443285062989</v>
          </cell>
          <cell r="BN78">
            <v>11.675254151443553</v>
          </cell>
          <cell r="BO78">
            <v>13.213390406515371</v>
          </cell>
          <cell r="BP78">
            <v>11.381560499932169</v>
          </cell>
          <cell r="BQ78">
            <v>11.354162981918074</v>
          </cell>
          <cell r="BR78">
            <v>10.369891391521065</v>
          </cell>
          <cell r="BS78">
            <v>11.558501609929117</v>
          </cell>
        </row>
        <row r="79">
          <cell r="A79" t="str">
            <v>MSA</v>
          </cell>
          <cell r="B79">
            <v>30.996232733361239</v>
          </cell>
          <cell r="C79">
            <v>31.126039667306458</v>
          </cell>
          <cell r="D79">
            <v>29.387379087977884</v>
          </cell>
          <cell r="E79">
            <v>28.040973111395644</v>
          </cell>
          <cell r="F79">
            <v>29.984757818674495</v>
          </cell>
          <cell r="G79">
            <v>21.861855213637373</v>
          </cell>
          <cell r="H79">
            <v>20.961359404096832</v>
          </cell>
          <cell r="I79">
            <v>23.300760043431051</v>
          </cell>
          <cell r="J79">
            <v>23.120049479301752</v>
          </cell>
          <cell r="K79">
            <v>22.317131613066756</v>
          </cell>
          <cell r="L79">
            <v>24.69233425193892</v>
          </cell>
          <cell r="M79">
            <v>26.231676871419666</v>
          </cell>
          <cell r="N79">
            <v>24.137076900546202</v>
          </cell>
          <cell r="O79">
            <v>22.943396578182917</v>
          </cell>
          <cell r="P79">
            <v>24.513424178767693</v>
          </cell>
          <cell r="Q79">
            <v>24.190439018118965</v>
          </cell>
          <cell r="R79">
            <v>25.075975629472442</v>
          </cell>
          <cell r="S79">
            <v>24.602981608859182</v>
          </cell>
          <cell r="T79">
            <v>25.719870533102657</v>
          </cell>
          <cell r="U79">
            <v>24.902204009857233</v>
          </cell>
          <cell r="V79">
            <v>25.625546757057535</v>
          </cell>
          <cell r="W79">
            <v>25.870829627733531</v>
          </cell>
          <cell r="X79">
            <v>25.232378462398305</v>
          </cell>
          <cell r="Y79">
            <v>24.172279239158691</v>
          </cell>
          <cell r="Z79">
            <v>25.224972490277146</v>
          </cell>
          <cell r="AA79">
            <v>29.699834939977954</v>
          </cell>
          <cell r="AB79">
            <v>29.049573329113823</v>
          </cell>
          <cell r="AC79">
            <v>29.273367616239359</v>
          </cell>
          <cell r="AD79">
            <v>29.00588608108519</v>
          </cell>
          <cell r="AE79">
            <v>29.250462751025555</v>
          </cell>
          <cell r="AF79">
            <v>30.539891812730332</v>
          </cell>
          <cell r="AG79">
            <v>30.960488393779364</v>
          </cell>
          <cell r="AH79">
            <v>30.728698744732657</v>
          </cell>
          <cell r="AI79">
            <v>28.530070042949152</v>
          </cell>
          <cell r="AJ79">
            <v>29.589192342200466</v>
          </cell>
          <cell r="AK79">
            <v>31.2298925957212</v>
          </cell>
          <cell r="AL79">
            <v>31.102941720280409</v>
          </cell>
          <cell r="AM79">
            <v>31.086242117417186</v>
          </cell>
          <cell r="AN79">
            <v>30.950221542791169</v>
          </cell>
          <cell r="AO79">
            <v>31.088183147321914</v>
          </cell>
          <cell r="AP79">
            <v>31.140166742053701</v>
          </cell>
          <cell r="AQ79">
            <v>31.784277350217359</v>
          </cell>
          <cell r="AR79">
            <v>32.389787500001255</v>
          </cell>
          <cell r="AS79">
            <v>31.726046015668643</v>
          </cell>
          <cell r="AT79">
            <v>31.805206024126452</v>
          </cell>
          <cell r="AU79">
            <v>32.860797130830065</v>
          </cell>
          <cell r="AV79">
            <v>32.823600484896637</v>
          </cell>
          <cell r="AW79">
            <v>33.158494394318289</v>
          </cell>
          <cell r="AX79">
            <v>31.95023535504874</v>
          </cell>
          <cell r="AY79">
            <v>32.702933548891167</v>
          </cell>
          <cell r="AZ79">
            <v>34.953620782024771</v>
          </cell>
          <cell r="BA79">
            <v>34.247293875746493</v>
          </cell>
          <cell r="BB79">
            <v>34.060520480501602</v>
          </cell>
          <cell r="BC79">
            <v>33.359225019258957</v>
          </cell>
          <cell r="BD79">
            <v>34.145084781423648</v>
          </cell>
          <cell r="BE79">
            <v>34.58867826901772</v>
          </cell>
          <cell r="BF79">
            <v>33.882072966479818</v>
          </cell>
          <cell r="BG79">
            <v>35.39280110425539</v>
          </cell>
          <cell r="BH79">
            <v>35.834001879407118</v>
          </cell>
          <cell r="BI79">
            <v>34.920831845755963</v>
          </cell>
          <cell r="BJ79">
            <v>35.394771734427557</v>
          </cell>
          <cell r="BK79">
            <v>36.465650100790853</v>
          </cell>
          <cell r="BL79">
            <v>36.455491372984362</v>
          </cell>
          <cell r="BM79">
            <v>34.931001540446914</v>
          </cell>
          <cell r="BN79">
            <v>35.833162027921162</v>
          </cell>
          <cell r="BO79">
            <v>36.715896293514021</v>
          </cell>
          <cell r="BP79">
            <v>37.01263485230271</v>
          </cell>
          <cell r="BQ79">
            <v>37.002323743579126</v>
          </cell>
          <cell r="BR79">
            <v>34.699361282749138</v>
          </cell>
          <cell r="BS79">
            <v>36.370659458339979</v>
          </cell>
        </row>
        <row r="80">
          <cell r="A80" t="str">
            <v>Quota buyout</v>
          </cell>
          <cell r="AA80">
            <v>2.7422569394600282</v>
          </cell>
          <cell r="AB80">
            <v>2.8922903677969432</v>
          </cell>
          <cell r="AC80">
            <v>2.7466891303580776</v>
          </cell>
          <cell r="AD80">
            <v>2.9358184292596348</v>
          </cell>
          <cell r="AE80">
            <v>2.829069937956878</v>
          </cell>
          <cell r="AF80">
            <v>2.7331420688435704</v>
          </cell>
          <cell r="AG80">
            <v>2.8530142888465626</v>
          </cell>
          <cell r="AH80">
            <v>2.7291936385124398</v>
          </cell>
          <cell r="AI80">
            <v>2.7499999999999996</v>
          </cell>
          <cell r="AJ80">
            <v>2.7112507009883635</v>
          </cell>
          <cell r="AK80">
            <v>2.5888992401710174</v>
          </cell>
          <cell r="AL80">
            <v>2.8985744293353957</v>
          </cell>
          <cell r="AM80">
            <v>3.1226089160606119</v>
          </cell>
          <cell r="AN80">
            <v>2.5881358726322077</v>
          </cell>
          <cell r="AO80">
            <v>2.7560446052590351</v>
          </cell>
          <cell r="AP80">
            <v>3.0463206595487313</v>
          </cell>
          <cell r="AQ80">
            <v>3.066007461435758</v>
          </cell>
          <cell r="AR80">
            <v>2.6991489583334376</v>
          </cell>
          <cell r="AS80">
            <v>2.8553441414101779</v>
          </cell>
          <cell r="AT80">
            <v>2.9128530269620763</v>
          </cell>
          <cell r="AU80">
            <v>3.0903570969432659</v>
          </cell>
          <cell r="AV80">
            <v>3.068495229466258</v>
          </cell>
          <cell r="AW80">
            <v>2.9171695948080609</v>
          </cell>
          <cell r="AX80">
            <v>2.7042518952549091</v>
          </cell>
          <cell r="AY80">
            <v>2.9462102296298349</v>
          </cell>
          <cell r="AZ80">
            <v>3.0150152064445521</v>
          </cell>
          <cell r="BA80">
            <v>3.3456904018546982</v>
          </cell>
          <cell r="BB80">
            <v>2.6273231094086062</v>
          </cell>
          <cell r="BC80">
            <v>2.9451147401469404</v>
          </cell>
          <cell r="BD80">
            <v>2.9880309104200999</v>
          </cell>
          <cell r="BE80">
            <v>2.9853007109991192</v>
          </cell>
          <cell r="BF80">
            <v>3.5081814201449717</v>
          </cell>
          <cell r="BG80">
            <v>2.9208072760814212</v>
          </cell>
          <cell r="BH80">
            <v>2.8723749442323276</v>
          </cell>
          <cell r="BI80">
            <v>3.0769069588599232</v>
          </cell>
          <cell r="BJ80">
            <v>3.1680827430799172</v>
          </cell>
          <cell r="BK80">
            <v>3.6081931241269545</v>
          </cell>
          <cell r="BL80">
            <v>2.7796275537331785</v>
          </cell>
          <cell r="BM80">
            <v>0</v>
          </cell>
          <cell r="BN80">
            <v>2.387411490611504</v>
          </cell>
          <cell r="BO80">
            <v>0</v>
          </cell>
        </row>
        <row r="81">
          <cell r="A81" t="str">
            <v>FDA user fees</v>
          </cell>
          <cell r="B81" t="str">
            <v>1Q02</v>
          </cell>
          <cell r="C81" t="str">
            <v>2Q02</v>
          </cell>
          <cell r="D81" t="str">
            <v>3Q02</v>
          </cell>
          <cell r="E81" t="str">
            <v>4Q02</v>
          </cell>
          <cell r="F81">
            <v>2002</v>
          </cell>
          <cell r="G81" t="str">
            <v>1Q03</v>
          </cell>
          <cell r="H81" t="str">
            <v>2Q03</v>
          </cell>
          <cell r="I81" t="str">
            <v>3Q03</v>
          </cell>
          <cell r="J81" t="str">
            <v>4Q03</v>
          </cell>
          <cell r="K81">
            <v>2003</v>
          </cell>
          <cell r="L81" t="str">
            <v>1Q04</v>
          </cell>
          <cell r="M81" t="str">
            <v>2Q04</v>
          </cell>
          <cell r="N81" t="str">
            <v>3Q04</v>
          </cell>
          <cell r="O81" t="str">
            <v>4Q04</v>
          </cell>
          <cell r="P81">
            <v>2004</v>
          </cell>
          <cell r="Q81" t="str">
            <v>1Q05</v>
          </cell>
          <cell r="R81" t="str">
            <v>2Q05</v>
          </cell>
          <cell r="S81" t="str">
            <v>3Q05</v>
          </cell>
          <cell r="T81" t="str">
            <v>4Q05</v>
          </cell>
          <cell r="U81">
            <v>2005</v>
          </cell>
          <cell r="V81" t="str">
            <v>1Q06</v>
          </cell>
          <cell r="W81" t="str">
            <v>2Q06</v>
          </cell>
          <cell r="X81" t="str">
            <v>3Q06</v>
          </cell>
          <cell r="Y81" t="str">
            <v>4Q06</v>
          </cell>
          <cell r="Z81">
            <v>2006</v>
          </cell>
          <cell r="AA81" t="str">
            <v>-</v>
          </cell>
          <cell r="AB81" t="str">
            <v>-</v>
          </cell>
          <cell r="AC81" t="str">
            <v>-</v>
          </cell>
          <cell r="AD81" t="str">
            <v>-</v>
          </cell>
          <cell r="AE81" t="str">
            <v>-</v>
          </cell>
          <cell r="AF81" t="str">
            <v>-</v>
          </cell>
          <cell r="AG81" t="str">
            <v>-</v>
          </cell>
          <cell r="AH81" t="str">
            <v>-</v>
          </cell>
          <cell r="AI81" t="str">
            <v>-</v>
          </cell>
          <cell r="AJ81" t="str">
            <v>-</v>
          </cell>
          <cell r="AK81" t="str">
            <v>-</v>
          </cell>
          <cell r="AL81" t="str">
            <v>-</v>
          </cell>
          <cell r="AM81">
            <v>0.25</v>
          </cell>
          <cell r="AN81">
            <v>0.74999999999999989</v>
          </cell>
          <cell r="AO81">
            <v>0.24768036127776069</v>
          </cell>
          <cell r="AP81">
            <v>0.73641941787971343</v>
          </cell>
          <cell r="AQ81">
            <v>0.71540174100167686</v>
          </cell>
          <cell r="AR81">
            <v>0.69977935956792825</v>
          </cell>
          <cell r="AS81">
            <v>0.74027440703226843</v>
          </cell>
          <cell r="AT81">
            <v>0.72236121692071598</v>
          </cell>
          <cell r="AU81">
            <v>1.4421666452401909</v>
          </cell>
          <cell r="AV81">
            <v>1.394770558848299</v>
          </cell>
          <cell r="AW81">
            <v>1.4585847974040305</v>
          </cell>
          <cell r="AX81">
            <v>1.6025196416325387</v>
          </cell>
          <cell r="AY81">
            <v>1.4731051148149175</v>
          </cell>
          <cell r="AZ81">
            <v>1.7228658322540298</v>
          </cell>
          <cell r="BA81">
            <v>1.6250496237579963</v>
          </cell>
          <cell r="BB81">
            <v>1.6168142211745269</v>
          </cell>
          <cell r="BC81">
            <v>1.6248908911155535</v>
          </cell>
          <cell r="BD81">
            <v>1.6459492303161567</v>
          </cell>
          <cell r="BE81">
            <v>1.8796337809994452</v>
          </cell>
          <cell r="BF81">
            <v>1.8515401939654017</v>
          </cell>
          <cell r="BG81">
            <v>1.7524843656488529</v>
          </cell>
          <cell r="BH81">
            <v>1.8465267498636393</v>
          </cell>
          <cell r="BI81">
            <v>1.8308867854373094</v>
          </cell>
          <cell r="BJ81">
            <v>2.1497704328042295</v>
          </cell>
          <cell r="BK81">
            <v>2.1047793224073903</v>
          </cell>
          <cell r="BL81">
            <v>1.8861758400332285</v>
          </cell>
          <cell r="BM81">
            <v>2.0732431182322859</v>
          </cell>
          <cell r="BN81">
            <v>2.0500598669381391</v>
          </cell>
          <cell r="BO81">
            <v>2.1661295748385854</v>
          </cell>
        </row>
        <row r="82">
          <cell r="A82" t="str">
            <v>Operating Income</v>
          </cell>
          <cell r="B82">
            <v>27.323147760569292</v>
          </cell>
          <cell r="C82">
            <v>34.943484751546187</v>
          </cell>
          <cell r="D82">
            <v>38.116075541225236</v>
          </cell>
          <cell r="E82">
            <v>37.92573623559538</v>
          </cell>
          <cell r="F82">
            <v>34.323134244100721</v>
          </cell>
          <cell r="G82">
            <v>29.975647553686088</v>
          </cell>
          <cell r="H82">
            <v>26.990223463687148</v>
          </cell>
          <cell r="I82">
            <v>25.059717698154174</v>
          </cell>
          <cell r="J82">
            <v>26.618005151817876</v>
          </cell>
          <cell r="K82">
            <v>27.163121093489416</v>
          </cell>
          <cell r="L82">
            <v>24.630941078761538</v>
          </cell>
          <cell r="M82">
            <v>26.03015310544205</v>
          </cell>
          <cell r="N82">
            <v>32.702575163942278</v>
          </cell>
          <cell r="O82">
            <v>32.463333096403055</v>
          </cell>
          <cell r="P82">
            <v>29.010981138863158</v>
          </cell>
          <cell r="Q82">
            <v>26.588786520167009</v>
          </cell>
          <cell r="R82">
            <v>27.321744244845405</v>
          </cell>
          <cell r="S82">
            <v>31.778393395632332</v>
          </cell>
          <cell r="T82">
            <v>37.672184337211775</v>
          </cell>
          <cell r="U82">
            <v>30.798150303838735</v>
          </cell>
          <cell r="V82">
            <v>29.546137320810125</v>
          </cell>
          <cell r="W82">
            <v>34.545488357032745</v>
          </cell>
          <cell r="X82">
            <v>34.159319607044161</v>
          </cell>
          <cell r="Y82">
            <v>38.916133428733872</v>
          </cell>
          <cell r="Z82">
            <v>34.347367632690315</v>
          </cell>
          <cell r="AA82">
            <v>34.194751749440691</v>
          </cell>
          <cell r="AB82">
            <v>37.895337300697193</v>
          </cell>
          <cell r="AC82">
            <v>36.784505968872395</v>
          </cell>
          <cell r="AD82">
            <v>40.631727060953345</v>
          </cell>
          <cell r="AE82">
            <v>37.386131330002122</v>
          </cell>
          <cell r="AF82">
            <v>31.609382187495207</v>
          </cell>
          <cell r="AG82">
            <v>37.194852950888524</v>
          </cell>
          <cell r="AH82">
            <v>38.613035922657481</v>
          </cell>
          <cell r="AI82">
            <v>44.910452463045431</v>
          </cell>
          <cell r="AJ82">
            <v>37.45668574026093</v>
          </cell>
          <cell r="AK82">
            <v>37.172422765757219</v>
          </cell>
          <cell r="AL82">
            <v>46.198506268559825</v>
          </cell>
          <cell r="AM82">
            <v>41.448322823222917</v>
          </cell>
          <cell r="AN82">
            <v>43.993529192967451</v>
          </cell>
          <cell r="AO82">
            <v>42.443086920989138</v>
          </cell>
          <cell r="AP82">
            <v>43.099795998059832</v>
          </cell>
          <cell r="AQ82">
            <v>45.479110677963746</v>
          </cell>
          <cell r="AR82">
            <v>46.485343171298091</v>
          </cell>
          <cell r="AS82">
            <v>45.685506262562846</v>
          </cell>
          <cell r="AT82">
            <v>45.267310554140373</v>
          </cell>
          <cell r="AU82">
            <v>43.368011260437164</v>
          </cell>
          <cell r="AV82">
            <v>45.283550810608112</v>
          </cell>
          <cell r="AW82">
            <v>44.243738854588919</v>
          </cell>
          <cell r="AX82">
            <v>50.579526189027007</v>
          </cell>
          <cell r="AY82">
            <v>45.862672574571093</v>
          </cell>
          <cell r="AZ82">
            <v>42.262105127357223</v>
          </cell>
          <cell r="BA82">
            <v>46.102126371197208</v>
          </cell>
          <cell r="BB82">
            <v>48.161377355811304</v>
          </cell>
          <cell r="BC82">
            <v>50.638105044204465</v>
          </cell>
          <cell r="BD82">
            <v>46.846757457226751</v>
          </cell>
          <cell r="BE82">
            <v>46.732665623657169</v>
          </cell>
          <cell r="BF82">
            <v>50.440261167612604</v>
          </cell>
          <cell r="BG82">
            <v>51.890258529545164</v>
          </cell>
          <cell r="BH82">
            <v>53.395708182912585</v>
          </cell>
          <cell r="BI82">
            <v>50.691530098678008</v>
          </cell>
          <cell r="BJ82">
            <v>50.47942050831135</v>
          </cell>
          <cell r="BK82">
            <v>54.401200829712444</v>
          </cell>
          <cell r="BL82">
            <v>57.133202877553451</v>
          </cell>
          <cell r="BM82">
            <v>62.486542345080991</v>
          </cell>
          <cell r="BN82">
            <v>54.826275806669074</v>
          </cell>
          <cell r="BO82">
            <v>58.052272605674091</v>
          </cell>
          <cell r="BP82">
            <v>59.262379835526048</v>
          </cell>
          <cell r="BQ82">
            <v>61.610967379783126</v>
          </cell>
          <cell r="BR82">
            <v>63.146586210448184</v>
          </cell>
          <cell r="BS82">
            <v>59.273991019333501</v>
          </cell>
        </row>
        <row r="83">
          <cell r="A83" t="str">
            <v>Excise Taxes</v>
          </cell>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0.38032678154304805</v>
          </cell>
          <cell r="R83">
            <v>0.3810356228926628</v>
          </cell>
          <cell r="S83">
            <v>0.3872304921376496</v>
          </cell>
          <cell r="T83">
            <v>0.3882733892577459</v>
          </cell>
          <cell r="U83">
            <v>0.38421679897454303</v>
          </cell>
          <cell r="V83">
            <v>0.38709927313195669</v>
          </cell>
          <cell r="W83">
            <v>0.38658567401441984</v>
          </cell>
          <cell r="X83">
            <v>0.38617594055301524</v>
          </cell>
          <cell r="Y83">
            <v>0.38680141860150724</v>
          </cell>
          <cell r="Z83">
            <v>0.38665006110288763</v>
          </cell>
          <cell r="AA83">
            <v>0.385585171400597</v>
          </cell>
          <cell r="AB83">
            <v>0.38000895343317503</v>
          </cell>
          <cell r="AC83">
            <v>0.38178978911977274</v>
          </cell>
          <cell r="AD83">
            <v>0.38752803266227176</v>
          </cell>
          <cell r="AE83">
            <v>0.38357054740661894</v>
          </cell>
          <cell r="AF83">
            <v>0.38739318019261043</v>
          </cell>
          <cell r="AG83">
            <v>0.38885528085019816</v>
          </cell>
          <cell r="AH83">
            <v>0.38208710939174162</v>
          </cell>
          <cell r="AI83">
            <v>0.38184732528966164</v>
          </cell>
          <cell r="AJ83">
            <v>0.38496605891591934</v>
          </cell>
          <cell r="AK83">
            <v>0.38833488602565258</v>
          </cell>
          <cell r="AL83">
            <v>1.0062194090407159</v>
          </cell>
          <cell r="AM83">
            <v>1.0035418999201691</v>
          </cell>
          <cell r="AN83">
            <v>1.0037466079947519</v>
          </cell>
          <cell r="AO83">
            <v>0.8706650911078182</v>
          </cell>
          <cell r="AP83">
            <v>1.0042904113706816</v>
          </cell>
          <cell r="AQ83">
            <v>1.0039631549687948</v>
          </cell>
          <cell r="AR83">
            <v>1.0050552856701802</v>
          </cell>
          <cell r="AS83">
            <v>1.0023690109661536</v>
          </cell>
          <cell r="AT83">
            <v>1.0039300736790642</v>
          </cell>
          <cell r="AU83">
            <v>1.0058972036057741</v>
          </cell>
          <cell r="AV83">
            <v>1.0058842340479359</v>
          </cell>
          <cell r="AW83">
            <v>1.007232184333384</v>
          </cell>
          <cell r="AX83">
            <v>1.0040943196771259</v>
          </cell>
          <cell r="AY83">
            <v>1.0058</v>
          </cell>
          <cell r="AZ83">
            <v>1.0061344476880152</v>
          </cell>
          <cell r="BA83">
            <v>1.0061344476880152</v>
          </cell>
          <cell r="BB83">
            <v>1.0061344476880152</v>
          </cell>
          <cell r="BC83">
            <v>1.0061344476880152</v>
          </cell>
          <cell r="BD83">
            <v>1.0061344476880152</v>
          </cell>
        </row>
        <row r="84">
          <cell r="A84" t="str">
            <v>YoY % Chg Per 000s (Cigarettes)</v>
          </cell>
          <cell r="B84" t="str">
            <v>1Q02</v>
          </cell>
          <cell r="C84" t="str">
            <v>2Q02</v>
          </cell>
          <cell r="D84" t="str">
            <v>3Q02</v>
          </cell>
          <cell r="E84" t="str">
            <v>4Q02</v>
          </cell>
          <cell r="F84">
            <v>2002</v>
          </cell>
          <cell r="G84" t="str">
            <v>1Q03</v>
          </cell>
          <cell r="H84" t="str">
            <v>2Q03</v>
          </cell>
          <cell r="I84" t="str">
            <v>3Q03</v>
          </cell>
          <cell r="J84" t="str">
            <v>4Q03</v>
          </cell>
          <cell r="K84">
            <v>2003</v>
          </cell>
          <cell r="L84" t="str">
            <v>1Q04</v>
          </cell>
          <cell r="M84" t="str">
            <v>2Q04</v>
          </cell>
          <cell r="N84" t="str">
            <v>3Q04</v>
          </cell>
          <cell r="O84" t="str">
            <v>4Q04</v>
          </cell>
          <cell r="P84">
            <v>2004</v>
          </cell>
          <cell r="Q84" t="str">
            <v>1Q05</v>
          </cell>
          <cell r="R84" t="str">
            <v>2Q05</v>
          </cell>
          <cell r="S84" t="str">
            <v>3Q05</v>
          </cell>
          <cell r="T84" t="str">
            <v>4Q05</v>
          </cell>
          <cell r="U84">
            <v>2005</v>
          </cell>
          <cell r="V84" t="str">
            <v>1Q06</v>
          </cell>
          <cell r="W84" t="str">
            <v>2Q06</v>
          </cell>
          <cell r="X84" t="str">
            <v>3Q06</v>
          </cell>
          <cell r="Y84" t="str">
            <v>4Q06</v>
          </cell>
          <cell r="Z84">
            <v>2006</v>
          </cell>
          <cell r="AA84" t="str">
            <v>1Q07</v>
          </cell>
          <cell r="AB84" t="str">
            <v>2Q07</v>
          </cell>
          <cell r="AC84" t="str">
            <v>3Q07</v>
          </cell>
          <cell r="AD84" t="str">
            <v>4Q07</v>
          </cell>
          <cell r="AE84">
            <v>2007</v>
          </cell>
          <cell r="AF84" t="str">
            <v>1Q08</v>
          </cell>
          <cell r="AG84" t="str">
            <v>2Q08</v>
          </cell>
          <cell r="AH84" t="str">
            <v>3Q08</v>
          </cell>
          <cell r="AI84" t="str">
            <v>4Q08</v>
          </cell>
          <cell r="AJ84">
            <v>2008</v>
          </cell>
          <cell r="AK84" t="str">
            <v>1Q09</v>
          </cell>
          <cell r="AL84" t="str">
            <v>2Q09</v>
          </cell>
          <cell r="AM84" t="str">
            <v>3Q09</v>
          </cell>
          <cell r="AN84" t="str">
            <v>4Q09</v>
          </cell>
          <cell r="AO84">
            <v>2009</v>
          </cell>
          <cell r="AP84" t="str">
            <v>1Q10</v>
          </cell>
          <cell r="AQ84" t="str">
            <v>2Q10</v>
          </cell>
          <cell r="AR84" t="str">
            <v>3Q10</v>
          </cell>
          <cell r="AS84" t="str">
            <v>4Q10</v>
          </cell>
          <cell r="AT84">
            <v>2010</v>
          </cell>
          <cell r="AU84" t="str">
            <v>1Q11</v>
          </cell>
          <cell r="AV84" t="str">
            <v>2Q11</v>
          </cell>
          <cell r="AW84" t="str">
            <v>3Q11</v>
          </cell>
          <cell r="AX84" t="str">
            <v>4Q11</v>
          </cell>
          <cell r="AY84">
            <v>2011</v>
          </cell>
          <cell r="AZ84" t="str">
            <v>1Q12</v>
          </cell>
          <cell r="BA84" t="str">
            <v>2Q12</v>
          </cell>
          <cell r="BB84" t="str">
            <v>3Q12</v>
          </cell>
          <cell r="BC84" t="str">
            <v>4Q12</v>
          </cell>
          <cell r="BD84">
            <v>2012</v>
          </cell>
          <cell r="BE84" t="str">
            <v>1Q13</v>
          </cell>
          <cell r="BF84" t="str">
            <v>2Q13</v>
          </cell>
          <cell r="BG84" t="str">
            <v>3Q13</v>
          </cell>
          <cell r="BH84" t="str">
            <v>4Q13</v>
          </cell>
          <cell r="BI84">
            <v>2013</v>
          </cell>
          <cell r="BJ84" t="str">
            <v>1Q14E</v>
          </cell>
          <cell r="BK84" t="str">
            <v>2Q14E</v>
          </cell>
          <cell r="BL84" t="str">
            <v>3Q14E</v>
          </cell>
          <cell r="BM84" t="str">
            <v>4Q14E</v>
          </cell>
          <cell r="BN84" t="str">
            <v>2014E</v>
          </cell>
        </row>
        <row r="85">
          <cell r="A85" t="str">
            <v>Volume</v>
          </cell>
          <cell r="B85">
            <v>8.3477329999999981</v>
          </cell>
          <cell r="C85">
            <v>35.183732999999997</v>
          </cell>
          <cell r="D85">
            <v>0</v>
          </cell>
          <cell r="E85" t="e">
            <v>#REF!</v>
          </cell>
          <cell r="F85" t="e">
            <v>#REF!</v>
          </cell>
          <cell r="G85" t="e">
            <v>#REF!</v>
          </cell>
          <cell r="H85" t="e">
            <v>#REF!</v>
          </cell>
          <cell r="I85" t="e">
            <v>#REF!</v>
          </cell>
          <cell r="J85" t="e">
            <v>#REF!</v>
          </cell>
          <cell r="K85" t="e">
            <v>#REF!</v>
          </cell>
          <cell r="L85">
            <v>8.4837130000000016</v>
          </cell>
          <cell r="M85">
            <v>35.193671999999985</v>
          </cell>
          <cell r="N85">
            <v>0.27866119680124968</v>
          </cell>
          <cell r="O85">
            <v>0.23258008923338291</v>
          </cell>
          <cell r="P85">
            <v>8.4681119999999996</v>
          </cell>
          <cell r="Q85">
            <v>0.3209159398679497</v>
          </cell>
          <cell r="R85">
            <v>0.3401647627835056</v>
          </cell>
          <cell r="S85">
            <v>0.31602579324287183</v>
          </cell>
          <cell r="T85">
            <v>0.2982184805167265</v>
          </cell>
          <cell r="U85">
            <v>0.319318768442236</v>
          </cell>
          <cell r="V85">
            <v>3.093783057172339E-2</v>
          </cell>
          <cell r="W85">
            <v>-2.7021279562324252E-2</v>
          </cell>
          <cell r="X85">
            <v>5.7363076825364567E-2</v>
          </cell>
          <cell r="Y85">
            <v>4.8906652075570767E-2</v>
          </cell>
          <cell r="Z85">
            <v>2.6629503167501678E-2</v>
          </cell>
          <cell r="AA85">
            <v>-9.5487636441274892E-3</v>
          </cell>
          <cell r="AB85">
            <v>3.6305689285319742E-2</v>
          </cell>
          <cell r="AC85">
            <v>-1.627581941057854E-2</v>
          </cell>
          <cell r="AD85">
            <v>-4.3052728495183823E-2</v>
          </cell>
          <cell r="AE85">
            <v>-7.9902328375115461E-3</v>
          </cell>
          <cell r="AF85">
            <v>3.3349421240711496E-3</v>
          </cell>
          <cell r="AG85">
            <v>-1.0329910050823621E-3</v>
          </cell>
          <cell r="AH85">
            <v>4.5118594641716525E-2</v>
          </cell>
          <cell r="AI85">
            <v>8.2535368098198836E-2</v>
          </cell>
          <cell r="AJ85">
            <v>5.3236232808238526E-2</v>
          </cell>
          <cell r="AK85">
            <v>-6.0145049037916176E-2</v>
          </cell>
          <cell r="AL85">
            <v>4.298266793819483E-2</v>
          </cell>
          <cell r="AM85">
            <v>-4.4018052301862842E-2</v>
          </cell>
          <cell r="AN85">
            <v>-1.8610609454365989E-2</v>
          </cell>
          <cell r="AO85">
            <v>-3.8844410914147254E-2</v>
          </cell>
          <cell r="AP85">
            <v>0.1206285578528703</v>
          </cell>
          <cell r="AQ85">
            <v>-8.6862309911127644E-3</v>
          </cell>
          <cell r="AR85">
            <v>5.7688558148190738E-2</v>
          </cell>
          <cell r="AS85">
            <v>4.5228000886502917E-2</v>
          </cell>
          <cell r="AT85">
            <v>5.0245063352232888E-2</v>
          </cell>
          <cell r="AU85">
            <v>9.5278191695030268E-2</v>
          </cell>
          <cell r="AV85">
            <v>9.9108180189667161E-2</v>
          </cell>
          <cell r="AW85">
            <v>2.8069949544908379E-2</v>
          </cell>
          <cell r="AX85">
            <v>5.5872105117273696E-2</v>
          </cell>
          <cell r="AY85">
            <v>6.8841003859425376E-2</v>
          </cell>
          <cell r="AZ85">
            <v>-2.7456174615889228E-2</v>
          </cell>
          <cell r="BA85">
            <v>-1.1704914529855004E-2</v>
          </cell>
          <cell r="BB85">
            <v>-2.0773261923614839E-2</v>
          </cell>
          <cell r="BC85">
            <v>2.7990008690663704E-3</v>
          </cell>
          <cell r="BD85">
            <v>-1.4193343229490063E-2</v>
          </cell>
          <cell r="BE85">
            <v>-2.3134106874614369E-2</v>
          </cell>
          <cell r="BF85">
            <v>-1.698948034153569E-2</v>
          </cell>
          <cell r="BG85">
            <v>3.5305665863315516E-2</v>
          </cell>
          <cell r="BH85">
            <v>-1.6104715206603171E-2</v>
          </cell>
          <cell r="BI85">
            <v>-5.0978536862942292E-3</v>
          </cell>
          <cell r="BJ85">
            <v>-2.8901171905622802E-2</v>
          </cell>
          <cell r="BK85">
            <v>-3.4103550697678675E-2</v>
          </cell>
          <cell r="BL85">
            <v>-2.1257261638836455E-2</v>
          </cell>
          <cell r="BM85">
            <v>-9.0221489661075349E-3</v>
          </cell>
          <cell r="BN85">
            <v>-2.336471502022841E-2</v>
          </cell>
          <cell r="BO85">
            <v>3.0921073566972268E-2</v>
          </cell>
          <cell r="BP85">
            <v>-2.6994440672900577E-4</v>
          </cell>
          <cell r="BQ85">
            <v>-7.1862207674030509E-3</v>
          </cell>
          <cell r="BR85">
            <v>-1.5421050219913912E-2</v>
          </cell>
          <cell r="BS85">
            <v>1.2902279374105152E-3</v>
          </cell>
        </row>
        <row r="86">
          <cell r="A86" t="str">
            <v>Gross Revenue</v>
          </cell>
          <cell r="B86">
            <v>0.23398911678526579</v>
          </cell>
          <cell r="C86">
            <v>0.23800383877159309</v>
          </cell>
          <cell r="D86">
            <v>0.21487793643482264</v>
          </cell>
          <cell r="E86">
            <v>0.23713188220230472</v>
          </cell>
          <cell r="F86">
            <v>0.23106017838997403</v>
          </cell>
          <cell r="G86">
            <v>0.23621872924507417</v>
          </cell>
          <cell r="H86">
            <v>0.2190409683426443</v>
          </cell>
          <cell r="I86">
            <v>0.21281216069489683</v>
          </cell>
          <cell r="J86">
            <v>0.25827371335427241</v>
          </cell>
          <cell r="K86">
            <v>0.23112953932432354</v>
          </cell>
          <cell r="L86">
            <v>0.24557269270948701</v>
          </cell>
          <cell r="M86">
            <v>0.23130450028319691</v>
          </cell>
          <cell r="N86">
            <v>0.19232820638918369</v>
          </cell>
          <cell r="O86">
            <v>0.21603381034002606</v>
          </cell>
          <cell r="P86">
            <v>0.22087873163561572</v>
          </cell>
          <cell r="Q86">
            <v>0.2191383504409368</v>
          </cell>
          <cell r="R86">
            <v>0.20690872930260795</v>
          </cell>
          <cell r="S86">
            <v>0.20943851248988654</v>
          </cell>
          <cell r="T86">
            <v>0.20509887592849968</v>
          </cell>
          <cell r="U86">
            <v>0.20998093066276241</v>
          </cell>
          <cell r="V86">
            <v>4.2822237288117737E-2</v>
          </cell>
          <cell r="W86">
            <v>8.2022286836703096E-2</v>
          </cell>
          <cell r="X86">
            <v>4.4252976644012509E-3</v>
          </cell>
          <cell r="Y86">
            <v>-2.5081735108079095E-2</v>
          </cell>
          <cell r="Z86">
            <v>2.511495005436748E-2</v>
          </cell>
          <cell r="AA86">
            <v>7.8383329543747049E-2</v>
          </cell>
          <cell r="AB86">
            <v>4.2080594631317192E-2</v>
          </cell>
          <cell r="AC86">
            <v>7.6135679638244635E-2</v>
          </cell>
          <cell r="AD86">
            <v>6.7636490586143072E-2</v>
          </cell>
          <cell r="AE86">
            <v>6.5614755027465277E-2</v>
          </cell>
          <cell r="AF86">
            <v>5.4093400552490678E-3</v>
          </cell>
          <cell r="AG86">
            <v>1.4881981543904299E-2</v>
          </cell>
          <cell r="AH86">
            <v>3.1263519868418355E-2</v>
          </cell>
          <cell r="AI86">
            <v>5.0206890145888305E-2</v>
          </cell>
          <cell r="AJ86">
            <v>5.6200730062387905E-3</v>
          </cell>
          <cell r="AK86">
            <v>5.9372931600232937E-2</v>
          </cell>
          <cell r="AL86">
            <v>0.3611215333334985</v>
          </cell>
          <cell r="AM86">
            <v>0.31941124659355458</v>
          </cell>
          <cell r="AN86">
            <v>0.29056226799322138</v>
          </cell>
          <cell r="AO86">
            <v>0.29507324600935592</v>
          </cell>
          <cell r="AP86">
            <v>0.32345106255168155</v>
          </cell>
          <cell r="AQ86">
            <v>9.4264390655274255E-3</v>
          </cell>
          <cell r="AR86">
            <v>4.4068023111297983E-2</v>
          </cell>
          <cell r="AS86">
            <v>3.1712176499606226E-2</v>
          </cell>
          <cell r="AT86">
            <v>7.9343694650762187E-2</v>
          </cell>
          <cell r="AU86">
            <v>3.0492964386991339E-2</v>
          </cell>
          <cell r="AV86">
            <v>1.2782831390401039E-2</v>
          </cell>
          <cell r="AW86">
            <v>6.8370499328809231E-3</v>
          </cell>
          <cell r="AX86">
            <v>3.1213028600184378E-2</v>
          </cell>
          <cell r="AY86">
            <v>1.9972851468886166E-2</v>
          </cell>
          <cell r="AZ86">
            <v>2.2202580356674995E-2</v>
          </cell>
          <cell r="BA86">
            <v>3.0382046793175244E-2</v>
          </cell>
          <cell r="BB86">
            <v>3.6953987059524795E-2</v>
          </cell>
          <cell r="BC86">
            <v>2.6175940315025681E-2</v>
          </cell>
          <cell r="BD86">
            <v>2.9142303171141748E-2</v>
          </cell>
          <cell r="BE86">
            <v>1.9657006188058546E-2</v>
          </cell>
          <cell r="BF86">
            <v>3.145304449013886E-2</v>
          </cell>
          <cell r="BG86">
            <v>3.4514044191005455E-2</v>
          </cell>
          <cell r="BH86">
            <v>3.1018676573316473E-2</v>
          </cell>
          <cell r="BI86">
            <v>2.9482260590992126E-2</v>
          </cell>
          <cell r="BJ86">
            <v>4.3988274049441722E-2</v>
          </cell>
          <cell r="BK86">
            <v>4.4196972056636419E-2</v>
          </cell>
          <cell r="BL86">
            <v>3.8515913792637635E-2</v>
          </cell>
          <cell r="BM86">
            <v>3.3002555394211486E-2</v>
          </cell>
          <cell r="BN86">
            <v>3.9922492684703714E-2</v>
          </cell>
          <cell r="BO86">
            <v>3.2323448120052278E-2</v>
          </cell>
          <cell r="BP86">
            <v>2.8352003345692323E-2</v>
          </cell>
          <cell r="BQ86">
            <v>2.5186397902816404E-2</v>
          </cell>
          <cell r="BR86">
            <v>2.3241380627333719E-2</v>
          </cell>
          <cell r="BS86">
            <v>2.6999999999999913E-2</v>
          </cell>
        </row>
        <row r="87">
          <cell r="A87" t="str">
            <v>Excise Taxes</v>
          </cell>
          <cell r="B87">
            <v>0.61992465466722479</v>
          </cell>
          <cell r="C87">
            <v>0.6225207933461292</v>
          </cell>
          <cell r="D87">
            <v>0.58774758175955766</v>
          </cell>
          <cell r="E87">
            <v>0.5608194622279129</v>
          </cell>
          <cell r="F87">
            <v>0.59969515637348991</v>
          </cell>
          <cell r="G87">
            <v>0.43723710427274748</v>
          </cell>
          <cell r="H87">
            <v>0.41922718808193665</v>
          </cell>
          <cell r="I87">
            <v>0.46601520086862103</v>
          </cell>
          <cell r="J87">
            <v>0.46240098958603504</v>
          </cell>
          <cell r="K87">
            <v>0.44634263226133514</v>
          </cell>
          <cell r="L87">
            <v>0.49384668503877838</v>
          </cell>
          <cell r="M87">
            <v>0.52463353742839336</v>
          </cell>
          <cell r="N87">
            <v>0.48274153801092401</v>
          </cell>
          <cell r="O87">
            <v>0.45886793156365835</v>
          </cell>
          <cell r="P87">
            <v>0.49026848357535385</v>
          </cell>
          <cell r="Q87">
            <v>0.48380878036237929</v>
          </cell>
          <cell r="R87">
            <v>0.50151951258944882</v>
          </cell>
          <cell r="S87">
            <v>0.49205963217718363</v>
          </cell>
          <cell r="T87">
            <v>0.51439741066205313</v>
          </cell>
          <cell r="U87">
            <v>0.49804408019714463</v>
          </cell>
          <cell r="V87">
            <v>1.7807033103037329E-2</v>
          </cell>
          <cell r="W87">
            <v>1.4565701441832113E-2</v>
          </cell>
          <cell r="X87">
            <v>-2.7233175228863482E-3</v>
          </cell>
          <cell r="Y87">
            <v>-3.7910675749697198E-3</v>
          </cell>
          <cell r="Z87">
            <v>6.3330446113727401E-3</v>
          </cell>
          <cell r="AA87">
            <v>-3.9114042222537782E-3</v>
          </cell>
          <cell r="AB87">
            <v>-1.7012323589103096E-2</v>
          </cell>
          <cell r="AC87">
            <v>-1.1357909627827678E-2</v>
          </cell>
          <cell r="AD87">
            <v>1.8785196377810731E-3</v>
          </cell>
          <cell r="AE87">
            <v>-7.9646016025050059E-3</v>
          </cell>
          <cell r="AF87">
            <v>4.6889998011230283E-3</v>
          </cell>
          <cell r="AG87">
            <v>2.3279260493999754E-2</v>
          </cell>
          <cell r="AH87">
            <v>7.7875385995618274E-4</v>
          </cell>
          <cell r="AI87">
            <v>-1.4658829539593077E-2</v>
          </cell>
          <cell r="AJ87">
            <v>-1.6567232210241811E-2</v>
          </cell>
          <cell r="AK87">
            <v>-2.0864445273182208E-2</v>
          </cell>
          <cell r="AL87">
            <v>1.5324527712886264</v>
          </cell>
          <cell r="AM87">
            <v>1.579137055407045</v>
          </cell>
          <cell r="AN87">
            <v>1.5821462240202155</v>
          </cell>
          <cell r="AO87">
            <v>1.262024304970863</v>
          </cell>
          <cell r="AP87">
            <v>1.5997314747317293</v>
          </cell>
          <cell r="AQ87">
            <v>4.5977200202851343E-4</v>
          </cell>
          <cell r="AR87">
            <v>2.2665261368410849E-3</v>
          </cell>
          <cell r="AS87">
            <v>-3.6829434230822855E-4</v>
          </cell>
          <cell r="AT87">
            <v>0.15575338724404975</v>
          </cell>
          <cell r="AU87">
            <v>7.5930309597072032E-4</v>
          </cell>
          <cell r="AV87">
            <v>6.0967141923027324E-3</v>
          </cell>
          <cell r="AW87">
            <v>2.2317770553870186E-3</v>
          </cell>
          <cell r="AX87">
            <v>1.9583896911328225E-3</v>
          </cell>
          <cell r="AY87">
            <v>2.8121330601640349E-3</v>
          </cell>
          <cell r="AZ87">
            <v>2.4718500969700408E-3</v>
          </cell>
          <cell r="BA87">
            <v>-1.4452097822839072E-3</v>
          </cell>
          <cell r="BB87">
            <v>-8.5551181197052184E-4</v>
          </cell>
          <cell r="BC87">
            <v>1.2542835221109883E-3</v>
          </cell>
          <cell r="BD87">
            <v>2.9484686080527567E-4</v>
          </cell>
          <cell r="BE87">
            <v>-2.6224936513089547E-3</v>
          </cell>
          <cell r="BF87">
            <v>-2.0568716836044665E-3</v>
          </cell>
          <cell r="BG87">
            <v>2.7498589762644521E-3</v>
          </cell>
          <cell r="BH87">
            <v>6.1019756862172869E-3</v>
          </cell>
          <cell r="BI87">
            <v>1.0751371967441248E-3</v>
          </cell>
          <cell r="BJ87">
            <v>7.1291919290916717E-3</v>
          </cell>
          <cell r="BK87">
            <v>7.2179246098047489E-3</v>
          </cell>
          <cell r="BL87">
            <v>1.9564915231464752E-3</v>
          </cell>
          <cell r="BM87">
            <v>-8.3069405824953702E-4</v>
          </cell>
          <cell r="BN87">
            <v>3.7350987959943183E-3</v>
          </cell>
          <cell r="BO87">
            <v>-1.6563735718356787E-3</v>
          </cell>
          <cell r="BP87">
            <v>-8.8400419300804778E-4</v>
          </cell>
          <cell r="BQ87">
            <v>2.9430264250462912E-4</v>
          </cell>
          <cell r="BR87">
            <v>0</v>
          </cell>
          <cell r="BS87">
            <v>0</v>
          </cell>
        </row>
        <row r="88">
          <cell r="A88" t="str">
            <v>Net Revenue</v>
          </cell>
          <cell r="V88">
            <v>4.8938022064623832E-2</v>
          </cell>
          <cell r="W88">
            <v>9.8136965584443292E-2</v>
          </cell>
          <cell r="X88">
            <v>6.0998336867357228E-3</v>
          </cell>
          <cell r="Y88">
            <v>-2.9749075641425593E-2</v>
          </cell>
          <cell r="Z88">
            <v>2.9506292956470004E-2</v>
          </cell>
          <cell r="AA88">
            <v>9.7905846354063408E-2</v>
          </cell>
          <cell r="AB88">
            <v>5.5122961168349915E-2</v>
          </cell>
          <cell r="AC88">
            <v>9.6450986918469761E-2</v>
          </cell>
          <cell r="AD88">
            <v>8.2437624251083141E-2</v>
          </cell>
          <cell r="AE88">
            <v>8.2430898928925966E-2</v>
          </cell>
          <cell r="AF88">
            <v>5.5643766838824327E-3</v>
          </cell>
          <cell r="AG88">
            <v>1.3155330628874529E-2</v>
          </cell>
          <cell r="AH88">
            <v>3.7645859362948952E-2</v>
          </cell>
          <cell r="AI88">
            <v>6.3720581747030103E-2</v>
          </cell>
          <cell r="AJ88">
            <v>1.0267386555452118E-2</v>
          </cell>
          <cell r="AK88">
            <v>7.6627143249793361E-2</v>
          </cell>
          <cell r="AL88">
            <v>0.11786538459338169</v>
          </cell>
          <cell r="AM88">
            <v>6.5043535198522573E-2</v>
          </cell>
          <cell r="AN88">
            <v>4.1309223847661336E-2</v>
          </cell>
          <cell r="AO88">
            <v>9.7917130894638493E-2</v>
          </cell>
          <cell r="AP88">
            <v>7.3852546479964198E-2</v>
          </cell>
          <cell r="AQ88">
            <v>1.3645025893078921E-2</v>
          </cell>
          <cell r="AR88">
            <v>6.4508209459773314E-2</v>
          </cell>
          <cell r="AS88">
            <v>4.6037456476159644E-2</v>
          </cell>
          <cell r="AT88">
            <v>4.7245403162455846E-2</v>
          </cell>
          <cell r="AU88">
            <v>4.4570548335177929E-2</v>
          </cell>
          <cell r="AV88">
            <v>1.5887560185664285E-2</v>
          </cell>
          <cell r="AW88">
            <v>8.9572780796491891E-3</v>
          </cell>
          <cell r="AX88">
            <v>4.5603484694608509E-2</v>
          </cell>
          <cell r="AY88">
            <v>2.7928684158249339E-2</v>
          </cell>
          <cell r="AZ88">
            <v>3.1152409707431383E-2</v>
          </cell>
          <cell r="BA88">
            <v>4.5018740283011116E-2</v>
          </cell>
          <cell r="BB88">
            <v>5.4245123560505037E-2</v>
          </cell>
          <cell r="BC88">
            <v>3.7097164136276284E-2</v>
          </cell>
          <cell r="BD88">
            <v>4.2189412313072605E-2</v>
          </cell>
          <cell r="BE88">
            <v>2.9481865890593761E-2</v>
          </cell>
          <cell r="BF88">
            <v>4.617837106272793E-2</v>
          </cell>
          <cell r="BG88">
            <v>4.828128895770778E-2</v>
          </cell>
          <cell r="BH88">
            <v>4.1560357717858487E-2</v>
          </cell>
          <cell r="BI88">
            <v>4.1813746287380216E-2</v>
          </cell>
          <cell r="BJ88">
            <v>5.9735581434191998E-2</v>
          </cell>
          <cell r="BK88">
            <v>5.9697531343853916E-2</v>
          </cell>
          <cell r="BL88">
            <v>5.3673268494583759E-2</v>
          </cell>
          <cell r="BM88">
            <v>4.6977260875128657E-2</v>
          </cell>
          <cell r="BN88">
            <v>5.5017107849584912E-2</v>
          </cell>
          <cell r="BO88">
            <v>4.6119999810645407E-2</v>
          </cell>
          <cell r="BP88">
            <v>0.04</v>
          </cell>
          <cell r="BQ88">
            <v>3.5000000000000003E-2</v>
          </cell>
          <cell r="BR88">
            <v>3.1440850764256512E-2</v>
          </cell>
          <cell r="BS88">
            <v>3.7714899713467087E-2</v>
          </cell>
        </row>
        <row r="89">
          <cell r="A89" t="str">
            <v>COGS</v>
          </cell>
          <cell r="G89">
            <v>-4.0636487974591406E-2</v>
          </cell>
          <cell r="H89">
            <v>1.6646503241718236E-2</v>
          </cell>
          <cell r="I89">
            <v>-2.7068829703434161E-2</v>
          </cell>
          <cell r="J89">
            <v>0.29813710507813074</v>
          </cell>
          <cell r="K89">
            <v>3.8800683136897884E-2</v>
          </cell>
          <cell r="L89">
            <v>8.9461454164671883E-2</v>
          </cell>
          <cell r="M89">
            <v>0.10959877992438827</v>
          </cell>
          <cell r="N89">
            <v>1.6021228242086183E-2</v>
          </cell>
          <cell r="O89">
            <v>-9.0198460151614368E-2</v>
          </cell>
          <cell r="P89">
            <v>3.1207265644515703E-2</v>
          </cell>
          <cell r="Q89">
            <v>0.18692669533100403</v>
          </cell>
          <cell r="R89">
            <v>0.18223125010870422</v>
          </cell>
          <cell r="S89">
            <v>0.13408611199022369</v>
          </cell>
          <cell r="T89">
            <v>0.28221844569626353</v>
          </cell>
          <cell r="U89">
            <v>0.19329994349458235</v>
          </cell>
          <cell r="V89">
            <v>-3.7368969149791376E-2</v>
          </cell>
          <cell r="W89">
            <v>-0.10343319210567148</v>
          </cell>
          <cell r="X89">
            <v>-4.5701182581019073E-2</v>
          </cell>
          <cell r="Y89">
            <v>1.2158781670967622E-2</v>
          </cell>
          <cell r="Z89">
            <v>-4.7260982696179399E-2</v>
          </cell>
          <cell r="AA89">
            <v>3.0482031190218084E-2</v>
          </cell>
          <cell r="AB89">
            <v>9.5797382407612153E-2</v>
          </cell>
          <cell r="AC89">
            <v>9.3609171739218011E-2</v>
          </cell>
          <cell r="AD89">
            <v>-4.2935758151201764E-2</v>
          </cell>
          <cell r="AE89">
            <v>4.7122208772707008E-2</v>
          </cell>
          <cell r="AF89">
            <v>7.8747510929721987E-3</v>
          </cell>
          <cell r="AG89">
            <v>-5.1452249672539918E-2</v>
          </cell>
          <cell r="AH89">
            <v>-1.9265383009837822E-2</v>
          </cell>
          <cell r="AI89">
            <v>0.16408446205307214</v>
          </cell>
          <cell r="AJ89">
            <v>-2.1496445903275152E-3</v>
          </cell>
          <cell r="AK89">
            <v>7.9756843091583596E-2</v>
          </cell>
          <cell r="AL89">
            <v>9.9411046718003604E-2</v>
          </cell>
          <cell r="AM89">
            <v>0.11796044117087301</v>
          </cell>
          <cell r="AN89">
            <v>0.12414686472027192</v>
          </cell>
          <cell r="AO89">
            <v>0.12884949358920617</v>
          </cell>
          <cell r="AP89">
            <v>0.10078993944193715</v>
          </cell>
          <cell r="AQ89">
            <v>8.5006008162481717E-2</v>
          </cell>
          <cell r="AR89">
            <v>1.1805819730302147E-2</v>
          </cell>
          <cell r="AS89">
            <v>1.8273031795373651E-2</v>
          </cell>
          <cell r="AT89">
            <v>5.0153554894317054E-2</v>
          </cell>
          <cell r="AU89">
            <v>4.8070711885834783E-2</v>
          </cell>
          <cell r="AV89">
            <v>1.8024375658666436E-2</v>
          </cell>
          <cell r="AW89">
            <v>0.11089377064060568</v>
          </cell>
          <cell r="AX89">
            <v>4.3257656871040773E-3</v>
          </cell>
          <cell r="AY89">
            <v>4.635244819003681E-2</v>
          </cell>
          <cell r="AZ89">
            <v>5.4732104716365582E-2</v>
          </cell>
          <cell r="BA89">
            <v>8.0277404934841812E-2</v>
          </cell>
          <cell r="BB89">
            <v>2.1213944754431502E-2</v>
          </cell>
          <cell r="BC89">
            <v>0.11604716746430688</v>
          </cell>
          <cell r="BD89">
            <v>6.745461018732879E-2</v>
          </cell>
          <cell r="BE89">
            <v>1.3393707069117244E-2</v>
          </cell>
          <cell r="BF89">
            <v>4.9504748436710155E-2</v>
          </cell>
          <cell r="BG89">
            <v>3.5221162471382073E-2</v>
          </cell>
          <cell r="BH89">
            <v>-4.4801993321716416E-2</v>
          </cell>
          <cell r="BI89">
            <v>1.3450445759430218E-2</v>
          </cell>
          <cell r="BJ89">
            <v>7.8897127387724364E-2</v>
          </cell>
          <cell r="BK89">
            <v>3.5307667527209929E-2</v>
          </cell>
          <cell r="BL89">
            <v>-1.9332260713798344E-2</v>
          </cell>
          <cell r="BM89">
            <v>-6.0489110036851534E-2</v>
          </cell>
          <cell r="BN89">
            <v>7.5793633708693964E-3</v>
          </cell>
          <cell r="BO89">
            <v>-0.13056600312173516</v>
          </cell>
          <cell r="BP89">
            <v>-1.7704717543859605E-2</v>
          </cell>
          <cell r="BQ89">
            <v>-2.8476904186046537E-2</v>
          </cell>
          <cell r="BR89">
            <v>0.19946222826744853</v>
          </cell>
          <cell r="BS89">
            <v>0</v>
          </cell>
        </row>
        <row r="90">
          <cell r="A90" t="str">
            <v>SG&amp;A</v>
          </cell>
          <cell r="B90">
            <v>0.54646295521138588</v>
          </cell>
          <cell r="C90">
            <v>0.69886969503092378</v>
          </cell>
          <cell r="D90">
            <v>0.76232151082450472</v>
          </cell>
          <cell r="E90">
            <v>0.75851472471190762</v>
          </cell>
          <cell r="F90">
            <v>0.68646268488201445</v>
          </cell>
          <cell r="G90">
            <v>9.5287015500575833E-3</v>
          </cell>
          <cell r="H90">
            <v>-7.9674641076470376E-2</v>
          </cell>
          <cell r="I90">
            <v>-9.6137173234274176E-3</v>
          </cell>
          <cell r="J90">
            <v>8.9156426186213666E-2</v>
          </cell>
          <cell r="K90">
            <v>3.0018558296296405E-4</v>
          </cell>
          <cell r="L90">
            <v>3.9598737552720475E-2</v>
          </cell>
          <cell r="M90">
            <v>5.5987389178123292E-2</v>
          </cell>
          <cell r="N90">
            <v>-9.6253683242662258E-2</v>
          </cell>
          <cell r="O90">
            <v>-0.1635470465254284</v>
          </cell>
          <cell r="P90">
            <v>-4.4350919915622677E-2</v>
          </cell>
          <cell r="Q90">
            <v>-0.10764365523255504</v>
          </cell>
          <cell r="R90">
            <v>-0.1054703689323816</v>
          </cell>
          <cell r="S90">
            <v>8.8964101636134885E-2</v>
          </cell>
          <cell r="T90">
            <v>-5.0616773338929555E-2</v>
          </cell>
          <cell r="U90">
            <v>-4.9338389858338383E-2</v>
          </cell>
          <cell r="V90">
            <v>1.2458478216736957E-3</v>
          </cell>
          <cell r="W90">
            <v>0.15148496759147334</v>
          </cell>
          <cell r="X90">
            <v>-0.17036085347013197</v>
          </cell>
          <cell r="Y90">
            <v>-0.24497187483615301</v>
          </cell>
          <cell r="Z90">
            <v>-6.6008403358452705E-2</v>
          </cell>
          <cell r="AA90">
            <v>-0.10990760724827264</v>
          </cell>
          <cell r="AB90">
            <v>-0.26542056071994302</v>
          </cell>
          <cell r="AC90">
            <v>-6.5581932862812664E-3</v>
          </cell>
          <cell r="AD90">
            <v>0.15267364080171708</v>
          </cell>
          <cell r="AE90">
            <v>-8.2422789829610932E-2</v>
          </cell>
          <cell r="AF90">
            <v>0.21694278723747806</v>
          </cell>
          <cell r="AG90">
            <v>9.8843177144524175E-2</v>
          </cell>
          <cell r="AH90">
            <v>5.4034626231241223E-2</v>
          </cell>
          <cell r="AI90">
            <v>-2.7623844940387943E-2</v>
          </cell>
          <cell r="AJ90">
            <v>6.2800357690547148E-2</v>
          </cell>
          <cell r="AK90">
            <v>-5.3045367171870139E-2</v>
          </cell>
          <cell r="AL90">
            <v>3.2541680727999678E-2</v>
          </cell>
          <cell r="AM90">
            <v>0.1157811810516316</v>
          </cell>
          <cell r="AN90">
            <v>5.717466481186384E-2</v>
          </cell>
          <cell r="AO90">
            <v>5.4824449886131665E-2</v>
          </cell>
          <cell r="AP90">
            <v>-3.7458328333198621E-2</v>
          </cell>
          <cell r="AQ90">
            <v>-1.5311505690654981E-3</v>
          </cell>
          <cell r="AR90">
            <v>-5.2995040663681436E-3</v>
          </cell>
          <cell r="AS90">
            <v>0.21031989182350985</v>
          </cell>
          <cell r="AT90">
            <v>3.5407574797965413E-2</v>
          </cell>
          <cell r="AU90">
            <v>0.16028360919577644</v>
          </cell>
          <cell r="AV90">
            <v>5.0523684628097643E-2</v>
          </cell>
          <cell r="AW90">
            <v>4.0111065561653003E-2</v>
          </cell>
          <cell r="AX90">
            <v>-2.5856044887948793E-2</v>
          </cell>
          <cell r="AY90">
            <v>5.7831110753646442E-2</v>
          </cell>
          <cell r="AZ90">
            <v>0.10408442661099393</v>
          </cell>
          <cell r="BA90">
            <v>0.10218671558760883</v>
          </cell>
          <cell r="BB90">
            <v>5.9036683449040117E-2</v>
          </cell>
          <cell r="BC90">
            <v>4.3375886283824938E-2</v>
          </cell>
          <cell r="BD90">
            <v>7.7515773429699175E-2</v>
          </cell>
          <cell r="BE90">
            <v>-7.7904792134033007E-2</v>
          </cell>
          <cell r="BF90">
            <v>1.7283111423302522E-2</v>
          </cell>
          <cell r="BG90">
            <v>-2.5477591115807052E-2</v>
          </cell>
          <cell r="BH90">
            <v>5.2345962107048338E-2</v>
          </cell>
          <cell r="BI90">
            <v>-1.1698183615814761E-2</v>
          </cell>
          <cell r="BJ90">
            <v>5.1578285478809383E-2</v>
          </cell>
          <cell r="BK90">
            <v>-2.4095231429269615E-2</v>
          </cell>
          <cell r="BL90">
            <v>4.8844228755408947E-2</v>
          </cell>
          <cell r="BM90">
            <v>-0.10301840958250841</v>
          </cell>
          <cell r="BN90">
            <v>-7.6654498610645438E-3</v>
          </cell>
          <cell r="BO90">
            <v>-1.7918870086701455E-2</v>
          </cell>
          <cell r="BP90">
            <v>-1.2246182608697254E-3</v>
          </cell>
          <cell r="BQ90">
            <v>-1.2032551724139307E-3</v>
          </cell>
          <cell r="BR90">
            <v>-2.6615985644705797E-2</v>
          </cell>
          <cell r="BS90">
            <v>-1.000000000000012E-2</v>
          </cell>
        </row>
        <row r="91">
          <cell r="A91" t="str">
            <v>MSA</v>
          </cell>
          <cell r="G91">
            <v>-0.29469315185172607</v>
          </cell>
          <cell r="H91">
            <v>-0.32656516446858475</v>
          </cell>
          <cell r="I91">
            <v>-0.20711677030895259</v>
          </cell>
          <cell r="J91">
            <v>-0.17549047290709274</v>
          </cell>
          <cell r="K91">
            <v>-0.25571746325169065</v>
          </cell>
          <cell r="L91">
            <v>0.12947112725071475</v>
          </cell>
          <cell r="M91">
            <v>0.25143013703074835</v>
          </cell>
          <cell r="N91">
            <v>3.5892256542546797E-2</v>
          </cell>
          <cell r="O91">
            <v>-7.6406800632924377E-3</v>
          </cell>
          <cell r="P91">
            <v>9.841285178490411E-2</v>
          </cell>
          <cell r="Q91">
            <v>-2.0325953338354186E-2</v>
          </cell>
          <cell r="R91">
            <v>-4.4057467146006224E-2</v>
          </cell>
          <cell r="S91">
            <v>1.9302449515021358E-2</v>
          </cell>
          <cell r="T91">
            <v>0.12101407677187237</v>
          </cell>
          <cell r="U91">
            <v>1.5859874501999771E-2</v>
          </cell>
          <cell r="V91">
            <v>5.9325411079296897E-2</v>
          </cell>
          <cell r="W91">
            <v>3.1697829428693369E-2</v>
          </cell>
          <cell r="X91">
            <v>2.5582137301297214E-2</v>
          </cell>
          <cell r="Y91">
            <v>-6.0171037484506251E-2</v>
          </cell>
          <cell r="Z91">
            <v>1.2961442300133408E-2</v>
          </cell>
          <cell r="AA91">
            <v>0.15899321960021484</v>
          </cell>
          <cell r="AB91">
            <v>0.12286980151470206</v>
          </cell>
          <cell r="AC91">
            <v>0.16015094097700699</v>
          </cell>
          <cell r="AD91">
            <v>0.19996487687831022</v>
          </cell>
          <cell r="AE91">
            <v>0.15958353422585558</v>
          </cell>
          <cell r="AF91">
            <v>2.8284900385813438E-2</v>
          </cell>
          <cell r="AG91">
            <v>6.5781174925223507E-2</v>
          </cell>
          <cell r="AH91">
            <v>4.9715193262764856E-2</v>
          </cell>
          <cell r="AI91">
            <v>-1.6404120074315465E-2</v>
          </cell>
          <cell r="AJ91">
            <v>1.1580315636648741E-2</v>
          </cell>
          <cell r="AK91">
            <v>2.2593425910672149E-2</v>
          </cell>
          <cell r="AL91">
            <v>4.6011330534976302E-3</v>
          </cell>
          <cell r="AM91">
            <v>1.1635486932092043E-2</v>
          </cell>
          <cell r="AN91">
            <v>8.4828095276272553E-2</v>
          </cell>
          <cell r="AO91">
            <v>5.0660078443018897E-2</v>
          </cell>
          <cell r="AP91">
            <v>-2.8730759605555267E-3</v>
          </cell>
          <cell r="AQ91">
            <v>2.190582601685831E-2</v>
          </cell>
          <cell r="AR91">
            <v>4.1933192750040149E-2</v>
          </cell>
          <cell r="AS91">
            <v>2.5066847156645755E-2</v>
          </cell>
          <cell r="AT91">
            <v>2.306416149849233E-2</v>
          </cell>
          <cell r="AU91">
            <v>5.5254373010556579E-2</v>
          </cell>
          <cell r="AV91">
            <v>3.269928471953043E-2</v>
          </cell>
          <cell r="AW91">
            <v>2.3733002086444799E-2</v>
          </cell>
          <cell r="AX91">
            <v>7.0664128542641258E-3</v>
          </cell>
          <cell r="AY91">
            <v>2.8225804419683032E-2</v>
          </cell>
          <cell r="AZ91">
            <v>6.3687549722621251E-2</v>
          </cell>
          <cell r="BA91">
            <v>4.3374077487475793E-2</v>
          </cell>
          <cell r="BB91">
            <v>2.7203469357097054E-2</v>
          </cell>
          <cell r="BC91">
            <v>4.4099508142983801E-2</v>
          </cell>
          <cell r="BD91">
            <v>4.4098528053345909E-2</v>
          </cell>
          <cell r="BE91">
            <v>-1.0440764213895837E-2</v>
          </cell>
          <cell r="BF91">
            <v>-1.0664226802612253E-2</v>
          </cell>
          <cell r="BG91">
            <v>3.9115098799399561E-2</v>
          </cell>
          <cell r="BH91">
            <v>7.4185682033063527E-2</v>
          </cell>
          <cell r="BI91">
            <v>2.2719143012769782E-2</v>
          </cell>
          <cell r="BJ91">
            <v>2.3305124848667091E-2</v>
          </cell>
          <cell r="BK91">
            <v>7.6252038559359026E-2</v>
          </cell>
          <cell r="BL91">
            <v>3.0025605082757867E-2</v>
          </cell>
          <cell r="BM91">
            <v>-2.5199539309036401E-2</v>
          </cell>
          <cell r="BN91">
            <v>2.61256715245195E-2</v>
          </cell>
          <cell r="BO91">
            <v>3.7325415431382458E-2</v>
          </cell>
          <cell r="BP91">
            <v>1.4999999999999902E-2</v>
          </cell>
          <cell r="BQ91">
            <v>1.4999999999999902E-2</v>
          </cell>
          <cell r="BR91">
            <v>-6.6313660497125948E-3</v>
          </cell>
          <cell r="BS91">
            <v>1.4999999999999902E-2</v>
          </cell>
        </row>
        <row r="92">
          <cell r="A92" t="str">
            <v>Quota Buyout</v>
          </cell>
          <cell r="B92" t="str">
            <v>1Q02</v>
          </cell>
          <cell r="C92" t="str">
            <v>2Q02</v>
          </cell>
          <cell r="D92" t="str">
            <v>3Q02</v>
          </cell>
          <cell r="E92" t="str">
            <v>4Q02</v>
          </cell>
          <cell r="F92">
            <v>2002</v>
          </cell>
          <cell r="G92" t="str">
            <v>1Q03</v>
          </cell>
          <cell r="H92" t="str">
            <v>2Q03</v>
          </cell>
          <cell r="I92" t="str">
            <v>3Q03</v>
          </cell>
          <cell r="J92" t="str">
            <v>4Q03</v>
          </cell>
          <cell r="K92">
            <v>2003</v>
          </cell>
          <cell r="L92" t="str">
            <v>1Q04</v>
          </cell>
          <cell r="M92" t="str">
            <v>2Q04</v>
          </cell>
          <cell r="N92" t="str">
            <v>3Q04</v>
          </cell>
          <cell r="O92" t="str">
            <v>4Q04</v>
          </cell>
          <cell r="P92">
            <v>2004</v>
          </cell>
          <cell r="Q92" t="str">
            <v>1Q05</v>
          </cell>
          <cell r="R92" t="str">
            <v>2Q05</v>
          </cell>
          <cell r="S92" t="str">
            <v>3Q05</v>
          </cell>
          <cell r="T92" t="str">
            <v>4Q05</v>
          </cell>
          <cell r="U92">
            <v>2005</v>
          </cell>
          <cell r="V92" t="str">
            <v>1Q06</v>
          </cell>
          <cell r="W92" t="str">
            <v>2Q06</v>
          </cell>
          <cell r="X92" t="str">
            <v>3Q06</v>
          </cell>
          <cell r="Y92" t="str">
            <v>4Q06</v>
          </cell>
          <cell r="Z92">
            <v>2006</v>
          </cell>
          <cell r="AA92" t="str">
            <v>1Q07</v>
          </cell>
          <cell r="AB92" t="str">
            <v>2Q07</v>
          </cell>
          <cell r="AC92" t="str">
            <v>3Q07</v>
          </cell>
          <cell r="AD92" t="str">
            <v>4Q07</v>
          </cell>
          <cell r="AE92">
            <v>2007</v>
          </cell>
          <cell r="AF92">
            <v>-3.3238572525055021E-3</v>
          </cell>
          <cell r="AG92">
            <v>-1.3579576721509112E-2</v>
          </cell>
          <cell r="AH92">
            <v>-6.3696658104723802E-3</v>
          </cell>
          <cell r="AI92">
            <v>-6.3293570000000132E-2</v>
          </cell>
          <cell r="AJ92">
            <v>-4.164592588813909E-2</v>
          </cell>
          <cell r="AK92">
            <v>-5.2775459540449043E-2</v>
          </cell>
          <cell r="AL92">
            <v>1.5969124538542934E-2</v>
          </cell>
          <cell r="AM92">
            <v>0.14415073815085</v>
          </cell>
          <cell r="AN92">
            <v>-5.8859682679197056E-2</v>
          </cell>
          <cell r="AO92">
            <v>1.6521491079501516E-2</v>
          </cell>
          <cell r="AP92">
            <v>0.17668567871629404</v>
          </cell>
          <cell r="AQ92">
            <v>5.7763923674284401E-2</v>
          </cell>
          <cell r="AR92">
            <v>-0.13561094876440638</v>
          </cell>
          <cell r="AS92">
            <v>0.10324352426915362</v>
          </cell>
          <cell r="AT92">
            <v>5.689618426487808E-2</v>
          </cell>
          <cell r="AU92">
            <v>1.445561459740019E-2</v>
          </cell>
          <cell r="AV92">
            <v>8.1140312337502074E-4</v>
          </cell>
          <cell r="AW92">
            <v>8.0773843844927251E-2</v>
          </cell>
          <cell r="AX92">
            <v>-5.2915599196616814E-2</v>
          </cell>
          <cell r="AY92">
            <v>1.1451728720603516E-2</v>
          </cell>
          <cell r="AZ92">
            <v>-2.4379671389185398E-2</v>
          </cell>
          <cell r="BA92">
            <v>9.0335865516941505E-2</v>
          </cell>
          <cell r="BB92">
            <v>-9.935880516351181E-2</v>
          </cell>
          <cell r="BC92">
            <v>8.9068198607780591E-2</v>
          </cell>
          <cell r="BD92">
            <v>1.4194737486713294E-2</v>
          </cell>
          <cell r="BE92">
            <v>-9.8555043377288598E-3</v>
          </cell>
          <cell r="BF92">
            <v>4.8567260796215983E-2</v>
          </cell>
          <cell r="BG92">
            <v>0.11170463412810938</v>
          </cell>
          <cell r="BH92">
            <v>-2.4698459086515467E-2</v>
          </cell>
          <cell r="BI92">
            <v>2.9744019089591012E-2</v>
          </cell>
          <cell r="BJ92">
            <v>6.1227343499216325E-2</v>
          </cell>
          <cell r="BK92">
            <v>2.8508133418553294E-2</v>
          </cell>
          <cell r="BL92">
            <v>-4.8335856838062408E-2</v>
          </cell>
          <cell r="BM92">
            <v>-1</v>
          </cell>
          <cell r="BN92">
            <v>-0.22408720103252511</v>
          </cell>
          <cell r="BO92">
            <v>-1</v>
          </cell>
        </row>
        <row r="93">
          <cell r="A93" t="str">
            <v>FDA user fees</v>
          </cell>
          <cell r="Z93">
            <v>0</v>
          </cell>
          <cell r="AA93">
            <v>0</v>
          </cell>
          <cell r="AB93">
            <v>0</v>
          </cell>
          <cell r="AC93">
            <v>0</v>
          </cell>
          <cell r="AD93">
            <v>0</v>
          </cell>
          <cell r="AE93">
            <v>0</v>
          </cell>
          <cell r="AF93">
            <v>0</v>
          </cell>
          <cell r="AG93">
            <v>0</v>
          </cell>
          <cell r="AH93">
            <v>274</v>
          </cell>
          <cell r="AI93">
            <v>126</v>
          </cell>
          <cell r="AJ93">
            <v>400</v>
          </cell>
          <cell r="AK93">
            <v>0</v>
          </cell>
          <cell r="AL93">
            <v>146</v>
          </cell>
          <cell r="AM93">
            <v>356</v>
          </cell>
          <cell r="AN93">
            <v>408</v>
          </cell>
          <cell r="AO93">
            <v>910</v>
          </cell>
          <cell r="AP93">
            <v>199.596</v>
          </cell>
          <cell r="AQ93">
            <v>136</v>
          </cell>
          <cell r="AR93">
            <v>1.799117438271713</v>
          </cell>
          <cell r="AS93">
            <v>-1.2967457290308571E-2</v>
          </cell>
          <cell r="AT93">
            <v>1.9165058270834212</v>
          </cell>
          <cell r="AU93">
            <v>0.95834956306890051</v>
          </cell>
          <cell r="AV93">
            <v>0.94963260348709411</v>
          </cell>
          <cell r="AW93">
            <v>1.0843495559866456</v>
          </cell>
          <cell r="AX93">
            <v>1.164764344693447</v>
          </cell>
          <cell r="AY93">
            <v>1.039291534911682</v>
          </cell>
          <cell r="AZ93">
            <v>0.19463713707446684</v>
          </cell>
          <cell r="BA93">
            <v>0.16510175343810318</v>
          </cell>
          <cell r="BB93">
            <v>0.10848147056798552</v>
          </cell>
          <cell r="BC93">
            <v>1.3960046979657914E-2</v>
          </cell>
          <cell r="BD93">
            <v>0.11733318536671811</v>
          </cell>
          <cell r="BE93">
            <v>9.0992546146391184E-2</v>
          </cell>
          <cell r="BF93">
            <v>0.13937455625732609</v>
          </cell>
          <cell r="BG93">
            <v>8.3912018274906686E-2</v>
          </cell>
          <cell r="BH93">
            <v>0.13640045615365826</v>
          </cell>
          <cell r="BI93">
            <v>0.1123592099408981</v>
          </cell>
          <cell r="BJ93">
            <v>0.14371770423339925</v>
          </cell>
          <cell r="BK93">
            <v>0.13677214746261179</v>
          </cell>
          <cell r="BL93">
            <v>7.6286828576000776E-2</v>
          </cell>
          <cell r="BM93">
            <v>0.12277989928138822</v>
          </cell>
          <cell r="BN93">
            <v>0.11970870249548504</v>
          </cell>
          <cell r="BO93">
            <v>7.6097158025456579E-3</v>
          </cell>
        </row>
        <row r="94">
          <cell r="A94" t="str">
            <v>Operating Income</v>
          </cell>
          <cell r="G94">
            <v>9.707885110311798E-2</v>
          </cell>
          <cell r="H94">
            <v>-0.22760355312036018</v>
          </cell>
          <cell r="I94">
            <v>-0.34254202872878892</v>
          </cell>
          <cell r="J94">
            <v>-0.2981545569355244</v>
          </cell>
          <cell r="K94">
            <v>-0.20860604103606684</v>
          </cell>
          <cell r="L94">
            <v>-0.17830161851723914</v>
          </cell>
          <cell r="M94">
            <v>-3.5571041474954157E-2</v>
          </cell>
          <cell r="N94">
            <v>0.30498577668937799</v>
          </cell>
          <cell r="O94">
            <v>0.21960052645740702</v>
          </cell>
          <cell r="P94">
            <v>6.8028266671337878E-2</v>
          </cell>
          <cell r="Q94">
            <v>7.9487236608009937E-2</v>
          </cell>
          <cell r="R94">
            <v>4.9619037359151186E-2</v>
          </cell>
          <cell r="S94">
            <v>-2.8260213872360329E-2</v>
          </cell>
          <cell r="T94">
            <v>0.16045337135717164</v>
          </cell>
          <cell r="U94">
            <v>6.1603196266309057E-2</v>
          </cell>
          <cell r="V94">
            <v>0.11122548967776447</v>
          </cell>
          <cell r="W94">
            <v>0.26439542246832182</v>
          </cell>
          <cell r="X94">
            <v>7.4922799959392217E-2</v>
          </cell>
          <cell r="Y94">
            <v>3.3020360072228527E-2</v>
          </cell>
          <cell r="Z94">
            <v>0.11524124968015359</v>
          </cell>
          <cell r="AA94">
            <v>0.15733408323924714</v>
          </cell>
          <cell r="AB94">
            <v>9.6969216617905696E-2</v>
          </cell>
          <cell r="AC94">
            <v>7.6851248561955687E-2</v>
          </cell>
          <cell r="AD94">
            <v>4.4084380462956263E-2</v>
          </cell>
          <cell r="AE94">
            <v>8.8471516356311675E-2</v>
          </cell>
          <cell r="AF94">
            <v>-7.5607203727916295E-2</v>
          </cell>
          <cell r="AG94">
            <v>-1.8484710777222246E-2</v>
          </cell>
          <cell r="AH94">
            <v>4.9709243215945831E-2</v>
          </cell>
          <cell r="AI94">
            <v>0.10530503406053571</v>
          </cell>
          <cell r="AJ94">
            <v>1.8871813624157241E-3</v>
          </cell>
          <cell r="AK94">
            <v>0.17599333467715716</v>
          </cell>
          <cell r="AL94">
            <v>0.24206718412247996</v>
          </cell>
          <cell r="AM94">
            <v>7.3428230461975552E-2</v>
          </cell>
          <cell r="AN94">
            <v>-2.0416700785467978E-2</v>
          </cell>
          <cell r="AO94">
            <v>0.13312446315474435</v>
          </cell>
          <cell r="AP94">
            <v>0.15945619874319394</v>
          </cell>
          <cell r="AQ94">
            <v>-1.5571836596060207E-2</v>
          </cell>
          <cell r="AR94">
            <v>0.12152531164066782</v>
          </cell>
          <cell r="AS94">
            <v>3.8459680335576785E-2</v>
          </cell>
          <cell r="AT94">
            <v>6.6541428487723486E-2</v>
          </cell>
          <cell r="AU94">
            <v>6.2231213899344162E-3</v>
          </cell>
          <cell r="AV94">
            <v>-4.2999932153552356E-3</v>
          </cell>
          <cell r="AW94">
            <v>-4.8221743968822173E-2</v>
          </cell>
          <cell r="AX94">
            <v>0.10712412593914022</v>
          </cell>
          <cell r="AY94">
            <v>1.3152140322510553E-2</v>
          </cell>
          <cell r="AZ94">
            <v>-2.5500503733930979E-2</v>
          </cell>
          <cell r="BA94">
            <v>1.807666461520796E-2</v>
          </cell>
          <cell r="BB94">
            <v>8.8546732320658128E-2</v>
          </cell>
          <cell r="BC94">
            <v>1.1581534978903907E-3</v>
          </cell>
          <cell r="BD94">
            <v>2.1457207515666932E-2</v>
          </cell>
          <cell r="BE94">
            <v>0.1057817750163621</v>
          </cell>
          <cell r="BF94">
            <v>9.4098366775674291E-2</v>
          </cell>
          <cell r="BG94">
            <v>7.7424720356007892E-2</v>
          </cell>
          <cell r="BH94">
            <v>5.4457076075435262E-2</v>
          </cell>
          <cell r="BI94">
            <v>8.2071264910099861E-2</v>
          </cell>
          <cell r="BJ94">
            <v>8.0174217213012655E-2</v>
          </cell>
          <cell r="BK94">
            <v>7.8527342452444193E-2</v>
          </cell>
          <cell r="BL94">
            <v>0.10103908703833242</v>
          </cell>
          <cell r="BM94">
            <v>0.1702540236197787</v>
          </cell>
          <cell r="BN94">
            <v>8.1566796266402175E-2</v>
          </cell>
          <cell r="BO94">
            <v>0.15001860205815731</v>
          </cell>
          <cell r="BP94">
            <v>8.935793570127526E-2</v>
          </cell>
          <cell r="BQ94">
            <v>7.8374120068610775E-2</v>
          </cell>
          <cell r="BR94">
            <v>1.0562976292112891E-2</v>
          </cell>
          <cell r="BS94">
            <v>8.1123788680233622E-2</v>
          </cell>
        </row>
        <row r="95">
          <cell r="A95" t="str">
            <v>Weighted average repurchase price</v>
          </cell>
          <cell r="Z95">
            <v>0</v>
          </cell>
          <cell r="AA95">
            <v>0</v>
          </cell>
          <cell r="AB95">
            <v>0</v>
          </cell>
          <cell r="AC95">
            <v>0</v>
          </cell>
          <cell r="AD95">
            <v>0</v>
          </cell>
          <cell r="AE95">
            <v>0</v>
          </cell>
          <cell r="AF95">
            <v>0</v>
          </cell>
          <cell r="AG95">
            <v>0</v>
          </cell>
          <cell r="AH95">
            <v>70.36</v>
          </cell>
          <cell r="AI95">
            <v>63.987809541543747</v>
          </cell>
          <cell r="AJ95">
            <v>68.22</v>
          </cell>
          <cell r="AK95">
            <v>56.35</v>
          </cell>
          <cell r="AL95">
            <v>67.67</v>
          </cell>
          <cell r="AM95">
            <v>72.12</v>
          </cell>
          <cell r="AN95">
            <v>78.58</v>
          </cell>
          <cell r="AO95">
            <v>74.068602847034583</v>
          </cell>
          <cell r="AP95">
            <v>76.7676923076923</v>
          </cell>
          <cell r="AQ95">
            <v>76.88</v>
          </cell>
          <cell r="AR95">
            <v>81.099999999999994</v>
          </cell>
          <cell r="AS95">
            <v>84.371235626939225</v>
          </cell>
          <cell r="AT95">
            <v>80.234158463469868</v>
          </cell>
          <cell r="AU95">
            <v>76.05263157894737</v>
          </cell>
          <cell r="AV95">
            <v>109.77777777777777</v>
          </cell>
          <cell r="AW95">
            <v>109.5</v>
          </cell>
          <cell r="AX95">
            <v>115</v>
          </cell>
          <cell r="AY95">
            <v>101.86005314437554</v>
          </cell>
          <cell r="AZ95">
            <v>121.38461538461537</v>
          </cell>
          <cell r="BA95">
            <v>121.38461538461537</v>
          </cell>
          <cell r="BB95">
            <v>121.38461538461537</v>
          </cell>
          <cell r="BC95">
            <v>121.3846153846154</v>
          </cell>
          <cell r="BD95">
            <v>121.38461538461537</v>
          </cell>
        </row>
        <row r="96">
          <cell r="A96" t="str">
            <v>Per Pack (Cigarettes)</v>
          </cell>
          <cell r="B96" t="str">
            <v>1Q02</v>
          </cell>
          <cell r="C96" t="str">
            <v>2Q02</v>
          </cell>
          <cell r="D96" t="str">
            <v>3Q02</v>
          </cell>
          <cell r="E96" t="str">
            <v>4Q02</v>
          </cell>
          <cell r="F96">
            <v>2002</v>
          </cell>
          <cell r="G96" t="str">
            <v>1Q03</v>
          </cell>
          <cell r="H96" t="str">
            <v>2Q03</v>
          </cell>
          <cell r="I96" t="str">
            <v>3Q03</v>
          </cell>
          <cell r="J96" t="str">
            <v>4Q03</v>
          </cell>
          <cell r="K96">
            <v>2003</v>
          </cell>
          <cell r="L96" t="str">
            <v>1Q04</v>
          </cell>
          <cell r="M96" t="str">
            <v>2Q04</v>
          </cell>
          <cell r="N96" t="str">
            <v>3Q04</v>
          </cell>
          <cell r="O96" t="str">
            <v>4Q04</v>
          </cell>
          <cell r="P96">
            <v>2004</v>
          </cell>
          <cell r="Q96" t="str">
            <v>1Q05</v>
          </cell>
          <cell r="R96" t="str">
            <v>2Q05</v>
          </cell>
          <cell r="S96" t="str">
            <v>3Q05</v>
          </cell>
          <cell r="T96" t="str">
            <v>4Q05</v>
          </cell>
          <cell r="U96">
            <v>2005</v>
          </cell>
          <cell r="V96" t="str">
            <v>1Q06</v>
          </cell>
          <cell r="W96" t="str">
            <v>2Q06</v>
          </cell>
          <cell r="X96" t="str">
            <v>3Q06</v>
          </cell>
          <cell r="Y96" t="str">
            <v>4Q06</v>
          </cell>
          <cell r="Z96">
            <v>2006</v>
          </cell>
          <cell r="AA96" t="str">
            <v>1Q07</v>
          </cell>
          <cell r="AB96" t="str">
            <v>2Q07</v>
          </cell>
          <cell r="AC96" t="str">
            <v>3Q07</v>
          </cell>
          <cell r="AD96" t="str">
            <v>4Q07</v>
          </cell>
          <cell r="AE96">
            <v>2007</v>
          </cell>
          <cell r="AF96" t="str">
            <v>1Q08</v>
          </cell>
          <cell r="AG96" t="str">
            <v>2Q08</v>
          </cell>
          <cell r="AH96" t="str">
            <v>3Q08</v>
          </cell>
          <cell r="AI96" t="str">
            <v>4Q08</v>
          </cell>
          <cell r="AJ96">
            <v>2008</v>
          </cell>
          <cell r="AK96" t="str">
            <v>1Q09</v>
          </cell>
          <cell r="AL96" t="str">
            <v>2Q09</v>
          </cell>
          <cell r="AM96" t="str">
            <v>3Q09</v>
          </cell>
          <cell r="AN96" t="str">
            <v>4Q09</v>
          </cell>
          <cell r="AO96">
            <v>2009</v>
          </cell>
          <cell r="AP96" t="str">
            <v>1Q10</v>
          </cell>
          <cell r="AQ96" t="str">
            <v>2Q10</v>
          </cell>
          <cell r="AR96" t="str">
            <v>3Q10</v>
          </cell>
          <cell r="AS96" t="str">
            <v>4Q10</v>
          </cell>
          <cell r="AT96">
            <v>2010</v>
          </cell>
          <cell r="AU96" t="str">
            <v>1Q11</v>
          </cell>
          <cell r="AV96" t="str">
            <v>2Q11</v>
          </cell>
          <cell r="AW96" t="str">
            <v>3Q11</v>
          </cell>
          <cell r="AX96" t="str">
            <v>4Q11</v>
          </cell>
          <cell r="AY96">
            <v>2011</v>
          </cell>
          <cell r="AZ96" t="str">
            <v>1Q12</v>
          </cell>
          <cell r="BA96" t="str">
            <v>2Q12</v>
          </cell>
          <cell r="BB96" t="str">
            <v>3Q12</v>
          </cell>
          <cell r="BC96" t="str">
            <v>4Q12</v>
          </cell>
          <cell r="BD96">
            <v>2012</v>
          </cell>
          <cell r="BE96" t="str">
            <v>1Q13</v>
          </cell>
          <cell r="BF96" t="str">
            <v>2Q13</v>
          </cell>
          <cell r="BG96" t="str">
            <v>3Q13</v>
          </cell>
          <cell r="BH96" t="str">
            <v>4Q13</v>
          </cell>
          <cell r="BI96">
            <v>2013</v>
          </cell>
          <cell r="BJ96" t="str">
            <v>1Q14E</v>
          </cell>
          <cell r="BK96" t="str">
            <v>2Q14E</v>
          </cell>
          <cell r="BL96" t="str">
            <v>3Q14E</v>
          </cell>
          <cell r="BM96" t="str">
            <v>4Q14E</v>
          </cell>
          <cell r="BN96" t="str">
            <v>2014E</v>
          </cell>
        </row>
        <row r="97">
          <cell r="A97" t="str">
            <v>Gross Revenue</v>
          </cell>
          <cell r="B97">
            <v>0</v>
          </cell>
          <cell r="C97">
            <v>0</v>
          </cell>
          <cell r="D97">
            <v>0</v>
          </cell>
          <cell r="E97">
            <v>0</v>
          </cell>
          <cell r="F97">
            <v>0</v>
          </cell>
          <cell r="G97">
            <v>0</v>
          </cell>
          <cell r="H97">
            <v>0</v>
          </cell>
          <cell r="I97">
            <v>0</v>
          </cell>
          <cell r="J97">
            <v>0</v>
          </cell>
          <cell r="K97">
            <v>0</v>
          </cell>
          <cell r="L97">
            <v>0</v>
          </cell>
          <cell r="M97">
            <v>0</v>
          </cell>
          <cell r="N97">
            <v>0</v>
          </cell>
          <cell r="O97">
            <v>0</v>
          </cell>
          <cell r="P97">
            <v>0</v>
          </cell>
          <cell r="Q97">
            <v>1.9359655826176541</v>
          </cell>
          <cell r="R97">
            <v>1.9760635124651329</v>
          </cell>
          <cell r="S97">
            <v>2.040322297960238</v>
          </cell>
          <cell r="T97">
            <v>2.1594318431092607</v>
          </cell>
          <cell r="U97">
            <v>2.0275235843534607</v>
          </cell>
          <cell r="V97">
            <v>2.0188679601781363</v>
          </cell>
          <cell r="W97">
            <v>2.1381447606920911</v>
          </cell>
          <cell r="X97">
            <v>2.0493513314600271</v>
          </cell>
          <cell r="Y97">
            <v>2.1052695456364434</v>
          </cell>
          <cell r="Z97">
            <v>2.0784447379085504</v>
          </cell>
          <cell r="AA97">
            <v>2.1771135528060919</v>
          </cell>
          <cell r="AB97">
            <v>2.2281191636298501</v>
          </cell>
          <cell r="AC97">
            <v>2.2053800878982779</v>
          </cell>
          <cell r="AD97">
            <v>2.2476625894411764</v>
          </cell>
          <cell r="AE97">
            <v>2.214821380224544</v>
          </cell>
          <cell r="AF97">
            <v>2.1888903003521119</v>
          </cell>
          <cell r="AG97">
            <v>2.261277991900609</v>
          </cell>
          <cell r="AH97">
            <v>2.2743280320936998</v>
          </cell>
          <cell r="AI97">
            <v>2.360510738154272</v>
          </cell>
          <cell r="AJ97">
            <v>2.2272688380771846</v>
          </cell>
          <cell r="AK97">
            <v>2.3188511344353309</v>
          </cell>
          <cell r="AL97">
            <v>3.0778741676290515</v>
          </cell>
          <cell r="AM97">
            <v>3.0007739839874144</v>
          </cell>
          <cell r="AN97">
            <v>3.0463860918547305</v>
          </cell>
          <cell r="AO97">
            <v>2.8844762838641058</v>
          </cell>
          <cell r="AP97">
            <v>3.0688859977676111</v>
          </cell>
          <cell r="AQ97">
            <v>3.1068875609215678</v>
          </cell>
          <cell r="AR97">
            <v>3.1330121612655533</v>
          </cell>
          <cell r="AS97">
            <v>3.1429936252855737</v>
          </cell>
          <cell r="AT97">
            <v>3.1133412893583845</v>
          </cell>
          <cell r="AU97">
            <v>3.1624654292052754</v>
          </cell>
          <cell r="AV97">
            <v>3.1466023807617627</v>
          </cell>
          <cell r="AW97">
            <v>3.1544327218524497</v>
          </cell>
          <cell r="AX97">
            <v>3.2410959752018096</v>
          </cell>
          <cell r="AY97">
            <v>3.1755235925026906</v>
          </cell>
          <cell r="AZ97">
            <v>3.2326803220224121</v>
          </cell>
          <cell r="BA97">
            <v>3.2422026015335832</v>
          </cell>
          <cell r="BB97">
            <v>3.2710015878359262</v>
          </cell>
          <cell r="BC97">
            <v>3.325934710003962</v>
          </cell>
          <cell r="BD97">
            <v>3.2680656637625169</v>
          </cell>
          <cell r="BE97">
            <v>3.2962251391164221</v>
          </cell>
          <cell r="BF97">
            <v>3.3441797442056629</v>
          </cell>
          <cell r="BG97">
            <v>3.3838970811873446</v>
          </cell>
          <cell r="BH97">
            <v>3.4291008030775423</v>
          </cell>
          <cell r="BI97">
            <v>3.364415627290037</v>
          </cell>
          <cell r="BJ97">
            <v>3.4412203938645343</v>
          </cell>
          <cell r="BK97">
            <v>3.4919823629126898</v>
          </cell>
          <cell r="BL97">
            <v>3.5142309694495144</v>
          </cell>
          <cell r="BM97">
            <v>3.5422698922834441</v>
          </cell>
          <cell r="BN97">
            <v>3.4987314855588263</v>
          </cell>
          <cell r="BO97">
            <v>3.5524525027352802</v>
          </cell>
          <cell r="BP97">
            <v>3.5909870585490893</v>
          </cell>
          <cell r="BQ97">
            <v>3.6027417889684701</v>
          </cell>
          <cell r="BR97">
            <v>3.6245971351347475</v>
          </cell>
          <cell r="BS97">
            <v>3.5931972356689141</v>
          </cell>
        </row>
        <row r="98">
          <cell r="A98" t="str">
            <v>Excise Taxes</v>
          </cell>
          <cell r="B98">
            <v>0</v>
          </cell>
          <cell r="C98">
            <v>0</v>
          </cell>
          <cell r="D98">
            <v>0</v>
          </cell>
          <cell r="E98">
            <v>0</v>
          </cell>
          <cell r="F98">
            <v>0</v>
          </cell>
          <cell r="G98">
            <v>0</v>
          </cell>
          <cell r="H98">
            <v>0</v>
          </cell>
          <cell r="I98">
            <v>0</v>
          </cell>
          <cell r="J98">
            <v>0</v>
          </cell>
          <cell r="K98">
            <v>0</v>
          </cell>
          <cell r="L98">
            <v>0</v>
          </cell>
          <cell r="M98">
            <v>0</v>
          </cell>
          <cell r="N98">
            <v>0</v>
          </cell>
          <cell r="O98">
            <v>0</v>
          </cell>
          <cell r="P98">
            <v>0</v>
          </cell>
          <cell r="Q98">
            <v>0.38032678154304805</v>
          </cell>
          <cell r="R98">
            <v>0.3810356228926628</v>
          </cell>
          <cell r="S98">
            <v>0.3872304921376496</v>
          </cell>
          <cell r="T98">
            <v>0.3882733892577459</v>
          </cell>
          <cell r="U98">
            <v>0.38421679897454303</v>
          </cell>
          <cell r="V98">
            <v>0.38709927313195669</v>
          </cell>
          <cell r="W98">
            <v>0.38658567401441984</v>
          </cell>
          <cell r="X98">
            <v>0.38617594055301524</v>
          </cell>
          <cell r="Y98">
            <v>0.38680141860150724</v>
          </cell>
          <cell r="Z98">
            <v>0.38665006110288763</v>
          </cell>
          <cell r="AA98">
            <v>0.385585171400597</v>
          </cell>
          <cell r="AB98">
            <v>0.38000895343317503</v>
          </cell>
          <cell r="AC98">
            <v>0.38178978911977274</v>
          </cell>
          <cell r="AD98">
            <v>0.38752803266227176</v>
          </cell>
          <cell r="AE98">
            <v>0.38357054740661894</v>
          </cell>
          <cell r="AF98">
            <v>0.38739318019261043</v>
          </cell>
          <cell r="AG98">
            <v>0.38885528085019816</v>
          </cell>
          <cell r="AH98">
            <v>0.38208710939174162</v>
          </cell>
          <cell r="AI98">
            <v>0.38184732528966164</v>
          </cell>
          <cell r="AJ98">
            <v>0.37721584507872391</v>
          </cell>
          <cell r="AK98">
            <v>0.37931043638527767</v>
          </cell>
          <cell r="AL98">
            <v>0.98475763361930146</v>
          </cell>
          <cell r="AM98">
            <v>0.98545502222560599</v>
          </cell>
          <cell r="AN98">
            <v>0.98598562914891874</v>
          </cell>
          <cell r="AO98">
            <v>0.85327140978819727</v>
          </cell>
          <cell r="AP98">
            <v>0.98610528016503385</v>
          </cell>
          <cell r="AQ98">
            <v>0.98521039760802354</v>
          </cell>
          <cell r="AR98">
            <v>0.98768858179016161</v>
          </cell>
          <cell r="AS98">
            <v>0.985622496220106</v>
          </cell>
          <cell r="AT98">
            <v>0.98617132210121472</v>
          </cell>
          <cell r="AU98">
            <v>0.9868540329572163</v>
          </cell>
          <cell r="AV98">
            <v>0.99121694382152459</v>
          </cell>
          <cell r="AW98">
            <v>0.98989288250486862</v>
          </cell>
          <cell r="AX98">
            <v>0.98755272915605208</v>
          </cell>
          <cell r="AY98">
            <v>0.98894456707908118</v>
          </cell>
          <cell r="AZ98">
            <v>0.98929338819427681</v>
          </cell>
          <cell r="BA98">
            <v>0.98978442739794814</v>
          </cell>
          <cell r="BB98">
            <v>0.98904601745130027</v>
          </cell>
          <cell r="BC98">
            <v>0.98879140027144818</v>
          </cell>
          <cell r="BD98">
            <v>0.98923615428019485</v>
          </cell>
          <cell r="BE98">
            <v>0.98669897256445538</v>
          </cell>
          <cell r="BF98">
            <v>0.98774856783636067</v>
          </cell>
          <cell r="BG98">
            <v>0.99176575452032723</v>
          </cell>
          <cell r="BH98">
            <v>0.99482498135464525</v>
          </cell>
          <cell r="BI98">
            <v>0.99029971886602564</v>
          </cell>
          <cell r="BJ98">
            <v>0.99373333891610482</v>
          </cell>
          <cell r="BK98">
            <v>0.99487806253244615</v>
          </cell>
          <cell r="BL98">
            <v>0.99370613581199319</v>
          </cell>
          <cell r="BM98">
            <v>0.99399858615363568</v>
          </cell>
          <cell r="BN98">
            <v>0.99399858615363568</v>
          </cell>
          <cell r="BO98">
            <v>0.99208734527607223</v>
          </cell>
          <cell r="BP98">
            <v>0.99399858615363568</v>
          </cell>
          <cell r="BQ98">
            <v>0.99399858615363568</v>
          </cell>
          <cell r="BR98">
            <v>0.99399858615363568</v>
          </cell>
          <cell r="BS98">
            <v>0.99399858615363568</v>
          </cell>
        </row>
        <row r="99">
          <cell r="A99" t="str">
            <v>Net Revenue</v>
          </cell>
          <cell r="B99">
            <v>1.6590623691921309</v>
          </cell>
          <cell r="C99">
            <v>1.81445937300064</v>
          </cell>
          <cell r="D99">
            <v>1.8468447719944723</v>
          </cell>
          <cell r="E99">
            <v>1.7533930857874518</v>
          </cell>
          <cell r="F99">
            <v>1.7670204358134811</v>
          </cell>
          <cell r="G99">
            <v>1.5211423511179989</v>
          </cell>
          <cell r="H99">
            <v>1.4373836126629422</v>
          </cell>
          <cell r="I99">
            <v>1.4542888165037999</v>
          </cell>
          <cell r="J99">
            <v>1.5086730732763018</v>
          </cell>
          <cell r="K99">
            <v>1.4802295140200159</v>
          </cell>
          <cell r="L99">
            <v>1.5024137339966415</v>
          </cell>
          <cell r="M99">
            <v>1.5642722545773606</v>
          </cell>
          <cell r="N99">
            <v>1.6077824444802031</v>
          </cell>
          <cell r="O99">
            <v>1.5567484930651283</v>
          </cell>
          <cell r="P99">
            <v>1.5589598854722624</v>
          </cell>
          <cell r="Q99">
            <v>1.5556388010746058</v>
          </cell>
          <cell r="R99">
            <v>1.5950278895724705</v>
          </cell>
          <cell r="S99">
            <v>1.6530918058225885</v>
          </cell>
          <cell r="T99">
            <v>1.7711584538515148</v>
          </cell>
          <cell r="U99">
            <v>1.6433067853789176</v>
          </cell>
          <cell r="V99">
            <v>1.6317686870461798</v>
          </cell>
          <cell r="W99">
            <v>1.7515590866776711</v>
          </cell>
          <cell r="X99">
            <v>1.6631753909070119</v>
          </cell>
          <cell r="Y99">
            <v>1.7184681270349358</v>
          </cell>
          <cell r="Z99">
            <v>1.6917946768056629</v>
          </cell>
          <cell r="AA99">
            <v>1.7915283814054948</v>
          </cell>
          <cell r="AB99">
            <v>1.8481102101966749</v>
          </cell>
          <cell r="AC99">
            <v>1.8235902987785046</v>
          </cell>
          <cell r="AD99">
            <v>1.8601345567789045</v>
          </cell>
          <cell r="AE99">
            <v>1.8312508328179253</v>
          </cell>
          <cell r="AF99">
            <v>1.8014971201595011</v>
          </cell>
          <cell r="AG99">
            <v>1.8724227110504108</v>
          </cell>
          <cell r="AH99">
            <v>1.8922409227019583</v>
          </cell>
          <cell r="AI99">
            <v>1.9786634128646101</v>
          </cell>
          <cell r="AJ99">
            <v>1.8500529929984606</v>
          </cell>
          <cell r="AK99">
            <v>1.9395406980500534</v>
          </cell>
          <cell r="AL99">
            <v>2.09311653400975</v>
          </cell>
          <cell r="AM99">
            <v>2.0153189617618081</v>
          </cell>
          <cell r="AN99">
            <v>2.0604004627058119</v>
          </cell>
          <cell r="AO99">
            <v>2.0312048740759088</v>
          </cell>
          <cell r="AP99">
            <v>2.082780717602577</v>
          </cell>
          <cell r="AQ99">
            <v>2.1216771633135445</v>
          </cell>
          <cell r="AR99">
            <v>2.1453235794753915</v>
          </cell>
          <cell r="AS99">
            <v>2.1552560593310899</v>
          </cell>
          <cell r="AT99">
            <v>2.1271699672571702</v>
          </cell>
          <cell r="AU99">
            <v>2.1756113962480592</v>
          </cell>
          <cell r="AV99">
            <v>2.1553854369402381</v>
          </cell>
          <cell r="AW99">
            <v>2.1645398393475812</v>
          </cell>
          <cell r="AX99">
            <v>2.2535432460457576</v>
          </cell>
          <cell r="AY99">
            <v>2.186579025423609</v>
          </cell>
          <cell r="AZ99">
            <v>2.2433869338281354</v>
          </cell>
          <cell r="BA99">
            <v>2.2524181741356348</v>
          </cell>
          <cell r="BB99">
            <v>2.2819555703846262</v>
          </cell>
          <cell r="BC99">
            <v>2.3371433097325136</v>
          </cell>
          <cell r="BD99">
            <v>2.2788295094823221</v>
          </cell>
          <cell r="BE99">
            <v>2.3095261665519669</v>
          </cell>
          <cell r="BF99">
            <v>2.3564311763693024</v>
          </cell>
          <cell r="BG99">
            <v>2.3921313266670174</v>
          </cell>
          <cell r="BH99">
            <v>2.4342758217228972</v>
          </cell>
          <cell r="BI99">
            <v>2.3741159084240109</v>
          </cell>
          <cell r="BJ99">
            <v>2.4474870549484291</v>
          </cell>
          <cell r="BK99">
            <v>2.4971043003802436</v>
          </cell>
          <cell r="BL99">
            <v>2.5205248336375212</v>
          </cell>
          <cell r="BM99">
            <v>2.5486314320419918</v>
          </cell>
          <cell r="BN99">
            <v>2.5047328994051901</v>
          </cell>
          <cell r="BO99">
            <v>2.5603651574592079</v>
          </cell>
          <cell r="BP99">
            <v>2.5969884723954535</v>
          </cell>
          <cell r="BQ99">
            <v>2.6087432028148343</v>
          </cell>
          <cell r="BR99">
            <v>2.6287625725499173</v>
          </cell>
          <cell r="BS99">
            <v>2.5991986495152788</v>
          </cell>
        </row>
        <row r="100">
          <cell r="A100" t="str">
            <v>COGS</v>
          </cell>
          <cell r="B100">
            <v>0.25868564252825449</v>
          </cell>
          <cell r="C100">
            <v>0.25506504585199402</v>
          </cell>
          <cell r="D100">
            <v>0.28189774297558728</v>
          </cell>
          <cell r="E100">
            <v>0.1969270166453265</v>
          </cell>
          <cell r="F100">
            <v>0.24980241616800275</v>
          </cell>
          <cell r="G100">
            <v>0.24817356652645564</v>
          </cell>
          <cell r="H100">
            <v>0.25931098696461824</v>
          </cell>
          <cell r="I100">
            <v>0.27426710097719864</v>
          </cell>
          <cell r="J100">
            <v>0.25563826729963696</v>
          </cell>
          <cell r="K100">
            <v>0.25949492056456891</v>
          </cell>
          <cell r="L100">
            <v>0.27037553467314529</v>
          </cell>
          <cell r="M100">
            <v>0.28773115475692934</v>
          </cell>
          <cell r="N100">
            <v>0.27866119680124968</v>
          </cell>
          <cell r="O100">
            <v>0.23258008923338291</v>
          </cell>
          <cell r="P100">
            <v>0.2675930474840299</v>
          </cell>
          <cell r="Q100">
            <v>0.3209159398679497</v>
          </cell>
          <cell r="R100">
            <v>0.3401647627835056</v>
          </cell>
          <cell r="S100">
            <v>0.31602579324287183</v>
          </cell>
          <cell r="T100">
            <v>0.2982184805167265</v>
          </cell>
          <cell r="U100">
            <v>0.319318768442236</v>
          </cell>
          <cell r="V100">
            <v>0.30892364201134798</v>
          </cell>
          <cell r="W100">
            <v>0.3049804355269391</v>
          </cell>
          <cell r="X100">
            <v>0.30158304076556791</v>
          </cell>
          <cell r="Y100">
            <v>0.3018444539115771</v>
          </cell>
          <cell r="Z100">
            <v>0.30422744965232218</v>
          </cell>
          <cell r="AA100">
            <v>0.31834026210253363</v>
          </cell>
          <cell r="AB100">
            <v>0.33419676293595335</v>
          </cell>
          <cell r="AC100">
            <v>0.32981397942222757</v>
          </cell>
          <cell r="AD100">
            <v>0.28888453343914805</v>
          </cell>
          <cell r="AE100">
            <v>0.31856331904922708</v>
          </cell>
          <cell r="AF100">
            <v>0.32084711242946262</v>
          </cell>
          <cell r="AG100">
            <v>0.31700158764961806</v>
          </cell>
          <cell r="AH100">
            <v>0.32345998678665955</v>
          </cell>
          <cell r="AI100">
            <v>0.33628599670396342</v>
          </cell>
          <cell r="AJ100">
            <v>0.31787852113375614</v>
          </cell>
          <cell r="AK100">
            <v>0.34643686523188699</v>
          </cell>
          <cell r="AL100">
            <v>0.34851504728913552</v>
          </cell>
          <cell r="AM100">
            <v>0.36161546952913864</v>
          </cell>
          <cell r="AN100">
            <v>0.37803484884409216</v>
          </cell>
          <cell r="AO100">
            <v>0.35883700760472637</v>
          </cell>
          <cell r="AP100">
            <v>0.38135421589906343</v>
          </cell>
          <cell r="AQ100">
            <v>0.37814092024374346</v>
          </cell>
          <cell r="AR100">
            <v>0.36588463657408821</v>
          </cell>
          <cell r="AS100">
            <v>0.38494269165677958</v>
          </cell>
          <cell r="AT100">
            <v>0.37683395916374246</v>
          </cell>
          <cell r="AU100">
            <v>0.3996861845379957</v>
          </cell>
          <cell r="AV100">
            <v>0.38495667424213054</v>
          </cell>
          <cell r="AW100">
            <v>0.4064589635432565</v>
          </cell>
          <cell r="AX100">
            <v>0.38660786354384996</v>
          </cell>
          <cell r="AY100">
            <v>0.39430113573212622</v>
          </cell>
          <cell r="AZ100">
            <v>0.42156185064381391</v>
          </cell>
          <cell r="BA100">
            <v>0.41585999706263599</v>
          </cell>
          <cell r="BB100">
            <v>0.41508156154080667</v>
          </cell>
          <cell r="BC100">
            <v>0.43147261102754103</v>
          </cell>
          <cell r="BD100">
            <v>0.42089856513935786</v>
          </cell>
          <cell r="BE100">
            <v>0.42720812658285212</v>
          </cell>
          <cell r="BF100">
            <v>0.43644704160211284</v>
          </cell>
          <cell r="BG100">
            <v>0.42970121665871042</v>
          </cell>
          <cell r="BH100">
            <v>0.41214177798978158</v>
          </cell>
          <cell r="BI100">
            <v>0.42655983845998685</v>
          </cell>
          <cell r="BJ100">
            <v>0.46091362056693042</v>
          </cell>
          <cell r="BK100">
            <v>0.45185696864023456</v>
          </cell>
          <cell r="BL100">
            <v>0.42139412070922788</v>
          </cell>
          <cell r="BM100">
            <v>0.38721168863017402</v>
          </cell>
          <cell r="BN100">
            <v>0.42979289047509439</v>
          </cell>
          <cell r="BO100">
            <v>0.40073397134513833</v>
          </cell>
          <cell r="BP100">
            <v>0.44385696864023461</v>
          </cell>
          <cell r="BQ100">
            <v>0.40939412070922787</v>
          </cell>
          <cell r="BR100">
            <v>0.46444579485555004</v>
          </cell>
          <cell r="BS100">
            <v>0.42979289047509439</v>
          </cell>
        </row>
        <row r="101">
          <cell r="A101" t="str">
            <v>SG&amp;A</v>
          </cell>
          <cell r="B101">
            <v>0.23398911678526579</v>
          </cell>
          <cell r="C101">
            <v>0.23800383877159309</v>
          </cell>
          <cell r="D101">
            <v>0.21487793643482264</v>
          </cell>
          <cell r="E101">
            <v>0.23713188220230472</v>
          </cell>
          <cell r="F101">
            <v>0.23106017838997403</v>
          </cell>
          <cell r="G101">
            <v>0.23621872924507417</v>
          </cell>
          <cell r="H101">
            <v>0.2190409683426443</v>
          </cell>
          <cell r="I101">
            <v>0.21281216069489683</v>
          </cell>
          <cell r="J101">
            <v>0.25827371335427241</v>
          </cell>
          <cell r="K101">
            <v>0.23112953932432354</v>
          </cell>
          <cell r="L101">
            <v>0.24557269270948701</v>
          </cell>
          <cell r="M101">
            <v>0.23130450028319691</v>
          </cell>
          <cell r="N101">
            <v>0.19232820638918369</v>
          </cell>
          <cell r="O101">
            <v>0.21603381034002606</v>
          </cell>
          <cell r="P101">
            <v>0.22087873163561572</v>
          </cell>
          <cell r="Q101">
            <v>0.2191383504409368</v>
          </cell>
          <cell r="R101">
            <v>0.20690872930260795</v>
          </cell>
          <cell r="S101">
            <v>0.20943851248988654</v>
          </cell>
          <cell r="T101">
            <v>0.20509887592849968</v>
          </cell>
          <cell r="U101">
            <v>0.20998093066276241</v>
          </cell>
          <cell r="V101">
            <v>0.21941136347747883</v>
          </cell>
          <cell r="W101">
            <v>0.23825229145540647</v>
          </cell>
          <cell r="X101">
            <v>0.17375838875259458</v>
          </cell>
          <cell r="Y101">
            <v>0.15485541976550757</v>
          </cell>
          <cell r="Z101">
            <v>0.19612042469399149</v>
          </cell>
          <cell r="AA101">
            <v>0.19529638551458808</v>
          </cell>
          <cell r="AB101">
            <v>0.1750152346645012</v>
          </cell>
          <cell r="AC101">
            <v>0.17261884765404226</v>
          </cell>
          <cell r="AD101">
            <v>0.1784977604989858</v>
          </cell>
          <cell r="AE101">
            <v>0.17995563214814461</v>
          </cell>
          <cell r="AF101">
            <v>0.23766452772552785</v>
          </cell>
          <cell r="AG101">
            <v>0.19231429650743498</v>
          </cell>
          <cell r="AH101">
            <v>0.18194624256749597</v>
          </cell>
          <cell r="AI101">
            <v>0.1735669660407553</v>
          </cell>
          <cell r="AJ101">
            <v>0.19125691021547658</v>
          </cell>
          <cell r="AK101">
            <v>0.22505752558859812</v>
          </cell>
          <cell r="AL101">
            <v>0.19857252694380978</v>
          </cell>
          <cell r="AM101">
            <v>0.20301219341986734</v>
          </cell>
          <cell r="AN101">
            <v>0.18349059914654764</v>
          </cell>
          <cell r="AO101">
            <v>0.20174246510496135</v>
          </cell>
          <cell r="AP101">
            <v>0.21662724690124313</v>
          </cell>
          <cell r="AQ101">
            <v>0.19826848250617901</v>
          </cell>
          <cell r="AR101">
            <v>0.20193632947531642</v>
          </cell>
          <cell r="AS101">
            <v>0.22208232210968051</v>
          </cell>
          <cell r="AT101">
            <v>0.20888567652809123</v>
          </cell>
          <cell r="AU101">
            <v>0.25134904388471901</v>
          </cell>
          <cell r="AV101">
            <v>0.20828573678801265</v>
          </cell>
          <cell r="AW101">
            <v>0.2100362108261804</v>
          </cell>
          <cell r="AX101">
            <v>0.21634015162039272</v>
          </cell>
          <cell r="AY101">
            <v>0.22096576722223762</v>
          </cell>
          <cell r="AZ101">
            <v>0.27751056499668153</v>
          </cell>
          <cell r="BA101">
            <v>0.22956977213412486</v>
          </cell>
          <cell r="BB101">
            <v>0.22243605211756148</v>
          </cell>
          <cell r="BC101">
            <v>0.22572409743570432</v>
          </cell>
          <cell r="BD101">
            <v>0.23809409956995625</v>
          </cell>
          <cell r="BE101">
            <v>0.25589116211561697</v>
          </cell>
          <cell r="BF101">
            <v>0.2335374520853411</v>
          </cell>
          <cell r="BG101">
            <v>0.21676891733229589</v>
          </cell>
          <cell r="BH101">
            <v>0.23753984248672139</v>
          </cell>
          <cell r="BI101">
            <v>0.23530883107534481</v>
          </cell>
          <cell r="BJ101">
            <v>0.26908958952672057</v>
          </cell>
          <cell r="BK101">
            <v>0.22791031312994284</v>
          </cell>
          <cell r="BL101">
            <v>0.22735682791753689</v>
          </cell>
          <cell r="BM101">
            <v>0.2130688657012598</v>
          </cell>
          <cell r="BN101">
            <v>0.23350508302887107</v>
          </cell>
          <cell r="BO101">
            <v>0.26426780813030742</v>
          </cell>
          <cell r="BP101">
            <v>0.22763120999864339</v>
          </cell>
          <cell r="BQ101">
            <v>0.22708325963836148</v>
          </cell>
          <cell r="BR101">
            <v>0.20739782783042129</v>
          </cell>
          <cell r="BS101">
            <v>0.23117003219858234</v>
          </cell>
        </row>
        <row r="102">
          <cell r="A102" t="str">
            <v>MSA</v>
          </cell>
          <cell r="B102">
            <v>0.61992465466722479</v>
          </cell>
          <cell r="C102">
            <v>0.6225207933461292</v>
          </cell>
          <cell r="D102">
            <v>0.58774758175955766</v>
          </cell>
          <cell r="E102">
            <v>0.5608194622279129</v>
          </cell>
          <cell r="F102">
            <v>0.59969515637348991</v>
          </cell>
          <cell r="G102">
            <v>0.43723710427274748</v>
          </cell>
          <cell r="H102">
            <v>0.41922718808193665</v>
          </cell>
          <cell r="I102">
            <v>0.46601520086862103</v>
          </cell>
          <cell r="J102">
            <v>0.46240098958603504</v>
          </cell>
          <cell r="K102">
            <v>0.44634263226133514</v>
          </cell>
          <cell r="L102">
            <v>0.49384668503877838</v>
          </cell>
          <cell r="M102">
            <v>0.52463353742839336</v>
          </cell>
          <cell r="N102">
            <v>0.48274153801092401</v>
          </cell>
          <cell r="O102">
            <v>0.45886793156365835</v>
          </cell>
          <cell r="P102">
            <v>0.49026848357535385</v>
          </cell>
          <cell r="Q102">
            <v>0.48380878036237929</v>
          </cell>
          <cell r="R102">
            <v>0.50151951258944882</v>
          </cell>
          <cell r="S102">
            <v>0.49205963217718363</v>
          </cell>
          <cell r="T102">
            <v>0.51439741066205313</v>
          </cell>
          <cell r="U102">
            <v>0.49804408019714463</v>
          </cell>
          <cell r="V102">
            <v>0.51251093514115065</v>
          </cell>
          <cell r="W102">
            <v>0.51741659255467065</v>
          </cell>
          <cell r="X102">
            <v>0.50464756924796605</v>
          </cell>
          <cell r="Y102">
            <v>0.48344558478317379</v>
          </cell>
          <cell r="Z102">
            <v>0.50449944980554295</v>
          </cell>
          <cell r="AA102">
            <v>0.59399669879955908</v>
          </cell>
          <cell r="AB102">
            <v>0.58099146658227641</v>
          </cell>
          <cell r="AC102">
            <v>0.58546735232478719</v>
          </cell>
          <cell r="AD102">
            <v>0.58011772162170383</v>
          </cell>
          <cell r="AE102">
            <v>0.58500925502051115</v>
          </cell>
          <cell r="AF102">
            <v>0.6107978362546066</v>
          </cell>
          <cell r="AG102">
            <v>0.61920976787558724</v>
          </cell>
          <cell r="AH102">
            <v>0.61457397489465315</v>
          </cell>
          <cell r="AI102">
            <v>0.57060140085898303</v>
          </cell>
          <cell r="AJ102">
            <v>0.59178384684400931</v>
          </cell>
          <cell r="AK102">
            <v>0.62459785191442396</v>
          </cell>
          <cell r="AL102">
            <v>0.62205883440560816</v>
          </cell>
          <cell r="AM102">
            <v>0.62172484234834369</v>
          </cell>
          <cell r="AN102">
            <v>0.61900443085582335</v>
          </cell>
          <cell r="AO102">
            <v>0.62176366294643826</v>
          </cell>
          <cell r="AP102">
            <v>0.62280333484107397</v>
          </cell>
          <cell r="AQ102">
            <v>0.63568554700434721</v>
          </cell>
          <cell r="AR102">
            <v>0.64779575000002509</v>
          </cell>
          <cell r="AS102">
            <v>0.63452092031337282</v>
          </cell>
          <cell r="AT102">
            <v>0.63610412048252907</v>
          </cell>
          <cell r="AU102">
            <v>0.65721594261660132</v>
          </cell>
          <cell r="AV102">
            <v>0.65647200969793273</v>
          </cell>
          <cell r="AW102">
            <v>0.66316988788636577</v>
          </cell>
          <cell r="AX102">
            <v>0.63900470710097479</v>
          </cell>
          <cell r="AY102">
            <v>0.65405867097782333</v>
          </cell>
          <cell r="AZ102">
            <v>0.69907241564049538</v>
          </cell>
          <cell r="BA102">
            <v>0.68494587751492986</v>
          </cell>
          <cell r="BB102">
            <v>0.68121040961003199</v>
          </cell>
          <cell r="BC102">
            <v>0.66718450038517918</v>
          </cell>
          <cell r="BD102">
            <v>0.68290169562847292</v>
          </cell>
          <cell r="BE102">
            <v>0.69177356538035439</v>
          </cell>
          <cell r="BF102">
            <v>0.67764145932959641</v>
          </cell>
          <cell r="BG102">
            <v>0.70785602208510778</v>
          </cell>
          <cell r="BH102">
            <v>0.71668003758814236</v>
          </cell>
          <cell r="BI102">
            <v>0.69841663691511924</v>
          </cell>
          <cell r="BJ102">
            <v>0.7078954346885511</v>
          </cell>
          <cell r="BK102">
            <v>0.72931300201581706</v>
          </cell>
          <cell r="BL102">
            <v>0.72910982745968722</v>
          </cell>
          <cell r="BM102">
            <v>0.69862003080893831</v>
          </cell>
          <cell r="BN102">
            <v>0.71666324055842323</v>
          </cell>
          <cell r="BO102">
            <v>0.73431792587028044</v>
          </cell>
          <cell r="BP102">
            <v>0.74025269704605423</v>
          </cell>
          <cell r="BQ102">
            <v>0.74004647487158248</v>
          </cell>
          <cell r="BR102">
            <v>0.69398722565498272</v>
          </cell>
          <cell r="BS102">
            <v>0.72741318916679953</v>
          </cell>
        </row>
        <row r="103">
          <cell r="A103" t="str">
            <v>Quota buyout</v>
          </cell>
          <cell r="AF103">
            <v>5.4662841376871406E-2</v>
          </cell>
          <cell r="AG103">
            <v>5.7060285776931251E-2</v>
          </cell>
          <cell r="AH103">
            <v>5.4583872770248794E-2</v>
          </cell>
          <cell r="AI103">
            <v>5.4999999999999993E-2</v>
          </cell>
          <cell r="AJ103">
            <v>5.4225014019767273E-2</v>
          </cell>
          <cell r="AK103">
            <v>5.177798480342035E-2</v>
          </cell>
          <cell r="AL103">
            <v>5.7971488586707913E-2</v>
          </cell>
          <cell r="AM103">
            <v>6.2452178321212234E-2</v>
          </cell>
          <cell r="AN103">
            <v>5.1762717452644151E-2</v>
          </cell>
          <cell r="AO103">
            <v>5.5120892105180702E-2</v>
          </cell>
          <cell r="AP103">
            <v>6.0926413190974624E-2</v>
          </cell>
          <cell r="AQ103">
            <v>6.1320149228715162E-2</v>
          </cell>
          <cell r="AR103">
            <v>5.3982979166668749E-2</v>
          </cell>
          <cell r="AS103">
            <v>5.7106882828203559E-2</v>
          </cell>
          <cell r="AT103">
            <v>5.8257060539241526E-2</v>
          </cell>
          <cell r="AU103">
            <v>6.1807141938865315E-2</v>
          </cell>
          <cell r="AV103">
            <v>6.1369904589325161E-2</v>
          </cell>
          <cell r="AW103">
            <v>5.8343391896161216E-2</v>
          </cell>
          <cell r="AX103">
            <v>5.4085037905098179E-2</v>
          </cell>
          <cell r="AY103">
            <v>5.8924204592596702E-2</v>
          </cell>
          <cell r="AZ103">
            <v>6.0300304128891043E-2</v>
          </cell>
          <cell r="BA103">
            <v>6.6913808037093958E-2</v>
          </cell>
          <cell r="BB103">
            <v>5.2546462188172126E-2</v>
          </cell>
          <cell r="BC103">
            <v>5.8902294802938807E-2</v>
          </cell>
          <cell r="BD103">
            <v>5.9760618208401999E-2</v>
          </cell>
          <cell r="BE103">
            <v>5.9706014219982381E-2</v>
          </cell>
          <cell r="BF103">
            <v>7.0163628402899428E-2</v>
          </cell>
          <cell r="BG103">
            <v>5.8416145521628424E-2</v>
          </cell>
          <cell r="BH103">
            <v>5.744749888464655E-2</v>
          </cell>
          <cell r="BI103">
            <v>6.1538139177198463E-2</v>
          </cell>
          <cell r="BJ103">
            <v>6.3361654861598338E-2</v>
          </cell>
          <cell r="BK103">
            <v>7.2163862482539087E-2</v>
          </cell>
          <cell r="BL103">
            <v>5.5592551074663571E-2</v>
          </cell>
          <cell r="BM103">
            <v>0</v>
          </cell>
          <cell r="BN103">
            <v>4.7748229812230078E-2</v>
          </cell>
          <cell r="BO103">
            <v>0</v>
          </cell>
          <cell r="BP103">
            <v>0</v>
          </cell>
          <cell r="BQ103">
            <v>0</v>
          </cell>
          <cell r="BR103">
            <v>0</v>
          </cell>
          <cell r="BS103">
            <v>0</v>
          </cell>
        </row>
        <row r="104">
          <cell r="A104" t="str">
            <v>FDA user fees</v>
          </cell>
          <cell r="AH104">
            <v>274</v>
          </cell>
          <cell r="AI104">
            <v>126</v>
          </cell>
          <cell r="AM104">
            <v>5.0000000000000001E-3</v>
          </cell>
          <cell r="AN104">
            <v>1.4999999999999998E-2</v>
          </cell>
          <cell r="AO104">
            <v>4.9536072255552139E-3</v>
          </cell>
          <cell r="AP104">
            <v>1.4728388357594269E-2</v>
          </cell>
          <cell r="AQ104">
            <v>1.4308034820033537E-2</v>
          </cell>
          <cell r="AR104">
            <v>1.3995587191358565E-2</v>
          </cell>
          <cell r="AS104">
            <v>1.4805488140645369E-2</v>
          </cell>
          <cell r="AT104">
            <v>1.4447224338414319E-2</v>
          </cell>
          <cell r="AU104">
            <v>2.8843332904803818E-2</v>
          </cell>
          <cell r="AV104">
            <v>2.7895411176965982E-2</v>
          </cell>
          <cell r="AW104">
            <v>2.9171695948080608E-2</v>
          </cell>
          <cell r="AX104">
            <v>3.2050392832650772E-2</v>
          </cell>
          <cell r="AY104">
            <v>2.9462102296298351E-2</v>
          </cell>
          <cell r="AZ104">
            <v>3.4457316645080595E-2</v>
          </cell>
          <cell r="BA104">
            <v>3.2500992475159925E-2</v>
          </cell>
          <cell r="BB104">
            <v>3.2336284423490541E-2</v>
          </cell>
          <cell r="BC104">
            <v>3.2497817822311072E-2</v>
          </cell>
          <cell r="BD104">
            <v>3.2918984606323136E-2</v>
          </cell>
          <cell r="BE104">
            <v>3.7592675619988906E-2</v>
          </cell>
          <cell r="BF104">
            <v>3.7030803879308037E-2</v>
          </cell>
          <cell r="BG104">
            <v>3.5049687312977057E-2</v>
          </cell>
          <cell r="BH104">
            <v>3.6930534997272786E-2</v>
          </cell>
          <cell r="BI104">
            <v>3.6617735708746185E-2</v>
          </cell>
          <cell r="BJ104">
            <v>4.2995408656084588E-2</v>
          </cell>
          <cell r="BK104">
            <v>4.2095586448147808E-2</v>
          </cell>
          <cell r="BL104">
            <v>3.7723516800664568E-2</v>
          </cell>
          <cell r="BM104">
            <v>4.1464862364645722E-2</v>
          </cell>
          <cell r="BN104">
            <v>4.1001197338762785E-2</v>
          </cell>
          <cell r="BO104">
            <v>4.3322591496771708E-2</v>
          </cell>
          <cell r="BP104">
            <v>0</v>
          </cell>
          <cell r="BQ104">
            <v>0</v>
          </cell>
          <cell r="BR104">
            <v>0</v>
          </cell>
          <cell r="BS104">
            <v>0</v>
          </cell>
        </row>
        <row r="105">
          <cell r="A105" t="str">
            <v>Operating Income</v>
          </cell>
          <cell r="B105">
            <v>0.54646295521138588</v>
          </cell>
          <cell r="C105">
            <v>0.69886969503092378</v>
          </cell>
          <cell r="D105">
            <v>0.76232151082450472</v>
          </cell>
          <cell r="E105">
            <v>0.75851472471190762</v>
          </cell>
          <cell r="F105">
            <v>0.68646268488201445</v>
          </cell>
          <cell r="G105">
            <v>0.59951295107372171</v>
          </cell>
          <cell r="H105">
            <v>0.53980446927374293</v>
          </cell>
          <cell r="I105">
            <v>0.50119435396308343</v>
          </cell>
          <cell r="J105">
            <v>0.5323601030363575</v>
          </cell>
          <cell r="K105">
            <v>0.54326242186978835</v>
          </cell>
          <cell r="L105">
            <v>0.49261882157523074</v>
          </cell>
          <cell r="M105">
            <v>0.520603062108841</v>
          </cell>
          <cell r="N105">
            <v>0.65405150327884554</v>
          </cell>
          <cell r="O105">
            <v>0.64926666192806115</v>
          </cell>
          <cell r="P105">
            <v>0.58021962277726313</v>
          </cell>
          <cell r="Q105">
            <v>0.53177573040334014</v>
          </cell>
          <cell r="R105">
            <v>0.54643488489690806</v>
          </cell>
          <cell r="S105">
            <v>0.63556786791264663</v>
          </cell>
          <cell r="T105">
            <v>0.75344368674423545</v>
          </cell>
          <cell r="U105">
            <v>0.61596300607677468</v>
          </cell>
          <cell r="V105">
            <v>0.59092274641620246</v>
          </cell>
          <cell r="W105">
            <v>0.69090976714065488</v>
          </cell>
          <cell r="X105">
            <v>0.68318639214088317</v>
          </cell>
          <cell r="Y105">
            <v>0.77832266857467747</v>
          </cell>
          <cell r="Z105">
            <v>0.68694735265380624</v>
          </cell>
          <cell r="AA105">
            <v>0.68389503498881377</v>
          </cell>
          <cell r="AB105">
            <v>0.75790674601394381</v>
          </cell>
          <cell r="AC105">
            <v>0.73569011937744788</v>
          </cell>
          <cell r="AD105">
            <v>0.81263454121906686</v>
          </cell>
          <cell r="AE105">
            <v>0.74772262660004241</v>
          </cell>
          <cell r="AF105">
            <v>0.6321876437499041</v>
          </cell>
          <cell r="AG105">
            <v>0.74389705901777048</v>
          </cell>
          <cell r="AH105">
            <v>0.77226071845314959</v>
          </cell>
          <cell r="AI105">
            <v>0.89820904926090861</v>
          </cell>
          <cell r="AJ105">
            <v>0.74913371480521862</v>
          </cell>
          <cell r="AK105">
            <v>0.74344845531514436</v>
          </cell>
          <cell r="AL105">
            <v>0.92397012537119649</v>
          </cell>
          <cell r="AM105">
            <v>0.82896645646445832</v>
          </cell>
          <cell r="AN105">
            <v>0.87987058385934902</v>
          </cell>
          <cell r="AO105">
            <v>0.84886173841978274</v>
          </cell>
          <cell r="AP105">
            <v>0.86199591996119662</v>
          </cell>
          <cell r="AQ105">
            <v>0.90958221355927493</v>
          </cell>
          <cell r="AR105">
            <v>0.92970686342596176</v>
          </cell>
          <cell r="AS105">
            <v>0.91371012525125694</v>
          </cell>
          <cell r="AT105">
            <v>0.90534621108280744</v>
          </cell>
          <cell r="AU105">
            <v>0.86736022520874334</v>
          </cell>
          <cell r="AV105">
            <v>0.90567101621216228</v>
          </cell>
          <cell r="AW105">
            <v>0.88487477709177842</v>
          </cell>
          <cell r="AX105">
            <v>1.01159052378054</v>
          </cell>
          <cell r="AY105">
            <v>0.9172534514914219</v>
          </cell>
          <cell r="AZ105">
            <v>0.84524210254714449</v>
          </cell>
          <cell r="BA105">
            <v>0.92204252742394421</v>
          </cell>
          <cell r="BB105">
            <v>0.96322754711622605</v>
          </cell>
          <cell r="BC105">
            <v>1.0127621008840892</v>
          </cell>
          <cell r="BD105">
            <v>0.93693514914453502</v>
          </cell>
          <cell r="BE105">
            <v>0.93465331247314343</v>
          </cell>
          <cell r="BF105">
            <v>1.008805223352252</v>
          </cell>
          <cell r="BG105">
            <v>1.0378051705909033</v>
          </cell>
          <cell r="BH105">
            <v>1.0679141636582516</v>
          </cell>
          <cell r="BI105">
            <v>1.0138306019735601</v>
          </cell>
          <cell r="BJ105">
            <v>1.0095884101662269</v>
          </cell>
          <cell r="BK105">
            <v>1.088024016594249</v>
          </cell>
          <cell r="BL105">
            <v>1.1426640575510689</v>
          </cell>
          <cell r="BM105">
            <v>1.2497308469016197</v>
          </cell>
          <cell r="BN105">
            <v>1.0965255161333816</v>
          </cell>
          <cell r="BO105">
            <v>1.1610454521134819</v>
          </cell>
          <cell r="BP105">
            <v>1.1852475967105209</v>
          </cell>
          <cell r="BQ105">
            <v>1.2322193475956624</v>
          </cell>
          <cell r="BR105">
            <v>1.2629317242089637</v>
          </cell>
          <cell r="BS105">
            <v>1.1854798203866701</v>
          </cell>
        </row>
        <row r="106">
          <cell r="A106" t="str">
            <v>July 2009 - $750 MM</v>
          </cell>
          <cell r="AM106">
            <v>252</v>
          </cell>
          <cell r="AN106">
            <v>408</v>
          </cell>
          <cell r="AP106">
            <v>90</v>
          </cell>
          <cell r="BH106">
            <v>2.5248243589743594E-2</v>
          </cell>
          <cell r="BJ106">
            <v>0.13796088839646226</v>
          </cell>
          <cell r="BK106">
            <v>0.14067312401094112</v>
          </cell>
          <cell r="BL106">
            <v>0.12839350697050378</v>
          </cell>
          <cell r="BM106">
            <v>0.11435561031909458</v>
          </cell>
          <cell r="BO106">
            <v>0.11287810251077879</v>
          </cell>
          <cell r="BP106">
            <v>9.9884172015209938E-2</v>
          </cell>
          <cell r="BQ106">
            <v>8.8218369177313072E-2</v>
          </cell>
          <cell r="BR106">
            <v>8.0131140507925469E-2</v>
          </cell>
        </row>
        <row r="107">
          <cell r="A107" t="str">
            <v>Share Repurchases</v>
          </cell>
          <cell r="B107" t="str">
            <v>1Q02</v>
          </cell>
          <cell r="C107" t="str">
            <v>2Q02</v>
          </cell>
          <cell r="D107" t="str">
            <v>3Q02</v>
          </cell>
          <cell r="E107" t="str">
            <v>4Q02</v>
          </cell>
          <cell r="F107">
            <v>2002</v>
          </cell>
          <cell r="G107" t="str">
            <v>1Q03</v>
          </cell>
          <cell r="H107" t="str">
            <v>2Q03</v>
          </cell>
          <cell r="I107" t="str">
            <v>3Q03</v>
          </cell>
          <cell r="J107" t="str">
            <v>4Q03</v>
          </cell>
          <cell r="K107">
            <v>2003</v>
          </cell>
          <cell r="L107" t="str">
            <v>1Q04</v>
          </cell>
          <cell r="M107" t="str">
            <v>2Q04</v>
          </cell>
          <cell r="N107" t="str">
            <v>3Q04</v>
          </cell>
          <cell r="O107" t="str">
            <v>4Q04</v>
          </cell>
          <cell r="P107">
            <v>2004</v>
          </cell>
          <cell r="Q107" t="str">
            <v>1Q05</v>
          </cell>
          <cell r="R107" t="str">
            <v>2Q05</v>
          </cell>
          <cell r="S107" t="str">
            <v>3Q05</v>
          </cell>
          <cell r="T107" t="str">
            <v>4Q05</v>
          </cell>
          <cell r="U107">
            <v>2005</v>
          </cell>
          <cell r="V107" t="str">
            <v>1Q06</v>
          </cell>
          <cell r="W107" t="str">
            <v>2Q06</v>
          </cell>
          <cell r="X107" t="str">
            <v>3Q06</v>
          </cell>
          <cell r="Y107" t="str">
            <v>4Q06</v>
          </cell>
          <cell r="Z107">
            <v>2006</v>
          </cell>
          <cell r="AA107" t="str">
            <v>1Q07</v>
          </cell>
          <cell r="AB107" t="str">
            <v>2Q07</v>
          </cell>
          <cell r="AC107" t="str">
            <v>3Q07</v>
          </cell>
          <cell r="AD107" t="str">
            <v>4Q07</v>
          </cell>
          <cell r="AE107">
            <v>2007</v>
          </cell>
          <cell r="AF107" t="str">
            <v>1Q08</v>
          </cell>
          <cell r="AG107" t="str">
            <v>2Q08</v>
          </cell>
          <cell r="AH107" t="str">
            <v>3Q08</v>
          </cell>
          <cell r="AI107" t="str">
            <v>4Q08</v>
          </cell>
          <cell r="AJ107">
            <v>2008</v>
          </cell>
          <cell r="AK107" t="str">
            <v>1Q09</v>
          </cell>
          <cell r="AL107" t="str">
            <v>2Q09</v>
          </cell>
          <cell r="AM107" t="str">
            <v>3Q09</v>
          </cell>
          <cell r="AN107" t="str">
            <v>4Q09</v>
          </cell>
          <cell r="AO107">
            <v>2009</v>
          </cell>
          <cell r="AP107" t="str">
            <v>1Q10</v>
          </cell>
          <cell r="AQ107" t="str">
            <v>2Q10</v>
          </cell>
          <cell r="AR107" t="str">
            <v>3Q10</v>
          </cell>
          <cell r="AS107" t="str">
            <v>4Q10</v>
          </cell>
          <cell r="AT107">
            <v>2010</v>
          </cell>
          <cell r="AU107" t="str">
            <v>1Q11</v>
          </cell>
          <cell r="AV107" t="str">
            <v>2Q11</v>
          </cell>
          <cell r="AW107" t="str">
            <v>3Q11</v>
          </cell>
          <cell r="AX107" t="str">
            <v>4Q11</v>
          </cell>
          <cell r="AY107">
            <v>2011</v>
          </cell>
          <cell r="AZ107" t="str">
            <v>1Q12</v>
          </cell>
          <cell r="BA107" t="str">
            <v>2Q12</v>
          </cell>
          <cell r="BB107" t="str">
            <v>3Q12</v>
          </cell>
          <cell r="BC107" t="str">
            <v>4Q12</v>
          </cell>
          <cell r="BD107">
            <v>2012</v>
          </cell>
          <cell r="BE107" t="str">
            <v>1Q13</v>
          </cell>
          <cell r="BF107" t="str">
            <v>2Q13</v>
          </cell>
          <cell r="BG107" t="str">
            <v>3Q13</v>
          </cell>
          <cell r="BH107" t="str">
            <v>4Q13</v>
          </cell>
          <cell r="BI107">
            <v>2013</v>
          </cell>
          <cell r="BJ107" t="str">
            <v>1Q14E</v>
          </cell>
          <cell r="BK107" t="str">
            <v>2Q14E</v>
          </cell>
          <cell r="BL107" t="str">
            <v>3Q14E</v>
          </cell>
          <cell r="BM107" t="str">
            <v>4Q14E</v>
          </cell>
          <cell r="BN107" t="str">
            <v>2014E</v>
          </cell>
        </row>
        <row r="108">
          <cell r="A108" t="str">
            <v>Value of shares repurchased</v>
          </cell>
          <cell r="Z108">
            <v>0</v>
          </cell>
          <cell r="AA108">
            <v>0</v>
          </cell>
          <cell r="AB108">
            <v>0</v>
          </cell>
          <cell r="AC108">
            <v>0</v>
          </cell>
          <cell r="AD108">
            <v>0</v>
          </cell>
          <cell r="AE108">
            <v>0</v>
          </cell>
          <cell r="AF108">
            <v>0</v>
          </cell>
          <cell r="AG108">
            <v>0</v>
          </cell>
          <cell r="AH108">
            <v>274</v>
          </cell>
          <cell r="AI108">
            <v>126</v>
          </cell>
          <cell r="AJ108">
            <v>400</v>
          </cell>
          <cell r="AK108">
            <v>0</v>
          </cell>
          <cell r="AL108">
            <v>146</v>
          </cell>
          <cell r="AM108">
            <v>356</v>
          </cell>
          <cell r="AN108">
            <v>408</v>
          </cell>
          <cell r="AO108">
            <v>910</v>
          </cell>
          <cell r="AP108">
            <v>199.596</v>
          </cell>
          <cell r="AQ108">
            <v>136</v>
          </cell>
          <cell r="AR108">
            <v>91</v>
          </cell>
          <cell r="AS108">
            <v>285</v>
          </cell>
          <cell r="AT108">
            <v>711.596</v>
          </cell>
          <cell r="AU108">
            <v>289</v>
          </cell>
          <cell r="AV108">
            <v>494</v>
          </cell>
          <cell r="AW108">
            <v>438</v>
          </cell>
          <cell r="AX108">
            <v>366</v>
          </cell>
          <cell r="AY108">
            <v>1587</v>
          </cell>
          <cell r="AZ108">
            <v>188</v>
          </cell>
          <cell r="BA108">
            <v>0</v>
          </cell>
          <cell r="BB108">
            <v>86</v>
          </cell>
          <cell r="BC108">
            <v>304</v>
          </cell>
          <cell r="BD108">
            <v>578</v>
          </cell>
          <cell r="BE108">
            <v>149</v>
          </cell>
          <cell r="BF108">
            <v>169</v>
          </cell>
          <cell r="BG108">
            <v>249</v>
          </cell>
          <cell r="BH108">
            <v>228</v>
          </cell>
          <cell r="BI108">
            <v>795</v>
          </cell>
          <cell r="BJ108">
            <v>158</v>
          </cell>
          <cell r="BK108">
            <v>156</v>
          </cell>
          <cell r="BL108">
            <v>0</v>
          </cell>
          <cell r="BM108">
            <v>0</v>
          </cell>
          <cell r="BN108">
            <v>314</v>
          </cell>
          <cell r="BO108">
            <v>0</v>
          </cell>
          <cell r="BP108">
            <v>0</v>
          </cell>
          <cell r="BQ108">
            <v>0</v>
          </cell>
          <cell r="BR108">
            <v>0</v>
          </cell>
          <cell r="BS108">
            <v>0</v>
          </cell>
        </row>
        <row r="109">
          <cell r="A109" t="str">
            <v>Weighted average repurchase price</v>
          </cell>
          <cell r="Z109">
            <v>0</v>
          </cell>
          <cell r="AA109">
            <v>0</v>
          </cell>
          <cell r="AB109">
            <v>0</v>
          </cell>
          <cell r="AC109">
            <v>0</v>
          </cell>
          <cell r="AD109">
            <v>0</v>
          </cell>
          <cell r="AE109">
            <v>0</v>
          </cell>
          <cell r="AF109">
            <v>0</v>
          </cell>
          <cell r="AG109">
            <v>0</v>
          </cell>
          <cell r="AH109">
            <v>70.36</v>
          </cell>
          <cell r="AI109">
            <v>21.329269847181251</v>
          </cell>
          <cell r="AJ109">
            <v>68.22</v>
          </cell>
          <cell r="AK109">
            <v>67.67</v>
          </cell>
          <cell r="AL109">
            <v>67.67</v>
          </cell>
          <cell r="AM109">
            <v>72.12</v>
          </cell>
          <cell r="AN109">
            <v>78.58</v>
          </cell>
          <cell r="AO109">
            <v>24.689534282344859</v>
          </cell>
          <cell r="AP109">
            <v>25.58923076923077</v>
          </cell>
          <cell r="AQ109">
            <v>76.88</v>
          </cell>
          <cell r="AR109">
            <v>81.099999999999994</v>
          </cell>
          <cell r="AS109">
            <v>28.123745208979742</v>
          </cell>
          <cell r="AT109">
            <v>26.744719487823289</v>
          </cell>
          <cell r="AU109">
            <v>25.350877192982455</v>
          </cell>
          <cell r="AV109">
            <v>36.592592592592595</v>
          </cell>
          <cell r="AW109">
            <v>36.5</v>
          </cell>
          <cell r="AX109">
            <v>36.969696969696969</v>
          </cell>
          <cell r="AY109">
            <v>33.910256410256409</v>
          </cell>
          <cell r="AZ109">
            <v>39.166666666666671</v>
          </cell>
          <cell r="BA109">
            <v>0</v>
          </cell>
          <cell r="BB109">
            <v>40.952380952380949</v>
          </cell>
          <cell r="BC109">
            <v>38.974358974358978</v>
          </cell>
          <cell r="BD109">
            <v>39.319727891156461</v>
          </cell>
          <cell r="BE109">
            <v>39.210526315789473</v>
          </cell>
          <cell r="BF109">
            <v>43.333333333333336</v>
          </cell>
          <cell r="BG109">
            <v>43.684210526315788</v>
          </cell>
          <cell r="BH109">
            <v>49.565217391304351</v>
          </cell>
          <cell r="BI109">
            <v>44.166666666666664</v>
          </cell>
          <cell r="BJ109">
            <v>49.375</v>
          </cell>
          <cell r="BK109">
            <v>57.777777777777771</v>
          </cell>
          <cell r="BL109">
            <v>59.511111111111106</v>
          </cell>
          <cell r="BM109">
            <v>61.593999999999987</v>
          </cell>
          <cell r="BN109">
            <v>53.220338983050844</v>
          </cell>
          <cell r="BO109">
            <v>65.289639999999991</v>
          </cell>
          <cell r="BP109">
            <v>66.595432799999998</v>
          </cell>
          <cell r="BQ109">
            <v>67.927341455999994</v>
          </cell>
          <cell r="BR109">
            <v>69.285888285119995</v>
          </cell>
          <cell r="BS109">
            <v>67.274575635280002</v>
          </cell>
        </row>
        <row r="110">
          <cell r="A110" t="str">
            <v xml:space="preserve">   + Shares Repurchased</v>
          </cell>
          <cell r="Z110">
            <v>0</v>
          </cell>
          <cell r="AA110">
            <v>0</v>
          </cell>
          <cell r="AB110">
            <v>0</v>
          </cell>
          <cell r="AC110">
            <v>0</v>
          </cell>
          <cell r="AD110">
            <v>0</v>
          </cell>
          <cell r="AE110">
            <v>0</v>
          </cell>
          <cell r="AF110">
            <v>0</v>
          </cell>
          <cell r="AG110">
            <v>0</v>
          </cell>
          <cell r="AH110">
            <v>11.682774303581581</v>
          </cell>
          <cell r="AI110">
            <v>5.9073752126893089</v>
          </cell>
          <cell r="AJ110">
            <v>17.590149516270891</v>
          </cell>
          <cell r="AK110">
            <v>0</v>
          </cell>
          <cell r="AL110">
            <v>6.4725875572631884</v>
          </cell>
          <cell r="AM110">
            <v>14.808652246256241</v>
          </cell>
          <cell r="AN110">
            <v>15.576482565538306</v>
          </cell>
          <cell r="AO110">
            <v>36.85772236905774</v>
          </cell>
          <cell r="AP110">
            <v>7.8</v>
          </cell>
          <cell r="AQ110">
            <v>5.3069719042663897</v>
          </cell>
          <cell r="AR110">
            <v>3.3662145499383476</v>
          </cell>
          <cell r="AS110">
            <v>10.133785450061652</v>
          </cell>
          <cell r="AT110">
            <v>26.606971904266388</v>
          </cell>
          <cell r="AU110">
            <v>11.4</v>
          </cell>
          <cell r="AV110">
            <v>13.5</v>
          </cell>
          <cell r="AW110">
            <v>12</v>
          </cell>
          <cell r="AX110">
            <v>9.9</v>
          </cell>
          <cell r="AY110">
            <v>46.8</v>
          </cell>
          <cell r="AZ110">
            <v>4.8</v>
          </cell>
          <cell r="BA110">
            <v>0</v>
          </cell>
          <cell r="BB110">
            <v>2.1</v>
          </cell>
          <cell r="BC110">
            <v>7.8</v>
          </cell>
          <cell r="BD110">
            <v>14.7</v>
          </cell>
          <cell r="BE110">
            <v>3.8</v>
          </cell>
          <cell r="BF110">
            <v>3.9</v>
          </cell>
          <cell r="BG110">
            <v>5.7</v>
          </cell>
          <cell r="BH110">
            <v>4.5999999999999996</v>
          </cell>
          <cell r="BI110">
            <v>18</v>
          </cell>
          <cell r="BJ110">
            <v>3.2</v>
          </cell>
          <cell r="BK110">
            <v>2.7</v>
          </cell>
          <cell r="BL110">
            <v>0</v>
          </cell>
          <cell r="BM110">
            <v>0</v>
          </cell>
          <cell r="BN110">
            <v>5.9</v>
          </cell>
          <cell r="BO110">
            <v>0</v>
          </cell>
          <cell r="BP110">
            <v>0</v>
          </cell>
          <cell r="BQ110">
            <v>0</v>
          </cell>
          <cell r="BR110">
            <v>0</v>
          </cell>
          <cell r="BS110">
            <v>0</v>
          </cell>
        </row>
        <row r="111">
          <cell r="A111" t="str">
            <v xml:space="preserve">   + Shares issued / Other</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1.7999999999999998</v>
          </cell>
          <cell r="BA111">
            <v>0</v>
          </cell>
          <cell r="BB111">
            <v>-0.89999999999999991</v>
          </cell>
          <cell r="BC111">
            <v>-0.20000000000000018</v>
          </cell>
          <cell r="BD111">
            <v>0.69999999999999973</v>
          </cell>
          <cell r="BE111">
            <v>-0.20000000000000018</v>
          </cell>
          <cell r="BF111">
            <v>0.89999999999999991</v>
          </cell>
          <cell r="BG111">
            <v>-0.29999999999999982</v>
          </cell>
          <cell r="BH111">
            <v>0.59999999999999964</v>
          </cell>
          <cell r="BI111">
            <v>0.99999999999999956</v>
          </cell>
          <cell r="BJ111">
            <v>1.2000000000000002</v>
          </cell>
          <cell r="BK111">
            <v>-0.29999999999999982</v>
          </cell>
          <cell r="BL111">
            <v>0</v>
          </cell>
          <cell r="BM111">
            <v>4.7231000000010681E-2</v>
          </cell>
          <cell r="BN111">
            <v>0.94723100000001104</v>
          </cell>
          <cell r="BO111">
            <v>0</v>
          </cell>
          <cell r="BP111">
            <v>0</v>
          </cell>
          <cell r="BQ111">
            <v>0</v>
          </cell>
          <cell r="BR111">
            <v>0</v>
          </cell>
          <cell r="BS111">
            <v>0</v>
          </cell>
        </row>
        <row r="112">
          <cell r="A112" t="str">
            <v>Net Shares Repurchased</v>
          </cell>
          <cell r="Z112">
            <v>0</v>
          </cell>
          <cell r="AA112">
            <v>0</v>
          </cell>
          <cell r="AB112">
            <v>0</v>
          </cell>
          <cell r="AC112">
            <v>0</v>
          </cell>
          <cell r="AD112">
            <v>0</v>
          </cell>
          <cell r="AE112">
            <v>0</v>
          </cell>
          <cell r="AF112">
            <v>0.38758200000006582</v>
          </cell>
          <cell r="AG112">
            <v>-0.46935000000007676</v>
          </cell>
          <cell r="AH112">
            <v>11.682774303581596</v>
          </cell>
          <cell r="AI112">
            <v>5.9073752126893169</v>
          </cell>
          <cell r="AJ112">
            <v>17.508381516270902</v>
          </cell>
          <cell r="AK112">
            <v>0</v>
          </cell>
          <cell r="AL112">
            <v>6.4725875572631821</v>
          </cell>
          <cell r="AM112">
            <v>14.808652246256258</v>
          </cell>
          <cell r="AN112">
            <v>15.576482565538299</v>
          </cell>
          <cell r="AO112">
            <v>36.85772236905774</v>
          </cell>
          <cell r="AP112">
            <v>7.8000000000000114</v>
          </cell>
          <cell r="AQ112">
            <v>5.3069719042663905</v>
          </cell>
          <cell r="AR112">
            <v>3.36621454993832</v>
          </cell>
          <cell r="AS112">
            <v>10.133785450061623</v>
          </cell>
          <cell r="AT112">
            <v>26.606971904266345</v>
          </cell>
          <cell r="AU112">
            <v>11.399999999999977</v>
          </cell>
          <cell r="AV112">
            <v>13.5</v>
          </cell>
          <cell r="AW112">
            <v>12</v>
          </cell>
          <cell r="AX112">
            <v>7.8269242104050818</v>
          </cell>
          <cell r="AY112">
            <v>44.726924210405059</v>
          </cell>
          <cell r="AZ112">
            <v>3</v>
          </cell>
          <cell r="BA112">
            <v>0</v>
          </cell>
          <cell r="BB112">
            <v>3</v>
          </cell>
          <cell r="BC112">
            <v>8</v>
          </cell>
          <cell r="BD112">
            <v>14</v>
          </cell>
          <cell r="BE112">
            <v>4</v>
          </cell>
          <cell r="BF112">
            <v>3</v>
          </cell>
          <cell r="BG112">
            <v>6</v>
          </cell>
          <cell r="BH112">
            <v>4</v>
          </cell>
          <cell r="BI112">
            <v>17</v>
          </cell>
          <cell r="BJ112">
            <v>2</v>
          </cell>
          <cell r="BK112">
            <v>3</v>
          </cell>
          <cell r="BL112">
            <v>0</v>
          </cell>
          <cell r="BM112">
            <v>-4.7231000000010681E-2</v>
          </cell>
          <cell r="BN112">
            <v>4.9527689999999893</v>
          </cell>
          <cell r="BO112">
            <v>0</v>
          </cell>
          <cell r="BP112">
            <v>0</v>
          </cell>
          <cell r="BQ112">
            <v>0</v>
          </cell>
          <cell r="BR112">
            <v>0</v>
          </cell>
          <cell r="BS112">
            <v>0</v>
          </cell>
        </row>
        <row r="113">
          <cell r="A113" t="str">
            <v>Ending Basic Shares</v>
          </cell>
          <cell r="Z113">
            <v>0</v>
          </cell>
          <cell r="AA113">
            <v>0</v>
          </cell>
          <cell r="AB113">
            <v>0</v>
          </cell>
          <cell r="AC113">
            <v>0</v>
          </cell>
          <cell r="AD113">
            <v>0</v>
          </cell>
          <cell r="AE113">
            <v>0</v>
          </cell>
          <cell r="AF113">
            <v>0</v>
          </cell>
          <cell r="AG113">
            <v>0</v>
          </cell>
          <cell r="AH113">
            <v>35.048322910744744</v>
          </cell>
          <cell r="AI113">
            <v>17.722125638067926</v>
          </cell>
          <cell r="AJ113">
            <v>52.770448548812674</v>
          </cell>
          <cell r="AK113">
            <v>0</v>
          </cell>
          <cell r="AL113">
            <v>19.417762671789564</v>
          </cell>
          <cell r="AM113">
            <v>44.425956738768718</v>
          </cell>
          <cell r="AN113">
            <v>46.729447696614919</v>
          </cell>
          <cell r="AO113">
            <v>110.57316710717322</v>
          </cell>
          <cell r="AP113">
            <v>23.4</v>
          </cell>
          <cell r="AQ113">
            <v>15.920915712799168</v>
          </cell>
          <cell r="AR113">
            <v>10.098643649815042</v>
          </cell>
          <cell r="AS113">
            <v>30.401356350184955</v>
          </cell>
          <cell r="AT113">
            <v>79.820915712799163</v>
          </cell>
          <cell r="AU113">
            <v>34.200000000000003</v>
          </cell>
          <cell r="AV113">
            <v>40.5</v>
          </cell>
          <cell r="AW113">
            <v>36</v>
          </cell>
          <cell r="AX113">
            <v>29.700000000000003</v>
          </cell>
          <cell r="AY113">
            <v>140.39999999999998</v>
          </cell>
          <cell r="AZ113">
            <v>14.399999999999999</v>
          </cell>
          <cell r="BA113">
            <v>0</v>
          </cell>
          <cell r="BB113">
            <v>6.3000000000000007</v>
          </cell>
          <cell r="BC113">
            <v>382</v>
          </cell>
          <cell r="BD113">
            <v>379.29713697636254</v>
          </cell>
          <cell r="BE113">
            <v>378</v>
          </cell>
          <cell r="BF113">
            <v>375</v>
          </cell>
          <cell r="BG113">
            <v>371.51162790697674</v>
          </cell>
          <cell r="BH113">
            <v>368.34358056969864</v>
          </cell>
          <cell r="BI113">
            <v>362.72908963908441</v>
          </cell>
        </row>
        <row r="114">
          <cell r="A114" t="str">
            <v>Beginning Basic Shares</v>
          </cell>
          <cell r="Z114">
            <v>0</v>
          </cell>
          <cell r="AA114">
            <v>0</v>
          </cell>
          <cell r="AB114">
            <v>0</v>
          </cell>
          <cell r="AC114">
            <v>0</v>
          </cell>
          <cell r="AD114">
            <v>0</v>
          </cell>
          <cell r="AE114">
            <v>0</v>
          </cell>
          <cell r="AF114">
            <v>521.70000000000005</v>
          </cell>
          <cell r="AG114">
            <v>521.31241799999998</v>
          </cell>
          <cell r="AH114">
            <v>521.78176800000006</v>
          </cell>
          <cell r="AI114">
            <v>510.09899369641846</v>
          </cell>
          <cell r="AJ114">
            <v>521.70000000000005</v>
          </cell>
          <cell r="AK114">
            <v>504.19161848372914</v>
          </cell>
          <cell r="AL114">
            <v>504.19161848372914</v>
          </cell>
          <cell r="AM114">
            <v>497.71903092646596</v>
          </cell>
          <cell r="AN114">
            <v>482.9103786802097</v>
          </cell>
          <cell r="AO114">
            <v>504.19161848372914</v>
          </cell>
          <cell r="AP114">
            <v>467.3338961146714</v>
          </cell>
          <cell r="AQ114">
            <v>459.53389611467139</v>
          </cell>
          <cell r="AR114">
            <v>454.226924210405</v>
          </cell>
          <cell r="AS114">
            <v>450.86070966046668</v>
          </cell>
          <cell r="AT114">
            <v>467.3338961146714</v>
          </cell>
          <cell r="AU114">
            <v>440.72692421040506</v>
          </cell>
          <cell r="AV114">
            <v>429.32692421040508</v>
          </cell>
          <cell r="AW114">
            <v>415.82692421040508</v>
          </cell>
          <cell r="AX114">
            <v>403.82692421040508</v>
          </cell>
          <cell r="AY114">
            <v>440.72692421040506</v>
          </cell>
          <cell r="AZ114">
            <v>396</v>
          </cell>
          <cell r="BA114">
            <v>393</v>
          </cell>
          <cell r="BB114">
            <v>393</v>
          </cell>
          <cell r="BC114">
            <v>390</v>
          </cell>
          <cell r="BD114">
            <v>396</v>
          </cell>
          <cell r="BE114">
            <v>382</v>
          </cell>
          <cell r="BF114">
            <v>378</v>
          </cell>
          <cell r="BG114">
            <v>375</v>
          </cell>
          <cell r="BH114">
            <v>369</v>
          </cell>
          <cell r="BI114">
            <v>382</v>
          </cell>
          <cell r="BJ114">
            <v>365</v>
          </cell>
          <cell r="BK114">
            <v>363</v>
          </cell>
          <cell r="BL114">
            <v>360</v>
          </cell>
          <cell r="BM114">
            <v>360</v>
          </cell>
          <cell r="BN114">
            <v>365</v>
          </cell>
          <cell r="BO114">
            <v>360.04723100000001</v>
          </cell>
          <cell r="BP114">
            <v>360.04723100000001</v>
          </cell>
          <cell r="BQ114">
            <v>360.04723100000001</v>
          </cell>
          <cell r="BR114">
            <v>360.04723100000001</v>
          </cell>
          <cell r="BS114">
            <v>360.04723100000001</v>
          </cell>
        </row>
        <row r="115">
          <cell r="A115" t="str">
            <v>Ending Basic Shares</v>
          </cell>
          <cell r="Z115">
            <v>0</v>
          </cell>
          <cell r="AA115">
            <v>0</v>
          </cell>
          <cell r="AB115">
            <v>0</v>
          </cell>
          <cell r="AC115">
            <v>0</v>
          </cell>
          <cell r="AD115">
            <v>0</v>
          </cell>
          <cell r="AE115">
            <v>0</v>
          </cell>
          <cell r="AF115">
            <v>521.31241799999998</v>
          </cell>
          <cell r="AG115">
            <v>521.78176800000006</v>
          </cell>
          <cell r="AH115">
            <v>510.09899369641846</v>
          </cell>
          <cell r="AI115">
            <v>504.19161848372914</v>
          </cell>
          <cell r="AJ115">
            <v>504.19161848372914</v>
          </cell>
          <cell r="AK115">
            <v>504.19161848372914</v>
          </cell>
          <cell r="AL115">
            <v>497.71903092646596</v>
          </cell>
          <cell r="AM115">
            <v>482.9103786802097</v>
          </cell>
          <cell r="AN115">
            <v>467.3338961146714</v>
          </cell>
          <cell r="AO115">
            <v>467.3338961146714</v>
          </cell>
          <cell r="AP115">
            <v>459.53389611467139</v>
          </cell>
          <cell r="AQ115">
            <v>454.226924210405</v>
          </cell>
          <cell r="AR115">
            <v>450.86070966046668</v>
          </cell>
          <cell r="AS115">
            <v>440.72692421040506</v>
          </cell>
          <cell r="AT115">
            <v>440.72692421040506</v>
          </cell>
          <cell r="AU115">
            <v>429.32692421040508</v>
          </cell>
          <cell r="AV115">
            <v>415.82692421040508</v>
          </cell>
          <cell r="AW115">
            <v>403.82692421040508</v>
          </cell>
          <cell r="AX115">
            <v>396</v>
          </cell>
          <cell r="AY115">
            <v>396</v>
          </cell>
          <cell r="AZ115">
            <v>393</v>
          </cell>
          <cell r="BA115">
            <v>393</v>
          </cell>
          <cell r="BB115">
            <v>390</v>
          </cell>
          <cell r="BC115">
            <v>382</v>
          </cell>
          <cell r="BD115">
            <v>382</v>
          </cell>
          <cell r="BE115">
            <v>378</v>
          </cell>
          <cell r="BF115">
            <v>375</v>
          </cell>
          <cell r="BG115">
            <v>369</v>
          </cell>
          <cell r="BH115">
            <v>365</v>
          </cell>
          <cell r="BI115">
            <v>365</v>
          </cell>
          <cell r="BJ115">
            <v>363</v>
          </cell>
          <cell r="BK115">
            <v>360</v>
          </cell>
          <cell r="BL115">
            <v>360</v>
          </cell>
          <cell r="BM115">
            <v>360.04723100000001</v>
          </cell>
          <cell r="BN115">
            <v>360.04723100000001</v>
          </cell>
          <cell r="BO115">
            <v>360.04723100000001</v>
          </cell>
          <cell r="BP115">
            <v>360.04723100000001</v>
          </cell>
          <cell r="BQ115">
            <v>360.04723100000001</v>
          </cell>
          <cell r="BR115">
            <v>360.04723100000001</v>
          </cell>
          <cell r="BS115">
            <v>360.04723100000001</v>
          </cell>
        </row>
        <row r="116">
          <cell r="A116" t="str">
            <v xml:space="preserve">   + Impact of Dilution</v>
          </cell>
          <cell r="Z116">
            <v>0</v>
          </cell>
          <cell r="AA116">
            <v>0</v>
          </cell>
          <cell r="AB116">
            <v>0</v>
          </cell>
          <cell r="AC116">
            <v>0</v>
          </cell>
          <cell r="AD116">
            <v>0</v>
          </cell>
          <cell r="AE116">
            <v>0</v>
          </cell>
          <cell r="AF116">
            <v>0</v>
          </cell>
          <cell r="AG116">
            <v>0</v>
          </cell>
          <cell r="AH116">
            <v>0.36000000000001364</v>
          </cell>
          <cell r="AI116">
            <v>0.36000000000001364</v>
          </cell>
          <cell r="AJ116">
            <v>0.36000000000001364</v>
          </cell>
          <cell r="AK116">
            <v>0.33000000000004093</v>
          </cell>
          <cell r="AL116">
            <v>0.33000000000004093</v>
          </cell>
          <cell r="AM116">
            <v>0.33000000000004093</v>
          </cell>
          <cell r="AN116">
            <v>0.33000000000004093</v>
          </cell>
          <cell r="AO116">
            <v>0.42000000000001592</v>
          </cell>
          <cell r="AP116">
            <v>0.51000000000004775</v>
          </cell>
          <cell r="AQ116">
            <v>0.54000000000002046</v>
          </cell>
          <cell r="AR116">
            <v>0.62999999999999545</v>
          </cell>
          <cell r="AS116">
            <v>0.80999999999994543</v>
          </cell>
          <cell r="AT116">
            <v>0.60000000000002274</v>
          </cell>
          <cell r="AU116">
            <v>0.42000000000001592</v>
          </cell>
          <cell r="AV116">
            <v>0.50999999999999091</v>
          </cell>
          <cell r="AW116">
            <v>0.50999999999999091</v>
          </cell>
          <cell r="AX116">
            <v>0.50999999999999091</v>
          </cell>
          <cell r="AY116">
            <v>1.4700000000000273</v>
          </cell>
          <cell r="AZ116">
            <v>0.95999999999997954</v>
          </cell>
          <cell r="BA116">
            <v>0.93000000000000682</v>
          </cell>
          <cell r="BB116">
            <v>0.84000000000003183</v>
          </cell>
          <cell r="BC116">
            <v>0.78999999999996362</v>
          </cell>
          <cell r="BD116">
            <v>0.78999999999996362</v>
          </cell>
          <cell r="BE116">
            <v>0.80000000000001137</v>
          </cell>
          <cell r="BF116">
            <v>0.75</v>
          </cell>
          <cell r="BG116">
            <v>0.75999999999999091</v>
          </cell>
          <cell r="BH116">
            <v>0.75999999999999091</v>
          </cell>
          <cell r="BI116">
            <v>0.75999999999999091</v>
          </cell>
        </row>
        <row r="117">
          <cell r="A117" t="str">
            <v>Avg Basic Shares</v>
          </cell>
          <cell r="Z117">
            <v>0</v>
          </cell>
          <cell r="AA117">
            <v>0</v>
          </cell>
          <cell r="AB117">
            <v>0</v>
          </cell>
          <cell r="AC117">
            <v>0</v>
          </cell>
          <cell r="AD117">
            <v>0</v>
          </cell>
          <cell r="AE117">
            <v>0</v>
          </cell>
          <cell r="AF117">
            <v>521.31241799999998</v>
          </cell>
          <cell r="AG117">
            <v>521.78176800000006</v>
          </cell>
          <cell r="AH117">
            <v>517.11</v>
          </cell>
          <cell r="AI117">
            <v>507.1453060900738</v>
          </cell>
          <cell r="AJ117">
            <v>516.27</v>
          </cell>
          <cell r="AK117">
            <v>504.21</v>
          </cell>
          <cell r="AL117">
            <v>500.95532470509755</v>
          </cell>
          <cell r="AM117">
            <v>490.3147048033378</v>
          </cell>
          <cell r="AN117">
            <v>475.12213739744055</v>
          </cell>
          <cell r="AO117">
            <v>493.44</v>
          </cell>
          <cell r="AP117">
            <v>463.65</v>
          </cell>
          <cell r="AQ117">
            <v>456.12</v>
          </cell>
          <cell r="AR117">
            <v>453.99</v>
          </cell>
          <cell r="AS117">
            <v>445.47</v>
          </cell>
          <cell r="AT117">
            <v>454.77</v>
          </cell>
          <cell r="AU117">
            <v>434.4</v>
          </cell>
          <cell r="AV117">
            <v>425.37</v>
          </cell>
          <cell r="AW117">
            <v>410.22</v>
          </cell>
          <cell r="AX117">
            <v>399.78</v>
          </cell>
          <cell r="AY117">
            <v>417.33</v>
          </cell>
          <cell r="AZ117">
            <v>391.44</v>
          </cell>
          <cell r="BA117">
            <v>390.54</v>
          </cell>
          <cell r="BB117">
            <v>390.21</v>
          </cell>
          <cell r="BC117">
            <v>384.8</v>
          </cell>
          <cell r="BD117">
            <v>389.27</v>
          </cell>
          <cell r="BE117">
            <v>378.62</v>
          </cell>
          <cell r="BF117">
            <v>375.86</v>
          </cell>
          <cell r="BG117">
            <v>371.01</v>
          </cell>
          <cell r="BH117">
            <v>366.53</v>
          </cell>
          <cell r="BI117">
            <v>372.96</v>
          </cell>
          <cell r="BJ117">
            <v>362.12</v>
          </cell>
          <cell r="BK117">
            <v>360.31</v>
          </cell>
          <cell r="BL117">
            <v>359.06</v>
          </cell>
          <cell r="BM117">
            <v>359.07</v>
          </cell>
          <cell r="BN117">
            <v>360.14</v>
          </cell>
          <cell r="BO117">
            <v>360.04723100000001</v>
          </cell>
          <cell r="BP117">
            <v>360.04723100000001</v>
          </cell>
          <cell r="BQ117">
            <v>360.04723100000001</v>
          </cell>
          <cell r="BR117">
            <v>360.04723100000001</v>
          </cell>
          <cell r="BS117">
            <v>360.04723100000001</v>
          </cell>
          <cell r="HL117">
            <v>6</v>
          </cell>
          <cell r="HM117" t="str">
            <v>ISO4217:USD</v>
          </cell>
          <cell r="HN117" t="b">
            <v>0</v>
          </cell>
        </row>
        <row r="118">
          <cell r="A118" t="str">
            <v xml:space="preserve">   + Impact of Dilution</v>
          </cell>
          <cell r="Q118">
            <v>8.2139889999999998</v>
          </cell>
          <cell r="R118">
            <v>9.3954470000000008</v>
          </cell>
          <cell r="S118">
            <v>9.1005230000000008</v>
          </cell>
          <cell r="T118">
            <v>8.4837130000000016</v>
          </cell>
          <cell r="U118">
            <v>35.193671999999985</v>
          </cell>
          <cell r="V118">
            <v>8.4681119999999996</v>
          </cell>
          <cell r="W118">
            <v>9.1415699999999998</v>
          </cell>
          <cell r="X118">
            <v>9.6225569999999987</v>
          </cell>
          <cell r="Y118">
            <v>8.8986229999999988</v>
          </cell>
          <cell r="Z118">
            <v>0</v>
          </cell>
          <cell r="AA118">
            <v>0</v>
          </cell>
          <cell r="AB118">
            <v>0</v>
          </cell>
          <cell r="AC118">
            <v>0</v>
          </cell>
          <cell r="AD118">
            <v>0</v>
          </cell>
          <cell r="AE118">
            <v>0</v>
          </cell>
          <cell r="AF118">
            <v>0</v>
          </cell>
          <cell r="AG118">
            <v>0</v>
          </cell>
          <cell r="AH118">
            <v>0.36000000000001364</v>
          </cell>
          <cell r="AI118">
            <v>0.36000000000001364</v>
          </cell>
          <cell r="AJ118">
            <v>0.36000000000001364</v>
          </cell>
          <cell r="AK118">
            <v>0.33000000000004093</v>
          </cell>
          <cell r="AL118">
            <v>0.33000000000004093</v>
          </cell>
          <cell r="AM118">
            <v>0.33000000000004093</v>
          </cell>
          <cell r="AN118">
            <v>0.33000000000004093</v>
          </cell>
          <cell r="AO118">
            <v>0.42000000000001592</v>
          </cell>
          <cell r="AP118">
            <v>0.51000000000004775</v>
          </cell>
          <cell r="AQ118">
            <v>0.54000000000002046</v>
          </cell>
          <cell r="AR118">
            <v>0.62999999999999545</v>
          </cell>
          <cell r="AS118">
            <v>0.80999999999994543</v>
          </cell>
          <cell r="AT118">
            <v>0.60000000000002274</v>
          </cell>
          <cell r="AU118">
            <v>0.42000000000001592</v>
          </cell>
          <cell r="AV118">
            <v>0.50999999999999091</v>
          </cell>
          <cell r="AW118">
            <v>0.50999999999999091</v>
          </cell>
          <cell r="AX118">
            <v>0.50999999999999091</v>
          </cell>
          <cell r="AY118">
            <v>1.4700000000000273</v>
          </cell>
          <cell r="AZ118">
            <v>0.95999999999997954</v>
          </cell>
          <cell r="BA118">
            <v>0.93000000000000682</v>
          </cell>
          <cell r="BB118">
            <v>0.84000000000003183</v>
          </cell>
          <cell r="BC118">
            <v>0.78999999999996362</v>
          </cell>
          <cell r="BD118">
            <v>0.78999999999996362</v>
          </cell>
          <cell r="BE118">
            <v>0.80000000000001137</v>
          </cell>
          <cell r="BF118">
            <v>0.75</v>
          </cell>
          <cell r="BG118">
            <v>0.75999999999999091</v>
          </cell>
          <cell r="BH118">
            <v>0.66000000000002501</v>
          </cell>
          <cell r="BI118">
            <v>0.77000000000003865</v>
          </cell>
          <cell r="BJ118">
            <v>0.58999999999997499</v>
          </cell>
          <cell r="BK118">
            <v>0.62000000000000455</v>
          </cell>
          <cell r="BL118">
            <v>0.62000000000000455</v>
          </cell>
          <cell r="BM118">
            <v>0.62999999999999545</v>
          </cell>
          <cell r="BN118">
            <v>0.62000000000000455</v>
          </cell>
          <cell r="BO118">
            <v>0.62999999999999545</v>
          </cell>
          <cell r="BP118">
            <v>0.62999999999999545</v>
          </cell>
          <cell r="BQ118">
            <v>0.62999999999999545</v>
          </cell>
          <cell r="BR118">
            <v>0.62999999999999545</v>
          </cell>
          <cell r="BS118">
            <v>0.62999999999999545</v>
          </cell>
        </row>
        <row r="119">
          <cell r="A119" t="str">
            <v>Avg Diluted Shares</v>
          </cell>
          <cell r="Q119">
            <v>87.941999999999993</v>
          </cell>
          <cell r="R119">
            <v>99.975999999999999</v>
          </cell>
          <cell r="S119">
            <v>99.257999999999996</v>
          </cell>
          <cell r="T119">
            <v>94.552000000000021</v>
          </cell>
          <cell r="U119">
            <v>381.72800000000001</v>
          </cell>
          <cell r="V119">
            <v>87.99</v>
          </cell>
          <cell r="W119">
            <v>97.126999999999995</v>
          </cell>
          <cell r="X119">
            <v>96.417000000000002</v>
          </cell>
          <cell r="Y119">
            <v>94.466000000000008</v>
          </cell>
          <cell r="Z119">
            <v>0</v>
          </cell>
          <cell r="AA119">
            <v>0</v>
          </cell>
          <cell r="AB119">
            <v>0</v>
          </cell>
          <cell r="AC119">
            <v>0</v>
          </cell>
          <cell r="AD119">
            <v>0</v>
          </cell>
          <cell r="AE119">
            <v>0</v>
          </cell>
          <cell r="AF119">
            <v>521.31241799999998</v>
          </cell>
          <cell r="AG119">
            <v>521.78176800000006</v>
          </cell>
          <cell r="AH119">
            <v>517.47</v>
          </cell>
          <cell r="AI119">
            <v>507.50530609007382</v>
          </cell>
          <cell r="AJ119">
            <v>516.63</v>
          </cell>
          <cell r="AK119">
            <v>504.54</v>
          </cell>
          <cell r="AL119">
            <v>501.28532470509759</v>
          </cell>
          <cell r="AM119">
            <v>490.64470480333785</v>
          </cell>
          <cell r="AN119">
            <v>475.45213739744059</v>
          </cell>
          <cell r="AO119">
            <v>493.86</v>
          </cell>
          <cell r="AP119">
            <v>464.16</v>
          </cell>
          <cell r="AQ119">
            <v>456.66</v>
          </cell>
          <cell r="AR119">
            <v>454.62</v>
          </cell>
          <cell r="AS119">
            <v>446.28</v>
          </cell>
          <cell r="AT119">
            <v>455.37</v>
          </cell>
          <cell r="AU119">
            <v>434.82</v>
          </cell>
          <cell r="AV119">
            <v>425.88</v>
          </cell>
          <cell r="AW119">
            <v>411.06</v>
          </cell>
          <cell r="AX119">
            <v>400.69200000000001</v>
          </cell>
          <cell r="AY119">
            <v>418.8</v>
          </cell>
          <cell r="AZ119">
            <v>392.4</v>
          </cell>
          <cell r="BA119">
            <v>391.47</v>
          </cell>
          <cell r="BB119">
            <v>391.05</v>
          </cell>
          <cell r="BC119">
            <v>385.59</v>
          </cell>
          <cell r="BD119">
            <v>390.13</v>
          </cell>
          <cell r="BE119">
            <v>379.42</v>
          </cell>
          <cell r="BF119">
            <v>376.61</v>
          </cell>
          <cell r="BG119">
            <v>371.77</v>
          </cell>
          <cell r="BH119">
            <v>367.19</v>
          </cell>
          <cell r="BI119">
            <v>373.73</v>
          </cell>
          <cell r="BJ119">
            <v>362.71</v>
          </cell>
          <cell r="BK119">
            <v>360.93</v>
          </cell>
          <cell r="BL119">
            <v>359.68</v>
          </cell>
          <cell r="BM119">
            <v>359.7</v>
          </cell>
          <cell r="BN119">
            <v>360.76</v>
          </cell>
          <cell r="BO119">
            <v>360.67723100000001</v>
          </cell>
          <cell r="BP119">
            <v>360.67723100000001</v>
          </cell>
          <cell r="BQ119">
            <v>360.67723100000001</v>
          </cell>
          <cell r="BR119">
            <v>360.67723100000001</v>
          </cell>
          <cell r="BS119">
            <v>360.67723100000001</v>
          </cell>
        </row>
        <row r="120">
          <cell r="A120" t="str">
            <v>May 2009 - $250 MM</v>
          </cell>
          <cell r="Q120">
            <v>9.3000000000000007</v>
          </cell>
          <cell r="R120">
            <v>9.4</v>
          </cell>
          <cell r="S120">
            <v>9.1999999999999993</v>
          </cell>
          <cell r="T120">
            <v>8.899999999999995</v>
          </cell>
          <cell r="U120">
            <v>9.1999999999999993</v>
          </cell>
          <cell r="V120">
            <v>9.6</v>
          </cell>
          <cell r="W120">
            <v>9.4</v>
          </cell>
          <cell r="X120">
            <v>10</v>
          </cell>
          <cell r="Y120">
            <v>9.3999999999999986</v>
          </cell>
          <cell r="Z120">
            <v>9.6</v>
          </cell>
          <cell r="AA120">
            <v>10.1</v>
          </cell>
          <cell r="AB120">
            <v>10.199999999999999</v>
          </cell>
          <cell r="AC120">
            <v>10</v>
          </cell>
          <cell r="AD120">
            <v>9.7000000000000028</v>
          </cell>
          <cell r="AE120">
            <v>10</v>
          </cell>
          <cell r="AF120">
            <v>10.5</v>
          </cell>
          <cell r="AG120">
            <v>10.6</v>
          </cell>
          <cell r="AH120">
            <v>10.8</v>
          </cell>
          <cell r="AI120">
            <v>10.899999999999995</v>
          </cell>
          <cell r="AJ120">
            <v>10.7</v>
          </cell>
          <cell r="AK120">
            <v>10.5</v>
          </cell>
          <cell r="AL120">
            <v>146</v>
          </cell>
          <cell r="AM120">
            <v>104</v>
          </cell>
          <cell r="AN120">
            <v>11.700000000000003</v>
          </cell>
          <cell r="AO120">
            <v>11.3</v>
          </cell>
          <cell r="AP120">
            <v>12.1</v>
          </cell>
          <cell r="AQ120">
            <v>12.2</v>
          </cell>
          <cell r="AR120">
            <v>12.4</v>
          </cell>
          <cell r="AS120">
            <v>12.500000000000007</v>
          </cell>
          <cell r="AT120">
            <v>12.3</v>
          </cell>
          <cell r="AU120">
            <v>13.7</v>
          </cell>
          <cell r="AV120">
            <v>14.2</v>
          </cell>
          <cell r="AW120">
            <v>14.2</v>
          </cell>
          <cell r="AX120">
            <v>14.300000000000004</v>
          </cell>
          <cell r="AY120">
            <v>14.1</v>
          </cell>
          <cell r="AZ120">
            <v>14.5</v>
          </cell>
        </row>
        <row r="121">
          <cell r="A121" t="str">
            <v>July 2008 - $400 MM</v>
          </cell>
          <cell r="Q121">
            <v>95.5</v>
          </cell>
          <cell r="R121">
            <v>95.3</v>
          </cell>
          <cell r="S121">
            <v>95</v>
          </cell>
          <cell r="T121">
            <v>95</v>
          </cell>
          <cell r="U121">
            <v>95.2</v>
          </cell>
          <cell r="V121">
            <v>95.1</v>
          </cell>
          <cell r="W121">
            <v>94.8</v>
          </cell>
          <cell r="X121">
            <v>94.7</v>
          </cell>
          <cell r="Y121">
            <v>94.600000000000023</v>
          </cell>
          <cell r="Z121">
            <v>94.8</v>
          </cell>
          <cell r="AA121">
            <v>94.9</v>
          </cell>
          <cell r="AB121">
            <v>94.7</v>
          </cell>
          <cell r="AC121">
            <v>94.3</v>
          </cell>
          <cell r="AD121">
            <v>93.299999999999955</v>
          </cell>
          <cell r="AE121">
            <v>94.3</v>
          </cell>
          <cell r="AF121">
            <v>93.3</v>
          </cell>
          <cell r="AG121">
            <v>92.9</v>
          </cell>
          <cell r="AH121">
            <v>274</v>
          </cell>
          <cell r="AI121">
            <v>126</v>
          </cell>
          <cell r="AJ121">
            <v>92.3</v>
          </cell>
          <cell r="AK121">
            <v>90.3</v>
          </cell>
          <cell r="AL121">
            <v>89.5</v>
          </cell>
          <cell r="AM121">
            <v>252</v>
          </cell>
          <cell r="AN121">
            <v>408</v>
          </cell>
          <cell r="AO121">
            <v>88.9</v>
          </cell>
          <cell r="AP121">
            <v>90</v>
          </cell>
          <cell r="AQ121">
            <v>86.8</v>
          </cell>
          <cell r="AR121">
            <v>85.2</v>
          </cell>
          <cell r="AS121">
            <v>85.399999999999977</v>
          </cell>
          <cell r="AT121">
            <v>86.3</v>
          </cell>
          <cell r="AU121">
            <v>86.3</v>
          </cell>
          <cell r="AV121">
            <v>86</v>
          </cell>
          <cell r="AW121">
            <v>84.9</v>
          </cell>
          <cell r="AX121">
            <v>85.199999999999932</v>
          </cell>
          <cell r="AY121">
            <v>85.6</v>
          </cell>
        </row>
        <row r="122">
          <cell r="A122" t="str">
            <v>May 2009 - $250 MM</v>
          </cell>
          <cell r="Q122">
            <v>12.5</v>
          </cell>
          <cell r="R122">
            <v>12.5</v>
          </cell>
          <cell r="S122">
            <v>12.3</v>
          </cell>
          <cell r="T122">
            <v>11.900000000000006</v>
          </cell>
          <cell r="U122">
            <v>12.3</v>
          </cell>
          <cell r="V122">
            <v>12.7</v>
          </cell>
          <cell r="W122">
            <v>12.4</v>
          </cell>
          <cell r="X122">
            <v>13</v>
          </cell>
          <cell r="Y122">
            <v>12.699999999999996</v>
          </cell>
          <cell r="Z122">
            <v>12.7</v>
          </cell>
          <cell r="AA122">
            <v>13.1</v>
          </cell>
          <cell r="AB122">
            <v>13.1</v>
          </cell>
          <cell r="AC122">
            <v>12.9</v>
          </cell>
          <cell r="AD122">
            <v>12.899999999999999</v>
          </cell>
          <cell r="AE122">
            <v>13</v>
          </cell>
          <cell r="AF122">
            <v>13.3</v>
          </cell>
          <cell r="AG122">
            <v>13.5</v>
          </cell>
          <cell r="AH122">
            <v>13.7</v>
          </cell>
          <cell r="AI122">
            <v>13.899999999999999</v>
          </cell>
          <cell r="AJ122">
            <v>13.6</v>
          </cell>
          <cell r="AK122">
            <v>13.5</v>
          </cell>
          <cell r="AL122">
            <v>146</v>
          </cell>
          <cell r="AM122">
            <v>104</v>
          </cell>
          <cell r="AN122">
            <v>14.5</v>
          </cell>
          <cell r="AO122">
            <v>14.2</v>
          </cell>
          <cell r="AP122">
            <v>109.596</v>
          </cell>
          <cell r="AQ122">
            <v>140.404</v>
          </cell>
          <cell r="AR122">
            <v>15.1</v>
          </cell>
          <cell r="AS122">
            <v>15.599999999999994</v>
          </cell>
          <cell r="AT122">
            <v>15.2</v>
          </cell>
          <cell r="AU122">
            <v>16.8</v>
          </cell>
          <cell r="AV122">
            <v>16.600000000000001</v>
          </cell>
          <cell r="AW122">
            <v>16.5</v>
          </cell>
          <cell r="AX122">
            <v>16.099999999999994</v>
          </cell>
          <cell r="AY122">
            <v>16.5</v>
          </cell>
        </row>
        <row r="123">
          <cell r="A123" t="str">
            <v>July 2009 - $750 MM</v>
          </cell>
          <cell r="Q123">
            <v>8.6</v>
          </cell>
          <cell r="R123">
            <v>8.6</v>
          </cell>
          <cell r="S123">
            <v>8.4</v>
          </cell>
          <cell r="T123">
            <v>8</v>
          </cell>
          <cell r="U123">
            <v>8.4</v>
          </cell>
          <cell r="V123">
            <v>8.8000000000000007</v>
          </cell>
          <cell r="W123">
            <v>8.6</v>
          </cell>
          <cell r="X123">
            <v>9.1</v>
          </cell>
          <cell r="Y123">
            <v>8.7000000000000028</v>
          </cell>
          <cell r="Z123">
            <v>8.8000000000000007</v>
          </cell>
          <cell r="AA123">
            <v>9.3000000000000007</v>
          </cell>
          <cell r="AB123">
            <v>9.4</v>
          </cell>
          <cell r="AC123">
            <v>9.1</v>
          </cell>
          <cell r="AD123">
            <v>8.9999999999999929</v>
          </cell>
          <cell r="AE123">
            <v>9.1999999999999993</v>
          </cell>
          <cell r="AF123">
            <v>9.5</v>
          </cell>
          <cell r="AG123">
            <v>9.6</v>
          </cell>
          <cell r="AH123">
            <v>9.6999999999999993</v>
          </cell>
          <cell r="AI123">
            <v>9.9999999999999964</v>
          </cell>
          <cell r="AJ123">
            <v>9.6999999999999993</v>
          </cell>
          <cell r="AK123">
            <v>9.3000000000000007</v>
          </cell>
          <cell r="AL123">
            <v>10</v>
          </cell>
          <cell r="AM123">
            <v>252</v>
          </cell>
          <cell r="AN123">
            <v>408</v>
          </cell>
          <cell r="AO123">
            <v>9.8000000000000007</v>
          </cell>
          <cell r="AP123">
            <v>90</v>
          </cell>
          <cell r="AQ123">
            <v>10.4</v>
          </cell>
          <cell r="AR123">
            <v>10.4</v>
          </cell>
          <cell r="AS123">
            <v>10.799999999999997</v>
          </cell>
          <cell r="AT123">
            <v>10.5</v>
          </cell>
          <cell r="AU123">
            <v>11.7</v>
          </cell>
          <cell r="AV123">
            <v>12</v>
          </cell>
          <cell r="AW123">
            <v>11.9</v>
          </cell>
          <cell r="AX123">
            <v>12</v>
          </cell>
          <cell r="AY123">
            <v>11.9</v>
          </cell>
          <cell r="AZ123">
            <v>12.2</v>
          </cell>
        </row>
        <row r="124">
          <cell r="A124" t="str">
            <v>Feb 2009 - $250 MM</v>
          </cell>
          <cell r="Q124">
            <v>12</v>
          </cell>
          <cell r="R124">
            <v>12</v>
          </cell>
          <cell r="S124">
            <v>11.8</v>
          </cell>
          <cell r="T124">
            <v>11.800000000000004</v>
          </cell>
          <cell r="U124">
            <v>11.9</v>
          </cell>
          <cell r="V124">
            <v>12.2</v>
          </cell>
          <cell r="W124">
            <v>11.9</v>
          </cell>
          <cell r="X124">
            <v>12.6</v>
          </cell>
          <cell r="Y124">
            <v>12.099999999999994</v>
          </cell>
          <cell r="Z124">
            <v>12.2</v>
          </cell>
          <cell r="AA124">
            <v>12.7</v>
          </cell>
          <cell r="AB124">
            <v>12.8</v>
          </cell>
          <cell r="AC124">
            <v>12.5</v>
          </cell>
          <cell r="AD124">
            <v>12.399999999999999</v>
          </cell>
          <cell r="AE124">
            <v>12.6</v>
          </cell>
          <cell r="AF124">
            <v>13</v>
          </cell>
          <cell r="AG124">
            <v>13.2</v>
          </cell>
          <cell r="AH124">
            <v>13.4</v>
          </cell>
          <cell r="AI124">
            <v>13.600000000000001</v>
          </cell>
          <cell r="AJ124">
            <v>13.3</v>
          </cell>
          <cell r="AK124">
            <v>13.2</v>
          </cell>
          <cell r="AL124">
            <v>14</v>
          </cell>
          <cell r="AM124">
            <v>2.5</v>
          </cell>
          <cell r="AN124">
            <v>6.5</v>
          </cell>
          <cell r="AO124">
            <v>9</v>
          </cell>
          <cell r="AP124">
            <v>109.596</v>
          </cell>
          <cell r="AQ124">
            <v>140.404</v>
          </cell>
          <cell r="AR124">
            <v>7</v>
          </cell>
          <cell r="AS124">
            <v>15.200000000000003</v>
          </cell>
          <cell r="AT124">
            <v>14.9</v>
          </cell>
          <cell r="AU124">
            <v>16.600000000000001</v>
          </cell>
          <cell r="AV124">
            <v>16.399999999999999</v>
          </cell>
          <cell r="AW124">
            <v>16.3</v>
          </cell>
          <cell r="AX124">
            <v>15.900000000000006</v>
          </cell>
          <cell r="AY124">
            <v>16.3</v>
          </cell>
        </row>
        <row r="125">
          <cell r="A125" t="str">
            <v>Total menthol share</v>
          </cell>
          <cell r="Q125">
            <v>27</v>
          </cell>
          <cell r="R125">
            <v>27.1</v>
          </cell>
          <cell r="S125">
            <v>27.1</v>
          </cell>
          <cell r="T125">
            <v>25.599999999999994</v>
          </cell>
          <cell r="U125">
            <v>26.7</v>
          </cell>
          <cell r="V125">
            <v>28.1</v>
          </cell>
          <cell r="W125">
            <v>27.4</v>
          </cell>
          <cell r="X125">
            <v>27.8</v>
          </cell>
          <cell r="Y125">
            <v>26.299999999999997</v>
          </cell>
          <cell r="Z125">
            <v>27.4</v>
          </cell>
          <cell r="AA125">
            <v>28.3</v>
          </cell>
          <cell r="AB125">
            <v>28</v>
          </cell>
          <cell r="AC125">
            <v>27.8</v>
          </cell>
          <cell r="AD125">
            <v>27.5</v>
          </cell>
          <cell r="AE125">
            <v>27.9</v>
          </cell>
          <cell r="AF125">
            <v>28.4</v>
          </cell>
          <cell r="AG125">
            <v>28.4</v>
          </cell>
          <cell r="AH125">
            <v>28.1</v>
          </cell>
          <cell r="AI125">
            <v>28.699999999999989</v>
          </cell>
          <cell r="AJ125">
            <v>28.4</v>
          </cell>
          <cell r="AK125">
            <v>27.9</v>
          </cell>
          <cell r="AL125">
            <v>29.2</v>
          </cell>
          <cell r="AM125">
            <v>28.9</v>
          </cell>
          <cell r="AN125">
            <v>29.200000000000003</v>
          </cell>
          <cell r="AO125">
            <v>28.8</v>
          </cell>
          <cell r="AP125">
            <v>29.4</v>
          </cell>
          <cell r="AQ125">
            <v>29.4</v>
          </cell>
          <cell r="AR125">
            <v>29.9</v>
          </cell>
          <cell r="AS125">
            <v>29.700000000000017</v>
          </cell>
          <cell r="AT125">
            <v>29.6</v>
          </cell>
          <cell r="AU125">
            <v>30.7</v>
          </cell>
          <cell r="AV125">
            <v>30.7</v>
          </cell>
          <cell r="AW125">
            <v>30.5</v>
          </cell>
          <cell r="AX125">
            <v>30.5</v>
          </cell>
          <cell r="AY125">
            <v>30.6</v>
          </cell>
          <cell r="AZ125">
            <v>31.1</v>
          </cell>
        </row>
        <row r="126">
          <cell r="A126" t="str">
            <v>FDA fees</v>
          </cell>
          <cell r="Q126">
            <v>32.6</v>
          </cell>
          <cell r="R126">
            <v>33.1</v>
          </cell>
          <cell r="S126">
            <v>32.5</v>
          </cell>
          <cell r="T126">
            <v>27.799999999999997</v>
          </cell>
          <cell r="U126">
            <v>31.5</v>
          </cell>
          <cell r="V126">
            <v>33</v>
          </cell>
          <cell r="W126">
            <v>32.700000000000003</v>
          </cell>
          <cell r="X126">
            <v>33.6</v>
          </cell>
          <cell r="Y126">
            <v>29.5</v>
          </cell>
          <cell r="Z126">
            <v>32.200000000000003</v>
          </cell>
          <cell r="AA126">
            <v>32.9</v>
          </cell>
          <cell r="AB126">
            <v>33.5</v>
          </cell>
          <cell r="AC126">
            <v>32.9</v>
          </cell>
          <cell r="AD126">
            <v>32.299999999999983</v>
          </cell>
          <cell r="AE126">
            <v>32.9</v>
          </cell>
          <cell r="AF126">
            <v>33.5</v>
          </cell>
          <cell r="AG126">
            <v>33.700000000000003</v>
          </cell>
          <cell r="AH126">
            <v>34.5</v>
          </cell>
          <cell r="AI126">
            <v>34.299999999999997</v>
          </cell>
          <cell r="AJ126">
            <v>34</v>
          </cell>
          <cell r="AK126">
            <v>33.200000000000003</v>
          </cell>
          <cell r="AL126">
            <v>34.4</v>
          </cell>
          <cell r="AM126">
            <v>2.5</v>
          </cell>
          <cell r="AN126">
            <v>6.5</v>
          </cell>
          <cell r="AO126">
            <v>9</v>
          </cell>
          <cell r="AP126">
            <v>7</v>
          </cell>
          <cell r="AQ126">
            <v>7</v>
          </cell>
          <cell r="AR126">
            <v>7</v>
          </cell>
          <cell r="AS126">
            <v>34.200000000000003</v>
          </cell>
          <cell r="AT126">
            <v>35</v>
          </cell>
          <cell r="AU126">
            <v>35.700000000000003</v>
          </cell>
          <cell r="AV126">
            <v>36.6</v>
          </cell>
          <cell r="AW126">
            <v>36.1</v>
          </cell>
          <cell r="AX126">
            <v>36.400000000000006</v>
          </cell>
          <cell r="AY126">
            <v>36.200000000000003</v>
          </cell>
          <cell r="AZ126" t="str">
            <v>m</v>
          </cell>
        </row>
        <row r="127">
          <cell r="A127" t="str">
            <v>% Reduction (YoY)</v>
          </cell>
          <cell r="Q127">
            <v>32.6</v>
          </cell>
          <cell r="R127">
            <v>33.1</v>
          </cell>
          <cell r="S127">
            <v>32.5</v>
          </cell>
          <cell r="T127">
            <v>27.799999999999997</v>
          </cell>
          <cell r="U127">
            <v>31.5</v>
          </cell>
          <cell r="V127">
            <v>33</v>
          </cell>
          <cell r="W127">
            <v>32.700000000000003</v>
          </cell>
          <cell r="X127">
            <v>33.6</v>
          </cell>
          <cell r="Y127">
            <v>29.5</v>
          </cell>
          <cell r="Z127">
            <v>32.200000000000003</v>
          </cell>
          <cell r="AA127">
            <v>32.9</v>
          </cell>
          <cell r="AB127">
            <v>33.5</v>
          </cell>
          <cell r="AC127">
            <v>32.9</v>
          </cell>
          <cell r="AD127">
            <v>32.299999999999983</v>
          </cell>
          <cell r="AE127">
            <v>32.9</v>
          </cell>
          <cell r="AF127">
            <v>33.5</v>
          </cell>
          <cell r="AG127">
            <v>33.700000000000003</v>
          </cell>
          <cell r="AH127">
            <v>34.5</v>
          </cell>
          <cell r="AI127">
            <v>34.299999999999997</v>
          </cell>
          <cell r="AJ127">
            <v>34</v>
          </cell>
          <cell r="AK127">
            <v>-3.2173448053178677E-2</v>
          </cell>
          <cell r="AL127">
            <v>-3.928163947442187E-2</v>
          </cell>
          <cell r="AM127">
            <v>-5.1839324398829212E-2</v>
          </cell>
          <cell r="AN127">
            <v>-6.3158292746882783E-2</v>
          </cell>
          <cell r="AO127">
            <v>-4.4074095580976635E-2</v>
          </cell>
          <cell r="AP127">
            <v>-8.0033297657271962E-2</v>
          </cell>
          <cell r="AQ127">
            <v>-8.9021805558242351E-2</v>
          </cell>
          <cell r="AR127">
            <v>-7.3423201046829645E-2</v>
          </cell>
          <cell r="AS127">
            <v>-6.1356622681569717E-2</v>
          </cell>
          <cell r="AT127">
            <v>-7.7937067185032238E-2</v>
          </cell>
          <cell r="AU127">
            <v>-6.3210961737331983E-2</v>
          </cell>
          <cell r="AV127">
            <v>-6.7402443831296899E-2</v>
          </cell>
          <cell r="AW127">
            <v>-9.581628612907489E-2</v>
          </cell>
          <cell r="AX127">
            <v>-0.1021511158913686</v>
          </cell>
          <cell r="AY127">
            <v>-8.0308320706238834E-2</v>
          </cell>
          <cell r="AZ127">
            <v>-9.7557610045536092E-2</v>
          </cell>
          <cell r="BA127">
            <v>-8.0797407720484604E-2</v>
          </cell>
          <cell r="BB127">
            <v>-4.8679024959859873E-2</v>
          </cell>
          <cell r="BC127">
            <v>-3.7689796651792506E-2</v>
          </cell>
          <cell r="BD127">
            <v>-6.8457497612225415E-2</v>
          </cell>
          <cell r="BE127">
            <v>-3.3078491335371996E-2</v>
          </cell>
          <cell r="BF127">
            <v>-3.7959486039798707E-2</v>
          </cell>
          <cell r="BG127">
            <v>-4.9303158163917726E-2</v>
          </cell>
          <cell r="BH127">
            <v>-3.8648294202811906E-2</v>
          </cell>
          <cell r="BI127">
            <v>-3.9751105888846339E-2</v>
          </cell>
        </row>
        <row r="128">
          <cell r="A128" t="str">
            <v>% Reduction (Cumulative)</v>
          </cell>
          <cell r="Q128">
            <v>91.7</v>
          </cell>
          <cell r="R128">
            <v>91.8</v>
          </cell>
          <cell r="S128">
            <v>91.5</v>
          </cell>
          <cell r="T128">
            <v>91.399999999999977</v>
          </cell>
          <cell r="U128">
            <v>91.6</v>
          </cell>
          <cell r="V128">
            <v>92</v>
          </cell>
          <cell r="W128">
            <v>91.6</v>
          </cell>
          <cell r="X128">
            <v>91.8</v>
          </cell>
          <cell r="Y128">
            <v>91.800000000000011</v>
          </cell>
          <cell r="Z128">
            <v>91.8</v>
          </cell>
          <cell r="AA128">
            <v>92.4</v>
          </cell>
          <cell r="AB128">
            <v>92.2</v>
          </cell>
          <cell r="AC128">
            <v>91.8</v>
          </cell>
          <cell r="AD128">
            <v>90.799999999999955</v>
          </cell>
          <cell r="AE128">
            <v>91.8</v>
          </cell>
          <cell r="AF128">
            <v>91.1</v>
          </cell>
          <cell r="AG128">
            <v>90.9</v>
          </cell>
          <cell r="AH128">
            <v>90.1</v>
          </cell>
          <cell r="AI128">
            <v>89.099999999999966</v>
          </cell>
          <cell r="AJ128">
            <v>90.3</v>
          </cell>
          <cell r="AK128">
            <v>-3.2173448053178677E-2</v>
          </cell>
          <cell r="AL128">
            <v>-3.8416681827253885E-2</v>
          </cell>
          <cell r="AM128">
            <v>-5.8827896934275814E-2</v>
          </cell>
          <cell r="AN128">
            <v>-8.7970819453143001E-2</v>
          </cell>
          <cell r="AO128">
            <v>-5.2660203463635868E-2</v>
          </cell>
          <cell r="AP128">
            <v>-0.10963179856574978</v>
          </cell>
          <cell r="AQ128">
            <v>-0.12401856500567754</v>
          </cell>
          <cell r="AR128">
            <v>-0.12793176547733798</v>
          </cell>
          <cell r="AS128">
            <v>-0.14392984975853773</v>
          </cell>
          <cell r="AT128">
            <v>-0.1264930888333452</v>
          </cell>
          <cell r="AU128">
            <v>-0.16591282887874736</v>
          </cell>
          <cell r="AV128">
            <v>-0.18306185447514123</v>
          </cell>
          <cell r="AW128">
            <v>-0.21149010496043852</v>
          </cell>
          <cell r="AX128">
            <v>-0.23137837088699464</v>
          </cell>
          <cell r="AY128">
            <v>-0.19664296199443299</v>
          </cell>
          <cell r="AZ128" t="str">
            <v>m</v>
          </cell>
          <cell r="BA128">
            <v>-0.2490683389015298</v>
          </cell>
          <cell r="BB128">
            <v>-0.24987399782216579</v>
          </cell>
          <cell r="BC128">
            <v>-0.26034756379043322</v>
          </cell>
          <cell r="BD128">
            <v>-0.25163877450546357</v>
          </cell>
          <cell r="BE128">
            <v>-0.27218307698168043</v>
          </cell>
          <cell r="BF128">
            <v>-0.27757331880784009</v>
          </cell>
          <cell r="BG128">
            <v>-0.28685757875040685</v>
          </cell>
          <cell r="BH128">
            <v>-0.28893386875288718</v>
          </cell>
          <cell r="BI128">
            <v>-0.28138696082320369</v>
          </cell>
        </row>
        <row r="129">
          <cell r="A129" t="str">
            <v>Selected Industry Data</v>
          </cell>
          <cell r="Q129">
            <v>92.9</v>
          </cell>
          <cell r="R129">
            <v>93</v>
          </cell>
          <cell r="S129">
            <v>92.8</v>
          </cell>
          <cell r="T129">
            <v>92.5</v>
          </cell>
          <cell r="U129">
            <v>92.8</v>
          </cell>
          <cell r="V129">
            <v>93.3</v>
          </cell>
          <cell r="W129">
            <v>93</v>
          </cell>
          <cell r="X129">
            <v>93.4</v>
          </cell>
          <cell r="Y129">
            <v>93.499999999999943</v>
          </cell>
          <cell r="Z129">
            <v>93.3</v>
          </cell>
          <cell r="AA129">
            <v>94</v>
          </cell>
          <cell r="AB129">
            <v>93.9</v>
          </cell>
          <cell r="AC129">
            <v>93.9</v>
          </cell>
          <cell r="AD129">
            <v>93.800000000000011</v>
          </cell>
          <cell r="AE129">
            <v>93.9</v>
          </cell>
          <cell r="AF129">
            <v>94.1</v>
          </cell>
          <cell r="AG129">
            <v>94</v>
          </cell>
          <cell r="AH129">
            <v>93.4</v>
          </cell>
          <cell r="AI129">
            <v>93.300000000000011</v>
          </cell>
          <cell r="AJ129">
            <v>93.7</v>
          </cell>
          <cell r="AK129">
            <v>-3.2173448053178677E-2</v>
          </cell>
          <cell r="AL129">
            <v>-3.928163947442187E-2</v>
          </cell>
          <cell r="AM129">
            <v>-5.1839324398829212E-2</v>
          </cell>
          <cell r="AN129">
            <v>-6.3158292746882783E-2</v>
          </cell>
          <cell r="AO129">
            <v>-4.4074095580976635E-2</v>
          </cell>
          <cell r="AP129">
            <v>-8.0033297657271962E-2</v>
          </cell>
          <cell r="AQ129">
            <v>-8.9021805558242351E-2</v>
          </cell>
          <cell r="AR129">
            <v>-7.3423201046829645E-2</v>
          </cell>
          <cell r="AS129">
            <v>-6.1356622681569717E-2</v>
          </cell>
          <cell r="AT129">
            <v>-7.7937067185032238E-2</v>
          </cell>
          <cell r="AU129">
            <v>-6.3210961737331983E-2</v>
          </cell>
          <cell r="AV129">
            <v>-6.7402443831296899E-2</v>
          </cell>
          <cell r="AW129">
            <v>-9.581628612907489E-2</v>
          </cell>
          <cell r="AX129">
            <v>-0.1021511158913686</v>
          </cell>
          <cell r="AY129">
            <v>-8.0308320706238834E-2</v>
          </cell>
          <cell r="AZ129">
            <v>-9.7557610045536092E-2</v>
          </cell>
          <cell r="BA129">
            <v>-8.0797407720484604E-2</v>
          </cell>
          <cell r="BB129">
            <v>-4.8679024959859873E-2</v>
          </cell>
          <cell r="BC129">
            <v>-3.7689796651792506E-2</v>
          </cell>
          <cell r="BD129">
            <v>-6.8457497612225415E-2</v>
          </cell>
          <cell r="BE129">
            <v>-3.3078491335371996E-2</v>
          </cell>
          <cell r="BF129">
            <v>-3.7959486039798707E-2</v>
          </cell>
          <cell r="BG129">
            <v>-4.9303158163917726E-2</v>
          </cell>
          <cell r="BH129">
            <v>-4.7719079851655799E-2</v>
          </cell>
          <cell r="BI129">
            <v>-4.2037269628072638E-2</v>
          </cell>
          <cell r="BJ129">
            <v>-3.9705588370730682E-2</v>
          </cell>
          <cell r="BK129">
            <v>-4.0055449985045177E-2</v>
          </cell>
          <cell r="BL129">
            <v>-3.5170862894029042E-2</v>
          </cell>
          <cell r="BM129">
            <v>-3.0844141663330715E-2</v>
          </cell>
          <cell r="BN129">
            <v>-3.9120159897494289E-2</v>
          </cell>
        </row>
        <row r="130">
          <cell r="A130" t="str">
            <v>% Reduction (Cumulative)</v>
          </cell>
          <cell r="Q130">
            <v>28.7</v>
          </cell>
          <cell r="R130">
            <v>28.5</v>
          </cell>
          <cell r="S130">
            <v>29</v>
          </cell>
          <cell r="T130">
            <v>29.399999999999991</v>
          </cell>
          <cell r="U130">
            <v>28.9</v>
          </cell>
          <cell r="V130">
            <v>27.7</v>
          </cell>
          <cell r="W130">
            <v>27.9</v>
          </cell>
          <cell r="X130">
            <v>27.4</v>
          </cell>
          <cell r="Y130">
            <v>29.400000000000006</v>
          </cell>
          <cell r="Z130">
            <v>28.1</v>
          </cell>
          <cell r="AA130">
            <v>23</v>
          </cell>
          <cell r="AB130">
            <v>27.4</v>
          </cell>
          <cell r="AC130">
            <v>26</v>
          </cell>
          <cell r="AD130">
            <v>25</v>
          </cell>
          <cell r="AE130">
            <v>101.4</v>
          </cell>
          <cell r="AF130">
            <v>23</v>
          </cell>
          <cell r="AG130">
            <v>27</v>
          </cell>
          <cell r="AH130">
            <v>27</v>
          </cell>
          <cell r="AI130">
            <v>25.350445999999991</v>
          </cell>
          <cell r="AJ130">
            <v>102.35044599999999</v>
          </cell>
          <cell r="AK130">
            <v>-3.2173448053178677E-2</v>
          </cell>
          <cell r="AL130">
            <v>-3.8416681827253885E-2</v>
          </cell>
          <cell r="AM130">
            <v>-5.8827896934275814E-2</v>
          </cell>
          <cell r="AN130">
            <v>-8.7970819453143001E-2</v>
          </cell>
          <cell r="AO130">
            <v>-5.2660203463635868E-2</v>
          </cell>
          <cell r="AP130">
            <v>-0.10963179856574978</v>
          </cell>
          <cell r="AQ130">
            <v>-0.12401856500567754</v>
          </cell>
          <cell r="AR130">
            <v>-0.12793176547733798</v>
          </cell>
          <cell r="AS130">
            <v>-0.14392984975853773</v>
          </cell>
          <cell r="AT130">
            <v>-0.1264930888333452</v>
          </cell>
          <cell r="AU130">
            <v>-0.16591282887874736</v>
          </cell>
          <cell r="AV130">
            <v>-0.18306185447514123</v>
          </cell>
          <cell r="AW130">
            <v>-0.21149010496043852</v>
          </cell>
          <cell r="AX130">
            <v>-0.23137837088699464</v>
          </cell>
          <cell r="AY130">
            <v>-0.19664296199443299</v>
          </cell>
          <cell r="AZ130">
            <v>-0.2472843798629788</v>
          </cell>
          <cell r="BA130">
            <v>-0.2490683389015298</v>
          </cell>
          <cell r="BB130">
            <v>-0.24987399782216579</v>
          </cell>
          <cell r="BC130">
            <v>-0.26034756379043322</v>
          </cell>
          <cell r="BD130">
            <v>-0.25163877450546357</v>
          </cell>
          <cell r="BE130">
            <v>-0.27218307698168043</v>
          </cell>
          <cell r="BF130">
            <v>-0.27757331880784009</v>
          </cell>
          <cell r="BG130">
            <v>-0.28685757875040685</v>
          </cell>
          <cell r="BH130">
            <v>-0.29564309745638939</v>
          </cell>
          <cell r="BI130">
            <v>-0.2830978371207723</v>
          </cell>
          <cell r="BJ130">
            <v>-0.30108147613629765</v>
          </cell>
          <cell r="BK130">
            <v>-0.30651044460419474</v>
          </cell>
          <cell r="BL130">
            <v>-0.31193941307209216</v>
          </cell>
          <cell r="BM130">
            <v>-0.31736838153998936</v>
          </cell>
          <cell r="BN130">
            <v>-0.31114316436346723</v>
          </cell>
        </row>
        <row r="131">
          <cell r="A131" t="str">
            <v>Quota buyout</v>
          </cell>
          <cell r="Q131">
            <v>7.5219639999999997</v>
          </cell>
          <cell r="R131">
            <v>8.6037820000000007</v>
          </cell>
          <cell r="S131">
            <v>8.3041269999999994</v>
          </cell>
          <cell r="T131">
            <v>7.7297380000000002</v>
          </cell>
          <cell r="U131">
            <v>32.159610999999998</v>
          </cell>
          <cell r="V131">
            <v>7.7776649999999998</v>
          </cell>
          <cell r="W131">
            <v>8.3604900000000004</v>
          </cell>
          <cell r="X131">
            <v>8.8188019999999998</v>
          </cell>
          <cell r="Y131">
            <v>8.1484649999999998</v>
          </cell>
          <cell r="Z131">
            <v>33.105422000000004</v>
          </cell>
          <cell r="AA131">
            <v>23</v>
          </cell>
          <cell r="AB131">
            <v>27.4</v>
          </cell>
          <cell r="AC131">
            <v>26</v>
          </cell>
          <cell r="AD131">
            <v>25</v>
          </cell>
          <cell r="AE131">
            <v>101.4</v>
          </cell>
          <cell r="AF131">
            <v>23</v>
          </cell>
          <cell r="AG131">
            <v>27</v>
          </cell>
          <cell r="AH131">
            <v>27</v>
          </cell>
          <cell r="AI131">
            <v>25.350445999999991</v>
          </cell>
          <cell r="AJ131">
            <v>102.35044599999999</v>
          </cell>
          <cell r="AK131">
            <v>20</v>
          </cell>
          <cell r="AL131">
            <v>28</v>
          </cell>
          <cell r="AM131">
            <v>29</v>
          </cell>
          <cell r="AN131">
            <v>23</v>
          </cell>
          <cell r="AO131">
            <v>100</v>
          </cell>
          <cell r="AP131">
            <v>27</v>
          </cell>
          <cell r="AQ131">
            <v>30</v>
          </cell>
          <cell r="AR131">
            <v>27</v>
          </cell>
          <cell r="AS131">
            <v>27</v>
          </cell>
          <cell r="AT131">
            <v>111</v>
          </cell>
          <cell r="AU131">
            <v>30</v>
          </cell>
          <cell r="AV131">
            <v>33</v>
          </cell>
          <cell r="AW131">
            <v>30</v>
          </cell>
          <cell r="AX131">
            <v>27</v>
          </cell>
          <cell r="AY131">
            <v>120</v>
          </cell>
          <cell r="AZ131">
            <v>28</v>
          </cell>
          <cell r="BA131">
            <v>35</v>
          </cell>
          <cell r="BB131">
            <v>26</v>
          </cell>
          <cell r="BC131">
            <v>29</v>
          </cell>
          <cell r="BD131">
            <v>118</v>
          </cell>
          <cell r="BE131">
            <v>27</v>
          </cell>
          <cell r="BF131">
            <v>36</v>
          </cell>
          <cell r="BG131">
            <v>30</v>
          </cell>
          <cell r="BH131">
            <v>28</v>
          </cell>
          <cell r="BI131">
            <v>121</v>
          </cell>
          <cell r="BJ131">
            <v>28</v>
          </cell>
          <cell r="BK131">
            <v>36</v>
          </cell>
          <cell r="BL131">
            <v>28</v>
          </cell>
          <cell r="BM131">
            <v>0</v>
          </cell>
          <cell r="BN131">
            <v>92</v>
          </cell>
          <cell r="BO131">
            <v>0</v>
          </cell>
        </row>
        <row r="132">
          <cell r="A132" t="str">
            <v>FDA user fees</v>
          </cell>
          <cell r="Q132">
            <v>7.5219639999999997</v>
          </cell>
          <cell r="R132">
            <v>8.6037820000000007</v>
          </cell>
          <cell r="S132">
            <v>8.3041269999999994</v>
          </cell>
          <cell r="T132">
            <v>7.7297380000000002</v>
          </cell>
          <cell r="U132">
            <v>32.159610999999998</v>
          </cell>
          <cell r="V132">
            <v>7.7776649999999998</v>
          </cell>
          <cell r="W132">
            <v>8.3604900000000004</v>
          </cell>
          <cell r="X132">
            <v>8.8188019999999998</v>
          </cell>
          <cell r="Y132">
            <v>8.1484649999999998</v>
          </cell>
          <cell r="Z132">
            <v>33.105422000000004</v>
          </cell>
          <cell r="AA132">
            <v>23</v>
          </cell>
          <cell r="AB132">
            <v>27.4</v>
          </cell>
          <cell r="AC132">
            <v>26</v>
          </cell>
          <cell r="AD132">
            <v>25</v>
          </cell>
          <cell r="AE132">
            <v>101.4</v>
          </cell>
          <cell r="AF132">
            <v>23</v>
          </cell>
          <cell r="AG132">
            <v>27</v>
          </cell>
          <cell r="AH132">
            <v>27</v>
          </cell>
          <cell r="AI132">
            <v>25.350445999999991</v>
          </cell>
          <cell r="AJ132">
            <v>102.35044599999999</v>
          </cell>
          <cell r="AK132">
            <v>20</v>
          </cell>
          <cell r="AL132">
            <v>28</v>
          </cell>
          <cell r="AM132">
            <v>2.3217764999999995</v>
          </cell>
          <cell r="AN132">
            <v>6.6650287499999985</v>
          </cell>
          <cell r="AO132">
            <v>8.986805249999998</v>
          </cell>
          <cell r="AP132">
            <v>6.5269965000000001</v>
          </cell>
          <cell r="AQ132">
            <v>7</v>
          </cell>
          <cell r="AR132">
            <v>7</v>
          </cell>
          <cell r="AS132">
            <v>7</v>
          </cell>
          <cell r="AT132">
            <v>27.526996499999999</v>
          </cell>
          <cell r="AU132">
            <v>14</v>
          </cell>
          <cell r="AV132">
            <v>15</v>
          </cell>
          <cell r="AW132">
            <v>15</v>
          </cell>
          <cell r="AX132">
            <v>16</v>
          </cell>
          <cell r="AY132">
            <v>60</v>
          </cell>
          <cell r="AZ132">
            <v>16</v>
          </cell>
          <cell r="BA132">
            <v>17</v>
          </cell>
          <cell r="BB132">
            <v>16</v>
          </cell>
          <cell r="BC132">
            <v>16</v>
          </cell>
          <cell r="BD132">
            <v>65</v>
          </cell>
          <cell r="BE132">
            <v>17</v>
          </cell>
          <cell r="BF132">
            <v>19</v>
          </cell>
          <cell r="BG132">
            <v>18</v>
          </cell>
          <cell r="BH132">
            <v>18</v>
          </cell>
          <cell r="BI132">
            <v>72</v>
          </cell>
          <cell r="BJ132">
            <v>19</v>
          </cell>
          <cell r="BK132">
            <v>21</v>
          </cell>
          <cell r="BL132">
            <v>19</v>
          </cell>
          <cell r="BM132">
            <v>20</v>
          </cell>
          <cell r="BN132">
            <v>79</v>
          </cell>
          <cell r="BO132">
            <v>20</v>
          </cell>
        </row>
        <row r="133">
          <cell r="A133" t="str">
            <v>FDA user fees</v>
          </cell>
          <cell r="Q133">
            <v>8.2139889999999998</v>
          </cell>
          <cell r="R133">
            <v>9.3954470000000008</v>
          </cell>
          <cell r="S133">
            <v>9.1005230000000008</v>
          </cell>
          <cell r="T133">
            <v>8.4837130000000016</v>
          </cell>
          <cell r="U133">
            <v>35.193671999999985</v>
          </cell>
          <cell r="V133">
            <v>8.4681119999999996</v>
          </cell>
          <cell r="W133">
            <v>9.1415699999999998</v>
          </cell>
          <cell r="X133">
            <v>9.6225569999999987</v>
          </cell>
          <cell r="Y133">
            <v>8.8986229999999988</v>
          </cell>
          <cell r="Z133">
            <v>36.130862</v>
          </cell>
          <cell r="AA133">
            <v>8.3872520000000002</v>
          </cell>
          <cell r="AB133">
            <v>9.4734610000000004</v>
          </cell>
          <cell r="AC133">
            <v>9.4659420000000001</v>
          </cell>
          <cell r="AD133">
            <v>8.5155130000000003</v>
          </cell>
          <cell r="AE133">
            <v>35.842168000000001</v>
          </cell>
          <cell r="AF133">
            <v>8.415223000000001</v>
          </cell>
          <cell r="AG133">
            <v>9.4636750000000021</v>
          </cell>
          <cell r="AH133">
            <v>9.8930319999999998</v>
          </cell>
          <cell r="AI133">
            <v>9.2183439999999983</v>
          </cell>
          <cell r="AJ133">
            <v>36.990273999999999</v>
          </cell>
          <cell r="AK133">
            <v>7.7252910000000004</v>
          </cell>
          <cell r="AL133">
            <v>9.6599209999999989</v>
          </cell>
          <cell r="AM133">
            <v>2.3217764999999995</v>
          </cell>
          <cell r="AN133">
            <v>6.6650287499999985</v>
          </cell>
          <cell r="AO133">
            <v>8.986805249999998</v>
          </cell>
          <cell r="AP133">
            <v>6.5269965000000001</v>
          </cell>
          <cell r="AQ133">
            <v>7</v>
          </cell>
          <cell r="AR133">
            <v>7</v>
          </cell>
          <cell r="AS133">
            <v>7</v>
          </cell>
          <cell r="AT133">
            <v>27.526996499999999</v>
          </cell>
          <cell r="AU133">
            <v>14</v>
          </cell>
          <cell r="AV133">
            <v>15</v>
          </cell>
          <cell r="AW133">
            <v>15</v>
          </cell>
          <cell r="AX133">
            <v>16</v>
          </cell>
          <cell r="AY133">
            <v>60</v>
          </cell>
          <cell r="AZ133">
            <v>16</v>
          </cell>
          <cell r="BA133">
            <v>17</v>
          </cell>
          <cell r="BB133">
            <v>16</v>
          </cell>
          <cell r="BC133">
            <v>16</v>
          </cell>
          <cell r="BD133">
            <v>65</v>
          </cell>
          <cell r="BE133">
            <v>17</v>
          </cell>
          <cell r="BF133">
            <v>19</v>
          </cell>
          <cell r="BG133">
            <v>18</v>
          </cell>
          <cell r="BH133">
            <v>18</v>
          </cell>
          <cell r="BI133">
            <v>72</v>
          </cell>
        </row>
        <row r="134">
          <cell r="A134" t="str">
            <v>Lorillard domestic unit volume</v>
          </cell>
          <cell r="Q134">
            <v>8.2139889999999998</v>
          </cell>
          <cell r="R134">
            <v>9.3954470000000008</v>
          </cell>
          <cell r="S134">
            <v>9.1005230000000008</v>
          </cell>
          <cell r="T134">
            <v>8.4837130000000016</v>
          </cell>
          <cell r="U134">
            <v>35.193671999999985</v>
          </cell>
          <cell r="V134">
            <v>8.4681119999999996</v>
          </cell>
          <cell r="W134">
            <v>9.1415699999999998</v>
          </cell>
          <cell r="X134">
            <v>9.6225569999999987</v>
          </cell>
          <cell r="Y134">
            <v>8.8986229999999988</v>
          </cell>
          <cell r="Z134">
            <v>36.130862</v>
          </cell>
          <cell r="AA134">
            <v>8.3872520000000002</v>
          </cell>
          <cell r="AB134">
            <v>9.4734610000000004</v>
          </cell>
          <cell r="AC134">
            <v>9.4659420000000001</v>
          </cell>
          <cell r="AD134">
            <v>8.5155130000000003</v>
          </cell>
          <cell r="AE134">
            <v>35.842168000000001</v>
          </cell>
          <cell r="AF134">
            <v>8.415223000000001</v>
          </cell>
          <cell r="AG134">
            <v>9.4636750000000021</v>
          </cell>
          <cell r="AH134">
            <v>9.8930319999999998</v>
          </cell>
          <cell r="AI134">
            <v>9.2183439999999983</v>
          </cell>
          <cell r="AJ134">
            <v>37.75027</v>
          </cell>
          <cell r="AK134">
            <v>7.7252910000000004</v>
          </cell>
          <cell r="AL134">
            <v>9.6599209999999989</v>
          </cell>
          <cell r="AM134">
            <v>9.2871059999999979</v>
          </cell>
          <cell r="AN134">
            <v>8.8867049999999992</v>
          </cell>
          <cell r="AO134">
            <v>36.283882999999996</v>
          </cell>
          <cell r="AP134">
            <v>8.8631510000000002</v>
          </cell>
          <cell r="AQ134">
            <v>9.7847120000000007</v>
          </cell>
          <cell r="AR134">
            <v>10.003152999999999</v>
          </cell>
          <cell r="AS134">
            <v>9.4559530000000009</v>
          </cell>
          <cell r="AT134">
            <v>38.106968999999999</v>
          </cell>
          <cell r="AU134">
            <v>9.7076159999999998</v>
          </cell>
          <cell r="AV134">
            <v>10.754456999999999</v>
          </cell>
          <cell r="AW134">
            <v>10.283940999999999</v>
          </cell>
          <cell r="AX134">
            <v>9.9842770000000005</v>
          </cell>
          <cell r="AY134">
            <v>40.730291000000001</v>
          </cell>
          <cell r="AZ134">
            <v>9.2868519999999997</v>
          </cell>
          <cell r="BA134">
            <v>10.461218999999998</v>
          </cell>
          <cell r="BB134">
            <v>9.8960039999999978</v>
          </cell>
          <cell r="BC134">
            <v>9.8468150000000012</v>
          </cell>
          <cell r="BD134">
            <v>39.490889999999993</v>
          </cell>
          <cell r="BE134">
            <v>9.044315000000001</v>
          </cell>
          <cell r="BF134">
            <v>10.261727</v>
          </cell>
          <cell r="BG134">
            <v>10.271133000000001</v>
          </cell>
          <cell r="BH134">
            <v>9.7480309999999992</v>
          </cell>
          <cell r="BI134">
            <v>39.325206000000001</v>
          </cell>
          <cell r="BJ134">
            <v>8.8381530000000001</v>
          </cell>
          <cell r="BK134">
            <v>9.9772930000000013</v>
          </cell>
          <cell r="BL134">
            <v>10.073292</v>
          </cell>
          <cell r="BM134">
            <v>9.6467220000000022</v>
          </cell>
          <cell r="BN134">
            <v>38.535460000000008</v>
          </cell>
          <cell r="BO134">
            <v>9.2330579999999998</v>
          </cell>
          <cell r="BP134">
            <v>10.088964805000002</v>
          </cell>
          <cell r="BQ134">
            <v>10.130894193575967</v>
          </cell>
          <cell r="BR134">
            <v>9.61156013480608</v>
          </cell>
          <cell r="BS134">
            <v>39.064477133382056</v>
          </cell>
        </row>
        <row r="135">
          <cell r="A135" t="str">
            <v>Industry domestic unit volume</v>
          </cell>
          <cell r="Q135">
            <v>87.941999999999993</v>
          </cell>
          <cell r="R135">
            <v>99.975999999999999</v>
          </cell>
          <cell r="S135">
            <v>99.257999999999996</v>
          </cell>
          <cell r="T135">
            <v>94.552000000000021</v>
          </cell>
          <cell r="U135">
            <v>381.72800000000001</v>
          </cell>
          <cell r="V135">
            <v>87.99</v>
          </cell>
          <cell r="W135">
            <v>97.126999999999995</v>
          </cell>
          <cell r="X135">
            <v>96.417000000000002</v>
          </cell>
          <cell r="Y135">
            <v>94.466000000000008</v>
          </cell>
          <cell r="Z135">
            <v>376</v>
          </cell>
          <cell r="AA135">
            <v>83.159000000000006</v>
          </cell>
          <cell r="AB135">
            <v>92.652000000000001</v>
          </cell>
          <cell r="AC135">
            <v>94.9</v>
          </cell>
          <cell r="AD135">
            <v>86.488999999999976</v>
          </cell>
          <cell r="AE135">
            <v>357.2</v>
          </cell>
          <cell r="AF135">
            <v>80.400000000000006</v>
          </cell>
          <cell r="AG135">
            <v>89.671000000000006</v>
          </cell>
          <cell r="AH135">
            <v>91.647999999999996</v>
          </cell>
          <cell r="AI135">
            <v>83.58099999999996</v>
          </cell>
          <cell r="AJ135">
            <v>345.3</v>
          </cell>
          <cell r="AK135">
            <v>73.8</v>
          </cell>
          <cell r="AL135">
            <v>84.391000000000005</v>
          </cell>
          <cell r="AM135">
            <v>80.123000000000005</v>
          </cell>
          <cell r="AN135">
            <v>77.385999999999967</v>
          </cell>
          <cell r="AO135">
            <v>315.7</v>
          </cell>
          <cell r="AP135">
            <v>72</v>
          </cell>
          <cell r="AQ135">
            <v>78.427999999999997</v>
          </cell>
          <cell r="AR135">
            <v>79.474000000000004</v>
          </cell>
          <cell r="AS135">
            <v>73.776999999999987</v>
          </cell>
          <cell r="AT135">
            <v>303.67899999999997</v>
          </cell>
          <cell r="AU135">
            <v>69.599999999999994</v>
          </cell>
          <cell r="AV135">
            <v>77.424999999999997</v>
          </cell>
          <cell r="AW135">
            <v>74.350999999999999</v>
          </cell>
          <cell r="AX135">
            <v>71.722000000000037</v>
          </cell>
          <cell r="AY135">
            <v>293.09800000000001</v>
          </cell>
          <cell r="AZ135">
            <v>66.846999999999994</v>
          </cell>
          <cell r="BA135">
            <v>76.138000000000005</v>
          </cell>
          <cell r="BB135">
            <v>72.338999999999999</v>
          </cell>
          <cell r="BC135">
            <v>71.144000000000005</v>
          </cell>
          <cell r="BD135">
            <v>286.46800000000002</v>
          </cell>
          <cell r="BE135">
            <v>62.734999999999999</v>
          </cell>
          <cell r="BF135">
            <v>71.5</v>
          </cell>
          <cell r="BG135">
            <v>72.331999999999994</v>
          </cell>
          <cell r="BH135">
            <v>66.695000000000007</v>
          </cell>
          <cell r="BI135">
            <v>273.262</v>
          </cell>
          <cell r="BJ135">
            <v>61.012</v>
          </cell>
          <cell r="BK135">
            <v>67.542000000000002</v>
          </cell>
          <cell r="BL135">
            <v>70.686999999999998</v>
          </cell>
          <cell r="BM135">
            <v>65.359000000000009</v>
          </cell>
          <cell r="BN135">
            <v>264.60000000000002</v>
          </cell>
          <cell r="BS135">
            <v>256.66200000000003</v>
          </cell>
        </row>
        <row r="136">
          <cell r="A136" t="str">
            <v>Lorillard share of market</v>
          </cell>
          <cell r="Q136">
            <v>9.3000000000000007</v>
          </cell>
          <cell r="R136">
            <v>9.4</v>
          </cell>
          <cell r="S136">
            <v>9.1999999999999993</v>
          </cell>
          <cell r="T136">
            <v>8.899999999999995</v>
          </cell>
          <cell r="U136">
            <v>9.1999999999999993</v>
          </cell>
          <cell r="V136">
            <v>9.6</v>
          </cell>
          <cell r="W136">
            <v>9.4</v>
          </cell>
          <cell r="X136">
            <v>10</v>
          </cell>
          <cell r="Y136">
            <v>9.3999999999999986</v>
          </cell>
          <cell r="Z136">
            <v>9.6</v>
          </cell>
          <cell r="AA136">
            <v>10.1</v>
          </cell>
          <cell r="AB136">
            <v>10.199999999999999</v>
          </cell>
          <cell r="AC136">
            <v>10</v>
          </cell>
          <cell r="AD136">
            <v>9.7000000000000028</v>
          </cell>
          <cell r="AE136">
            <v>10</v>
          </cell>
          <cell r="AF136">
            <v>10.5</v>
          </cell>
          <cell r="AG136">
            <v>10.6</v>
          </cell>
          <cell r="AH136">
            <v>10.8</v>
          </cell>
          <cell r="AI136">
            <v>10.899999999999995</v>
          </cell>
          <cell r="AJ136">
            <v>10.7</v>
          </cell>
          <cell r="AK136">
            <v>10.5</v>
          </cell>
          <cell r="AL136">
            <v>11.4</v>
          </cell>
          <cell r="AM136">
            <v>11.6</v>
          </cell>
          <cell r="AN136">
            <v>11.700000000000003</v>
          </cell>
          <cell r="AO136">
            <v>11.3</v>
          </cell>
          <cell r="AP136">
            <v>12.1</v>
          </cell>
          <cell r="AQ136">
            <v>12.2</v>
          </cell>
          <cell r="AR136">
            <v>12.9</v>
          </cell>
          <cell r="AS136">
            <v>14.400000000000006</v>
          </cell>
          <cell r="AT136">
            <v>12.9</v>
          </cell>
          <cell r="AU136">
            <v>13.7</v>
          </cell>
          <cell r="AV136">
            <v>14.2</v>
          </cell>
          <cell r="AW136">
            <v>14.2</v>
          </cell>
          <cell r="AX136">
            <v>14</v>
          </cell>
          <cell r="AY136">
            <v>14.1</v>
          </cell>
          <cell r="AZ136">
            <v>14.5</v>
          </cell>
          <cell r="BA136">
            <v>14.3</v>
          </cell>
          <cell r="BB136">
            <v>14.4</v>
          </cell>
          <cell r="BC136">
            <v>14.2</v>
          </cell>
          <cell r="BD136">
            <v>14.4</v>
          </cell>
          <cell r="BE136">
            <v>14.9</v>
          </cell>
          <cell r="BF136">
            <v>14.8</v>
          </cell>
          <cell r="BG136">
            <v>14.8</v>
          </cell>
          <cell r="BH136">
            <v>14.9</v>
          </cell>
          <cell r="BI136">
            <v>14.9</v>
          </cell>
          <cell r="BJ136">
            <v>15.2</v>
          </cell>
          <cell r="BK136">
            <v>15</v>
          </cell>
          <cell r="BL136">
            <v>15.1</v>
          </cell>
          <cell r="BM136">
            <v>15.2</v>
          </cell>
          <cell r="BN136">
            <v>15.1</v>
          </cell>
          <cell r="BO136">
            <v>15.5</v>
          </cell>
        </row>
        <row r="137">
          <cell r="A137" t="str">
            <v>Lorillard premium volume</v>
          </cell>
          <cell r="Q137">
            <v>95.5</v>
          </cell>
          <cell r="R137">
            <v>95.3</v>
          </cell>
          <cell r="S137">
            <v>95</v>
          </cell>
          <cell r="T137">
            <v>95</v>
          </cell>
          <cell r="U137">
            <v>95.2</v>
          </cell>
          <cell r="V137">
            <v>95.1</v>
          </cell>
          <cell r="W137">
            <v>94.8</v>
          </cell>
          <cell r="X137">
            <v>94.7</v>
          </cell>
          <cell r="Y137">
            <v>94.600000000000023</v>
          </cell>
          <cell r="Z137">
            <v>94.8</v>
          </cell>
          <cell r="AA137">
            <v>94.9</v>
          </cell>
          <cell r="AB137">
            <v>94.7</v>
          </cell>
          <cell r="AC137">
            <v>94.3</v>
          </cell>
          <cell r="AD137">
            <v>93.299999999999955</v>
          </cell>
          <cell r="AE137">
            <v>94.3</v>
          </cell>
          <cell r="AF137">
            <v>93.3</v>
          </cell>
          <cell r="AG137">
            <v>92.9</v>
          </cell>
          <cell r="AH137">
            <v>91.9</v>
          </cell>
          <cell r="AI137">
            <v>91.099999999999966</v>
          </cell>
          <cell r="AJ137">
            <v>92.3</v>
          </cell>
          <cell r="AK137">
            <v>90.3</v>
          </cell>
          <cell r="AL137">
            <v>89.5</v>
          </cell>
          <cell r="AM137">
            <v>88</v>
          </cell>
          <cell r="AN137">
            <v>87.800000000000011</v>
          </cell>
          <cell r="AO137">
            <v>88.9</v>
          </cell>
          <cell r="AP137">
            <v>87.8</v>
          </cell>
          <cell r="AQ137">
            <v>86.8</v>
          </cell>
          <cell r="AR137">
            <v>85.5</v>
          </cell>
          <cell r="AS137">
            <v>86.299999999999955</v>
          </cell>
          <cell r="AT137">
            <v>86.6</v>
          </cell>
          <cell r="AU137">
            <v>86.5</v>
          </cell>
          <cell r="AV137">
            <v>86</v>
          </cell>
          <cell r="AW137">
            <v>84.9</v>
          </cell>
          <cell r="AX137">
            <v>85</v>
          </cell>
          <cell r="AY137">
            <v>85.6</v>
          </cell>
          <cell r="AZ137">
            <v>85.1</v>
          </cell>
          <cell r="BA137">
            <v>85.3</v>
          </cell>
          <cell r="BB137">
            <v>84.7</v>
          </cell>
          <cell r="BC137">
            <v>84.900000000000034</v>
          </cell>
          <cell r="BD137">
            <v>85</v>
          </cell>
          <cell r="BE137">
            <v>85.9</v>
          </cell>
          <cell r="BF137">
            <v>85.8</v>
          </cell>
          <cell r="BG137">
            <v>85.7</v>
          </cell>
          <cell r="BH137">
            <v>85.800000000000011</v>
          </cell>
          <cell r="BI137">
            <v>85.8</v>
          </cell>
          <cell r="BJ137">
            <v>86.4</v>
          </cell>
          <cell r="BK137">
            <v>86.3</v>
          </cell>
          <cell r="BL137">
            <v>86</v>
          </cell>
          <cell r="BM137">
            <v>-258.7</v>
          </cell>
        </row>
        <row r="138">
          <cell r="A138" t="str">
            <v>Lorillard share of premium market</v>
          </cell>
          <cell r="Q138">
            <v>12.5</v>
          </cell>
          <cell r="R138">
            <v>12.5</v>
          </cell>
          <cell r="S138">
            <v>12.3</v>
          </cell>
          <cell r="T138">
            <v>11.900000000000006</v>
          </cell>
          <cell r="U138">
            <v>12.3</v>
          </cell>
          <cell r="V138">
            <v>12.7</v>
          </cell>
          <cell r="W138">
            <v>12.4</v>
          </cell>
          <cell r="X138">
            <v>13</v>
          </cell>
          <cell r="Y138">
            <v>12.699999999999996</v>
          </cell>
          <cell r="Z138">
            <v>12.7</v>
          </cell>
          <cell r="AA138">
            <v>13.1</v>
          </cell>
          <cell r="AB138">
            <v>13.1</v>
          </cell>
          <cell r="AC138">
            <v>12.9</v>
          </cell>
          <cell r="AD138">
            <v>12.899999999999999</v>
          </cell>
          <cell r="AE138">
            <v>13</v>
          </cell>
          <cell r="AF138">
            <v>13.3</v>
          </cell>
          <cell r="AG138">
            <v>13.5</v>
          </cell>
          <cell r="AH138">
            <v>13.7</v>
          </cell>
          <cell r="AI138">
            <v>13.899999999999999</v>
          </cell>
          <cell r="AJ138">
            <v>13.6</v>
          </cell>
          <cell r="AK138">
            <v>13.5</v>
          </cell>
          <cell r="AL138">
            <v>14.3</v>
          </cell>
          <cell r="AM138">
            <v>14.5</v>
          </cell>
          <cell r="AN138">
            <v>14.5</v>
          </cell>
          <cell r="AO138">
            <v>14.2</v>
          </cell>
          <cell r="AP138">
            <v>15</v>
          </cell>
          <cell r="AQ138">
            <v>15.1</v>
          </cell>
          <cell r="AR138">
            <v>15.1</v>
          </cell>
          <cell r="AS138">
            <v>15.599999999999994</v>
          </cell>
          <cell r="AT138">
            <v>15.2</v>
          </cell>
          <cell r="AU138">
            <v>16.7</v>
          </cell>
          <cell r="AV138">
            <v>16.600000000000001</v>
          </cell>
          <cell r="AW138">
            <v>16.5</v>
          </cell>
          <cell r="AX138">
            <v>16.200000000000003</v>
          </cell>
          <cell r="AY138">
            <v>16.5</v>
          </cell>
          <cell r="AZ138">
            <v>16.899999999999999</v>
          </cell>
          <cell r="BA138">
            <v>16.5</v>
          </cell>
          <cell r="BB138">
            <v>16.7</v>
          </cell>
          <cell r="BC138">
            <v>16.300000000000011</v>
          </cell>
          <cell r="BD138">
            <v>16.600000000000001</v>
          </cell>
          <cell r="BE138">
            <v>17.399999999999999</v>
          </cell>
          <cell r="BF138">
            <v>17.2</v>
          </cell>
          <cell r="BG138">
            <v>17.3</v>
          </cell>
          <cell r="BH138">
            <v>17.300000000000011</v>
          </cell>
          <cell r="BI138">
            <v>17.3</v>
          </cell>
          <cell r="BJ138">
            <v>17.8</v>
          </cell>
          <cell r="BK138">
            <v>17.5</v>
          </cell>
          <cell r="BL138">
            <v>17.5</v>
          </cell>
          <cell r="BM138">
            <v>-52.8</v>
          </cell>
        </row>
        <row r="139">
          <cell r="A139" t="str">
            <v>Newport share of domestic market</v>
          </cell>
          <cell r="Q139">
            <v>8.6</v>
          </cell>
          <cell r="R139">
            <v>8.6</v>
          </cell>
          <cell r="S139">
            <v>8.4</v>
          </cell>
          <cell r="T139">
            <v>8</v>
          </cell>
          <cell r="U139">
            <v>8.4</v>
          </cell>
          <cell r="V139">
            <v>8.8000000000000007</v>
          </cell>
          <cell r="W139">
            <v>8.6</v>
          </cell>
          <cell r="X139">
            <v>9.1</v>
          </cell>
          <cell r="Y139">
            <v>8.7000000000000028</v>
          </cell>
          <cell r="Z139">
            <v>8.8000000000000007</v>
          </cell>
          <cell r="AA139">
            <v>9.3000000000000007</v>
          </cell>
          <cell r="AB139">
            <v>9.4</v>
          </cell>
          <cell r="AC139">
            <v>9.1</v>
          </cell>
          <cell r="AD139">
            <v>8.9999999999999929</v>
          </cell>
          <cell r="AE139">
            <v>9.1999999999999993</v>
          </cell>
          <cell r="AF139">
            <v>9.5</v>
          </cell>
          <cell r="AG139">
            <v>9.6</v>
          </cell>
          <cell r="AH139">
            <v>9.6999999999999993</v>
          </cell>
          <cell r="AI139">
            <v>9.9999999999999964</v>
          </cell>
          <cell r="AJ139">
            <v>9.6999999999999993</v>
          </cell>
          <cell r="AK139">
            <v>9.3000000000000007</v>
          </cell>
          <cell r="AL139">
            <v>10</v>
          </cell>
          <cell r="AM139">
            <v>10</v>
          </cell>
          <cell r="AN139">
            <v>9.9000000000000021</v>
          </cell>
          <cell r="AO139">
            <v>9.8000000000000007</v>
          </cell>
          <cell r="AP139">
            <v>10.4</v>
          </cell>
          <cell r="AQ139">
            <v>10.4</v>
          </cell>
          <cell r="AR139">
            <v>10.8</v>
          </cell>
          <cell r="AS139">
            <v>12</v>
          </cell>
          <cell r="AT139">
            <v>10.9</v>
          </cell>
          <cell r="AU139">
            <v>12</v>
          </cell>
          <cell r="AV139">
            <v>12</v>
          </cell>
          <cell r="AW139">
            <v>11.9</v>
          </cell>
          <cell r="AX139">
            <v>11.700000000000003</v>
          </cell>
          <cell r="AY139">
            <v>11.9</v>
          </cell>
          <cell r="AZ139">
            <v>12.2</v>
          </cell>
          <cell r="BA139">
            <v>12</v>
          </cell>
          <cell r="BB139">
            <v>12.1</v>
          </cell>
          <cell r="BC139">
            <v>11.9</v>
          </cell>
          <cell r="BD139">
            <v>12.1</v>
          </cell>
          <cell r="BE139">
            <v>12.6</v>
          </cell>
          <cell r="BF139">
            <v>12.5</v>
          </cell>
          <cell r="BG139">
            <v>12.5</v>
          </cell>
          <cell r="BH139">
            <v>12.7</v>
          </cell>
          <cell r="BI139">
            <v>12.6</v>
          </cell>
          <cell r="BJ139">
            <v>13</v>
          </cell>
          <cell r="BK139">
            <v>12.8</v>
          </cell>
          <cell r="BL139">
            <v>12.8</v>
          </cell>
          <cell r="BM139">
            <v>13</v>
          </cell>
          <cell r="BN139">
            <v>12.9</v>
          </cell>
          <cell r="BO139">
            <v>13.3</v>
          </cell>
        </row>
        <row r="140">
          <cell r="A140" t="str">
            <v>Newport share of premium market</v>
          </cell>
          <cell r="Q140">
            <v>12</v>
          </cell>
          <cell r="R140">
            <v>12</v>
          </cell>
          <cell r="S140">
            <v>11.8</v>
          </cell>
          <cell r="T140">
            <v>11.800000000000004</v>
          </cell>
          <cell r="U140">
            <v>11.9</v>
          </cell>
          <cell r="V140">
            <v>12.2</v>
          </cell>
          <cell r="W140">
            <v>11.9</v>
          </cell>
          <cell r="X140">
            <v>12.6</v>
          </cell>
          <cell r="Y140">
            <v>12.099999999999994</v>
          </cell>
          <cell r="Z140">
            <v>12.2</v>
          </cell>
          <cell r="AA140">
            <v>12.7</v>
          </cell>
          <cell r="AB140">
            <v>12.8</v>
          </cell>
          <cell r="AC140">
            <v>12.5</v>
          </cell>
          <cell r="AD140">
            <v>12.399999999999999</v>
          </cell>
          <cell r="AE140">
            <v>12.6</v>
          </cell>
          <cell r="AF140">
            <v>13</v>
          </cell>
          <cell r="AG140">
            <v>13.2</v>
          </cell>
          <cell r="AH140">
            <v>13.4</v>
          </cell>
          <cell r="AI140">
            <v>13.600000000000001</v>
          </cell>
          <cell r="AJ140">
            <v>13.3</v>
          </cell>
          <cell r="AK140">
            <v>13.2</v>
          </cell>
          <cell r="AL140">
            <v>14</v>
          </cell>
          <cell r="AM140">
            <v>14.2</v>
          </cell>
          <cell r="AN140">
            <v>14.200000000000003</v>
          </cell>
          <cell r="AO140">
            <v>13.9</v>
          </cell>
          <cell r="AP140">
            <v>14.7</v>
          </cell>
          <cell r="AQ140">
            <v>14.8</v>
          </cell>
          <cell r="AR140">
            <v>14.8</v>
          </cell>
          <cell r="AS140">
            <v>15.700000000000003</v>
          </cell>
          <cell r="AT140">
            <v>15</v>
          </cell>
          <cell r="AU140">
            <v>16.5</v>
          </cell>
          <cell r="AV140">
            <v>16.399999999999999</v>
          </cell>
          <cell r="AW140">
            <v>16.3</v>
          </cell>
          <cell r="AX140">
            <v>16</v>
          </cell>
          <cell r="AY140">
            <v>16.3</v>
          </cell>
          <cell r="AZ140">
            <v>16.7</v>
          </cell>
          <cell r="BA140">
            <v>16.3</v>
          </cell>
          <cell r="BB140">
            <v>16.5</v>
          </cell>
          <cell r="BC140">
            <v>16.099999999999994</v>
          </cell>
          <cell r="BD140">
            <v>16.399999999999999</v>
          </cell>
          <cell r="BE140">
            <v>17.2</v>
          </cell>
          <cell r="BF140">
            <v>17</v>
          </cell>
          <cell r="BG140">
            <v>17.2</v>
          </cell>
          <cell r="BH140">
            <v>17.399999999999991</v>
          </cell>
          <cell r="BI140">
            <v>17.2</v>
          </cell>
          <cell r="BJ140">
            <v>17.600000000000001</v>
          </cell>
          <cell r="BK140">
            <v>17.3</v>
          </cell>
          <cell r="BL140">
            <v>17.399999999999999</v>
          </cell>
          <cell r="BM140">
            <v>-52.300000000000004</v>
          </cell>
        </row>
        <row r="141">
          <cell r="A141" t="str">
            <v>Total menthol share</v>
          </cell>
          <cell r="Q141">
            <v>27</v>
          </cell>
          <cell r="R141">
            <v>27.1</v>
          </cell>
          <cell r="S141">
            <v>27.1</v>
          </cell>
          <cell r="T141">
            <v>25.599999999999994</v>
          </cell>
          <cell r="U141">
            <v>26.7</v>
          </cell>
          <cell r="V141">
            <v>28.1</v>
          </cell>
          <cell r="W141">
            <v>27.4</v>
          </cell>
          <cell r="X141">
            <v>27.8</v>
          </cell>
          <cell r="Y141">
            <v>26.299999999999997</v>
          </cell>
          <cell r="Z141">
            <v>27.4</v>
          </cell>
          <cell r="AA141">
            <v>28.3</v>
          </cell>
          <cell r="AB141">
            <v>28</v>
          </cell>
          <cell r="AC141">
            <v>27.8</v>
          </cell>
          <cell r="AD141">
            <v>27.5</v>
          </cell>
          <cell r="AE141">
            <v>27.9</v>
          </cell>
          <cell r="AF141">
            <v>28.4</v>
          </cell>
          <cell r="AG141">
            <v>28.4</v>
          </cell>
          <cell r="AH141">
            <v>28.1</v>
          </cell>
          <cell r="AI141">
            <v>28.699999999999989</v>
          </cell>
          <cell r="AJ141">
            <v>28.4</v>
          </cell>
          <cell r="AK141">
            <v>27.9</v>
          </cell>
          <cell r="AL141">
            <v>29.2</v>
          </cell>
          <cell r="AM141">
            <v>28.9</v>
          </cell>
          <cell r="AN141">
            <v>29.200000000000003</v>
          </cell>
          <cell r="AO141">
            <v>28.8</v>
          </cell>
          <cell r="AP141">
            <v>29.4</v>
          </cell>
          <cell r="AQ141">
            <v>29.4</v>
          </cell>
          <cell r="AR141">
            <v>30.2</v>
          </cell>
          <cell r="AS141">
            <v>31</v>
          </cell>
          <cell r="AT141">
            <v>30</v>
          </cell>
          <cell r="AU141">
            <v>30.7</v>
          </cell>
          <cell r="AV141">
            <v>30.7</v>
          </cell>
          <cell r="AW141">
            <v>30.5</v>
          </cell>
          <cell r="AX141">
            <v>30.5</v>
          </cell>
          <cell r="AY141">
            <v>30.6</v>
          </cell>
          <cell r="AZ141">
            <v>31.1</v>
          </cell>
          <cell r="BA141">
            <v>30.9</v>
          </cell>
          <cell r="BB141">
            <v>31</v>
          </cell>
          <cell r="BC141">
            <v>31.5</v>
          </cell>
          <cell r="BD141">
            <v>31.1</v>
          </cell>
          <cell r="BE141">
            <v>31.2</v>
          </cell>
          <cell r="BF141">
            <v>31.4</v>
          </cell>
          <cell r="BG141">
            <v>31.4</v>
          </cell>
          <cell r="BH141">
            <v>31.4</v>
          </cell>
          <cell r="BI141">
            <v>31.4</v>
          </cell>
          <cell r="BJ141">
            <v>31.8</v>
          </cell>
          <cell r="BK141">
            <v>31.6</v>
          </cell>
          <cell r="BL141">
            <v>31.6</v>
          </cell>
          <cell r="BM141">
            <v>31.9</v>
          </cell>
          <cell r="BN141">
            <v>31.7</v>
          </cell>
          <cell r="BO141">
            <v>32.1</v>
          </cell>
        </row>
        <row r="142">
          <cell r="A142" t="str">
            <v>Newport share of menthol</v>
          </cell>
          <cell r="Q142">
            <v>32.6</v>
          </cell>
          <cell r="R142">
            <v>33.1</v>
          </cell>
          <cell r="S142">
            <v>32.5</v>
          </cell>
          <cell r="T142">
            <v>27.799999999999997</v>
          </cell>
          <cell r="U142">
            <v>31.5</v>
          </cell>
          <cell r="V142">
            <v>33</v>
          </cell>
          <cell r="W142">
            <v>32.700000000000003</v>
          </cell>
          <cell r="X142">
            <v>33.6</v>
          </cell>
          <cell r="Y142">
            <v>29.5</v>
          </cell>
          <cell r="Z142">
            <v>32.200000000000003</v>
          </cell>
          <cell r="AA142">
            <v>32.9</v>
          </cell>
          <cell r="AB142">
            <v>33.5</v>
          </cell>
          <cell r="AC142">
            <v>32.9</v>
          </cell>
          <cell r="AD142">
            <v>32.299999999999983</v>
          </cell>
          <cell r="AE142">
            <v>32.9</v>
          </cell>
          <cell r="AF142">
            <v>33.5</v>
          </cell>
          <cell r="AG142">
            <v>33.700000000000003</v>
          </cell>
          <cell r="AH142">
            <v>34.5</v>
          </cell>
          <cell r="AI142">
            <v>34.299999999999997</v>
          </cell>
          <cell r="AJ142">
            <v>34</v>
          </cell>
          <cell r="AK142">
            <v>33.200000000000003</v>
          </cell>
          <cell r="AL142">
            <v>34.4</v>
          </cell>
          <cell r="AM142">
            <v>34.6</v>
          </cell>
          <cell r="AN142">
            <v>34.200000000000017</v>
          </cell>
          <cell r="AO142">
            <v>34.1</v>
          </cell>
          <cell r="AP142">
            <v>35.4</v>
          </cell>
          <cell r="AQ142">
            <v>35.6</v>
          </cell>
          <cell r="AR142">
            <v>35.799999999999997</v>
          </cell>
          <cell r="AS142">
            <v>37.200000000000003</v>
          </cell>
          <cell r="AT142">
            <v>36</v>
          </cell>
          <cell r="AU142">
            <v>35.700000000000003</v>
          </cell>
          <cell r="AV142">
            <v>36.6</v>
          </cell>
          <cell r="AW142">
            <v>36.1</v>
          </cell>
          <cell r="AX142">
            <v>35.6</v>
          </cell>
          <cell r="AY142">
            <v>36.200000000000003</v>
          </cell>
          <cell r="AZ142">
            <v>36.799999999999997</v>
          </cell>
          <cell r="BA142">
            <v>36.200000000000003</v>
          </cell>
          <cell r="BB142">
            <v>36.4</v>
          </cell>
          <cell r="BC142">
            <v>35.1</v>
          </cell>
          <cell r="BD142">
            <v>36.1</v>
          </cell>
          <cell r="BE142">
            <v>37.5</v>
          </cell>
          <cell r="BF142">
            <v>36.9</v>
          </cell>
          <cell r="BG142">
            <v>37</v>
          </cell>
          <cell r="BH142">
            <v>36.700000000000003</v>
          </cell>
          <cell r="BI142">
            <v>37.1</v>
          </cell>
          <cell r="BJ142">
            <v>37.5</v>
          </cell>
          <cell r="BK142">
            <v>37.1</v>
          </cell>
          <cell r="BL142">
            <v>36.9</v>
          </cell>
          <cell r="BM142">
            <v>36.799999999999997</v>
          </cell>
          <cell r="BN142">
            <v>37.1</v>
          </cell>
          <cell r="BO142">
            <v>37.5</v>
          </cell>
        </row>
        <row r="143">
          <cell r="A143" t="str">
            <v>Lorillard share of menthol</v>
          </cell>
          <cell r="Q143">
            <v>32.6</v>
          </cell>
          <cell r="R143">
            <v>33.1</v>
          </cell>
          <cell r="S143">
            <v>32.5</v>
          </cell>
          <cell r="T143">
            <v>27.799999999999997</v>
          </cell>
          <cell r="U143">
            <v>31.5</v>
          </cell>
          <cell r="V143">
            <v>33</v>
          </cell>
          <cell r="W143">
            <v>32.700000000000003</v>
          </cell>
          <cell r="X143">
            <v>33.6</v>
          </cell>
          <cell r="Y143">
            <v>29.5</v>
          </cell>
          <cell r="Z143">
            <v>32.200000000000003</v>
          </cell>
          <cell r="AA143">
            <v>32.9</v>
          </cell>
          <cell r="AB143">
            <v>33.5</v>
          </cell>
          <cell r="AC143">
            <v>32.9</v>
          </cell>
          <cell r="AD143">
            <v>32.299999999999983</v>
          </cell>
          <cell r="AE143">
            <v>32.9</v>
          </cell>
          <cell r="AF143">
            <v>33.5</v>
          </cell>
          <cell r="AG143">
            <v>33.700000000000003</v>
          </cell>
          <cell r="AH143">
            <v>34.5</v>
          </cell>
          <cell r="AI143">
            <v>34.299999999999997</v>
          </cell>
          <cell r="AJ143">
            <v>34</v>
          </cell>
          <cell r="AK143">
            <v>33.200000000000003</v>
          </cell>
          <cell r="AL143">
            <v>34.4</v>
          </cell>
          <cell r="AM143">
            <v>34.6</v>
          </cell>
          <cell r="AN143">
            <v>34.200000000000017</v>
          </cell>
          <cell r="AO143">
            <v>36.9</v>
          </cell>
          <cell r="AP143">
            <v>35.4</v>
          </cell>
          <cell r="AQ143">
            <v>38.799999999999997</v>
          </cell>
          <cell r="AR143">
            <v>38.299999999999997</v>
          </cell>
          <cell r="AS143">
            <v>37.200000000000003</v>
          </cell>
          <cell r="AT143">
            <v>38.4</v>
          </cell>
          <cell r="AU143">
            <v>39</v>
          </cell>
          <cell r="AV143">
            <v>39.4</v>
          </cell>
          <cell r="AW143">
            <v>39.200000000000003</v>
          </cell>
          <cell r="AX143">
            <v>38.799999999999997</v>
          </cell>
          <cell r="AY143">
            <v>39.1</v>
          </cell>
          <cell r="AZ143">
            <v>40</v>
          </cell>
          <cell r="BA143">
            <v>39.299999999999997</v>
          </cell>
          <cell r="BB143">
            <v>39.6</v>
          </cell>
          <cell r="BC143">
            <v>38.299999999999997</v>
          </cell>
          <cell r="BD143">
            <v>39.299999999999997</v>
          </cell>
          <cell r="BE143">
            <v>40.700000000000003</v>
          </cell>
          <cell r="BF143">
            <v>40</v>
          </cell>
          <cell r="BG143">
            <v>40.200000000000003</v>
          </cell>
          <cell r="BH143">
            <v>39.9</v>
          </cell>
          <cell r="BI143">
            <v>40.200000000000003</v>
          </cell>
          <cell r="BJ143">
            <v>40.700000000000003</v>
          </cell>
          <cell r="BK143">
            <v>40.299999999999997</v>
          </cell>
          <cell r="BL143">
            <v>40.200000000000003</v>
          </cell>
          <cell r="BM143">
            <v>40</v>
          </cell>
          <cell r="BN143">
            <v>40.299999999999997</v>
          </cell>
          <cell r="BO143">
            <v>40.700000000000003</v>
          </cell>
        </row>
        <row r="144">
          <cell r="A144" t="str">
            <v>Newport share of LO total volume</v>
          </cell>
          <cell r="Q144">
            <v>91.7</v>
          </cell>
          <cell r="R144">
            <v>91.8</v>
          </cell>
          <cell r="S144">
            <v>91.5</v>
          </cell>
          <cell r="T144">
            <v>91.399999999999977</v>
          </cell>
          <cell r="U144">
            <v>91.6</v>
          </cell>
          <cell r="V144">
            <v>92</v>
          </cell>
          <cell r="W144">
            <v>91.6</v>
          </cell>
          <cell r="X144">
            <v>91.8</v>
          </cell>
          <cell r="Y144">
            <v>91.800000000000011</v>
          </cell>
          <cell r="Z144">
            <v>91.8</v>
          </cell>
          <cell r="AA144">
            <v>92.4</v>
          </cell>
          <cell r="AB144">
            <v>92.2</v>
          </cell>
          <cell r="AC144">
            <v>91.8</v>
          </cell>
          <cell r="AD144">
            <v>90.799999999999955</v>
          </cell>
          <cell r="AE144">
            <v>91.8</v>
          </cell>
          <cell r="AF144">
            <v>91.1</v>
          </cell>
          <cell r="AG144">
            <v>90.9</v>
          </cell>
          <cell r="AH144">
            <v>90.1</v>
          </cell>
          <cell r="AI144">
            <v>89.099999999999966</v>
          </cell>
          <cell r="AJ144">
            <v>90.3</v>
          </cell>
          <cell r="AK144">
            <v>88.8</v>
          </cell>
          <cell r="AL144">
            <v>88</v>
          </cell>
          <cell r="AM144">
            <v>86.6</v>
          </cell>
          <cell r="AN144">
            <v>86.600000000000023</v>
          </cell>
          <cell r="AO144">
            <v>87.5</v>
          </cell>
          <cell r="AP144">
            <v>86.5</v>
          </cell>
          <cell r="AQ144">
            <v>85.6</v>
          </cell>
          <cell r="AR144">
            <v>84.2</v>
          </cell>
          <cell r="AS144">
            <v>84.5</v>
          </cell>
          <cell r="AT144">
            <v>85.2</v>
          </cell>
          <cell r="AU144">
            <v>85.5</v>
          </cell>
          <cell r="AV144">
            <v>85</v>
          </cell>
          <cell r="AW144">
            <v>83.9</v>
          </cell>
          <cell r="AX144">
            <v>83.6</v>
          </cell>
          <cell r="AY144">
            <v>84.5</v>
          </cell>
          <cell r="AZ144">
            <v>84.2</v>
          </cell>
          <cell r="BA144">
            <v>84.4</v>
          </cell>
          <cell r="BB144">
            <v>83.8</v>
          </cell>
          <cell r="BC144">
            <v>83.999999999999943</v>
          </cell>
          <cell r="BD144">
            <v>84.1</v>
          </cell>
          <cell r="BE144">
            <v>85</v>
          </cell>
          <cell r="BF144">
            <v>85</v>
          </cell>
          <cell r="BG144">
            <v>84.9</v>
          </cell>
          <cell r="BH144">
            <v>85.1</v>
          </cell>
          <cell r="BI144">
            <v>85</v>
          </cell>
          <cell r="BJ144">
            <v>85.6</v>
          </cell>
          <cell r="BK144">
            <v>85.6</v>
          </cell>
          <cell r="BL144">
            <v>85.3</v>
          </cell>
          <cell r="BM144">
            <v>-256.5</v>
          </cell>
        </row>
        <row r="145">
          <cell r="A145" t="str">
            <v>Newport share of LO net sales</v>
          </cell>
          <cell r="Q145">
            <v>92.9</v>
          </cell>
          <cell r="R145">
            <v>93</v>
          </cell>
          <cell r="S145">
            <v>92.8</v>
          </cell>
          <cell r="T145">
            <v>92.5</v>
          </cell>
          <cell r="U145">
            <v>92.8</v>
          </cell>
          <cell r="V145">
            <v>93.3</v>
          </cell>
          <cell r="W145">
            <v>93</v>
          </cell>
          <cell r="X145">
            <v>93.4</v>
          </cell>
          <cell r="Y145">
            <v>93.499999999999943</v>
          </cell>
          <cell r="Z145">
            <v>93.3</v>
          </cell>
          <cell r="AA145">
            <v>94</v>
          </cell>
          <cell r="AB145">
            <v>93.9</v>
          </cell>
          <cell r="AC145">
            <v>93.9</v>
          </cell>
          <cell r="AD145">
            <v>93.800000000000011</v>
          </cell>
          <cell r="AE145">
            <v>93.9</v>
          </cell>
          <cell r="AF145">
            <v>94.1</v>
          </cell>
          <cell r="AG145">
            <v>94</v>
          </cell>
          <cell r="AH145">
            <v>93.4</v>
          </cell>
          <cell r="AI145">
            <v>93.300000000000011</v>
          </cell>
          <cell r="AJ145">
            <v>93.7</v>
          </cell>
          <cell r="AK145">
            <v>93.2</v>
          </cell>
          <cell r="AL145">
            <v>91.6</v>
          </cell>
          <cell r="AM145">
            <v>90.8</v>
          </cell>
          <cell r="AN145">
            <v>90.399999999999977</v>
          </cell>
          <cell r="AO145">
            <v>91.5</v>
          </cell>
          <cell r="AP145">
            <v>90.9</v>
          </cell>
          <cell r="AQ145">
            <v>90.2</v>
          </cell>
          <cell r="AR145">
            <v>89.3</v>
          </cell>
          <cell r="AS145">
            <v>89.599999999999966</v>
          </cell>
          <cell r="AT145">
            <v>90</v>
          </cell>
          <cell r="AU145">
            <v>84</v>
          </cell>
          <cell r="AV145">
            <v>88.7</v>
          </cell>
          <cell r="AW145">
            <v>89.2</v>
          </cell>
          <cell r="AX145">
            <v>89.5</v>
          </cell>
          <cell r="AY145">
            <v>88.4</v>
          </cell>
          <cell r="AZ145">
            <v>85.7</v>
          </cell>
          <cell r="BA145">
            <v>88</v>
          </cell>
          <cell r="BB145">
            <v>87.4</v>
          </cell>
          <cell r="BC145">
            <v>87.4</v>
          </cell>
          <cell r="BD145">
            <v>87.8</v>
          </cell>
          <cell r="BE145">
            <v>88.2</v>
          </cell>
          <cell r="BF145">
            <v>88.3</v>
          </cell>
          <cell r="BG145">
            <v>88.1</v>
          </cell>
          <cell r="BH145">
            <v>88.599999999999966</v>
          </cell>
          <cell r="BI145">
            <v>88.3</v>
          </cell>
          <cell r="BJ145">
            <v>88.6</v>
          </cell>
          <cell r="BK145">
            <v>88.6</v>
          </cell>
          <cell r="BL145">
            <v>88.4</v>
          </cell>
          <cell r="BM145">
            <v>88.402998932858395</v>
          </cell>
          <cell r="BN145">
            <v>88.500749733214604</v>
          </cell>
          <cell r="BO145">
            <v>88.407699281696097</v>
          </cell>
          <cell r="BP145">
            <v>88.412399630533798</v>
          </cell>
          <cell r="BQ145">
            <v>88.4170999793715</v>
          </cell>
          <cell r="BR145">
            <v>88.421800328209201</v>
          </cell>
        </row>
        <row r="146">
          <cell r="A146" t="str">
            <v>Total discount segment share</v>
          </cell>
          <cell r="Q146">
            <v>28.7</v>
          </cell>
          <cell r="R146">
            <v>28.5</v>
          </cell>
          <cell r="S146">
            <v>29</v>
          </cell>
          <cell r="T146">
            <v>29.399999999999991</v>
          </cell>
          <cell r="U146">
            <v>28.9</v>
          </cell>
          <cell r="V146">
            <v>27.7</v>
          </cell>
          <cell r="W146">
            <v>27.9</v>
          </cell>
          <cell r="X146">
            <v>27.4</v>
          </cell>
          <cell r="Y146">
            <v>29.400000000000006</v>
          </cell>
          <cell r="Z146">
            <v>28.1</v>
          </cell>
          <cell r="AA146">
            <v>26.9</v>
          </cell>
          <cell r="AB146">
            <v>26.3</v>
          </cell>
          <cell r="AC146">
            <v>27.2</v>
          </cell>
          <cell r="AD146">
            <v>28.399999999999991</v>
          </cell>
          <cell r="AE146">
            <v>27.2</v>
          </cell>
          <cell r="AF146">
            <v>26.9</v>
          </cell>
          <cell r="AG146">
            <v>27.2</v>
          </cell>
          <cell r="AH146">
            <v>27.8</v>
          </cell>
          <cell r="AI146">
            <v>27.300000000000011</v>
          </cell>
          <cell r="AJ146">
            <v>27.3</v>
          </cell>
          <cell r="AK146">
            <v>29.9</v>
          </cell>
          <cell r="AL146">
            <v>28.4</v>
          </cell>
          <cell r="AM146">
            <v>29.5</v>
          </cell>
          <cell r="AN146">
            <v>30.200000000000003</v>
          </cell>
          <cell r="AO146">
            <v>29.5</v>
          </cell>
          <cell r="AP146">
            <v>29.3</v>
          </cell>
          <cell r="AQ146">
            <v>29.5</v>
          </cell>
          <cell r="AR146">
            <v>27</v>
          </cell>
          <cell r="AS146">
            <v>21.799999999999997</v>
          </cell>
          <cell r="AT146">
            <v>26.9</v>
          </cell>
          <cell r="AU146">
            <v>27.3</v>
          </cell>
          <cell r="AV146">
            <v>26.9</v>
          </cell>
          <cell r="AW146">
            <v>27.2</v>
          </cell>
          <cell r="AX146">
            <v>27</v>
          </cell>
          <cell r="AY146">
            <v>27.1</v>
          </cell>
          <cell r="AZ146">
            <v>26.8</v>
          </cell>
          <cell r="BA146">
            <v>26.4</v>
          </cell>
          <cell r="BB146">
            <v>26.8</v>
          </cell>
          <cell r="BC146">
            <v>26.799999999999997</v>
          </cell>
          <cell r="BD146">
            <v>26.7</v>
          </cell>
          <cell r="BE146">
            <v>26.6</v>
          </cell>
          <cell r="BF146">
            <v>26.4</v>
          </cell>
          <cell r="BG146">
            <v>26.6</v>
          </cell>
          <cell r="BH146">
            <v>26.400000000000006</v>
          </cell>
          <cell r="BI146">
            <v>26.5</v>
          </cell>
          <cell r="BJ146">
            <v>26.2</v>
          </cell>
          <cell r="BK146">
            <v>26</v>
          </cell>
          <cell r="BL146">
            <v>26.1</v>
          </cell>
          <cell r="BM146">
            <v>-78.300000000000011</v>
          </cell>
        </row>
        <row r="147">
          <cell r="A147" t="str">
            <v>Total discount segment share</v>
          </cell>
          <cell r="Q147">
            <v>28.7</v>
          </cell>
          <cell r="R147">
            <v>28.5</v>
          </cell>
          <cell r="S147">
            <v>29</v>
          </cell>
          <cell r="T147">
            <v>29.399999999999991</v>
          </cell>
          <cell r="U147">
            <v>28.9</v>
          </cell>
          <cell r="V147">
            <v>27.7</v>
          </cell>
          <cell r="W147">
            <v>27.9</v>
          </cell>
          <cell r="X147">
            <v>27.4</v>
          </cell>
          <cell r="Y147">
            <v>29.400000000000006</v>
          </cell>
          <cell r="Z147">
            <v>28.1</v>
          </cell>
          <cell r="AA147">
            <v>26.9</v>
          </cell>
          <cell r="AB147">
            <v>26.3</v>
          </cell>
          <cell r="AC147">
            <v>27.2</v>
          </cell>
          <cell r="AD147">
            <v>28.399999999999991</v>
          </cell>
          <cell r="AE147">
            <v>27.2</v>
          </cell>
          <cell r="AF147">
            <v>26.9</v>
          </cell>
          <cell r="AG147">
            <v>27.2</v>
          </cell>
          <cell r="AH147">
            <v>27.8</v>
          </cell>
          <cell r="AI147">
            <v>27.300000000000011</v>
          </cell>
          <cell r="AJ147">
            <v>27.3</v>
          </cell>
          <cell r="AK147">
            <v>29.9</v>
          </cell>
          <cell r="AL147">
            <v>28.4</v>
          </cell>
          <cell r="AM147">
            <v>29.5</v>
          </cell>
          <cell r="AN147">
            <v>30.200000000000003</v>
          </cell>
          <cell r="AO147">
            <v>29.5</v>
          </cell>
          <cell r="AP147">
            <v>29.3</v>
          </cell>
          <cell r="AQ147">
            <v>29.5</v>
          </cell>
          <cell r="AR147">
            <v>27</v>
          </cell>
          <cell r="AS147">
            <v>21.799999999999997</v>
          </cell>
          <cell r="AT147">
            <v>26.9</v>
          </cell>
          <cell r="AU147">
            <v>27.3</v>
          </cell>
          <cell r="AV147">
            <v>26.9</v>
          </cell>
          <cell r="AW147">
            <v>27.2</v>
          </cell>
          <cell r="AX147">
            <v>27</v>
          </cell>
          <cell r="AY147">
            <v>27.1</v>
          </cell>
          <cell r="AZ147">
            <v>26.8</v>
          </cell>
          <cell r="BA147">
            <v>26.4</v>
          </cell>
          <cell r="BB147">
            <v>26.8</v>
          </cell>
          <cell r="BC147">
            <v>26.799999999999997</v>
          </cell>
          <cell r="BD147">
            <v>26.7</v>
          </cell>
          <cell r="BE147">
            <v>26.6</v>
          </cell>
          <cell r="BF147">
            <v>26.55</v>
          </cell>
          <cell r="BG147">
            <v>26.5</v>
          </cell>
          <cell r="BH147">
            <v>26.349999999999994</v>
          </cell>
          <cell r="BI147">
            <v>26.5</v>
          </cell>
        </row>
        <row r="148">
          <cell r="A148" t="str">
            <v>Newport volume</v>
          </cell>
          <cell r="Q148">
            <v>7.5219639999999997</v>
          </cell>
          <cell r="R148">
            <v>8.6037820000000007</v>
          </cell>
          <cell r="S148">
            <v>8.3041269999999994</v>
          </cell>
          <cell r="T148">
            <v>7.7297380000000002</v>
          </cell>
          <cell r="U148">
            <v>32.159610999999998</v>
          </cell>
          <cell r="V148">
            <v>7.7776649999999998</v>
          </cell>
          <cell r="W148">
            <v>8.3604900000000004</v>
          </cell>
          <cell r="X148">
            <v>8.8188019999999998</v>
          </cell>
          <cell r="Y148">
            <v>8.1484649999999998</v>
          </cell>
          <cell r="Z148">
            <v>33.105422000000004</v>
          </cell>
          <cell r="AA148">
            <v>7.731573</v>
          </cell>
          <cell r="AB148">
            <v>8.7164560000000009</v>
          </cell>
          <cell r="AC148">
            <v>8.6743170000000003</v>
          </cell>
          <cell r="AD148">
            <v>7.7165100000000004</v>
          </cell>
          <cell r="AE148">
            <v>32.838856</v>
          </cell>
          <cell r="AF148">
            <v>7.650379</v>
          </cell>
          <cell r="AG148">
            <v>8.5843480000000003</v>
          </cell>
          <cell r="AH148">
            <v>8.8899620000000006</v>
          </cell>
          <cell r="AI148">
            <v>8.2111199999999993</v>
          </cell>
          <cell r="AJ148">
            <v>33.335808999999998</v>
          </cell>
          <cell r="AK148">
            <v>6.8414190000000001</v>
          </cell>
          <cell r="AL148">
            <v>8.4797609999999999</v>
          </cell>
          <cell r="AM148">
            <v>8.0193089999999998</v>
          </cell>
          <cell r="AN148">
            <v>7.6807629999999998</v>
          </cell>
          <cell r="AO148">
            <v>31.021251999999997</v>
          </cell>
          <cell r="AP148">
            <v>7.5099049999999998</v>
          </cell>
          <cell r="AQ148">
            <v>8.1948229999999995</v>
          </cell>
          <cell r="AR148">
            <v>8.2478739999999995</v>
          </cell>
          <cell r="AS148">
            <v>7.8510489999999997</v>
          </cell>
          <cell r="AT148">
            <v>31.803650999999999</v>
          </cell>
          <cell r="AU148">
            <v>8.1140399999999993</v>
          </cell>
          <cell r="AV148">
            <v>8.9822249999999997</v>
          </cell>
          <cell r="AW148">
            <v>8.4546609999999998</v>
          </cell>
          <cell r="AX148">
            <v>8.1904760000000003</v>
          </cell>
          <cell r="AY148">
            <v>33.741401999999994</v>
          </cell>
          <cell r="AZ148">
            <v>7.7922099999999999</v>
          </cell>
          <cell r="BA148">
            <v>8.8065569999999997</v>
          </cell>
          <cell r="BB148">
            <v>8.2626779999999993</v>
          </cell>
          <cell r="BC148">
            <v>8.2639790000000009</v>
          </cell>
          <cell r="BD148">
            <v>33.125423999999995</v>
          </cell>
          <cell r="BE148">
            <v>7.6637639999999996</v>
          </cell>
          <cell r="BF148">
            <v>8.6934719999999999</v>
          </cell>
          <cell r="BG148">
            <v>8.6967090000000002</v>
          </cell>
          <cell r="BH148">
            <v>8.2982089999999999</v>
          </cell>
          <cell r="BI148">
            <v>33.352153999999999</v>
          </cell>
          <cell r="BJ148">
            <v>7.5507210000000002</v>
          </cell>
          <cell r="BK148">
            <v>8.5241600000000002</v>
          </cell>
          <cell r="BL148">
            <v>8.5747020000000003</v>
          </cell>
          <cell r="BM148">
            <v>8.2510080000000006</v>
          </cell>
          <cell r="BN148">
            <v>32.900590999999999</v>
          </cell>
          <cell r="BO148">
            <v>7.8445919999999996</v>
          </cell>
          <cell r="BP148">
            <v>8.5667808000000001</v>
          </cell>
          <cell r="BQ148">
            <v>8.5689426935759681</v>
          </cell>
          <cell r="BR148">
            <v>8.1835241838060799</v>
          </cell>
          <cell r="BS148">
            <v>33.163839677382043</v>
          </cell>
        </row>
        <row r="149">
          <cell r="A149" t="str">
            <v>Newport net revenue</v>
          </cell>
          <cell r="Q149">
            <v>593.5381000000001</v>
          </cell>
          <cell r="R149">
            <v>696.84900000000005</v>
          </cell>
          <cell r="S149">
            <v>698.04160000000002</v>
          </cell>
          <cell r="T149">
            <v>694.95249999999999</v>
          </cell>
          <cell r="U149">
            <v>2683.4976000000001</v>
          </cell>
          <cell r="V149">
            <v>644.60969999999998</v>
          </cell>
          <cell r="W149">
            <v>744.55799999999999</v>
          </cell>
          <cell r="X149">
            <v>747.38680000000011</v>
          </cell>
          <cell r="Y149">
            <v>714.9009999999995</v>
          </cell>
          <cell r="Z149">
            <v>2851.5279</v>
          </cell>
          <cell r="AA149">
            <v>706.22199999999987</v>
          </cell>
          <cell r="AB149">
            <v>822.00060000000019</v>
          </cell>
          <cell r="AC149">
            <v>810.45089999999993</v>
          </cell>
          <cell r="AD149">
            <v>742.89600000000019</v>
          </cell>
          <cell r="AE149">
            <v>3081.6102000000001</v>
          </cell>
          <cell r="AF149">
            <v>713.27799999999991</v>
          </cell>
          <cell r="AG149">
            <v>832.83999999999992</v>
          </cell>
          <cell r="AH149">
            <v>874.22400000000005</v>
          </cell>
          <cell r="AI149">
            <v>850.89600000000019</v>
          </cell>
          <cell r="AJ149">
            <v>3272.0040000000004</v>
          </cell>
          <cell r="AK149">
            <v>714.84400000000005</v>
          </cell>
          <cell r="AL149">
            <v>946.22799999999995</v>
          </cell>
          <cell r="AM149">
            <v>865.32399999999996</v>
          </cell>
          <cell r="AN149">
            <v>842.52799999999979</v>
          </cell>
          <cell r="AO149">
            <v>3371.7750000000001</v>
          </cell>
          <cell r="AP149">
            <v>839.00700000000006</v>
          </cell>
          <cell r="AQ149">
            <v>936.27600000000007</v>
          </cell>
          <cell r="AR149">
            <v>958.18899999999996</v>
          </cell>
          <cell r="AS149">
            <v>913.02399999999966</v>
          </cell>
          <cell r="AT149">
            <v>3647.7000000000003</v>
          </cell>
          <cell r="AU149">
            <v>887.04</v>
          </cell>
          <cell r="AV149">
            <v>1028.0329999999999</v>
          </cell>
          <cell r="AW149">
            <v>992.79600000000005</v>
          </cell>
          <cell r="AX149">
            <v>1006.875</v>
          </cell>
          <cell r="AY149">
            <v>3914.7439999999997</v>
          </cell>
          <cell r="AZ149">
            <v>907.56299999999999</v>
          </cell>
          <cell r="BA149">
            <v>1053.3599999999999</v>
          </cell>
          <cell r="BB149">
            <v>1004.2260000000001</v>
          </cell>
          <cell r="BC149">
            <v>1022.5800000000002</v>
          </cell>
          <cell r="BD149">
            <v>3987.7290000000003</v>
          </cell>
          <cell r="BE149">
            <v>939.33</v>
          </cell>
          <cell r="BF149">
            <v>1086.973</v>
          </cell>
          <cell r="BG149">
            <v>1098.607</v>
          </cell>
          <cell r="BH149">
            <v>1062.3139999999996</v>
          </cell>
          <cell r="BI149">
            <v>4187.2239999999993</v>
          </cell>
          <cell r="BJ149">
            <v>971.05599999999993</v>
          </cell>
          <cell r="BK149">
            <v>1116.3599999999999</v>
          </cell>
          <cell r="BL149">
            <v>1136.8240000000001</v>
          </cell>
          <cell r="BM149">
            <v>1099.7333067247584</v>
          </cell>
          <cell r="BN149">
            <v>4323.973306724758</v>
          </cell>
          <cell r="BO149">
            <v>1044.9790055096478</v>
          </cell>
          <cell r="BP149">
            <v>1158.2433390235526</v>
          </cell>
          <cell r="BQ149">
            <v>1168.3834072080833</v>
          </cell>
          <cell r="BR149">
            <v>1117.055131042049</v>
          </cell>
          <cell r="BS149">
            <v>4488.6608827833325</v>
          </cell>
        </row>
        <row r="150">
          <cell r="A150" t="str">
            <v>Newport net revenue/thousand</v>
          </cell>
          <cell r="Q150">
            <v>78.907330585469452</v>
          </cell>
          <cell r="R150">
            <v>80.993335256518591</v>
          </cell>
          <cell r="S150">
            <v>84.059600726241314</v>
          </cell>
          <cell r="T150">
            <v>89.90634611418912</v>
          </cell>
          <cell r="U150">
            <v>83.443098860866201</v>
          </cell>
          <cell r="V150">
            <v>82.879591754080437</v>
          </cell>
          <cell r="W150">
            <v>89.056741889530386</v>
          </cell>
          <cell r="X150">
            <v>84.749243718137691</v>
          </cell>
          <cell r="Y150">
            <v>87.734438326727741</v>
          </cell>
          <cell r="Z150">
            <v>86.134769706303686</v>
          </cell>
          <cell r="AA150">
            <v>91.342602598462165</v>
          </cell>
          <cell r="AB150">
            <v>94.30445125863082</v>
          </cell>
          <cell r="AC150">
            <v>93.431090885887599</v>
          </cell>
          <cell r="AD150">
            <v>96.273574452699492</v>
          </cell>
          <cell r="AE150">
            <v>93.840363988319211</v>
          </cell>
          <cell r="AF150">
            <v>93.234335187838397</v>
          </cell>
          <cell r="AG150">
            <v>97.018434015023615</v>
          </cell>
          <cell r="AH150">
            <v>98.338328105339485</v>
          </cell>
          <cell r="AI150">
            <v>103.62727618156845</v>
          </cell>
          <cell r="AJ150">
            <v>98.152830189301852</v>
          </cell>
          <cell r="AK150">
            <v>104.48768011431547</v>
          </cell>
          <cell r="AL150">
            <v>111.58663551956239</v>
          </cell>
          <cell r="AM150">
            <v>107.90505765521692</v>
          </cell>
          <cell r="AN150">
            <v>109.69326875467969</v>
          </cell>
          <cell r="AO150">
            <v>108.69242156957432</v>
          </cell>
          <cell r="AP150">
            <v>111.72005504730087</v>
          </cell>
          <cell r="AQ150">
            <v>114.2521321082835</v>
          </cell>
          <cell r="AR150">
            <v>116.17405891506102</v>
          </cell>
          <cell r="AS150">
            <v>116.29324947532486</v>
          </cell>
          <cell r="AT150">
            <v>114.69437895668018</v>
          </cell>
          <cell r="AU150">
            <v>109.32162030258664</v>
          </cell>
          <cell r="AV150">
            <v>114.45193145350956</v>
          </cell>
          <cell r="AW150">
            <v>117.42587905062072</v>
          </cell>
          <cell r="AX150">
            <v>122.93241564959105</v>
          </cell>
          <cell r="AY150">
            <v>116.02197205676281</v>
          </cell>
          <cell r="AZ150">
            <v>116.47055200001027</v>
          </cell>
          <cell r="BA150">
            <v>119.61087630500772</v>
          </cell>
          <cell r="BB150">
            <v>121.53759350176786</v>
          </cell>
          <cell r="BC150">
            <v>123.73942382961042</v>
          </cell>
          <cell r="BD150">
            <v>120.38273079915901</v>
          </cell>
          <cell r="BE150">
            <v>122.56770954846732</v>
          </cell>
          <cell r="BF150">
            <v>125.03324333476888</v>
          </cell>
          <cell r="BG150">
            <v>126.324452157707</v>
          </cell>
          <cell r="BH150">
            <v>128.01726252014134</v>
          </cell>
          <cell r="BI150">
            <v>125.54583431103129</v>
          </cell>
          <cell r="BJ150">
            <v>128.60440744665308</v>
          </cell>
          <cell r="BK150">
            <v>130.9642240408439</v>
          </cell>
          <cell r="BL150">
            <v>132.57883480965288</v>
          </cell>
          <cell r="BM150">
            <v>133.28472190606993</v>
          </cell>
          <cell r="BN150">
            <v>131.42539921926505</v>
          </cell>
          <cell r="BO150">
            <v>133.21011539027751</v>
          </cell>
          <cell r="BP150">
            <v>135.20170132327334</v>
          </cell>
          <cell r="BQ150">
            <v>136.35094188271398</v>
          </cell>
          <cell r="BR150">
            <v>136.50049855690867</v>
          </cell>
          <cell r="BS150">
            <v>135.34804553540971</v>
          </cell>
        </row>
        <row r="151">
          <cell r="A151" t="str">
            <v>Newport net revenue/pack</v>
          </cell>
          <cell r="Q151">
            <v>1.578146611709389</v>
          </cell>
          <cell r="R151">
            <v>1.6198667051303719</v>
          </cell>
          <cell r="S151">
            <v>1.6811920145248263</v>
          </cell>
          <cell r="T151">
            <v>1.7981269222837823</v>
          </cell>
          <cell r="U151">
            <v>1.6688619772173241</v>
          </cell>
          <cell r="V151">
            <v>1.6575918350816088</v>
          </cell>
          <cell r="W151">
            <v>1.7811348377906078</v>
          </cell>
          <cell r="X151">
            <v>1.6949848743627538</v>
          </cell>
          <cell r="Y151">
            <v>1.7546887665345547</v>
          </cell>
          <cell r="Z151">
            <v>1.7226953941260736</v>
          </cell>
          <cell r="AA151">
            <v>1.8268520519692433</v>
          </cell>
          <cell r="AB151">
            <v>1.8860890251726163</v>
          </cell>
          <cell r="AC151">
            <v>1.868621817717752</v>
          </cell>
          <cell r="AD151">
            <v>1.9254714890539899</v>
          </cell>
          <cell r="AE151">
            <v>1.8768072797663842</v>
          </cell>
          <cell r="AF151">
            <v>1.864686703756768</v>
          </cell>
          <cell r="AG151">
            <v>1.9403686803004723</v>
          </cell>
          <cell r="AH151">
            <v>1.9667665621067898</v>
          </cell>
          <cell r="AI151">
            <v>2.0725455236313688</v>
          </cell>
          <cell r="AJ151">
            <v>1.9630566037860371</v>
          </cell>
          <cell r="AK151">
            <v>2.0897536022863092</v>
          </cell>
          <cell r="AL151">
            <v>2.2317327103912477</v>
          </cell>
          <cell r="AM151">
            <v>2.1581011531043384</v>
          </cell>
          <cell r="AN151">
            <v>2.1938653750935937</v>
          </cell>
          <cell r="AO151">
            <v>2.1738484313914865</v>
          </cell>
          <cell r="AP151">
            <v>2.2344011009460174</v>
          </cell>
          <cell r="AQ151">
            <v>2.2850426421656702</v>
          </cell>
          <cell r="AR151">
            <v>2.3234811783012206</v>
          </cell>
          <cell r="AS151">
            <v>2.3258649895064973</v>
          </cell>
          <cell r="AT151">
            <v>2.2938875791336035</v>
          </cell>
          <cell r="AU151">
            <v>2.1864324060517326</v>
          </cell>
          <cell r="AV151">
            <v>2.2890386290701912</v>
          </cell>
          <cell r="AW151">
            <v>2.3485175810124144</v>
          </cell>
          <cell r="AX151">
            <v>2.4586483129918211</v>
          </cell>
          <cell r="AY151">
            <v>2.3204394411352562</v>
          </cell>
          <cell r="AZ151">
            <v>2.3294110400002053</v>
          </cell>
          <cell r="BA151">
            <v>2.3922175261001546</v>
          </cell>
          <cell r="BB151">
            <v>2.430751870035357</v>
          </cell>
          <cell r="BC151">
            <v>2.4747884765922081</v>
          </cell>
          <cell r="BD151">
            <v>2.40765461598318</v>
          </cell>
          <cell r="BE151">
            <v>2.4513541909693464</v>
          </cell>
          <cell r="BF151">
            <v>2.5006648666953777</v>
          </cell>
          <cell r="BG151">
            <v>2.52648904315414</v>
          </cell>
          <cell r="BH151">
            <v>2.5603452504028268</v>
          </cell>
          <cell r="BI151">
            <v>2.5109166862206256</v>
          </cell>
          <cell r="BJ151">
            <v>2.5720881489330618</v>
          </cell>
          <cell r="BK151">
            <v>2.6192844808168783</v>
          </cell>
          <cell r="BL151">
            <v>2.6515766961930574</v>
          </cell>
          <cell r="BM151">
            <v>2.6656944381213985</v>
          </cell>
          <cell r="BN151">
            <v>2.6285079843853008</v>
          </cell>
          <cell r="BO151">
            <v>2.6642023078055503</v>
          </cell>
          <cell r="BP151">
            <v>2.7040340264654668</v>
          </cell>
          <cell r="BQ151">
            <v>2.7270188376542794</v>
          </cell>
          <cell r="BR151">
            <v>2.7300099711381733</v>
          </cell>
          <cell r="BS151">
            <v>2.7069609107081942</v>
          </cell>
        </row>
        <row r="152">
          <cell r="A152" t="str">
            <v>% Change</v>
          </cell>
          <cell r="Q152">
            <v>1.578146611709389</v>
          </cell>
          <cell r="R152">
            <v>1.6198667051303719</v>
          </cell>
          <cell r="S152">
            <v>1.6811920145248263</v>
          </cell>
          <cell r="T152">
            <v>1.7981269222837823</v>
          </cell>
          <cell r="U152">
            <v>1.6688619772173241</v>
          </cell>
          <cell r="V152">
            <v>5.0340838286353939E-2</v>
          </cell>
          <cell r="W152">
            <v>9.9556421617577717E-2</v>
          </cell>
          <cell r="X152">
            <v>8.204214461383863E-3</v>
          </cell>
          <cell r="Y152">
            <v>-2.4157446958225415E-2</v>
          </cell>
          <cell r="Z152">
            <v>3.2257560926944873E-2</v>
          </cell>
          <cell r="AA152">
            <v>0.10211212030934091</v>
          </cell>
          <cell r="AB152">
            <v>5.892545873292665E-2</v>
          </cell>
          <cell r="AC152">
            <v>0.10244158870165654</v>
          </cell>
          <cell r="AD152">
            <v>9.7329353089052217E-2</v>
          </cell>
          <cell r="AE152">
            <v>8.94597420796448E-2</v>
          </cell>
          <cell r="AF152">
            <v>2.0710298760505008E-2</v>
          </cell>
          <cell r="AG152">
            <v>2.8778946488428936E-2</v>
          </cell>
          <cell r="AH152">
            <v>5.2522529416309194E-2</v>
          </cell>
          <cell r="AI152">
            <v>7.6383387348746723E-2</v>
          </cell>
          <cell r="AJ152">
            <v>4.5955343923425485E-2</v>
          </cell>
          <cell r="AK152">
            <v>0.12069957815224441</v>
          </cell>
          <cell r="AL152">
            <v>0.15015910793079623</v>
          </cell>
          <cell r="AM152">
            <v>9.7283833620087634E-2</v>
          </cell>
          <cell r="AN152">
            <v>5.8536640126320094E-2</v>
          </cell>
          <cell r="AO152">
            <v>0.10737939354316484</v>
          </cell>
          <cell r="AP152">
            <v>6.921748980427922E-2</v>
          </cell>
          <cell r="AQ152">
            <v>2.3887238613389705E-2</v>
          </cell>
          <cell r="AR152">
            <v>7.6632193518357594E-2</v>
          </cell>
          <cell r="AS152">
            <v>6.0167600032099644E-2</v>
          </cell>
          <cell r="AT152">
            <v>5.5219649175485275E-2</v>
          </cell>
          <cell r="AU152">
            <v>-2.1468256023493448E-2</v>
          </cell>
          <cell r="AV152">
            <v>1.7487581329045376E-3</v>
          </cell>
          <cell r="AW152">
            <v>1.077538434354719E-2</v>
          </cell>
          <cell r="AX152">
            <v>5.7089867246979731E-2</v>
          </cell>
          <cell r="AY152">
            <v>1.1575049380441405E-2</v>
          </cell>
          <cell r="AZ152">
            <v>6.5393576107236617E-2</v>
          </cell>
          <cell r="BA152">
            <v>4.5075210055268711E-2</v>
          </cell>
          <cell r="BB152">
            <v>3.5015402774839943E-2</v>
          </cell>
          <cell r="BC152">
            <v>6.5646491672275431E-3</v>
          </cell>
          <cell r="BD152">
            <v>3.7585628524420489E-2</v>
          </cell>
          <cell r="BE152">
            <v>5.2349348773211846E-2</v>
          </cell>
          <cell r="BF152">
            <v>4.5333394397463644E-2</v>
          </cell>
          <cell r="BG152">
            <v>3.9385827199791779E-2</v>
          </cell>
          <cell r="BH152">
            <v>3.4571348064635687E-2</v>
          </cell>
          <cell r="BI152">
            <v>4.2889071194822437E-2</v>
          </cell>
          <cell r="BJ152">
            <v>4.9251943439464041E-2</v>
          </cell>
          <cell r="BK152">
            <v>4.7435230406646323E-2</v>
          </cell>
          <cell r="BL152">
            <v>4.9510467254096691E-2</v>
          </cell>
          <cell r="BM152">
            <v>4.1146477297152373E-2</v>
          </cell>
          <cell r="BN152">
            <v>4.6832019082907461E-2</v>
          </cell>
          <cell r="BO152">
            <v>3.581298677912681E-2</v>
          </cell>
          <cell r="BP152">
            <v>3.2355991214118696E-2</v>
          </cell>
          <cell r="BQ152">
            <v>2.8451804380969392E-2</v>
          </cell>
          <cell r="BR152">
            <v>2.4127121284801101E-2</v>
          </cell>
          <cell r="BS152">
            <v>2.9846942367664386E-2</v>
          </cell>
        </row>
        <row r="153">
          <cell r="A153" t="str">
            <v>% Change</v>
          </cell>
          <cell r="Q153">
            <v>65.549510494563037</v>
          </cell>
          <cell r="R153">
            <v>66.254034219019289</v>
          </cell>
          <cell r="S153">
            <v>68.004359640178919</v>
          </cell>
          <cell r="T153">
            <v>74.733910275539458</v>
          </cell>
          <cell r="U153">
            <v>68.621692180876067</v>
          </cell>
          <cell r="V153">
            <v>5.0340838286353939E-2</v>
          </cell>
          <cell r="W153">
            <v>9.9556421617577717E-2</v>
          </cell>
          <cell r="X153">
            <v>8.204214461383863E-3</v>
          </cell>
          <cell r="Y153">
            <v>-2.4157446958225415E-2</v>
          </cell>
          <cell r="Z153">
            <v>3.2257560926944873E-2</v>
          </cell>
          <cell r="AA153">
            <v>0.10211212030934091</v>
          </cell>
          <cell r="AB153">
            <v>5.892545873292665E-2</v>
          </cell>
          <cell r="AC153">
            <v>0.10244158870165654</v>
          </cell>
          <cell r="AD153">
            <v>9.7329353089052217E-2</v>
          </cell>
          <cell r="AE153">
            <v>8.94597420796448E-2</v>
          </cell>
          <cell r="AF153">
            <v>2.0710298760505008E-2</v>
          </cell>
          <cell r="AG153">
            <v>2.8778946488428936E-2</v>
          </cell>
          <cell r="AH153">
            <v>5.2522529416309194E-2</v>
          </cell>
          <cell r="AI153">
            <v>7.6383387348746723E-2</v>
          </cell>
          <cell r="AJ153">
            <v>4.5955343923425485E-2</v>
          </cell>
          <cell r="AK153">
            <v>0.12069957815224441</v>
          </cell>
          <cell r="AL153">
            <v>0.15015910793079623</v>
          </cell>
          <cell r="AM153">
            <v>9.7283833620087634E-2</v>
          </cell>
          <cell r="AN153">
            <v>5.8536640126320094E-2</v>
          </cell>
          <cell r="AO153">
            <v>0.10737939354316484</v>
          </cell>
          <cell r="AP153">
            <v>6.921748980427922E-2</v>
          </cell>
          <cell r="AQ153">
            <v>2.3887238613389705E-2</v>
          </cell>
          <cell r="AR153">
            <v>7.6632193518357594E-2</v>
          </cell>
          <cell r="AS153">
            <v>6.0167600032099644E-2</v>
          </cell>
          <cell r="AT153">
            <v>5.5219649175485275E-2</v>
          </cell>
          <cell r="AU153">
            <v>-2.1468256023493448E-2</v>
          </cell>
          <cell r="AV153">
            <v>1.7487581329045376E-3</v>
          </cell>
          <cell r="AW153">
            <v>1.077538434354719E-2</v>
          </cell>
          <cell r="AX153">
            <v>5.7089867246979731E-2</v>
          </cell>
          <cell r="AY153">
            <v>1.1575049380441405E-2</v>
          </cell>
          <cell r="AZ153">
            <v>6.5393576107236617E-2</v>
          </cell>
          <cell r="BA153">
            <v>4.5075210055268711E-2</v>
          </cell>
          <cell r="BB153">
            <v>3.5015402774839943E-2</v>
          </cell>
          <cell r="BC153">
            <v>6.5646491672275431E-3</v>
          </cell>
          <cell r="BD153">
            <v>3.7585628524420489E-2</v>
          </cell>
          <cell r="BE153">
            <v>5.2349348773211846E-2</v>
          </cell>
          <cell r="BF153">
            <v>4.4149551368700912E-2</v>
          </cell>
          <cell r="BG153">
            <v>3.9385827199791779E-2</v>
          </cell>
          <cell r="BH153">
            <v>3.5739035816402032E-2</v>
          </cell>
          <cell r="BI153">
            <v>4.2881101129147225E-2</v>
          </cell>
        </row>
        <row r="154">
          <cell r="A154" t="str">
            <v>Newport Menthol</v>
          </cell>
          <cell r="Q154">
            <v>1.3109902098912607</v>
          </cell>
          <cell r="R154">
            <v>1.3250806843803857</v>
          </cell>
          <cell r="S154">
            <v>1.3600871928035785</v>
          </cell>
          <cell r="T154">
            <v>1.4946782055107892</v>
          </cell>
          <cell r="U154">
            <v>1.3724338436175214</v>
          </cell>
          <cell r="V154">
            <v>1.3408791695814455</v>
          </cell>
          <cell r="W154">
            <v>1.4349874532698306</v>
          </cell>
          <cell r="X154">
            <v>1.3141616537377687</v>
          </cell>
          <cell r="Y154">
            <v>1.3250275275342154</v>
          </cell>
          <cell r="Z154">
            <v>1.3536682267703235</v>
          </cell>
          <cell r="AA154">
            <v>1.3750020970627421</v>
          </cell>
          <cell r="AB154">
            <v>1.4108070620405397</v>
          </cell>
          <cell r="AC154">
            <v>1.3301525343439127</v>
          </cell>
          <cell r="AD154">
            <v>1.2291318055126157</v>
          </cell>
          <cell r="AE154">
            <v>1.333126894575053</v>
          </cell>
          <cell r="AF154">
            <v>7.650379</v>
          </cell>
          <cell r="AG154">
            <v>8.5843480000000003</v>
          </cell>
          <cell r="AH154">
            <v>8.8899620000000006</v>
          </cell>
          <cell r="AI154">
            <v>8.2111199999999993</v>
          </cell>
          <cell r="AJ154">
            <v>33.335808999999998</v>
          </cell>
          <cell r="AK154">
            <v>6.8414190000000001</v>
          </cell>
          <cell r="AL154">
            <v>8.4797609999999999</v>
          </cell>
          <cell r="AM154">
            <v>8.0193089999999998</v>
          </cell>
          <cell r="AN154">
            <v>7.6807629999999998</v>
          </cell>
          <cell r="AO154">
            <v>31.021251999999997</v>
          </cell>
          <cell r="AP154">
            <v>7.5099049999999998</v>
          </cell>
          <cell r="AQ154">
            <v>8.1948229999999995</v>
          </cell>
          <cell r="AR154">
            <v>8.2478739999999995</v>
          </cell>
          <cell r="AS154">
            <v>7.5005557410714285</v>
          </cell>
          <cell r="AT154">
            <v>31.453157741071429</v>
          </cell>
          <cell r="AU154">
            <v>7.6268399999999996</v>
          </cell>
          <cell r="AV154">
            <v>8.2778849999999995</v>
          </cell>
          <cell r="AW154">
            <v>7.7478609999999994</v>
          </cell>
          <cell r="AX154">
            <v>7.6168760000000004</v>
          </cell>
          <cell r="AY154">
            <v>31.269462000000001</v>
          </cell>
          <cell r="AZ154">
            <v>7.2578100000000001</v>
          </cell>
          <cell r="BA154">
            <v>8.2033840349999991</v>
          </cell>
          <cell r="BB154">
            <v>7.6727099999999995</v>
          </cell>
          <cell r="BC154">
            <v>7.6642505000000014</v>
          </cell>
          <cell r="BD154">
            <v>30.798154534999998</v>
          </cell>
          <cell r="BE154">
            <v>7.0799015999999995</v>
          </cell>
          <cell r="BF154">
            <v>8.0177969999999998</v>
          </cell>
          <cell r="BG154">
            <v>8.0757505147108475</v>
          </cell>
        </row>
        <row r="155">
          <cell r="A155" t="str">
            <v xml:space="preserve">   Volume</v>
          </cell>
          <cell r="V155">
            <v>2.2798766508457691E-2</v>
          </cell>
          <cell r="W155">
            <v>8.2943454074147827E-2</v>
          </cell>
          <cell r="X155">
            <v>-3.3766613867705408E-2</v>
          </cell>
          <cell r="Y155">
            <v>-0.11350314559420349</v>
          </cell>
          <cell r="Z155">
            <v>-1.367323964974132E-2</v>
          </cell>
          <cell r="AA155">
            <v>2.544817479113215E-2</v>
          </cell>
          <cell r="AB155">
            <v>-1.685059418059176E-2</v>
          </cell>
          <cell r="AC155">
            <v>1.2168122970764195E-2</v>
          </cell>
          <cell r="AD155">
            <v>-7.2372626250305161E-2</v>
          </cell>
          <cell r="AE155">
            <v>-1.5174569210566036E-2</v>
          </cell>
          <cell r="AF155">
            <v>7.650379</v>
          </cell>
          <cell r="AG155">
            <v>8.5843480000000003</v>
          </cell>
          <cell r="AH155">
            <v>8.8899620000000006</v>
          </cell>
          <cell r="AI155">
            <v>8.2111199999999993</v>
          </cell>
          <cell r="AJ155">
            <v>33.335808999999998</v>
          </cell>
          <cell r="AK155">
            <v>6.8414190000000001</v>
          </cell>
          <cell r="AL155">
            <v>8.4797609999999999</v>
          </cell>
          <cell r="AM155">
            <v>8.0193089999999998</v>
          </cell>
          <cell r="AN155">
            <v>7.6807629999999998</v>
          </cell>
          <cell r="AO155">
            <v>31.021251999999997</v>
          </cell>
          <cell r="AP155">
            <v>7.5099049999999998</v>
          </cell>
          <cell r="AQ155">
            <v>8.1948229999999995</v>
          </cell>
          <cell r="AR155">
            <v>8.2478739999999995</v>
          </cell>
          <cell r="AS155">
            <v>7.5005557410714285</v>
          </cell>
          <cell r="AT155">
            <v>31.453157741071429</v>
          </cell>
          <cell r="AU155">
            <v>7.6268399999999996</v>
          </cell>
          <cell r="AV155">
            <v>8.2778849999999995</v>
          </cell>
          <cell r="AW155">
            <v>7.7478609999999994</v>
          </cell>
          <cell r="AX155">
            <v>7.6168760000000004</v>
          </cell>
          <cell r="AY155">
            <v>31.269462000000001</v>
          </cell>
          <cell r="AZ155">
            <v>7.2574339999999999</v>
          </cell>
          <cell r="BA155">
            <v>8.2033840349999991</v>
          </cell>
          <cell r="BB155">
            <v>7.6723917599999991</v>
          </cell>
          <cell r="BC155">
            <v>7.663879360000001</v>
          </cell>
          <cell r="BD155">
            <v>30.797089155000002</v>
          </cell>
          <cell r="BE155">
            <v>7.0799015999999995</v>
          </cell>
          <cell r="BF155">
            <v>8.0177969999999998</v>
          </cell>
          <cell r="BG155">
            <v>8.0590229999999998</v>
          </cell>
          <cell r="BH155">
            <v>7.513742409999999</v>
          </cell>
          <cell r="BI155">
            <v>30.670464009999996</v>
          </cell>
          <cell r="BJ155">
            <v>6.8948419999999997</v>
          </cell>
          <cell r="BK155">
            <v>7.7971379120000011</v>
          </cell>
          <cell r="BL155">
            <v>7.7691529480000003</v>
          </cell>
          <cell r="BM155">
            <v>7.4269617280000002</v>
          </cell>
          <cell r="BN155">
            <v>29.888094588000001</v>
          </cell>
          <cell r="BO155">
            <v>7.1500765719069488</v>
          </cell>
          <cell r="BP155">
            <v>7.7979326874277053</v>
          </cell>
          <cell r="BQ155">
            <v>7.6748888450504786</v>
          </cell>
          <cell r="BR155">
            <v>7.3568592314700423</v>
          </cell>
          <cell r="BS155">
            <v>29.979757335855176</v>
          </cell>
        </row>
        <row r="156">
          <cell r="A156" t="str">
            <v xml:space="preserve">   Net revenue</v>
          </cell>
          <cell r="AF156">
            <v>713.27799999999991</v>
          </cell>
          <cell r="AG156">
            <v>832.83999999999992</v>
          </cell>
          <cell r="AH156">
            <v>874.22400000000005</v>
          </cell>
          <cell r="AI156">
            <v>850.89600000000019</v>
          </cell>
          <cell r="AJ156">
            <v>3271.2380000000003</v>
          </cell>
          <cell r="AK156">
            <v>714.84400000000005</v>
          </cell>
          <cell r="AL156">
            <v>946.22799999999995</v>
          </cell>
          <cell r="AM156">
            <v>865.32399999999996</v>
          </cell>
          <cell r="AN156">
            <v>842.52799999999979</v>
          </cell>
          <cell r="AO156">
            <v>3368.924</v>
          </cell>
          <cell r="AP156">
            <v>839.00700000000006</v>
          </cell>
          <cell r="AQ156">
            <v>936.27600000000007</v>
          </cell>
          <cell r="AR156">
            <v>958.18899999999996</v>
          </cell>
          <cell r="AS156">
            <v>888.9384974851032</v>
          </cell>
          <cell r="AT156">
            <v>3622.4104974851034</v>
          </cell>
          <cell r="AU156">
            <v>853.59016424283777</v>
          </cell>
          <cell r="AV156">
            <v>974.98173359374994</v>
          </cell>
          <cell r="AW156">
            <v>935.8986000000001</v>
          </cell>
          <cell r="AX156">
            <v>961.59414939732142</v>
          </cell>
          <cell r="AY156">
            <v>3726.064647233909</v>
          </cell>
          <cell r="AZ156">
            <v>863.97875599999998</v>
          </cell>
          <cell r="BA156">
            <v>1004.2014033524998</v>
          </cell>
          <cell r="BB156">
            <v>953.75652648000005</v>
          </cell>
          <cell r="BC156">
            <v>971.27148078000016</v>
          </cell>
          <cell r="BD156">
            <v>3793.2081666125</v>
          </cell>
          <cell r="BE156">
            <v>887.65817760000004</v>
          </cell>
          <cell r="BF156">
            <v>1025.1487374999999</v>
          </cell>
          <cell r="BG156">
            <v>1038.345673</v>
          </cell>
          <cell r="BH156">
            <v>985.82850747499947</v>
          </cell>
          <cell r="BI156">
            <v>3936.981095574999</v>
          </cell>
          <cell r="BJ156">
            <v>918.4751676840483</v>
          </cell>
          <cell r="BK156">
            <v>1056.3161054226421</v>
          </cell>
          <cell r="BL156">
            <v>1069.7438552204164</v>
          </cell>
          <cell r="BM156">
            <v>1029.5115682933142</v>
          </cell>
          <cell r="BN156">
            <v>4074.0466966204208</v>
          </cell>
          <cell r="BO156">
            <v>985.36646825964772</v>
          </cell>
          <cell r="BP156">
            <v>1090.4907768385526</v>
          </cell>
          <cell r="BQ156">
            <v>1087.5510555330834</v>
          </cell>
          <cell r="BR156">
            <v>1040.4233375170488</v>
          </cell>
          <cell r="BS156">
            <v>4203.8316381483328</v>
          </cell>
        </row>
        <row r="157">
          <cell r="A157" t="str">
            <v xml:space="preserve">   Net revenue/pack</v>
          </cell>
          <cell r="Q157">
            <v>0.69202500000000011</v>
          </cell>
          <cell r="R157">
            <v>0.79166500000000006</v>
          </cell>
          <cell r="S157">
            <v>0.79639600000000144</v>
          </cell>
          <cell r="T157">
            <v>0.75397500000000139</v>
          </cell>
          <cell r="U157">
            <v>3.034060999999987</v>
          </cell>
          <cell r="V157">
            <v>0.69044699999999981</v>
          </cell>
          <cell r="W157">
            <v>0.78107999999999933</v>
          </cell>
          <cell r="X157">
            <v>0.80375499999999889</v>
          </cell>
          <cell r="Y157">
            <v>0.75015799999999899</v>
          </cell>
          <cell r="Z157">
            <v>3.0254399999999961</v>
          </cell>
          <cell r="AA157">
            <v>0.65567900000000012</v>
          </cell>
          <cell r="AB157">
            <v>0.75700499999999948</v>
          </cell>
          <cell r="AC157">
            <v>0.7916249999999998</v>
          </cell>
          <cell r="AD157">
            <v>0.79900299999999991</v>
          </cell>
          <cell r="AE157">
            <v>3.0033120000000011</v>
          </cell>
          <cell r="AF157">
            <v>1.864686703756768</v>
          </cell>
          <cell r="AG157">
            <v>1.9403686803004723</v>
          </cell>
          <cell r="AH157">
            <v>1.9667665621067898</v>
          </cell>
          <cell r="AI157">
            <v>2.0725455236313688</v>
          </cell>
          <cell r="AJ157">
            <v>1.962597037917994</v>
          </cell>
          <cell r="AK157">
            <v>2.0897536022863092</v>
          </cell>
          <cell r="AL157">
            <v>2.2317327103912477</v>
          </cell>
          <cell r="AM157">
            <v>2.1581011531043384</v>
          </cell>
          <cell r="AN157">
            <v>2.1938653750935937</v>
          </cell>
          <cell r="AO157">
            <v>2.1720103366556582</v>
          </cell>
          <cell r="AP157">
            <v>2.2344011009460174</v>
          </cell>
          <cell r="AQ157">
            <v>2.2850426421656702</v>
          </cell>
          <cell r="AR157">
            <v>2.3234811783012206</v>
          </cell>
          <cell r="AS157">
            <v>2.3703270215497962</v>
          </cell>
          <cell r="AT157">
            <v>2.3033684104505485</v>
          </cell>
          <cell r="AU157">
            <v>2.2383848730085796</v>
          </cell>
          <cell r="AV157">
            <v>2.3556300518640931</v>
          </cell>
          <cell r="AW157">
            <v>2.4158889789065658</v>
          </cell>
          <cell r="AX157">
            <v>2.5249043030169362</v>
          </cell>
          <cell r="AY157">
            <v>2.3831971571713702</v>
          </cell>
          <cell r="AZ157">
            <v>2.3809482966018014</v>
          </cell>
          <cell r="BA157">
            <v>2.4482613493846994</v>
          </cell>
          <cell r="BB157">
            <v>2.4862039278348846</v>
          </cell>
          <cell r="BC157">
            <v>2.5346731991877283</v>
          </cell>
          <cell r="BD157">
            <v>2.4633549927536973</v>
          </cell>
          <cell r="BE157">
            <v>2.5075438268803061</v>
          </cell>
          <cell r="BF157">
            <v>2.5571830703620955</v>
          </cell>
          <cell r="BG157">
            <v>2.5768524869577862</v>
          </cell>
          <cell r="BH157">
            <v>2.6240678843686887</v>
          </cell>
          <cell r="BI157">
            <v>2.567278469795149</v>
          </cell>
          <cell r="BJ157">
            <v>2.6642384776447328</v>
          </cell>
          <cell r="BK157">
            <v>2.7094970419772717</v>
          </cell>
          <cell r="BL157">
            <v>2.7538236468772284</v>
          </cell>
          <cell r="BM157">
            <v>2.7723626591800157</v>
          </cell>
          <cell r="BN157">
            <v>2.7262003501930434</v>
          </cell>
          <cell r="BO157">
            <v>2.7562403237224276</v>
          </cell>
          <cell r="BP157">
            <v>2.7968714800442105</v>
          </cell>
          <cell r="BQ157">
            <v>2.8340503100170444</v>
          </cell>
          <cell r="BR157">
            <v>2.8284443259876055</v>
          </cell>
          <cell r="BS157">
            <v>2.8044467412153709</v>
          </cell>
        </row>
        <row r="158">
          <cell r="A158" t="str">
            <v xml:space="preserve">   % Change</v>
          </cell>
          <cell r="Q158">
            <v>0.69202500000000011</v>
          </cell>
          <cell r="R158">
            <v>0.79166500000000006</v>
          </cell>
          <cell r="S158">
            <v>0.79639600000000144</v>
          </cell>
          <cell r="T158">
            <v>0.75397500000000139</v>
          </cell>
          <cell r="U158">
            <v>3.034060999999987</v>
          </cell>
          <cell r="V158">
            <v>0.69044699999999981</v>
          </cell>
          <cell r="W158">
            <v>0.78107999999999933</v>
          </cell>
          <cell r="X158">
            <v>0.80375499999999889</v>
          </cell>
          <cell r="Y158">
            <v>0.75015799999999899</v>
          </cell>
          <cell r="Z158">
            <v>3.0254399999999961</v>
          </cell>
          <cell r="AA158">
            <v>0.65567900000000012</v>
          </cell>
          <cell r="AB158">
            <v>0.75700499999999948</v>
          </cell>
          <cell r="AC158">
            <v>0.7916249999999998</v>
          </cell>
          <cell r="AD158">
            <v>0.79900299999999991</v>
          </cell>
          <cell r="AE158">
            <v>3.0033120000000011</v>
          </cell>
          <cell r="AF158">
            <v>1.864686703756768</v>
          </cell>
          <cell r="AG158">
            <v>1.9403686803004723</v>
          </cell>
          <cell r="AH158">
            <v>1.9667665621067898</v>
          </cell>
          <cell r="AI158">
            <v>2.0725455236313688</v>
          </cell>
          <cell r="AJ158">
            <v>1.962597037917994</v>
          </cell>
          <cell r="AK158">
            <v>0.12069957815224441</v>
          </cell>
          <cell r="AL158">
            <v>0.15015910793079623</v>
          </cell>
          <cell r="AM158">
            <v>9.7283833620087634E-2</v>
          </cell>
          <cell r="AN158">
            <v>5.8536640126320094E-2</v>
          </cell>
          <cell r="AO158">
            <v>0.10670213736785139</v>
          </cell>
          <cell r="AP158">
            <v>6.921748980427922E-2</v>
          </cell>
          <cell r="AQ158">
            <v>2.3887238613389705E-2</v>
          </cell>
          <cell r="AR158">
            <v>7.6632193518357594E-2</v>
          </cell>
          <cell r="AS158">
            <v>8.0434127116243204E-2</v>
          </cell>
          <cell r="AT158">
            <v>6.0477646711915911E-2</v>
          </cell>
          <cell r="AU158">
            <v>1.7829261097639382E-3</v>
          </cell>
          <cell r="AV158">
            <v>3.0891068899932206E-2</v>
          </cell>
          <cell r="AW158">
            <v>3.9771271430271593E-2</v>
          </cell>
          <cell r="AX158">
            <v>6.5213483229023872E-2</v>
          </cell>
          <cell r="AY158">
            <v>3.4657394083652759E-2</v>
          </cell>
          <cell r="AZ158">
            <v>6.3690308718716615E-2</v>
          </cell>
          <cell r="BA158">
            <v>3.9323363805493949E-2</v>
          </cell>
          <cell r="BB158">
            <v>2.9105207044797021E-2</v>
          </cell>
          <cell r="BC158">
            <v>3.869016405540382E-3</v>
          </cell>
          <cell r="BD158">
            <v>3.363458006028619E-2</v>
          </cell>
          <cell r="BE158">
            <v>5.3170213926605481E-2</v>
          </cell>
          <cell r="BF158">
            <v>4.4489417359290684E-2</v>
          </cell>
          <cell r="BG158">
            <v>3.6460629036912051E-2</v>
          </cell>
          <cell r="BH158">
            <v>3.5268722299035771E-2</v>
          </cell>
          <cell r="BI158">
            <v>4.2187779409446513E-2</v>
          </cell>
          <cell r="BJ158">
            <v>6.2489296930604121E-2</v>
          </cell>
          <cell r="BK158">
            <v>5.9563186296868631E-2</v>
          </cell>
          <cell r="BL158">
            <v>6.8677256775521833E-2</v>
          </cell>
          <cell r="BM158">
            <v>5.6513314954504068E-2</v>
          </cell>
          <cell r="BN158">
            <v>6.1902860273110649E-2</v>
          </cell>
          <cell r="BO158">
            <v>3.4532136236928412E-2</v>
          </cell>
          <cell r="BP158">
            <v>3.2247474979037793E-2</v>
          </cell>
          <cell r="BQ158">
            <v>2.9132825273975316E-2</v>
          </cell>
          <cell r="BR158">
            <v>2.0228835005365875E-2</v>
          </cell>
          <cell r="BS158">
            <v>2.870162899685158E-2</v>
          </cell>
        </row>
        <row r="159">
          <cell r="A159" t="str">
            <v xml:space="preserve">   % Change</v>
          </cell>
          <cell r="Q159">
            <v>45.361899999999991</v>
          </cell>
          <cell r="R159">
            <v>52.450999999999908</v>
          </cell>
          <cell r="S159">
            <v>54.158400000000029</v>
          </cell>
          <cell r="T159">
            <v>56.347499999999968</v>
          </cell>
          <cell r="U159">
            <v>208.20240000000013</v>
          </cell>
          <cell r="V159">
            <v>46.290300000000002</v>
          </cell>
          <cell r="W159">
            <v>56.041999999999916</v>
          </cell>
          <cell r="X159">
            <v>52.813199999999938</v>
          </cell>
          <cell r="Y159">
            <v>49.699000000000524</v>
          </cell>
          <cell r="Z159">
            <v>204.77210000000014</v>
          </cell>
          <cell r="AA159">
            <v>45.078000000000088</v>
          </cell>
          <cell r="AB159">
            <v>53.399399999999901</v>
          </cell>
          <cell r="AC159">
            <v>52.649099999999976</v>
          </cell>
          <cell r="AD159">
            <v>49.103999999999814</v>
          </cell>
          <cell r="AE159">
            <v>200.18979999999965</v>
          </cell>
          <cell r="AF159">
            <v>44.722000000000094</v>
          </cell>
          <cell r="AG159">
            <v>53.160000000000082</v>
          </cell>
          <cell r="AH159">
            <v>61.775999999999954</v>
          </cell>
          <cell r="AI159">
            <v>61.103999999999814</v>
          </cell>
          <cell r="AJ159">
            <v>220.76199999999972</v>
          </cell>
          <cell r="AK159">
            <v>0.12069957815224441</v>
          </cell>
          <cell r="AL159">
            <v>0.15015910793079623</v>
          </cell>
          <cell r="AM159">
            <v>9.7283833620087634E-2</v>
          </cell>
          <cell r="AN159">
            <v>5.8536640126320094E-2</v>
          </cell>
          <cell r="AO159">
            <v>0.10670213736785139</v>
          </cell>
          <cell r="AP159">
            <v>6.921748980427922E-2</v>
          </cell>
          <cell r="AQ159">
            <v>2.3887238613389705E-2</v>
          </cell>
          <cell r="AR159">
            <v>7.6632193518357594E-2</v>
          </cell>
          <cell r="AS159">
            <v>8.0434127116243204E-2</v>
          </cell>
          <cell r="AT159">
            <v>6.0477646711915911E-2</v>
          </cell>
          <cell r="AU159">
            <v>1.7829261097639382E-3</v>
          </cell>
          <cell r="AV159">
            <v>3.0891068899932206E-2</v>
          </cell>
          <cell r="AW159">
            <v>3.9771271430271593E-2</v>
          </cell>
          <cell r="AX159">
            <v>6.5213483229023872E-2</v>
          </cell>
          <cell r="AY159">
            <v>3.4657394083652759E-2</v>
          </cell>
          <cell r="AZ159">
            <v>6.3672928408472274E-2</v>
          </cell>
          <cell r="BA159">
            <v>3.9323363805493949E-2</v>
          </cell>
          <cell r="BB159">
            <v>2.909188089025383E-2</v>
          </cell>
          <cell r="BC159">
            <v>3.853200100556009E-3</v>
          </cell>
          <cell r="BD159">
            <v>3.3623235221205361E-2</v>
          </cell>
          <cell r="BE159">
            <v>5.318742262353604E-2</v>
          </cell>
          <cell r="BF159">
            <v>4.6646468199213587E-2</v>
          </cell>
          <cell r="BG159">
            <v>3.9395953603342804E-2</v>
          </cell>
          <cell r="BH159">
            <v>4.5200460805758569E-2</v>
          </cell>
          <cell r="BI159">
            <v>4.5986470491807596E-2</v>
          </cell>
        </row>
        <row r="160">
          <cell r="A160" t="str">
            <v>Newport Non-Menthol</v>
          </cell>
          <cell r="Q160">
            <v>65.549510494563037</v>
          </cell>
          <cell r="R160">
            <v>66.254034219019289</v>
          </cell>
          <cell r="S160">
            <v>68.004359640178919</v>
          </cell>
          <cell r="T160">
            <v>74.733910275539458</v>
          </cell>
          <cell r="U160">
            <v>68.621692180876067</v>
          </cell>
          <cell r="V160">
            <v>67.043958479072273</v>
          </cell>
          <cell r="W160">
            <v>71.749372663491528</v>
          </cell>
          <cell r="X160">
            <v>65.708082686888432</v>
          </cell>
          <cell r="Y160">
            <v>66.251376376710766</v>
          </cell>
          <cell r="Z160">
            <v>67.68341133851618</v>
          </cell>
          <cell r="AA160">
            <v>68.750104853137103</v>
          </cell>
          <cell r="AB160">
            <v>70.540353102026984</v>
          </cell>
          <cell r="AC160">
            <v>66.507626717195635</v>
          </cell>
          <cell r="AD160">
            <v>61.456590275630781</v>
          </cell>
          <cell r="AE160">
            <v>66.656344728752643</v>
          </cell>
          <cell r="AF160">
            <v>58.472054432014943</v>
          </cell>
          <cell r="AG160">
            <v>60.455325493246512</v>
          </cell>
          <cell r="AH160">
            <v>61.586928130638938</v>
          </cell>
          <cell r="AI160">
            <v>60.665750617538777</v>
          </cell>
          <cell r="AJ160">
            <v>60.408842333966696</v>
          </cell>
          <cell r="AK160">
            <v>59.008544223597916</v>
          </cell>
          <cell r="AL160">
            <v>73.525623644251738</v>
          </cell>
          <cell r="AM160">
            <v>69.156181943954891</v>
          </cell>
          <cell r="AN160">
            <v>74.192622862459601</v>
          </cell>
          <cell r="AO160">
            <v>69.654462510338234</v>
          </cell>
          <cell r="AP160">
            <v>70.419205253039735</v>
          </cell>
          <cell r="AQ160">
            <v>72.292187676556992</v>
          </cell>
          <cell r="AR160">
            <v>72.55355841739707</v>
          </cell>
          <cell r="AS160">
            <v>0.35049325892857142</v>
          </cell>
          <cell r="AT160">
            <v>0.35049325892857142</v>
          </cell>
          <cell r="AU160">
            <v>0.48719999999999997</v>
          </cell>
          <cell r="AV160">
            <v>0.78594468750000002</v>
          </cell>
          <cell r="AW160">
            <v>0.70679999999999998</v>
          </cell>
          <cell r="AX160">
            <v>0.55559325892857148</v>
          </cell>
          <cell r="AY160">
            <v>2.5355379464285712</v>
          </cell>
          <cell r="AZ160">
            <v>0.53439999999999999</v>
          </cell>
          <cell r="BA160">
            <v>0.60317296500000062</v>
          </cell>
          <cell r="BB160">
            <v>0.58996800000000005</v>
          </cell>
          <cell r="BC160">
            <v>0.59972849999999978</v>
          </cell>
          <cell r="BD160">
            <v>2.3272694650000005</v>
          </cell>
          <cell r="BE160">
            <v>0.58386240000000011</v>
          </cell>
          <cell r="BF160">
            <v>0.67567500000000003</v>
          </cell>
          <cell r="BG160">
            <v>0.6209584852891521</v>
          </cell>
        </row>
        <row r="161">
          <cell r="A161" t="str">
            <v xml:space="preserve">   Volume</v>
          </cell>
          <cell r="Q161">
            <v>1.3109902098912607</v>
          </cell>
          <cell r="R161">
            <v>1.3250806843803857</v>
          </cell>
          <cell r="S161">
            <v>1.3600871928035785</v>
          </cell>
          <cell r="T161">
            <v>1.4946782055107892</v>
          </cell>
          <cell r="U161">
            <v>1.3724338436175214</v>
          </cell>
          <cell r="V161">
            <v>1.3408791695814455</v>
          </cell>
          <cell r="W161">
            <v>1.4349874532698306</v>
          </cell>
          <cell r="X161">
            <v>1.3141616537377687</v>
          </cell>
          <cell r="Y161">
            <v>1.3250275275342154</v>
          </cell>
          <cell r="Z161">
            <v>1.3536682267703235</v>
          </cell>
          <cell r="AA161">
            <v>1.3750020970627421</v>
          </cell>
          <cell r="AB161">
            <v>1.4108070620405397</v>
          </cell>
          <cell r="AC161">
            <v>1.3301525343439127</v>
          </cell>
          <cell r="AD161">
            <v>1.2291318055126157</v>
          </cell>
          <cell r="AE161">
            <v>1.333126894575053</v>
          </cell>
          <cell r="AF161">
            <v>1.1694410886402988</v>
          </cell>
          <cell r="AG161">
            <v>1.2091065098649303</v>
          </cell>
          <cell r="AH161">
            <v>1.2317385626127788</v>
          </cell>
          <cell r="AI161">
            <v>1.2133150123507754</v>
          </cell>
          <cell r="AJ161">
            <v>1.2081768466793339</v>
          </cell>
          <cell r="AK161">
            <v>1.1801708844719583</v>
          </cell>
          <cell r="AL161">
            <v>1.4705124728850347</v>
          </cell>
          <cell r="AM161">
            <v>1.3831236388790977</v>
          </cell>
          <cell r="AN161">
            <v>1.483852457249192</v>
          </cell>
          <cell r="AO161">
            <v>1.3930892502067647</v>
          </cell>
          <cell r="AP161">
            <v>1.4083841050607946</v>
          </cell>
          <cell r="AQ161">
            <v>1.4458437535311399</v>
          </cell>
          <cell r="AR161">
            <v>1.4510711683479414</v>
          </cell>
          <cell r="AS161">
            <v>0.35049325892857142</v>
          </cell>
          <cell r="AT161">
            <v>0.35049325892857142</v>
          </cell>
          <cell r="AU161">
            <v>0.48719999999999997</v>
          </cell>
          <cell r="AV161">
            <v>0.78594468750000002</v>
          </cell>
          <cell r="AW161">
            <v>0.70679999999999998</v>
          </cell>
          <cell r="AX161">
            <v>0.55559325892857148</v>
          </cell>
          <cell r="AY161">
            <v>2.5355379464285712</v>
          </cell>
          <cell r="AZ161">
            <v>0.53477599999999992</v>
          </cell>
          <cell r="BA161">
            <v>0.60317296500000062</v>
          </cell>
          <cell r="BB161">
            <v>0.59028624000000007</v>
          </cell>
          <cell r="BC161">
            <v>0.60009963999999993</v>
          </cell>
          <cell r="BD161">
            <v>2.3283348450000005</v>
          </cell>
          <cell r="BE161">
            <v>0.58386240000000011</v>
          </cell>
          <cell r="BF161">
            <v>0.67567500000000003</v>
          </cell>
          <cell r="BG161">
            <v>0.63768599999999953</v>
          </cell>
          <cell r="BH161">
            <v>0.78446659000000096</v>
          </cell>
          <cell r="BI161">
            <v>2.6816899900000006</v>
          </cell>
          <cell r="BJ161">
            <v>0.52319236135275204</v>
          </cell>
          <cell r="BK161">
            <v>0.58013424712423001</v>
          </cell>
          <cell r="BL161">
            <v>0.62986051436228851</v>
          </cell>
          <cell r="BM161">
            <v>0.64129441489903305</v>
          </cell>
          <cell r="BN161">
            <v>2.3744815377383039</v>
          </cell>
          <cell r="BO161">
            <v>0.52988921999999994</v>
          </cell>
          <cell r="BP161">
            <v>0.58660226999999987</v>
          </cell>
          <cell r="BQ161">
            <v>0.68212954999999997</v>
          </cell>
          <cell r="BR161">
            <v>0.63071435000000009</v>
          </cell>
          <cell r="BS161">
            <v>2.4293353899999999</v>
          </cell>
        </row>
        <row r="162">
          <cell r="A162" t="str">
            <v xml:space="preserve">   Net revenue</v>
          </cell>
          <cell r="V162">
            <v>2.2798766508457691E-2</v>
          </cell>
          <cell r="W162">
            <v>8.2943454074147827E-2</v>
          </cell>
          <cell r="X162">
            <v>-3.3766613867705408E-2</v>
          </cell>
          <cell r="Y162">
            <v>-0.11350314559420349</v>
          </cell>
          <cell r="Z162">
            <v>-1.367323964974132E-2</v>
          </cell>
          <cell r="AA162">
            <v>2.544817479113215E-2</v>
          </cell>
          <cell r="AB162">
            <v>-1.685059418059176E-2</v>
          </cell>
          <cell r="AC162">
            <v>1.2168122970764195E-2</v>
          </cell>
          <cell r="AD162">
            <v>-7.2372626250305161E-2</v>
          </cell>
          <cell r="AE162">
            <v>-1.5174569210566036E-2</v>
          </cell>
          <cell r="AF162">
            <v>-0.14949868721041193</v>
          </cell>
          <cell r="AG162">
            <v>-0.14296820423047585</v>
          </cell>
          <cell r="AH162">
            <v>-7.3986982086739261E-2</v>
          </cell>
          <cell r="AI162">
            <v>-1.2868264486284087E-2</v>
          </cell>
          <cell r="AJ162">
            <v>-9.3727047593281099E-2</v>
          </cell>
          <cell r="AK162">
            <v>9.1751486551023831E-3</v>
          </cell>
          <cell r="AL162">
            <v>0.21619763096743738</v>
          </cell>
          <cell r="AM162">
            <v>0.12290357780566596</v>
          </cell>
          <cell r="AN162">
            <v>0.22297378845931792</v>
          </cell>
          <cell r="AO162">
            <v>0.15305077566720571</v>
          </cell>
          <cell r="AP162">
            <v>0.19337303062763267</v>
          </cell>
          <cell r="AQ162">
            <v>-1.6775593413020595E-2</v>
          </cell>
          <cell r="AR162">
            <v>4.912614285437944E-2</v>
          </cell>
          <cell r="AS162">
            <v>24.085502514896497</v>
          </cell>
          <cell r="AT162">
            <v>24.085502514896497</v>
          </cell>
          <cell r="AU162">
            <v>33.449835757162212</v>
          </cell>
          <cell r="AV162">
            <v>53.051266406250008</v>
          </cell>
          <cell r="AW162">
            <v>56.897399999999998</v>
          </cell>
          <cell r="AX162">
            <v>45.280850602678569</v>
          </cell>
          <cell r="AY162">
            <v>188.6793527660908</v>
          </cell>
          <cell r="AZ162">
            <v>43.584243999999991</v>
          </cell>
          <cell r="BA162">
            <v>49.158596647500048</v>
          </cell>
          <cell r="BB162">
            <v>50.469473520000008</v>
          </cell>
          <cell r="BC162">
            <v>51.308519219999994</v>
          </cell>
          <cell r="BD162">
            <v>194.52083338750003</v>
          </cell>
          <cell r="BE162">
            <v>51.671822400000011</v>
          </cell>
          <cell r="BF162">
            <v>61.824262499999996</v>
          </cell>
          <cell r="BG162">
            <v>60.261326999999959</v>
          </cell>
          <cell r="BH162">
            <v>76.485492525000097</v>
          </cell>
          <cell r="BI162">
            <v>250.24290442500006</v>
          </cell>
          <cell r="BJ162">
            <v>52.580832315951589</v>
          </cell>
          <cell r="BK162">
            <v>60.043894577357818</v>
          </cell>
          <cell r="BL162">
            <v>67.080144779583733</v>
          </cell>
          <cell r="BM162">
            <v>70.221738431444123</v>
          </cell>
          <cell r="BN162">
            <v>249.92661010433727</v>
          </cell>
          <cell r="BO162">
            <v>59.61253725000001</v>
          </cell>
          <cell r="BP162">
            <v>67.752562185000002</v>
          </cell>
          <cell r="BQ162">
            <v>80.832351675000012</v>
          </cell>
          <cell r="BR162">
            <v>76.631793525000035</v>
          </cell>
          <cell r="BS162">
            <v>284.82924463500007</v>
          </cell>
        </row>
        <row r="163">
          <cell r="A163" t="str">
            <v xml:space="preserve">   Net revenue/pack</v>
          </cell>
          <cell r="AS163">
            <v>1.3743775037798938</v>
          </cell>
          <cell r="AT163">
            <v>1.3743775037798938</v>
          </cell>
          <cell r="AU163">
            <v>1.3731459670427837</v>
          </cell>
          <cell r="AV163">
            <v>1.35</v>
          </cell>
          <cell r="AW163">
            <v>1.61</v>
          </cell>
          <cell r="AX163">
            <v>1.63</v>
          </cell>
          <cell r="AY163">
            <v>1.4882786749995587</v>
          </cell>
          <cell r="AZ163">
            <v>1.63</v>
          </cell>
          <cell r="BA163">
            <v>1.63</v>
          </cell>
          <cell r="BB163">
            <v>1.71</v>
          </cell>
          <cell r="BC163">
            <v>1.71</v>
          </cell>
          <cell r="BD163">
            <v>1.6709008483485546</v>
          </cell>
          <cell r="BE163">
            <v>1.77</v>
          </cell>
          <cell r="BF163">
            <v>1.83</v>
          </cell>
          <cell r="BG163">
            <v>1.8900000000000001</v>
          </cell>
          <cell r="BH163">
            <v>1.9500000000000002</v>
          </cell>
          <cell r="BI163">
            <v>1.8663074804183464</v>
          </cell>
          <cell r="BJ163">
            <v>2.0100000000000002</v>
          </cell>
          <cell r="BK163">
            <v>2.0700000000000003</v>
          </cell>
          <cell r="BL163">
            <v>2.1300000000000003</v>
          </cell>
          <cell r="BM163">
            <v>2.1900000000000004</v>
          </cell>
          <cell r="BN163">
            <v>2.1051046818615622</v>
          </cell>
          <cell r="BO163">
            <v>2.2500000000000004</v>
          </cell>
          <cell r="BP163">
            <v>2.3100000000000005</v>
          </cell>
          <cell r="BQ163">
            <v>2.3700000000000006</v>
          </cell>
          <cell r="BR163">
            <v>2.4300000000000006</v>
          </cell>
          <cell r="BS163">
            <v>2.3449149574608557</v>
          </cell>
        </row>
        <row r="164">
          <cell r="A164" t="str">
            <v xml:space="preserve">   % Change</v>
          </cell>
          <cell r="B164">
            <v>1.6590623691921309</v>
          </cell>
          <cell r="C164">
            <v>1.81445937300064</v>
          </cell>
          <cell r="D164">
            <v>1.8468447719944723</v>
          </cell>
          <cell r="E164">
            <v>1.7533930857874518</v>
          </cell>
          <cell r="F164">
            <v>1.7670204358134811</v>
          </cell>
          <cell r="G164">
            <v>1.5211423511179989</v>
          </cell>
          <cell r="H164">
            <v>1.4373836126629422</v>
          </cell>
          <cell r="I164">
            <v>1.4542888165037999</v>
          </cell>
          <cell r="J164">
            <v>1.5086730732763018</v>
          </cell>
          <cell r="K164">
            <v>1.4802295140200159</v>
          </cell>
          <cell r="L164">
            <v>1.5024137339966415</v>
          </cell>
          <cell r="M164">
            <v>1.5642722545773606</v>
          </cell>
          <cell r="N164">
            <v>1.6077824444802031</v>
          </cell>
          <cell r="O164">
            <v>1.5567484930651283</v>
          </cell>
          <cell r="P164">
            <v>1.5589598854722624</v>
          </cell>
          <cell r="Q164">
            <v>1.5556388010746058</v>
          </cell>
          <cell r="R164">
            <v>1.5950278895724705</v>
          </cell>
          <cell r="S164">
            <v>1.6530918058225885</v>
          </cell>
          <cell r="T164">
            <v>1.7711584538515148</v>
          </cell>
          <cell r="U164">
            <v>1.6433067853789176</v>
          </cell>
          <cell r="V164">
            <v>1.6317686870461798</v>
          </cell>
          <cell r="W164">
            <v>1.7515590866776711</v>
          </cell>
          <cell r="X164">
            <v>1.6631753909070119</v>
          </cell>
          <cell r="Y164">
            <v>1.7184681270349358</v>
          </cell>
          <cell r="Z164">
            <v>1.6917946768056629</v>
          </cell>
          <cell r="AA164">
            <v>1.7915283814054948</v>
          </cell>
          <cell r="AB164">
            <v>1.8481102101966749</v>
          </cell>
          <cell r="AC164">
            <v>1.8235902987785046</v>
          </cell>
          <cell r="AD164">
            <v>1.8601345567789045</v>
          </cell>
          <cell r="AE164">
            <v>1.8312508328179253</v>
          </cell>
          <cell r="AF164">
            <v>1.8014971201595011</v>
          </cell>
          <cell r="AG164">
            <v>1.8724227110504108</v>
          </cell>
          <cell r="AH164">
            <v>1.8922409227019583</v>
          </cell>
          <cell r="AI164">
            <v>1.9786634128646101</v>
          </cell>
          <cell r="AJ164">
            <v>1.8880638732224586</v>
          </cell>
          <cell r="AK164">
            <v>1.9856857172111702</v>
          </cell>
          <cell r="AL164">
            <v>2.1387338467881882</v>
          </cell>
          <cell r="AM164">
            <v>2.0523077910384573</v>
          </cell>
          <cell r="AN164">
            <v>2.0975153332984497</v>
          </cell>
          <cell r="AO164">
            <v>2.0726103751500711</v>
          </cell>
          <cell r="AP164">
            <v>2.1211900450689685</v>
          </cell>
          <cell r="AQ164">
            <v>2.1620617320697284</v>
          </cell>
          <cell r="AR164">
            <v>2.1830451852714643</v>
          </cell>
          <cell r="AS164" t="str">
            <v>-</v>
          </cell>
          <cell r="AT164" t="str">
            <v>-</v>
          </cell>
          <cell r="AU164" t="str">
            <v>-</v>
          </cell>
          <cell r="AV164" t="str">
            <v>-</v>
          </cell>
          <cell r="AW164" t="str">
            <v>-</v>
          </cell>
          <cell r="AX164">
            <v>0.18599147287923312</v>
          </cell>
          <cell r="AY164">
            <v>8.2874734857349752E-2</v>
          </cell>
          <cell r="AZ164">
            <v>0.18705515591352517</v>
          </cell>
          <cell r="BA164">
            <v>0.20740740740740726</v>
          </cell>
          <cell r="BB164">
            <v>6.211180124223592E-2</v>
          </cell>
          <cell r="BC164">
            <v>4.9079754601226933E-2</v>
          </cell>
          <cell r="BD164">
            <v>0.12270697445090395</v>
          </cell>
          <cell r="BE164">
            <v>8.588957055214741E-2</v>
          </cell>
          <cell r="BF164">
            <v>0.12269938650306766</v>
          </cell>
          <cell r="BG164">
            <v>0.10526315789473695</v>
          </cell>
          <cell r="BH164">
            <v>0.14035087719298267</v>
          </cell>
          <cell r="BI164">
            <v>0.11694687465322873</v>
          </cell>
          <cell r="BJ164">
            <v>0.13559322033898313</v>
          </cell>
          <cell r="BK164">
            <v>0.1311475409836067</v>
          </cell>
          <cell r="BL164">
            <v>0.1269841269841272</v>
          </cell>
          <cell r="BM164">
            <v>0.12307692307692308</v>
          </cell>
          <cell r="BN164">
            <v>0.12795169282056773</v>
          </cell>
          <cell r="BO164">
            <v>0.11940298507462699</v>
          </cell>
          <cell r="BP164">
            <v>0.11594202898550732</v>
          </cell>
          <cell r="BQ164">
            <v>0.11267605633802824</v>
          </cell>
          <cell r="BR164">
            <v>0.1095890410958904</v>
          </cell>
          <cell r="BS164">
            <v>0.113918456248564</v>
          </cell>
        </row>
        <row r="165">
          <cell r="A165" t="str">
            <v xml:space="preserve">   % Change</v>
          </cell>
          <cell r="B165">
            <v>1.6590623691921309</v>
          </cell>
          <cell r="C165">
            <v>1.81445937300064</v>
          </cell>
          <cell r="D165">
            <v>1.8468447719944723</v>
          </cell>
          <cell r="E165">
            <v>1.7533930857874518</v>
          </cell>
          <cell r="F165">
            <v>1.7670204358134811</v>
          </cell>
          <cell r="G165">
            <v>1.5211423511179989</v>
          </cell>
          <cell r="H165">
            <v>1.4373836126629422</v>
          </cell>
          <cell r="I165">
            <v>1.4542888165037999</v>
          </cell>
          <cell r="J165">
            <v>1.5086730732763018</v>
          </cell>
          <cell r="K165">
            <v>1.4802295140200159</v>
          </cell>
          <cell r="L165">
            <v>1.5024137339966415</v>
          </cell>
          <cell r="M165">
            <v>1.5642722545773606</v>
          </cell>
          <cell r="N165">
            <v>1.6077824444802031</v>
          </cell>
          <cell r="O165">
            <v>1.5567484930651283</v>
          </cell>
          <cell r="P165">
            <v>1.5589598854722624</v>
          </cell>
          <cell r="Q165">
            <v>1.5556388010746058</v>
          </cell>
          <cell r="R165">
            <v>1.5950278895724705</v>
          </cell>
          <cell r="S165">
            <v>1.6530918058225885</v>
          </cell>
          <cell r="T165">
            <v>1.7711584538515148</v>
          </cell>
          <cell r="U165">
            <v>1.6433067853789176</v>
          </cell>
          <cell r="V165">
            <v>1.6317686870461798</v>
          </cell>
          <cell r="W165">
            <v>1.7515590866776711</v>
          </cell>
          <cell r="X165">
            <v>1.6631753909070119</v>
          </cell>
          <cell r="Y165">
            <v>1.7184681270349358</v>
          </cell>
          <cell r="Z165">
            <v>1.6917946768056629</v>
          </cell>
          <cell r="AA165">
            <v>1.7915283814054948</v>
          </cell>
          <cell r="AB165">
            <v>1.8481102101966749</v>
          </cell>
          <cell r="AC165">
            <v>1.8235902987785046</v>
          </cell>
          <cell r="AD165">
            <v>1.8601345567789045</v>
          </cell>
          <cell r="AE165">
            <v>1.8312508328179253</v>
          </cell>
          <cell r="AF165">
            <v>1.8014971201595011</v>
          </cell>
          <cell r="AG165">
            <v>1.8724227110504108</v>
          </cell>
          <cell r="AH165">
            <v>1.8922409227019583</v>
          </cell>
          <cell r="AI165">
            <v>1.9786634128646101</v>
          </cell>
          <cell r="AJ165">
            <v>1.8880638732224586</v>
          </cell>
          <cell r="AK165">
            <v>1.9856857172111702</v>
          </cell>
          <cell r="AL165">
            <v>2.1387338467881882</v>
          </cell>
          <cell r="AM165">
            <v>2.0523077910384573</v>
          </cell>
          <cell r="AN165">
            <v>2.0975153332984497</v>
          </cell>
          <cell r="AO165">
            <v>2.0726103751500711</v>
          </cell>
          <cell r="AP165">
            <v>2.1211900450689685</v>
          </cell>
          <cell r="AQ165">
            <v>2.1620617320697284</v>
          </cell>
          <cell r="AR165">
            <v>2.1830451852714643</v>
          </cell>
          <cell r="AS165" t="str">
            <v>-</v>
          </cell>
          <cell r="AT165" t="str">
            <v>-</v>
          </cell>
          <cell r="AU165" t="str">
            <v>-</v>
          </cell>
          <cell r="AV165" t="str">
            <v>-</v>
          </cell>
          <cell r="AW165" t="str">
            <v>-</v>
          </cell>
          <cell r="AX165">
            <v>0.18599147287923312</v>
          </cell>
          <cell r="AY165">
            <v>8.2874734857349752E-2</v>
          </cell>
          <cell r="AZ165">
            <v>0.18705515591352517</v>
          </cell>
          <cell r="BA165">
            <v>0.20740740740740726</v>
          </cell>
          <cell r="BB165">
            <v>6.211180124223592E-2</v>
          </cell>
          <cell r="BC165">
            <v>4.9079754601226933E-2</v>
          </cell>
          <cell r="BD165">
            <v>0.12270363244578975</v>
          </cell>
          <cell r="BE165">
            <v>8.588957055214741E-2</v>
          </cell>
          <cell r="BF165">
            <v>6.1899309517553291E-2</v>
          </cell>
          <cell r="BG165">
            <v>7.0175438596491224E-2</v>
          </cell>
          <cell r="BH165">
            <v>4.7307528955328415E-2</v>
          </cell>
          <cell r="BI165">
            <v>6.6006603083524684E-2</v>
          </cell>
        </row>
        <row r="166">
          <cell r="A166" t="str">
            <v>Other Brands</v>
          </cell>
          <cell r="Q166">
            <v>0.69202500000000011</v>
          </cell>
          <cell r="R166">
            <v>0.79166500000000006</v>
          </cell>
          <cell r="S166">
            <v>0.79639600000000144</v>
          </cell>
          <cell r="T166">
            <v>0.75397500000000139</v>
          </cell>
          <cell r="U166">
            <v>3.034060999999987</v>
          </cell>
          <cell r="V166">
            <v>0.69044699999999981</v>
          </cell>
          <cell r="W166">
            <v>0.78107999999999933</v>
          </cell>
          <cell r="X166">
            <v>0.80375499999999889</v>
          </cell>
          <cell r="Y166">
            <v>0.75015799999999899</v>
          </cell>
          <cell r="Z166">
            <v>3.0254399999999961</v>
          </cell>
          <cell r="AA166">
            <v>0.65567900000000012</v>
          </cell>
          <cell r="AB166">
            <v>0.75700499999999948</v>
          </cell>
          <cell r="AC166">
            <v>0.7916249999999998</v>
          </cell>
          <cell r="AD166">
            <v>0.79900299999999991</v>
          </cell>
          <cell r="AE166">
            <v>3.0033120000000011</v>
          </cell>
          <cell r="AF166">
            <v>0.76484400000000097</v>
          </cell>
          <cell r="AG166">
            <v>0.87932700000000175</v>
          </cell>
          <cell r="AH166">
            <v>1.0030699999999992</v>
          </cell>
          <cell r="AI166">
            <v>1.007223999999999</v>
          </cell>
          <cell r="AJ166">
            <v>3.6544650000000019</v>
          </cell>
          <cell r="AK166">
            <v>0.88387200000000021</v>
          </cell>
          <cell r="AL166">
            <v>1.180159999999999</v>
          </cell>
          <cell r="AM166">
            <v>1.2677969999999981</v>
          </cell>
          <cell r="AN166">
            <v>1.2059419999999994</v>
          </cell>
          <cell r="AO166">
            <v>4.5377709999999993</v>
          </cell>
          <cell r="AP166">
            <v>1.1927570000000003</v>
          </cell>
          <cell r="AQ166">
            <v>1.4071230000000003</v>
          </cell>
          <cell r="AR166">
            <v>1.5824309999999997</v>
          </cell>
          <cell r="AS166">
            <v>1.446924000000001</v>
          </cell>
          <cell r="AT166">
            <v>5.6292349999999995</v>
          </cell>
          <cell r="AU166">
            <v>1.409796</v>
          </cell>
          <cell r="AV166">
            <v>1.6154159999999997</v>
          </cell>
          <cell r="AW166">
            <v>1.6522439999999996</v>
          </cell>
          <cell r="AX166">
            <v>1.6155530000000002</v>
          </cell>
          <cell r="AY166">
            <v>6.2930089999999996</v>
          </cell>
          <cell r="AZ166">
            <v>1.4946419999999998</v>
          </cell>
          <cell r="BA166">
            <v>1.6546619999999983</v>
          </cell>
          <cell r="BB166">
            <v>1.6333259999999985</v>
          </cell>
          <cell r="BC166">
            <v>1.5828360000000004</v>
          </cell>
          <cell r="BD166">
            <v>6.3654659999999978</v>
          </cell>
          <cell r="BE166">
            <v>1.3805510000000014</v>
          </cell>
          <cell r="BF166">
            <v>1.5682550000000006</v>
          </cell>
          <cell r="BG166">
            <v>1.5744240000000012</v>
          </cell>
        </row>
        <row r="167">
          <cell r="A167" t="str">
            <v xml:space="preserve">   Volume</v>
          </cell>
          <cell r="Q167">
            <v>0.69202500000000011</v>
          </cell>
          <cell r="R167">
            <v>0.79166500000000006</v>
          </cell>
          <cell r="S167">
            <v>0.79639600000000144</v>
          </cell>
          <cell r="T167">
            <v>0.75397500000000139</v>
          </cell>
          <cell r="U167">
            <v>3.034060999999987</v>
          </cell>
          <cell r="V167">
            <v>0.69044699999999981</v>
          </cell>
          <cell r="W167">
            <v>0.78107999999999933</v>
          </cell>
          <cell r="X167">
            <v>0.80375499999999889</v>
          </cell>
          <cell r="Y167">
            <v>0.75015799999999899</v>
          </cell>
          <cell r="Z167">
            <v>3.0254399999999961</v>
          </cell>
          <cell r="AA167">
            <v>0.65567900000000012</v>
          </cell>
          <cell r="AB167">
            <v>0.75700499999999948</v>
          </cell>
          <cell r="AC167">
            <v>0.7916249999999998</v>
          </cell>
          <cell r="AD167">
            <v>0.79900299999999991</v>
          </cell>
          <cell r="AE167">
            <v>3.0033120000000011</v>
          </cell>
          <cell r="AF167">
            <v>0.76484400000000097</v>
          </cell>
          <cell r="AG167">
            <v>0.87932700000000175</v>
          </cell>
          <cell r="AH167">
            <v>1.0030699999999992</v>
          </cell>
          <cell r="AI167">
            <v>1.007223999999999</v>
          </cell>
          <cell r="AJ167">
            <v>4.4144610000000029</v>
          </cell>
          <cell r="AK167">
            <v>0.88387200000000021</v>
          </cell>
          <cell r="AL167">
            <v>1.180159999999999</v>
          </cell>
          <cell r="AM167">
            <v>1.2677969999999981</v>
          </cell>
          <cell r="AN167">
            <v>1.2059419999999994</v>
          </cell>
          <cell r="AO167">
            <v>5.2626309999999989</v>
          </cell>
          <cell r="AP167">
            <v>1.3532460000000004</v>
          </cell>
          <cell r="AQ167">
            <v>1.5898890000000012</v>
          </cell>
          <cell r="AR167">
            <v>1.7552789999999998</v>
          </cell>
          <cell r="AS167">
            <v>1.6049040000000012</v>
          </cell>
          <cell r="AT167">
            <v>5.6292349999999995</v>
          </cell>
          <cell r="AU167">
            <v>1.5935760000000005</v>
          </cell>
          <cell r="AV167">
            <v>1.7722319999999989</v>
          </cell>
          <cell r="AW167">
            <v>1.8292799999999989</v>
          </cell>
          <cell r="AX167">
            <v>1.7938010000000002</v>
          </cell>
          <cell r="AY167">
            <v>6.2930089999999996</v>
          </cell>
          <cell r="AZ167">
            <v>1.4946419999999998</v>
          </cell>
          <cell r="BA167">
            <v>1.6546619999999983</v>
          </cell>
          <cell r="BB167">
            <v>1.6333259999999985</v>
          </cell>
          <cell r="BC167">
            <v>1.5828360000000004</v>
          </cell>
          <cell r="BD167">
            <v>6.3654659999999978</v>
          </cell>
          <cell r="BE167">
            <v>1.3805510000000014</v>
          </cell>
          <cell r="BF167">
            <v>1.5682550000000006</v>
          </cell>
          <cell r="BG167">
            <v>1.7291400000000019</v>
          </cell>
          <cell r="BH167">
            <v>1.5527699999999989</v>
          </cell>
          <cell r="BI167">
            <v>5.9730520000000027</v>
          </cell>
          <cell r="BJ167">
            <v>1.2874319999999999</v>
          </cell>
          <cell r="BK167">
            <v>1.4531330000000011</v>
          </cell>
          <cell r="BL167">
            <v>1.4985900000000001</v>
          </cell>
          <cell r="BM167">
            <v>1.3957140000000017</v>
          </cell>
          <cell r="BN167">
            <v>5.634869000000009</v>
          </cell>
          <cell r="BO167">
            <v>1.3884660000000002</v>
          </cell>
          <cell r="BP167">
            <v>1.5221840050000015</v>
          </cell>
          <cell r="BQ167">
            <v>1.5619514999999993</v>
          </cell>
          <cell r="BR167">
            <v>1.428035951</v>
          </cell>
          <cell r="BS167">
            <v>5.9006374560000125</v>
          </cell>
        </row>
        <row r="168">
          <cell r="A168" t="str">
            <v xml:space="preserve">   Net revenue</v>
          </cell>
          <cell r="Q168">
            <v>45.361899999999991</v>
          </cell>
          <cell r="R168">
            <v>52.450999999999908</v>
          </cell>
          <cell r="S168">
            <v>54.158400000000029</v>
          </cell>
          <cell r="T168">
            <v>56.347499999999968</v>
          </cell>
          <cell r="U168">
            <v>208.20240000000013</v>
          </cell>
          <cell r="V168">
            <v>46.290300000000002</v>
          </cell>
          <cell r="W168">
            <v>56.041999999999916</v>
          </cell>
          <cell r="X168">
            <v>52.813199999999938</v>
          </cell>
          <cell r="Y168">
            <v>49.699000000000524</v>
          </cell>
          <cell r="Z168">
            <v>204.77210000000014</v>
          </cell>
          <cell r="AA168">
            <v>45.078000000000088</v>
          </cell>
          <cell r="AB168">
            <v>53.399399999999901</v>
          </cell>
          <cell r="AC168">
            <v>52.649099999999976</v>
          </cell>
          <cell r="AD168">
            <v>49.103999999999814</v>
          </cell>
          <cell r="AE168">
            <v>200.18979999999965</v>
          </cell>
          <cell r="AF168">
            <v>44.722000000000094</v>
          </cell>
          <cell r="AG168">
            <v>53.160000000000082</v>
          </cell>
          <cell r="AH168">
            <v>61.775999999999954</v>
          </cell>
          <cell r="AI168">
            <v>61.103999999999814</v>
          </cell>
          <cell r="AJ168">
            <v>219.99599999999964</v>
          </cell>
          <cell r="AK168">
            <v>52.155999999999949</v>
          </cell>
          <cell r="AL168">
            <v>86.772000000000048</v>
          </cell>
          <cell r="AM168">
            <v>87.676000000000045</v>
          </cell>
          <cell r="AN168">
            <v>89.472000000000207</v>
          </cell>
          <cell r="AO168">
            <v>313.22499999999991</v>
          </cell>
          <cell r="AP168">
            <v>83.992999999999938</v>
          </cell>
          <cell r="AQ168">
            <v>101.72399999999993</v>
          </cell>
          <cell r="AR168">
            <v>114.81100000000004</v>
          </cell>
          <cell r="AS168">
            <v>105.97600000000034</v>
          </cell>
          <cell r="AT168">
            <v>405.29999999999973</v>
          </cell>
          <cell r="AU168">
            <v>168.96000000000004</v>
          </cell>
          <cell r="AV168">
            <v>130.96700000000004</v>
          </cell>
          <cell r="AW168">
            <v>120.20399999999989</v>
          </cell>
          <cell r="AX168">
            <v>118.12500000000001</v>
          </cell>
          <cell r="AY168">
            <v>538.25600000000031</v>
          </cell>
          <cell r="AZ168">
            <v>151.43700000000001</v>
          </cell>
          <cell r="BA168">
            <v>143.6400000000001</v>
          </cell>
          <cell r="BB168">
            <v>144.77399999999989</v>
          </cell>
          <cell r="BC168">
            <v>147.41999999999985</v>
          </cell>
          <cell r="BD168">
            <v>648.27099999999973</v>
          </cell>
          <cell r="BE168">
            <v>125.66999999999996</v>
          </cell>
          <cell r="BF168">
            <v>144.02700000000004</v>
          </cell>
          <cell r="BG168">
            <v>148.39300000000003</v>
          </cell>
          <cell r="BH168">
            <v>136.68600000000038</v>
          </cell>
          <cell r="BI168">
            <v>785.77600000000075</v>
          </cell>
          <cell r="BJ168">
            <v>124.94400000000007</v>
          </cell>
          <cell r="BK168">
            <v>143.6400000000001</v>
          </cell>
          <cell r="BL168">
            <v>149.17599999999993</v>
          </cell>
          <cell r="BM168">
            <v>144.26669327524155</v>
          </cell>
          <cell r="BN168">
            <v>727.026693275242</v>
          </cell>
          <cell r="BO168">
            <v>137.02099449035222</v>
          </cell>
          <cell r="BP168">
            <v>151.80292582586981</v>
          </cell>
          <cell r="BQ168">
            <v>153.06166108829552</v>
          </cell>
          <cell r="BR168">
            <v>146.27034626750424</v>
          </cell>
          <cell r="BS168">
            <v>711.90592767202179</v>
          </cell>
        </row>
        <row r="169">
          <cell r="A169" t="str">
            <v xml:space="preserve">   Net revenue/thousand</v>
          </cell>
          <cell r="B169">
            <v>1.6590623691921309</v>
          </cell>
          <cell r="C169">
            <v>1.81445937300064</v>
          </cell>
          <cell r="D169">
            <v>1.8468447719944723</v>
          </cell>
          <cell r="E169">
            <v>1.7533930857874518</v>
          </cell>
          <cell r="F169">
            <v>1.7670204358134811</v>
          </cell>
          <cell r="G169">
            <v>1.5211423511179989</v>
          </cell>
          <cell r="H169">
            <v>1.4373836126629422</v>
          </cell>
          <cell r="I169">
            <v>1.4542888165037999</v>
          </cell>
          <cell r="J169">
            <v>1.5086730732763018</v>
          </cell>
          <cell r="K169">
            <v>1.4802295140200159</v>
          </cell>
          <cell r="L169">
            <v>1.5024137339966415</v>
          </cell>
          <cell r="M169">
            <v>1.5642722545773606</v>
          </cell>
          <cell r="N169">
            <v>1.6077824444802031</v>
          </cell>
          <cell r="O169">
            <v>1.5567484930651283</v>
          </cell>
          <cell r="P169">
            <v>1.5589598854722624</v>
          </cell>
          <cell r="Q169">
            <v>65.549510494563037</v>
          </cell>
          <cell r="R169">
            <v>66.254034219019289</v>
          </cell>
          <cell r="S169">
            <v>68.004359640178919</v>
          </cell>
          <cell r="T169">
            <v>74.733910275539458</v>
          </cell>
          <cell r="U169">
            <v>68.621692180876067</v>
          </cell>
          <cell r="V169">
            <v>67.043958479072273</v>
          </cell>
          <cell r="W169">
            <v>71.749372663491528</v>
          </cell>
          <cell r="X169">
            <v>65.708082686888432</v>
          </cell>
          <cell r="Y169">
            <v>66.251376376710766</v>
          </cell>
          <cell r="Z169">
            <v>67.68341133851618</v>
          </cell>
          <cell r="AA169">
            <v>68.750104853137103</v>
          </cell>
          <cell r="AB169">
            <v>70.540353102026984</v>
          </cell>
          <cell r="AC169">
            <v>66.507626717195635</v>
          </cell>
          <cell r="AD169">
            <v>61.456590275630781</v>
          </cell>
          <cell r="AE169">
            <v>66.656344728752643</v>
          </cell>
          <cell r="AF169">
            <v>58.472054432014943</v>
          </cell>
          <cell r="AG169">
            <v>60.455325493246512</v>
          </cell>
          <cell r="AH169">
            <v>61.586928130638938</v>
          </cell>
          <cell r="AI169">
            <v>60.665750617538777</v>
          </cell>
          <cell r="AJ169">
            <v>49.835302656428382</v>
          </cell>
          <cell r="AK169">
            <v>59.008544223597916</v>
          </cell>
          <cell r="AL169">
            <v>73.525623644251738</v>
          </cell>
          <cell r="AM169">
            <v>69.156181943954891</v>
          </cell>
          <cell r="AN169">
            <v>74.192622862459601</v>
          </cell>
          <cell r="AO169">
            <v>59.51870841789971</v>
          </cell>
          <cell r="AP169">
            <v>62.06779846384169</v>
          </cell>
          <cell r="AQ169">
            <v>63.981825146283704</v>
          </cell>
          <cell r="AR169">
            <v>65.408974869522197</v>
          </cell>
          <cell r="AS169">
            <v>66.032610050196311</v>
          </cell>
          <cell r="AT169">
            <v>71.999125991364679</v>
          </cell>
          <cell r="AU169">
            <v>106.02569315802947</v>
          </cell>
          <cell r="AV169">
            <v>73.899466886953917</v>
          </cell>
          <cell r="AW169">
            <v>65.711099448963509</v>
          </cell>
          <cell r="AX169">
            <v>65.851786234927957</v>
          </cell>
          <cell r="AY169">
            <v>85.532374099576273</v>
          </cell>
          <cell r="AZ169">
            <v>101.31991473543499</v>
          </cell>
          <cell r="BA169">
            <v>86.809269808577369</v>
          </cell>
          <cell r="BB169">
            <v>88.637540821611864</v>
          </cell>
          <cell r="BC169">
            <v>93.1366231245687</v>
          </cell>
          <cell r="BD169">
            <v>101.84187614858047</v>
          </cell>
          <cell r="BE169">
            <v>91.028871805532589</v>
          </cell>
          <cell r="BF169">
            <v>91.839018526961482</v>
          </cell>
          <cell r="BG169">
            <v>85.818962027366126</v>
          </cell>
          <cell r="BH169">
            <v>88.027202998512649</v>
          </cell>
          <cell r="BI169">
            <v>131.55351736432235</v>
          </cell>
          <cell r="BJ169">
            <v>97.049009190388375</v>
          </cell>
          <cell r="BK169">
            <v>98.848488059936699</v>
          </cell>
          <cell r="BL169">
            <v>99.5442382506222</v>
          </cell>
          <cell r="BM169">
            <v>103.36407980090576</v>
          </cell>
          <cell r="BN169">
            <v>129.02282081007399</v>
          </cell>
          <cell r="BO169">
            <v>98.685163691694427</v>
          </cell>
          <cell r="BP169">
            <v>99.727053580404458</v>
          </cell>
          <cell r="BQ169">
            <v>97.993862862128296</v>
          </cell>
          <cell r="BR169">
            <v>102.42763577841062</v>
          </cell>
          <cell r="BS169">
            <v>120.64898631386451</v>
          </cell>
        </row>
        <row r="170">
          <cell r="A170" t="str">
            <v xml:space="preserve">   Net revenue/pack</v>
          </cell>
          <cell r="B170">
            <v>1.6590623691921309</v>
          </cell>
          <cell r="C170">
            <v>1.81445937300064</v>
          </cell>
          <cell r="D170">
            <v>1.8468447719944723</v>
          </cell>
          <cell r="E170">
            <v>1.7533930857874518</v>
          </cell>
          <cell r="F170">
            <v>1.7670204358134811</v>
          </cell>
          <cell r="G170">
            <v>1.5211423511179989</v>
          </cell>
          <cell r="H170">
            <v>1.4373836126629422</v>
          </cell>
          <cell r="I170">
            <v>1.4542888165037999</v>
          </cell>
          <cell r="J170">
            <v>1.5086730732763018</v>
          </cell>
          <cell r="K170">
            <v>1.4802295140200159</v>
          </cell>
          <cell r="L170">
            <v>1.5024137339966415</v>
          </cell>
          <cell r="M170">
            <v>1.5642722545773606</v>
          </cell>
          <cell r="N170">
            <v>1.6077824444802031</v>
          </cell>
          <cell r="O170">
            <v>1.5567484930651283</v>
          </cell>
          <cell r="P170">
            <v>1.5589598854722624</v>
          </cell>
          <cell r="Q170">
            <v>1.3109902098912607</v>
          </cell>
          <cell r="R170">
            <v>1.3250806843803857</v>
          </cell>
          <cell r="S170">
            <v>1.3600871928035785</v>
          </cell>
          <cell r="T170">
            <v>1.4946782055107892</v>
          </cell>
          <cell r="U170">
            <v>1.3724338436175214</v>
          </cell>
          <cell r="V170">
            <v>1.3408791695814455</v>
          </cell>
          <cell r="W170">
            <v>1.4349874532698306</v>
          </cell>
          <cell r="X170">
            <v>1.3141616537377687</v>
          </cell>
          <cell r="Y170">
            <v>1.3250275275342154</v>
          </cell>
          <cell r="Z170">
            <v>1.3536682267703235</v>
          </cell>
          <cell r="AA170">
            <v>1.3750020970627421</v>
          </cell>
          <cell r="AB170">
            <v>1.4108070620405397</v>
          </cell>
          <cell r="AC170">
            <v>1.3301525343439127</v>
          </cell>
          <cell r="AD170">
            <v>1.2291318055126157</v>
          </cell>
          <cell r="AE170">
            <v>1.333126894575053</v>
          </cell>
          <cell r="AF170">
            <v>1.1694410886402988</v>
          </cell>
          <cell r="AG170">
            <v>1.2091065098649303</v>
          </cell>
          <cell r="AH170">
            <v>1.2317385626127788</v>
          </cell>
          <cell r="AI170">
            <v>1.2133150123507754</v>
          </cell>
          <cell r="AJ170">
            <v>0.99670605312856764</v>
          </cell>
          <cell r="AK170">
            <v>1.1801708844719583</v>
          </cell>
          <cell r="AL170">
            <v>1.4705124728850347</v>
          </cell>
          <cell r="AM170">
            <v>1.3831236388790977</v>
          </cell>
          <cell r="AN170">
            <v>1.483852457249192</v>
          </cell>
          <cell r="AO170">
            <v>1.1903741683579943</v>
          </cell>
          <cell r="AP170">
            <v>1.2413559692768339</v>
          </cell>
          <cell r="AQ170">
            <v>1.279636502925674</v>
          </cell>
          <cell r="AR170">
            <v>1.3081794973904439</v>
          </cell>
          <cell r="AS170">
            <v>1.3206522010039263</v>
          </cell>
          <cell r="AT170">
            <v>1.4399825198272935</v>
          </cell>
          <cell r="AU170">
            <v>2.1205138631605895</v>
          </cell>
          <cell r="AV170">
            <v>1.4779893377390783</v>
          </cell>
          <cell r="AW170">
            <v>1.3142219889792701</v>
          </cell>
          <cell r="AX170">
            <v>1.3170357246985591</v>
          </cell>
          <cell r="AY170">
            <v>1.7106474819915254</v>
          </cell>
          <cell r="AZ170">
            <v>2.0263982947087</v>
          </cell>
          <cell r="BA170">
            <v>1.7361853961715474</v>
          </cell>
          <cell r="BB170">
            <v>1.7727508164322372</v>
          </cell>
          <cell r="BC170">
            <v>1.8627324624913739</v>
          </cell>
          <cell r="BD170">
            <v>2.0368375229716094</v>
          </cell>
          <cell r="BE170">
            <v>1.8205774361106517</v>
          </cell>
          <cell r="BF170">
            <v>1.8367803705392296</v>
          </cell>
          <cell r="BG170">
            <v>1.7163792405473226</v>
          </cell>
          <cell r="BH170">
            <v>1.7605440599702531</v>
          </cell>
          <cell r="BI170">
            <v>2.631070347286447</v>
          </cell>
          <cell r="BJ170">
            <v>1.9409801838077676</v>
          </cell>
          <cell r="BK170">
            <v>1.976969761198734</v>
          </cell>
          <cell r="BL170">
            <v>1.9908847650124439</v>
          </cell>
          <cell r="BM170">
            <v>2.0672815960181152</v>
          </cell>
          <cell r="BN170">
            <v>2.5804564162014798</v>
          </cell>
          <cell r="BO170">
            <v>1.9737032738338884</v>
          </cell>
          <cell r="BP170">
            <v>1.9945410716080891</v>
          </cell>
          <cell r="BQ170">
            <v>1.959877257242566</v>
          </cell>
          <cell r="BR170">
            <v>2.0485527155682122</v>
          </cell>
          <cell r="BS170">
            <v>2.4129797262772903</v>
          </cell>
        </row>
        <row r="171">
          <cell r="A171" t="str">
            <v xml:space="preserve">   % Change</v>
          </cell>
          <cell r="Q171">
            <v>1.3109902098912607</v>
          </cell>
          <cell r="R171">
            <v>1.3250806843803857</v>
          </cell>
          <cell r="S171">
            <v>1.3600871928035785</v>
          </cell>
          <cell r="T171">
            <v>1.4946782055107892</v>
          </cell>
          <cell r="U171">
            <v>1.3724338436175214</v>
          </cell>
          <cell r="V171">
            <v>2.2798766508457691E-2</v>
          </cell>
          <cell r="W171">
            <v>8.2943454074147827E-2</v>
          </cell>
          <cell r="X171">
            <v>-3.3766613867705408E-2</v>
          </cell>
          <cell r="Y171">
            <v>-0.11350314559420349</v>
          </cell>
          <cell r="Z171">
            <v>-1.367323964974132E-2</v>
          </cell>
          <cell r="AA171">
            <v>2.544817479113215E-2</v>
          </cell>
          <cell r="AB171">
            <v>-1.685059418059176E-2</v>
          </cell>
          <cell r="AC171">
            <v>1.2168122970764195E-2</v>
          </cell>
          <cell r="AD171">
            <v>-7.2372626250305161E-2</v>
          </cell>
          <cell r="AE171">
            <v>-1.5174569210566036E-2</v>
          </cell>
          <cell r="AF171">
            <v>-0.14949868721041193</v>
          </cell>
          <cell r="AG171">
            <v>-0.14296820423047585</v>
          </cell>
          <cell r="AH171">
            <v>-7.3986982086739261E-2</v>
          </cell>
          <cell r="AI171">
            <v>-1.2868264486284087E-2</v>
          </cell>
          <cell r="AJ171">
            <v>-0.25235470292850304</v>
          </cell>
          <cell r="AK171">
            <v>9.1751486551023831E-3</v>
          </cell>
          <cell r="AL171">
            <v>0.21619763096743738</v>
          </cell>
          <cell r="AM171">
            <v>0.12290357780566596</v>
          </cell>
          <cell r="AN171">
            <v>0.22297378845931792</v>
          </cell>
          <cell r="AO171">
            <v>0.194308155971884</v>
          </cell>
          <cell r="AP171">
            <v>5.184425883566135E-2</v>
          </cell>
          <cell r="AQ171">
            <v>-0.12980234678654334</v>
          </cell>
          <cell r="AR171">
            <v>-5.4184701484380371E-2</v>
          </cell>
          <cell r="AS171">
            <v>-0.10998415337587608</v>
          </cell>
          <cell r="AT171">
            <v>0.20968898528234181</v>
          </cell>
          <cell r="AU171">
            <v>0.70822384202648903</v>
          </cell>
          <cell r="AV171">
            <v>0.15500717145838205</v>
          </cell>
          <cell r="AW171">
            <v>4.6190080190675609E-3</v>
          </cell>
          <cell r="AX171">
            <v>-2.7384017552979367E-3</v>
          </cell>
          <cell r="AY171">
            <v>0.18796406097811147</v>
          </cell>
          <cell r="AZ171">
            <v>-4.4383378051399247E-2</v>
          </cell>
          <cell r="BA171">
            <v>0.17469412792073236</v>
          </cell>
          <cell r="BB171">
            <v>0.34889754645567694</v>
          </cell>
          <cell r="BC171">
            <v>0.41433708103682076</v>
          </cell>
          <cell r="BD171">
            <v>0.19068220917166134</v>
          </cell>
          <cell r="BE171">
            <v>-0.10156979461317384</v>
          </cell>
          <cell r="BF171">
            <v>5.7940226078104118E-2</v>
          </cell>
          <cell r="BG171">
            <v>-3.1798928175571617E-2</v>
          </cell>
          <cell r="BH171">
            <v>-5.4859409270424986E-2</v>
          </cell>
          <cell r="BI171">
            <v>0.29174286982296538</v>
          </cell>
          <cell r="BJ171">
            <v>6.6134373253760259E-2</v>
          </cell>
          <cell r="BK171">
            <v>7.6323436872503425E-2</v>
          </cell>
          <cell r="BL171">
            <v>0.15993290875365429</v>
          </cell>
          <cell r="BM171">
            <v>0.17422883245139853</v>
          </cell>
          <cell r="BN171">
            <v>-1.9237011711666252E-2</v>
          </cell>
          <cell r="BO171">
            <v>1.6859054151663555E-2</v>
          </cell>
          <cell r="BP171">
            <v>8.8880016043850762E-3</v>
          </cell>
          <cell r="BQ171">
            <v>-1.5574737581400933E-2</v>
          </cell>
          <cell r="BR171">
            <v>-9.0596658365157401E-3</v>
          </cell>
          <cell r="BS171">
            <v>-6.490196419233496E-2</v>
          </cell>
        </row>
        <row r="172">
          <cell r="A172" t="str">
            <v xml:space="preserve">   % Change</v>
          </cell>
          <cell r="G172">
            <v>-8.3131303943257517E-2</v>
          </cell>
          <cell r="H172">
            <v>-0.20781714154013453</v>
          </cell>
          <cell r="I172">
            <v>-0.21255492689119582</v>
          </cell>
          <cell r="J172">
            <v>-0.13956939518855571</v>
          </cell>
          <cell r="K172">
            <v>-0.16230198359954773</v>
          </cell>
          <cell r="L172">
            <v>-1.2312205434022894E-2</v>
          </cell>
          <cell r="M172">
            <v>8.8277506990176668E-2</v>
          </cell>
          <cell r="N172">
            <v>0.1055454915382017</v>
          </cell>
          <cell r="O172">
            <v>3.1866028923299927E-2</v>
          </cell>
          <cell r="P172">
            <v>5.318794869751664E-2</v>
          </cell>
          <cell r="Q172">
            <v>3.5426371493808118E-2</v>
          </cell>
          <cell r="R172">
            <v>1.9661305699895326E-2</v>
          </cell>
          <cell r="S172">
            <v>2.8181276327490901E-2</v>
          </cell>
          <cell r="T172">
            <v>0.13772935174918866</v>
          </cell>
          <cell r="U172">
            <v>5.4104599286147526E-2</v>
          </cell>
          <cell r="V172">
            <v>2.2798766508457691E-2</v>
          </cell>
          <cell r="W172">
            <v>8.2943454074147827E-2</v>
          </cell>
          <cell r="X172">
            <v>-3.3766613867705408E-2</v>
          </cell>
          <cell r="Y172">
            <v>-0.11350314559420349</v>
          </cell>
          <cell r="Z172">
            <v>-1.367323964974132E-2</v>
          </cell>
          <cell r="AA172">
            <v>2.544817479113215E-2</v>
          </cell>
          <cell r="AB172">
            <v>-1.685059418059176E-2</v>
          </cell>
          <cell r="AC172">
            <v>1.2168122970764195E-2</v>
          </cell>
          <cell r="AD172">
            <v>-7.2372626250305161E-2</v>
          </cell>
          <cell r="AE172">
            <v>-1.5174569210566036E-2</v>
          </cell>
          <cell r="AF172">
            <v>-0.14949868721041193</v>
          </cell>
          <cell r="AG172">
            <v>-0.14296820423047585</v>
          </cell>
          <cell r="AH172">
            <v>-7.3986982086739261E-2</v>
          </cell>
          <cell r="AI172">
            <v>-1.2868264486284087E-2</v>
          </cell>
          <cell r="AJ172">
            <v>-0.25235470292850304</v>
          </cell>
          <cell r="AK172">
            <v>-0.16455303886773776</v>
          </cell>
          <cell r="AL172">
            <v>3.2084692010379445E-2</v>
          </cell>
          <cell r="AM172">
            <v>-1.0177092015725808E-2</v>
          </cell>
          <cell r="AN172">
            <v>7.9657177118821032E-2</v>
          </cell>
          <cell r="AO172">
            <v>0.194308155971884</v>
          </cell>
          <cell r="AP172">
            <v>0.27057148527283448</v>
          </cell>
          <cell r="AQ172">
            <v>2.5431665157364947E-2</v>
          </cell>
          <cell r="AR172">
            <v>7.2979190600220845E-2</v>
          </cell>
          <cell r="AS172">
            <v>8.1589552708005719E-3</v>
          </cell>
          <cell r="AT172">
            <v>0.20968898528234181</v>
          </cell>
          <cell r="AU172">
            <v>0.70822384202648903</v>
          </cell>
          <cell r="AV172">
            <v>0.15500717145838205</v>
          </cell>
          <cell r="AW172">
            <v>4.6190080190675609E-3</v>
          </cell>
          <cell r="AX172">
            <v>0.10729196268580776</v>
          </cell>
          <cell r="AY172">
            <v>0.18796406097811147</v>
          </cell>
          <cell r="AZ172">
            <v>-0.13376857690439259</v>
          </cell>
          <cell r="BA172">
            <v>0.17469412792073236</v>
          </cell>
          <cell r="BB172">
            <v>0.34889754645567694</v>
          </cell>
          <cell r="BC172">
            <v>0.2737959864445827</v>
          </cell>
          <cell r="BD172">
            <v>0.16251541778743861</v>
          </cell>
          <cell r="BE172">
            <v>-8.8620488273533082E-3</v>
          </cell>
          <cell r="BF172">
            <v>6.698245023261773E-2</v>
          </cell>
          <cell r="BG172">
            <v>-3.179892817557084E-2</v>
          </cell>
          <cell r="BH172">
            <v>-6.3150116206651452E-2</v>
          </cell>
          <cell r="BI172">
            <v>0.26837957945044177</v>
          </cell>
        </row>
        <row r="173">
          <cell r="A173" t="str">
            <v>Ex-Newport Menthol</v>
          </cell>
          <cell r="G173">
            <v>-8.3131303943257517E-2</v>
          </cell>
          <cell r="H173">
            <v>-0.20781714154013453</v>
          </cell>
          <cell r="I173">
            <v>-0.21255492689119582</v>
          </cell>
          <cell r="J173">
            <v>-0.13956939518855571</v>
          </cell>
          <cell r="K173">
            <v>-0.16230198359954773</v>
          </cell>
          <cell r="L173">
            <v>-1.2312205434022894E-2</v>
          </cell>
          <cell r="M173">
            <v>8.8277506990176668E-2</v>
          </cell>
          <cell r="N173">
            <v>0.1055454915382017</v>
          </cell>
          <cell r="O173">
            <v>3.1866028923299927E-2</v>
          </cell>
          <cell r="P173">
            <v>5.318794869751664E-2</v>
          </cell>
          <cell r="Q173">
            <v>0.69202500000000011</v>
          </cell>
          <cell r="R173">
            <v>0.79166500000000006</v>
          </cell>
          <cell r="S173">
            <v>0.79639600000000144</v>
          </cell>
          <cell r="T173">
            <v>0.75397500000000139</v>
          </cell>
          <cell r="U173">
            <v>3.034060999999987</v>
          </cell>
          <cell r="V173">
            <v>0.69044699999999981</v>
          </cell>
          <cell r="W173">
            <v>0.78107999999999933</v>
          </cell>
          <cell r="X173">
            <v>0.80375499999999889</v>
          </cell>
          <cell r="Y173">
            <v>0.75015799999999899</v>
          </cell>
          <cell r="Z173">
            <v>3.0254399999999961</v>
          </cell>
          <cell r="AA173">
            <v>0.65567900000000012</v>
          </cell>
          <cell r="AB173">
            <v>0.75700499999999948</v>
          </cell>
          <cell r="AC173">
            <v>0.7916249999999998</v>
          </cell>
          <cell r="AD173">
            <v>0.79900299999999991</v>
          </cell>
          <cell r="AE173">
            <v>3.0033120000000011</v>
          </cell>
          <cell r="AF173">
            <v>0.76484400000000097</v>
          </cell>
          <cell r="AG173">
            <v>0.87932700000000175</v>
          </cell>
          <cell r="AH173">
            <v>1.0030699999999992</v>
          </cell>
          <cell r="AI173">
            <v>1.007223999999999</v>
          </cell>
          <cell r="AJ173">
            <v>3.6544650000000019</v>
          </cell>
          <cell r="AK173">
            <v>0.88387200000000021</v>
          </cell>
          <cell r="AL173">
            <v>1.180159999999999</v>
          </cell>
          <cell r="AM173">
            <v>1.2677969999999981</v>
          </cell>
          <cell r="AN173">
            <v>1.2059419999999994</v>
          </cell>
          <cell r="AO173">
            <v>4.5377709999999993</v>
          </cell>
          <cell r="AP173">
            <v>1.1927570000000003</v>
          </cell>
          <cell r="AQ173">
            <v>1.4071230000000003</v>
          </cell>
          <cell r="AR173">
            <v>1.5824309999999997</v>
          </cell>
          <cell r="AS173">
            <v>1.7974172589285722</v>
          </cell>
          <cell r="AT173">
            <v>5.9797282589285672</v>
          </cell>
          <cell r="AU173">
            <v>1.8969959999999997</v>
          </cell>
          <cell r="AV173">
            <v>2.3197559999999999</v>
          </cell>
          <cell r="AW173">
            <v>2.3590439999999999</v>
          </cell>
          <cell r="AX173">
            <v>2.1891530000000001</v>
          </cell>
          <cell r="AY173">
            <v>8.7649489999999979</v>
          </cell>
          <cell r="AZ173">
            <v>2.0290419999999996</v>
          </cell>
          <cell r="BA173">
            <v>2.2578349649999989</v>
          </cell>
          <cell r="BB173">
            <v>2.2232939999999983</v>
          </cell>
          <cell r="BC173">
            <v>2.1825644999999998</v>
          </cell>
          <cell r="BD173">
            <v>8.6927354649999948</v>
          </cell>
          <cell r="BE173">
            <v>1.9644134000000015</v>
          </cell>
          <cell r="BF173">
            <v>2.2439300000000006</v>
          </cell>
          <cell r="BG173">
            <v>2.1953824852891533</v>
          </cell>
        </row>
        <row r="174">
          <cell r="A174" t="str">
            <v xml:space="preserve">   Volume</v>
          </cell>
          <cell r="Q174">
            <v>0.69202500000000011</v>
          </cell>
          <cell r="R174">
            <v>0.79166500000000006</v>
          </cell>
          <cell r="S174">
            <v>0.79639600000000144</v>
          </cell>
          <cell r="T174">
            <v>0.75397500000000139</v>
          </cell>
          <cell r="U174">
            <v>3.034060999999987</v>
          </cell>
          <cell r="V174">
            <v>0.69044699999999981</v>
          </cell>
          <cell r="W174">
            <v>0.78107999999999933</v>
          </cell>
          <cell r="X174">
            <v>0.80375499999999889</v>
          </cell>
          <cell r="Y174">
            <v>0.75015799999999899</v>
          </cell>
          <cell r="Z174">
            <v>3.0254399999999961</v>
          </cell>
          <cell r="AA174">
            <v>0.65567900000000012</v>
          </cell>
          <cell r="AB174">
            <v>0.75700499999999948</v>
          </cell>
          <cell r="AC174">
            <v>0.7916249999999998</v>
          </cell>
          <cell r="AD174">
            <v>0.79900299999999991</v>
          </cell>
          <cell r="AE174">
            <v>3.0033120000000011</v>
          </cell>
          <cell r="AF174">
            <v>0.76484400000000097</v>
          </cell>
          <cell r="AG174">
            <v>0.87932700000000175</v>
          </cell>
          <cell r="AH174">
            <v>1.0030699999999992</v>
          </cell>
          <cell r="AI174">
            <v>1.007223999999999</v>
          </cell>
          <cell r="AJ174">
            <v>4.4144610000000029</v>
          </cell>
          <cell r="AK174">
            <v>0.88387200000000021</v>
          </cell>
          <cell r="AL174">
            <v>1.180159999999999</v>
          </cell>
          <cell r="AM174">
            <v>1.2677969999999981</v>
          </cell>
          <cell r="AN174">
            <v>1.2059419999999994</v>
          </cell>
          <cell r="AO174">
            <v>5.2626309999999989</v>
          </cell>
          <cell r="AP174">
            <v>1.3532460000000004</v>
          </cell>
          <cell r="AQ174">
            <v>1.5898890000000012</v>
          </cell>
          <cell r="AR174">
            <v>1.7552789999999998</v>
          </cell>
          <cell r="AS174">
            <v>1.9553972589285724</v>
          </cell>
          <cell r="AT174">
            <v>6.6538112589285703</v>
          </cell>
          <cell r="AU174">
            <v>2.0807760000000002</v>
          </cell>
          <cell r="AV174">
            <v>2.4765719999999991</v>
          </cell>
          <cell r="AW174">
            <v>2.5360799999999992</v>
          </cell>
          <cell r="AX174">
            <v>2.3674010000000001</v>
          </cell>
          <cell r="AY174">
            <v>9.4608290000000004</v>
          </cell>
          <cell r="AZ174">
            <v>2.0294179999999997</v>
          </cell>
          <cell r="BA174">
            <v>2.2578349649999989</v>
          </cell>
          <cell r="BB174">
            <v>2.2236122399999987</v>
          </cell>
          <cell r="BC174">
            <v>2.1829356400000002</v>
          </cell>
          <cell r="BD174">
            <v>8.6938008449999913</v>
          </cell>
          <cell r="BE174">
            <v>1.9644134000000015</v>
          </cell>
          <cell r="BF174">
            <v>2.2439300000000006</v>
          </cell>
          <cell r="BG174">
            <v>2.2121100000000009</v>
          </cell>
          <cell r="BH174">
            <v>2.2342885900000002</v>
          </cell>
          <cell r="BI174">
            <v>8.6547419900000051</v>
          </cell>
          <cell r="BJ174">
            <v>1.9433110000000005</v>
          </cell>
          <cell r="BK174">
            <v>2.1801550880000002</v>
          </cell>
          <cell r="BL174">
            <v>2.304139052</v>
          </cell>
          <cell r="BM174">
            <v>2.219760272000002</v>
          </cell>
          <cell r="BN174">
            <v>8.6473654120000063</v>
          </cell>
          <cell r="BO174">
            <v>2.082981428093051</v>
          </cell>
          <cell r="BP174">
            <v>2.2910321175722963</v>
          </cell>
          <cell r="BQ174">
            <v>2.4560053485254887</v>
          </cell>
          <cell r="BR174">
            <v>2.2547009033360377</v>
          </cell>
          <cell r="BS174">
            <v>9.0847197975268799</v>
          </cell>
        </row>
        <row r="175">
          <cell r="A175" t="str">
            <v xml:space="preserve">   Net revenue</v>
          </cell>
          <cell r="Q175">
            <v>45.361899999999991</v>
          </cell>
          <cell r="R175">
            <v>52.450999999999908</v>
          </cell>
          <cell r="S175">
            <v>54.158400000000029</v>
          </cell>
          <cell r="T175">
            <v>56.347499999999968</v>
          </cell>
          <cell r="U175">
            <v>208.20240000000013</v>
          </cell>
          <cell r="V175">
            <v>46.290300000000002</v>
          </cell>
          <cell r="W175">
            <v>56.041999999999916</v>
          </cell>
          <cell r="X175">
            <v>52.813199999999938</v>
          </cell>
          <cell r="Y175">
            <v>49.699000000000524</v>
          </cell>
          <cell r="Z175">
            <v>204.77210000000014</v>
          </cell>
          <cell r="AA175">
            <v>45.078000000000088</v>
          </cell>
          <cell r="AB175">
            <v>53.399399999999901</v>
          </cell>
          <cell r="AC175">
            <v>52.649099999999976</v>
          </cell>
          <cell r="AD175">
            <v>49.103999999999814</v>
          </cell>
          <cell r="AE175">
            <v>200.18979999999965</v>
          </cell>
          <cell r="AF175">
            <v>44.722000000000094</v>
          </cell>
          <cell r="AG175">
            <v>53.160000000000082</v>
          </cell>
          <cell r="AH175">
            <v>61.775999999999954</v>
          </cell>
          <cell r="AI175">
            <v>61.103999999999814</v>
          </cell>
          <cell r="AJ175">
            <v>220.76199999999972</v>
          </cell>
          <cell r="AK175">
            <v>52.155999999999949</v>
          </cell>
          <cell r="AL175">
            <v>86.772000000000048</v>
          </cell>
          <cell r="AM175">
            <v>87.676000000000045</v>
          </cell>
          <cell r="AN175">
            <v>89.472000000000207</v>
          </cell>
          <cell r="AO175">
            <v>316.07600000000002</v>
          </cell>
          <cell r="AP175">
            <v>83.992999999999938</v>
          </cell>
          <cell r="AQ175">
            <v>101.72399999999993</v>
          </cell>
          <cell r="AR175">
            <v>114.81100000000004</v>
          </cell>
          <cell r="AS175">
            <v>130.0615025148968</v>
          </cell>
          <cell r="AT175">
            <v>430.58950251489659</v>
          </cell>
          <cell r="AU175">
            <v>202.40983575716223</v>
          </cell>
          <cell r="AV175">
            <v>184.01826640625006</v>
          </cell>
          <cell r="AW175">
            <v>177.1013999999999</v>
          </cell>
          <cell r="AX175">
            <v>163.40585060267858</v>
          </cell>
          <cell r="AY175">
            <v>726.935352766091</v>
          </cell>
          <cell r="AZ175">
            <v>195.02124400000002</v>
          </cell>
          <cell r="BA175">
            <v>200.79859664750018</v>
          </cell>
          <cell r="BB175">
            <v>209.24347351999995</v>
          </cell>
          <cell r="BC175">
            <v>237.72851921999984</v>
          </cell>
          <cell r="BD175">
            <v>842.79183338749999</v>
          </cell>
          <cell r="BE175">
            <v>234.34182239999996</v>
          </cell>
          <cell r="BF175">
            <v>262.85126250000008</v>
          </cell>
          <cell r="BG175">
            <v>271.65432699999997</v>
          </cell>
          <cell r="BH175">
            <v>267.17149252500053</v>
          </cell>
          <cell r="BI175">
            <v>1036.018904425001</v>
          </cell>
          <cell r="BJ175">
            <v>228.5248323159517</v>
          </cell>
          <cell r="BK175">
            <v>240.68389457735793</v>
          </cell>
          <cell r="BL175">
            <v>254.25614477958356</v>
          </cell>
          <cell r="BM175">
            <v>253.48843170668579</v>
          </cell>
          <cell r="BN175">
            <v>976.95330337957921</v>
          </cell>
          <cell r="BO175">
            <v>224.63353174035228</v>
          </cell>
          <cell r="BP175">
            <v>250.49298801086979</v>
          </cell>
          <cell r="BQ175">
            <v>264.83151276329545</v>
          </cell>
          <cell r="BR175">
            <v>256.77713979250439</v>
          </cell>
          <cell r="BS175">
            <v>996.73517230702146</v>
          </cell>
        </row>
        <row r="176">
          <cell r="A176" t="str">
            <v xml:space="preserve">   Net revenue/thousand</v>
          </cell>
          <cell r="Q176">
            <v>65.549510494563037</v>
          </cell>
          <cell r="R176">
            <v>66.254034219019289</v>
          </cell>
          <cell r="S176">
            <v>68.004359640178919</v>
          </cell>
          <cell r="T176">
            <v>74.733910275539458</v>
          </cell>
          <cell r="U176">
            <v>68.621692180876067</v>
          </cell>
          <cell r="V176">
            <v>67.043958479072273</v>
          </cell>
          <cell r="W176">
            <v>71.749372663491528</v>
          </cell>
          <cell r="X176">
            <v>65.708082686888432</v>
          </cell>
          <cell r="Y176">
            <v>66.251376376710766</v>
          </cell>
          <cell r="Z176">
            <v>67.68341133851618</v>
          </cell>
          <cell r="AA176">
            <v>68.750104853137103</v>
          </cell>
          <cell r="AB176">
            <v>70.540353102026984</v>
          </cell>
          <cell r="AC176">
            <v>66.507626717195635</v>
          </cell>
          <cell r="AD176">
            <v>61.456590275630781</v>
          </cell>
          <cell r="AE176">
            <v>66.656344728752643</v>
          </cell>
          <cell r="AF176">
            <v>58.472054432014943</v>
          </cell>
          <cell r="AG176">
            <v>60.455325493246512</v>
          </cell>
          <cell r="AH176">
            <v>61.586928130638938</v>
          </cell>
          <cell r="AI176">
            <v>60.665750617538777</v>
          </cell>
          <cell r="AJ176">
            <v>50.008823274234288</v>
          </cell>
          <cell r="AK176">
            <v>59.008544223597916</v>
          </cell>
          <cell r="AL176">
            <v>73.525623644251738</v>
          </cell>
          <cell r="AM176">
            <v>69.156181943954891</v>
          </cell>
          <cell r="AN176">
            <v>74.192622862459601</v>
          </cell>
          <cell r="AO176">
            <v>60.060452651915</v>
          </cell>
          <cell r="AP176">
            <v>62.06779846384169</v>
          </cell>
          <cell r="AQ176">
            <v>63.981825146283704</v>
          </cell>
          <cell r="AR176">
            <v>65.408974869522197</v>
          </cell>
          <cell r="AS176">
            <v>66.514107003587526</v>
          </cell>
          <cell r="AT176">
            <v>64.713212587312285</v>
          </cell>
          <cell r="AU176">
            <v>97.276129557992888</v>
          </cell>
          <cell r="AV176">
            <v>74.303620652357424</v>
          </cell>
          <cell r="AW176">
            <v>69.83273398315508</v>
          </cell>
          <cell r="AX176">
            <v>69.023308937809261</v>
          </cell>
          <cell r="AY176">
            <v>76.836327214675478</v>
          </cell>
          <cell r="AZ176">
            <v>96.097129324762093</v>
          </cell>
          <cell r="BA176">
            <v>88.934133698961588</v>
          </cell>
          <cell r="BB176">
            <v>94.100702341879568</v>
          </cell>
          <cell r="BC176">
            <v>108.90312790898399</v>
          </cell>
          <cell r="BD176">
            <v>96.941700001353183</v>
          </cell>
          <cell r="BE176">
            <v>119.29353688994372</v>
          </cell>
          <cell r="BF176">
            <v>117.13879777889684</v>
          </cell>
          <cell r="BG176">
            <v>122.8032634001021</v>
          </cell>
          <cell r="BH176">
            <v>119.57787983198737</v>
          </cell>
          <cell r="BI176">
            <v>119.70534830755831</v>
          </cell>
          <cell r="BJ176">
            <v>117.59560477759435</v>
          </cell>
          <cell r="BK176">
            <v>110.39760240091594</v>
          </cell>
          <cell r="BL176">
            <v>110.34756976098662</v>
          </cell>
          <cell r="BM176">
            <v>114.1963098016404</v>
          </cell>
          <cell r="BN176">
            <v>112.97698857779905</v>
          </cell>
          <cell r="BO176">
            <v>107.84231136712634</v>
          </cell>
          <cell r="BP176">
            <v>109.33630571548073</v>
          </cell>
          <cell r="BQ176">
            <v>107.8301856802927</v>
          </cell>
          <cell r="BR176">
            <v>113.88523391842304</v>
          </cell>
          <cell r="BS176">
            <v>109.71556575452786</v>
          </cell>
        </row>
        <row r="177">
          <cell r="A177" t="str">
            <v xml:space="preserve">   Net revenue/pack</v>
          </cell>
          <cell r="Q177">
            <v>1.3109902098912607</v>
          </cell>
          <cell r="R177">
            <v>1.3250806843803857</v>
          </cell>
          <cell r="S177">
            <v>1.3600871928035785</v>
          </cell>
          <cell r="T177">
            <v>1.4946782055107892</v>
          </cell>
          <cell r="U177">
            <v>1.3724338436175214</v>
          </cell>
          <cell r="V177">
            <v>1.3408791695814455</v>
          </cell>
          <cell r="W177">
            <v>1.4349874532698306</v>
          </cell>
          <cell r="X177">
            <v>1.3141616537377687</v>
          </cell>
          <cell r="Y177">
            <v>1.3250275275342154</v>
          </cell>
          <cell r="Z177">
            <v>1.3536682267703235</v>
          </cell>
          <cell r="AA177">
            <v>1.3750020970627421</v>
          </cell>
          <cell r="AB177">
            <v>1.4108070620405397</v>
          </cell>
          <cell r="AC177">
            <v>1.3301525343439127</v>
          </cell>
          <cell r="AD177">
            <v>1.2291318055126157</v>
          </cell>
          <cell r="AE177">
            <v>1.333126894575053</v>
          </cell>
          <cell r="AF177">
            <v>1.1694410886402988</v>
          </cell>
          <cell r="AG177">
            <v>1.2091065098649303</v>
          </cell>
          <cell r="AH177">
            <v>1.2317385626127788</v>
          </cell>
          <cell r="AI177">
            <v>1.2133150123507754</v>
          </cell>
          <cell r="AJ177">
            <v>1.0001764654846859</v>
          </cell>
          <cell r="AK177">
            <v>1.1801708844719583</v>
          </cell>
          <cell r="AL177">
            <v>1.4705124728850347</v>
          </cell>
          <cell r="AM177">
            <v>1.3831236388790977</v>
          </cell>
          <cell r="AN177">
            <v>1.483852457249192</v>
          </cell>
          <cell r="AO177">
            <v>1.2012090530382999</v>
          </cell>
          <cell r="AP177">
            <v>1.2413559692768339</v>
          </cell>
          <cell r="AQ177">
            <v>1.279636502925674</v>
          </cell>
          <cell r="AR177">
            <v>1.3081794973904439</v>
          </cell>
          <cell r="AS177">
            <v>1.3302821400717506</v>
          </cell>
          <cell r="AT177">
            <v>1.2942642517462457</v>
          </cell>
          <cell r="AU177">
            <v>1.9455225911598577</v>
          </cell>
          <cell r="AV177">
            <v>1.4860724130471485</v>
          </cell>
          <cell r="AW177">
            <v>1.3966546796631016</v>
          </cell>
          <cell r="AX177">
            <v>1.3804661787561852</v>
          </cell>
          <cell r="AY177">
            <v>1.5367265442935096</v>
          </cell>
          <cell r="AZ177">
            <v>1.921942586495242</v>
          </cell>
          <cell r="BA177">
            <v>1.7786826739792319</v>
          </cell>
          <cell r="BB177">
            <v>1.8820140468375914</v>
          </cell>
          <cell r="BC177">
            <v>2.17806255817968</v>
          </cell>
          <cell r="BD177">
            <v>1.9388340000270636</v>
          </cell>
          <cell r="BE177">
            <v>2.3858707377988746</v>
          </cell>
          <cell r="BF177">
            <v>2.3427759555779368</v>
          </cell>
          <cell r="BG177">
            <v>2.4560652680020421</v>
          </cell>
          <cell r="BH177">
            <v>2.3915575966397475</v>
          </cell>
          <cell r="BI177">
            <v>2.394106966151166</v>
          </cell>
          <cell r="BJ177">
            <v>2.3519120955518868</v>
          </cell>
          <cell r="BK177">
            <v>2.2079520480183188</v>
          </cell>
          <cell r="BL177">
            <v>2.2069513952197322</v>
          </cell>
          <cell r="BM177">
            <v>2.2839261960328079</v>
          </cell>
          <cell r="BN177">
            <v>2.2595397715559811</v>
          </cell>
          <cell r="BO177">
            <v>2.1568462273425268</v>
          </cell>
          <cell r="BP177">
            <v>2.1867261143096148</v>
          </cell>
          <cell r="BQ177">
            <v>2.156603713605854</v>
          </cell>
          <cell r="BR177">
            <v>2.2777046783684609</v>
          </cell>
          <cell r="BS177">
            <v>2.1943113150905571</v>
          </cell>
        </row>
        <row r="178">
          <cell r="A178" t="str">
            <v xml:space="preserve">   % Change</v>
          </cell>
          <cell r="Q178">
            <v>1.3109902098912607</v>
          </cell>
          <cell r="R178">
            <v>1.3250806843803857</v>
          </cell>
          <cell r="S178">
            <v>1.3600871928035785</v>
          </cell>
          <cell r="T178">
            <v>1.4946782055107892</v>
          </cell>
          <cell r="U178">
            <v>1.3724338436175214</v>
          </cell>
          <cell r="V178">
            <v>2.2798766508457691E-2</v>
          </cell>
          <cell r="W178">
            <v>8.2943454074147827E-2</v>
          </cell>
          <cell r="X178">
            <v>-3.3766613867705408E-2</v>
          </cell>
          <cell r="Y178">
            <v>-0.11350314559420349</v>
          </cell>
          <cell r="Z178">
            <v>-1.367323964974132E-2</v>
          </cell>
          <cell r="AA178">
            <v>2.544817479113215E-2</v>
          </cell>
          <cell r="AB178">
            <v>-1.685059418059176E-2</v>
          </cell>
          <cell r="AC178">
            <v>1.2168122970764195E-2</v>
          </cell>
          <cell r="AD178">
            <v>-7.2372626250305161E-2</v>
          </cell>
          <cell r="AE178">
            <v>-1.5174569210566036E-2</v>
          </cell>
          <cell r="AF178">
            <v>-0.14949868721041193</v>
          </cell>
          <cell r="AG178">
            <v>-0.14296820423047585</v>
          </cell>
          <cell r="AH178">
            <v>-7.3986982086739261E-2</v>
          </cell>
          <cell r="AI178">
            <v>-1.2868264486284087E-2</v>
          </cell>
          <cell r="AJ178">
            <v>-0.24975149060847524</v>
          </cell>
          <cell r="AK178">
            <v>9.1751486551023831E-3</v>
          </cell>
          <cell r="AL178">
            <v>0.21619763096743738</v>
          </cell>
          <cell r="AM178">
            <v>0.12290357780566596</v>
          </cell>
          <cell r="AN178">
            <v>0.22297378845931792</v>
          </cell>
          <cell r="AO178">
            <v>0.2009971184996775</v>
          </cell>
          <cell r="AP178">
            <v>5.184425883566135E-2</v>
          </cell>
          <cell r="AQ178">
            <v>-0.12980234678654334</v>
          </cell>
          <cell r="AR178">
            <v>-5.4184701484380371E-2</v>
          </cell>
          <cell r="AS178">
            <v>-0.10349433087312088</v>
          </cell>
          <cell r="AT178">
            <v>7.7467946543172461E-2</v>
          </cell>
          <cell r="AU178">
            <v>0.56725600014091371</v>
          </cell>
          <cell r="AV178">
            <v>0.16132386787145681</v>
          </cell>
          <cell r="AW178">
            <v>6.7632295452686675E-2</v>
          </cell>
          <cell r="AX178">
            <v>3.7724357241786244E-2</v>
          </cell>
          <cell r="AY178">
            <v>0.18733600361759906</v>
          </cell>
          <cell r="AZ178">
            <v>-1.2120139222108972E-2</v>
          </cell>
          <cell r="BA178">
            <v>0.19690175146451616</v>
          </cell>
          <cell r="BB178">
            <v>0.34751565597558254</v>
          </cell>
          <cell r="BC178">
            <v>0.57777321291720285</v>
          </cell>
          <cell r="BD178">
            <v>0.26166493786857692</v>
          </cell>
          <cell r="BE178">
            <v>0.2413850208447843</v>
          </cell>
          <cell r="BF178">
            <v>0.31714104480296479</v>
          </cell>
          <cell r="BG178">
            <v>0.30501962625042434</v>
          </cell>
          <cell r="BH178">
            <v>9.8020618213324529E-2</v>
          </cell>
          <cell r="BI178">
            <v>0.23481791949065633</v>
          </cell>
          <cell r="BJ178">
            <v>-1.4233228024044919E-2</v>
          </cell>
          <cell r="BK178">
            <v>-5.7548784056202451E-2</v>
          </cell>
          <cell r="BL178">
            <v>-0.10142803451838189</v>
          </cell>
          <cell r="BM178">
            <v>-4.5004728616265366E-2</v>
          </cell>
          <cell r="BN178">
            <v>-5.620767847792485E-2</v>
          </cell>
          <cell r="BO178">
            <v>-8.2939268256786991E-2</v>
          </cell>
          <cell r="BP178">
            <v>-9.6134033924127893E-3</v>
          </cell>
          <cell r="BQ178">
            <v>-2.2813226300738454E-2</v>
          </cell>
          <cell r="BR178">
            <v>-2.7240449692086388E-3</v>
          </cell>
          <cell r="BS178">
            <v>-2.8868027589753709E-2</v>
          </cell>
        </row>
        <row r="179">
          <cell r="A179" t="str">
            <v xml:space="preserve">   % Change</v>
          </cell>
          <cell r="V179">
            <v>2.2798766508457691E-2</v>
          </cell>
          <cell r="W179">
            <v>8.2943454074147827E-2</v>
          </cell>
          <cell r="X179">
            <v>-3.3766613867705408E-2</v>
          </cell>
          <cell r="Y179">
            <v>-0.11350314559420349</v>
          </cell>
          <cell r="Z179">
            <v>-1.367323964974132E-2</v>
          </cell>
          <cell r="AA179">
            <v>2.544817479113215E-2</v>
          </cell>
          <cell r="AB179">
            <v>-1.685059418059176E-2</v>
          </cell>
          <cell r="AC179">
            <v>1.2168122970764195E-2</v>
          </cell>
          <cell r="AD179">
            <v>-7.2372626250305161E-2</v>
          </cell>
          <cell r="AE179">
            <v>-1.5174569210566036E-2</v>
          </cell>
          <cell r="AF179">
            <v>-0.14949868721041193</v>
          </cell>
          <cell r="AG179">
            <v>-0.14296820423047585</v>
          </cell>
          <cell r="AH179">
            <v>-7.3986982086739261E-2</v>
          </cell>
          <cell r="AI179">
            <v>-1.2868264486284087E-2</v>
          </cell>
          <cell r="AJ179">
            <v>-0.24975149060847524</v>
          </cell>
          <cell r="AK179">
            <v>-0.16455303886773776</v>
          </cell>
          <cell r="AL179">
            <v>3.2084692010379445E-2</v>
          </cell>
          <cell r="AM179">
            <v>-1.0177092015725808E-2</v>
          </cell>
          <cell r="AN179">
            <v>7.9657177118821032E-2</v>
          </cell>
          <cell r="AO179">
            <v>0.2009971184996775</v>
          </cell>
          <cell r="AP179">
            <v>0.27057148527283448</v>
          </cell>
          <cell r="AQ179">
            <v>2.5431665157364947E-2</v>
          </cell>
          <cell r="AR179">
            <v>7.2979190600220845E-2</v>
          </cell>
          <cell r="AS179">
            <v>1.5510254350572739E-2</v>
          </cell>
          <cell r="AT179">
            <v>7.7467946543172461E-2</v>
          </cell>
          <cell r="AU179">
            <v>0.56725600014091371</v>
          </cell>
          <cell r="AV179">
            <v>0.16132386787145681</v>
          </cell>
          <cell r="AW179">
            <v>6.7632295452686675E-2</v>
          </cell>
          <cell r="AX179">
            <v>0.12221926976258013</v>
          </cell>
          <cell r="AY179">
            <v>0.18733600361759906</v>
          </cell>
          <cell r="AZ179">
            <v>-8.1879788435498813E-2</v>
          </cell>
          <cell r="BA179">
            <v>0.19690175146451616</v>
          </cell>
          <cell r="BB179">
            <v>0.34753328518116167</v>
          </cell>
          <cell r="BC179">
            <v>0.45903173202677339</v>
          </cell>
          <cell r="BD179">
            <v>0.23969035638170166</v>
          </cell>
          <cell r="BE179">
            <v>0.3357066385394023</v>
          </cell>
          <cell r="BF179">
            <v>0.3065322650203961</v>
          </cell>
          <cell r="BG179">
            <v>0.20842436103754602</v>
          </cell>
          <cell r="BH179">
            <v>1.6512017827213565E-2</v>
          </cell>
          <cell r="BI179">
            <v>0.2047408658885701</v>
          </cell>
        </row>
        <row r="180">
          <cell r="A180" t="str">
            <v>Revenue per Pack</v>
          </cell>
          <cell r="V180">
            <v>-2.2802644413140172E-3</v>
          </cell>
          <cell r="W180">
            <v>-1.3370554464326112E-2</v>
          </cell>
          <cell r="X180">
            <v>9.2403779024472499E-3</v>
          </cell>
          <cell r="Y180">
            <v>-5.0625020723530367E-3</v>
          </cell>
          <cell r="Z180">
            <v>-2.8414062868185042E-3</v>
          </cell>
          <cell r="AA180">
            <v>-5.0355784006592352E-2</v>
          </cell>
          <cell r="AB180">
            <v>-3.0822707021047613E-2</v>
          </cell>
          <cell r="AC180">
            <v>-1.5091663504425035E-2</v>
          </cell>
          <cell r="AD180">
            <v>6.5112949538631781E-2</v>
          </cell>
          <cell r="AE180">
            <v>-7.3139774710438976E-3</v>
          </cell>
          <cell r="AF180">
            <v>0.16649153015423823</v>
          </cell>
          <cell r="AG180">
            <v>0.16158677947966305</v>
          </cell>
          <cell r="AH180">
            <v>0.26710247907784557</v>
          </cell>
          <cell r="AI180">
            <v>0.26060102402619156</v>
          </cell>
          <cell r="AJ180">
            <v>0.46986426984609042</v>
          </cell>
          <cell r="AK180">
            <v>0.15562389193090231</v>
          </cell>
          <cell r="AL180">
            <v>0.34211732381696081</v>
          </cell>
          <cell r="AM180">
            <v>0.26391677549921644</v>
          </cell>
          <cell r="AN180">
            <v>0.19729275712254735</v>
          </cell>
          <cell r="AO180">
            <v>0.19213444178122674</v>
          </cell>
          <cell r="AP180">
            <v>0.53104295644618227</v>
          </cell>
          <cell r="AQ180">
            <v>0.34718089072668334</v>
          </cell>
          <cell r="AR180">
            <v>0.38451108497654007</v>
          </cell>
          <cell r="AS180">
            <v>0.62146874304781941</v>
          </cell>
          <cell r="AT180">
            <v>0.26435071334634164</v>
          </cell>
          <cell r="AU180">
            <v>0.53761843744596294</v>
          </cell>
          <cell r="AV180">
            <v>0.55770119800816098</v>
          </cell>
          <cell r="AW180">
            <v>0.44483013811479521</v>
          </cell>
          <cell r="AX180">
            <v>0.21070078685554572</v>
          </cell>
          <cell r="AY180">
            <v>0.42186615036679442</v>
          </cell>
          <cell r="AZ180">
            <v>-2.4682137817814365E-2</v>
          </cell>
          <cell r="BA180">
            <v>-8.8322501829141364E-2</v>
          </cell>
          <cell r="BB180">
            <v>-0.12320895239897822</v>
          </cell>
          <cell r="BC180">
            <v>-7.7918933040917016E-2</v>
          </cell>
          <cell r="BD180">
            <v>-8.1074095621008424E-2</v>
          </cell>
          <cell r="BE180">
            <v>-3.2031153759352726E-2</v>
          </cell>
          <cell r="BF180">
            <v>-6.1585391383990329E-3</v>
          </cell>
          <cell r="BG180">
            <v>-5.1727723894872124E-3</v>
          </cell>
          <cell r="BH180">
            <v>2.3524720133297317E-2</v>
          </cell>
          <cell r="BI180">
            <v>-4.4927248388085816E-3</v>
          </cell>
          <cell r="BJ180">
            <v>-1.0742341708726455E-2</v>
          </cell>
          <cell r="BK180">
            <v>-2.8421079088920109E-2</v>
          </cell>
          <cell r="BL180">
            <v>4.1602385053184143E-2</v>
          </cell>
          <cell r="BM180">
            <v>-6.5024357484626538E-3</v>
          </cell>
          <cell r="BN180">
            <v>-8.5231633808635632E-4</v>
          </cell>
          <cell r="BO180">
            <v>7.1872401325907331E-2</v>
          </cell>
          <cell r="BP180">
            <v>5.0857404678495088E-2</v>
          </cell>
          <cell r="BQ180">
            <v>6.5910213358724157E-2</v>
          </cell>
          <cell r="BR180">
            <v>1.5740722895519754E-2</v>
          </cell>
          <cell r="BS180">
            <v>5.0576605091760651E-2</v>
          </cell>
        </row>
        <row r="181">
          <cell r="A181" t="str">
            <v>Revenue per Pack</v>
          </cell>
          <cell r="V181">
            <v>-2.2802644413140172E-3</v>
          </cell>
          <cell r="W181">
            <v>-1.3370554464326112E-2</v>
          </cell>
          <cell r="X181">
            <v>9.2403779024472499E-3</v>
          </cell>
          <cell r="Y181">
            <v>-5.0625020723530367E-3</v>
          </cell>
          <cell r="Z181">
            <v>-2.8414062868185042E-3</v>
          </cell>
          <cell r="AA181">
            <v>-5.0355784006592352E-2</v>
          </cell>
          <cell r="AB181">
            <v>-3.0822707021047613E-2</v>
          </cell>
          <cell r="AC181">
            <v>-1.5091663504425035E-2</v>
          </cell>
          <cell r="AD181">
            <v>6.5112949538631781E-2</v>
          </cell>
          <cell r="AE181">
            <v>-7.3139774710438976E-3</v>
          </cell>
          <cell r="AF181">
            <v>0.16649153015423823</v>
          </cell>
          <cell r="AG181">
            <v>0.16158677947966305</v>
          </cell>
          <cell r="AH181">
            <v>0.26710247907784557</v>
          </cell>
          <cell r="AI181">
            <v>0.26060102402619156</v>
          </cell>
          <cell r="AJ181">
            <v>0.46986426984609042</v>
          </cell>
          <cell r="AK181">
            <v>0.39593171940944716</v>
          </cell>
          <cell r="AL181">
            <v>0.58153678893062111</v>
          </cell>
          <cell r="AM181">
            <v>0.43384908331422389</v>
          </cell>
          <cell r="AN181">
            <v>0.35622463324940767</v>
          </cell>
          <cell r="AO181">
            <v>0.19213444178122674</v>
          </cell>
          <cell r="AP181">
            <v>0.26747590547641087</v>
          </cell>
          <cell r="AQ181">
            <v>0.14323917370395245</v>
          </cell>
          <cell r="AR181">
            <v>0.22042605915101254</v>
          </cell>
          <cell r="AS181">
            <v>0.4314537093316011</v>
          </cell>
          <cell r="AT181">
            <v>0.26435071334634164</v>
          </cell>
          <cell r="AU181">
            <v>0.53761843744596294</v>
          </cell>
          <cell r="AV181">
            <v>0.55770119800816098</v>
          </cell>
          <cell r="AW181">
            <v>0.44483013811479521</v>
          </cell>
          <cell r="AX181">
            <v>0.11954386250879279</v>
          </cell>
          <cell r="AY181">
            <v>0.42186615036679442</v>
          </cell>
          <cell r="AZ181">
            <v>4.9258545850201729E-2</v>
          </cell>
          <cell r="BA181">
            <v>-8.8322501829141364E-2</v>
          </cell>
          <cell r="BB181">
            <v>-0.12333443739945149</v>
          </cell>
          <cell r="BC181">
            <v>-3.009611479873886E-3</v>
          </cell>
          <cell r="BD181">
            <v>-6.4884751114305139E-2</v>
          </cell>
          <cell r="BE181">
            <v>-0.10024339615036426</v>
          </cell>
          <cell r="BF181">
            <v>-6.1585391383990329E-3</v>
          </cell>
          <cell r="BG181">
            <v>7.6655449076911575E-2</v>
          </cell>
          <cell r="BH181">
            <v>9.2242892707179891E-2</v>
          </cell>
          <cell r="BI181">
            <v>1.5710482712955498E-2</v>
          </cell>
        </row>
        <row r="182">
          <cell r="A182" t="str">
            <v>Newport Menthol</v>
          </cell>
          <cell r="AF182">
            <v>1.864686703756768</v>
          </cell>
          <cell r="AG182">
            <v>1.9403686803004723</v>
          </cell>
          <cell r="AH182">
            <v>1.9667665621067898</v>
          </cell>
          <cell r="AI182">
            <v>2.0725455236313688</v>
          </cell>
          <cell r="AJ182">
            <v>1.962597037917994</v>
          </cell>
          <cell r="AK182">
            <v>2.0897536022863092</v>
          </cell>
          <cell r="AL182">
            <v>2.2317327103912477</v>
          </cell>
          <cell r="AM182">
            <v>2.1581011531043384</v>
          </cell>
          <cell r="AN182">
            <v>2.1938653750935937</v>
          </cell>
          <cell r="AO182">
            <v>2.1720103366556582</v>
          </cell>
          <cell r="AP182">
            <v>2.2344011009460174</v>
          </cell>
          <cell r="AQ182">
            <v>2.2850426421656702</v>
          </cell>
          <cell r="AR182">
            <v>2.3234811783012206</v>
          </cell>
          <cell r="AS182">
            <v>2.3703270215497962</v>
          </cell>
          <cell r="AT182">
            <v>2.3033684104505485</v>
          </cell>
          <cell r="AU182">
            <v>2.2383848730085796</v>
          </cell>
          <cell r="AV182">
            <v>2.3556300518640931</v>
          </cell>
          <cell r="AW182">
            <v>2.4158889789065658</v>
          </cell>
          <cell r="AX182">
            <v>2.5249043030169362</v>
          </cell>
          <cell r="AY182">
            <v>2.3831971571713702</v>
          </cell>
          <cell r="AZ182">
            <v>2.3809482966018014</v>
          </cell>
          <cell r="BA182">
            <v>2.4482613493846994</v>
          </cell>
          <cell r="BB182">
            <v>2.4862039278348846</v>
          </cell>
          <cell r="BC182">
            <v>2.5346731991877283</v>
          </cell>
          <cell r="BD182">
            <v>2.4633549927536973</v>
          </cell>
          <cell r="BE182">
            <v>2.5075438268803061</v>
          </cell>
          <cell r="BF182">
            <v>2.5571830703620955</v>
          </cell>
          <cell r="BG182">
            <v>2.5768524869577862</v>
          </cell>
          <cell r="BH182">
            <v>2.6240678843686887</v>
          </cell>
          <cell r="BI182">
            <v>2.567278469795149</v>
          </cell>
          <cell r="BJ182">
            <v>2.6642384776447328</v>
          </cell>
          <cell r="BK182">
            <v>2.7094970419772717</v>
          </cell>
          <cell r="BL182">
            <v>2.7538236468772284</v>
          </cell>
          <cell r="BM182">
            <v>2.7723626591800157</v>
          </cell>
          <cell r="BN182">
            <v>2.7262003501930434</v>
          </cell>
          <cell r="BO182">
            <v>2.7562403237224276</v>
          </cell>
          <cell r="BP182">
            <v>2.7968714800442105</v>
          </cell>
          <cell r="BQ182">
            <v>2.8340503100170444</v>
          </cell>
          <cell r="BR182">
            <v>2.8284443259876055</v>
          </cell>
          <cell r="BS182">
            <v>2.8044467412153709</v>
          </cell>
        </row>
        <row r="183">
          <cell r="A183" t="str">
            <v>Ex-Newport Menthol</v>
          </cell>
          <cell r="AF183">
            <v>1.1694410886402988</v>
          </cell>
          <cell r="AG183">
            <v>1.2091065098649303</v>
          </cell>
          <cell r="AH183">
            <v>1.2317385626127788</v>
          </cell>
          <cell r="AI183">
            <v>1.2133150123507754</v>
          </cell>
          <cell r="AJ183">
            <v>1.0001764654846859</v>
          </cell>
          <cell r="AK183">
            <v>1.1801708844719583</v>
          </cell>
          <cell r="AL183">
            <v>1.4705124728850347</v>
          </cell>
          <cell r="AM183">
            <v>1.3831236388790977</v>
          </cell>
          <cell r="AN183">
            <v>1.483852457249192</v>
          </cell>
          <cell r="AO183">
            <v>1.2012090530382999</v>
          </cell>
          <cell r="AP183">
            <v>1.2413559692768339</v>
          </cell>
          <cell r="AQ183">
            <v>1.279636502925674</v>
          </cell>
          <cell r="AR183">
            <v>1.3081794973904439</v>
          </cell>
          <cell r="AS183">
            <v>1.3302821400717506</v>
          </cell>
          <cell r="AT183">
            <v>1.2942642517462457</v>
          </cell>
          <cell r="AU183">
            <v>1.9455225911598577</v>
          </cell>
          <cell r="AV183">
            <v>1.4860724130471485</v>
          </cell>
          <cell r="AW183">
            <v>1.3966546796631016</v>
          </cell>
          <cell r="AX183">
            <v>1.3804661787561852</v>
          </cell>
          <cell r="AY183">
            <v>1.5367265442935096</v>
          </cell>
          <cell r="AZ183">
            <v>1.921942586495242</v>
          </cell>
          <cell r="BA183">
            <v>1.7786826739792319</v>
          </cell>
          <cell r="BB183">
            <v>1.8820140468375914</v>
          </cell>
          <cell r="BC183">
            <v>2.17806255817968</v>
          </cell>
          <cell r="BD183">
            <v>1.9388340000270636</v>
          </cell>
          <cell r="BE183">
            <v>2.3858707377988746</v>
          </cell>
          <cell r="BF183">
            <v>2.3427759555779368</v>
          </cell>
          <cell r="BG183">
            <v>2.4560652680020421</v>
          </cell>
          <cell r="BH183">
            <v>2.3915575966397475</v>
          </cell>
          <cell r="BI183">
            <v>2.394106966151166</v>
          </cell>
          <cell r="BJ183">
            <v>2.3519120955518868</v>
          </cell>
          <cell r="BK183">
            <v>2.2079520480183188</v>
          </cell>
          <cell r="BL183">
            <v>2.2069513952197322</v>
          </cell>
          <cell r="BM183">
            <v>2.2839261960328079</v>
          </cell>
          <cell r="BN183">
            <v>2.2595397715559811</v>
          </cell>
          <cell r="BO183">
            <v>2.1568462273425268</v>
          </cell>
          <cell r="BP183">
            <v>2.1867261143096148</v>
          </cell>
          <cell r="BQ183">
            <v>2.156603713605854</v>
          </cell>
          <cell r="BR183">
            <v>2.2777046783684609</v>
          </cell>
          <cell r="BS183">
            <v>2.1943113150905571</v>
          </cell>
        </row>
        <row r="184">
          <cell r="A184" t="str">
            <v>Ex-Newport Menthol</v>
          </cell>
          <cell r="AF184">
            <v>1.169309476409597</v>
          </cell>
          <cell r="AG184">
            <v>1.1285256520326403</v>
          </cell>
          <cell r="AH184">
            <v>1.1199802042488085</v>
          </cell>
          <cell r="AI184">
            <v>1.0804543636037018</v>
          </cell>
          <cell r="AJ184">
            <v>1.100919278193242</v>
          </cell>
          <cell r="AK184">
            <v>1.1960922427349092</v>
          </cell>
          <cell r="AL184">
            <v>1.1691464086385535</v>
          </cell>
          <cell r="AM184">
            <v>1.1863525052973496</v>
          </cell>
          <cell r="AN184">
            <v>1.1805298788464631</v>
          </cell>
          <cell r="AO184">
            <v>1.182343135656126</v>
          </cell>
          <cell r="AP184">
            <v>1.2207847976413806</v>
          </cell>
          <cell r="AQ184">
            <v>1.2120949497542697</v>
          </cell>
          <cell r="AR184">
            <v>1.2156167160494298</v>
          </cell>
          <cell r="AS184">
            <v>1.2415459340798329</v>
          </cell>
          <cell r="AT184">
            <v>1.2218237561743628</v>
          </cell>
          <cell r="AU184">
            <v>1.3082511710393161</v>
          </cell>
          <cell r="AV184">
            <v>1.2497144207280759</v>
          </cell>
          <cell r="AW184">
            <v>1.2796650622558028</v>
          </cell>
          <cell r="AX184">
            <v>1.2419527222652174</v>
          </cell>
          <cell r="AY184">
            <v>1.2693255739321871</v>
          </cell>
          <cell r="AZ184">
            <v>1.398144831280991</v>
          </cell>
          <cell r="BA184">
            <v>1.3303756467116907</v>
          </cell>
          <cell r="BB184">
            <v>1.3187280232684002</v>
          </cell>
          <cell r="BC184">
            <v>1.3243812088484246</v>
          </cell>
          <cell r="BD184">
            <v>1.3418943603377871</v>
          </cell>
          <cell r="BE184">
            <v>1.3748728540788235</v>
          </cell>
          <cell r="BF184">
            <v>1.3476259530170505</v>
          </cell>
          <cell r="BG184">
            <v>1.3543261560761142</v>
          </cell>
          <cell r="BH184">
            <v>1.3663616580646454</v>
          </cell>
          <cell r="BI184">
            <v>1.360285306450451</v>
          </cell>
          <cell r="BJ184">
            <v>1.437898644782202</v>
          </cell>
          <cell r="BK184">
            <v>1.4090802837859946</v>
          </cell>
          <cell r="BL184">
            <v>1.3778607760864521</v>
          </cell>
          <cell r="BM184">
            <v>1.2989005851403721</v>
          </cell>
          <cell r="BN184">
            <v>1.3799612140623887</v>
          </cell>
          <cell r="BO184">
            <v>1.399319705345726</v>
          </cell>
          <cell r="BP184">
            <v>1.4117408756849321</v>
          </cell>
          <cell r="BQ184">
            <v>1.3765238552191719</v>
          </cell>
          <cell r="BR184">
            <v>1.365830848340954</v>
          </cell>
          <cell r="BS184">
            <v>1.3883761118404763</v>
          </cell>
        </row>
        <row r="185">
          <cell r="AF185">
            <v>1.169309476409597</v>
          </cell>
          <cell r="AG185">
            <v>1.1285256520326403</v>
          </cell>
          <cell r="AH185">
            <v>1.1199802042488085</v>
          </cell>
          <cell r="AI185">
            <v>1.0804543636037018</v>
          </cell>
          <cell r="AJ185">
            <v>1.100919278193242</v>
          </cell>
          <cell r="AK185">
            <v>1.1960922427349092</v>
          </cell>
          <cell r="AL185">
            <v>1.1691464086385535</v>
          </cell>
          <cell r="AM185">
            <v>1.1863525052973496</v>
          </cell>
          <cell r="AN185">
            <v>1.1805298788464631</v>
          </cell>
          <cell r="AO185">
            <v>1.182343135656126</v>
          </cell>
          <cell r="AP185">
            <v>1.2207847976413806</v>
          </cell>
          <cell r="AQ185">
            <v>1.2120949497542697</v>
          </cell>
          <cell r="AR185">
            <v>1.2156167160494298</v>
          </cell>
          <cell r="AS185">
            <v>1.2415459340798329</v>
          </cell>
          <cell r="AT185">
            <v>1.2218237561743628</v>
          </cell>
          <cell r="AU185">
            <v>1.3082511710393161</v>
          </cell>
          <cell r="AV185">
            <v>1.2497144207280759</v>
          </cell>
          <cell r="AW185">
            <v>1.2796650622558028</v>
          </cell>
          <cell r="AX185">
            <v>1.2419527222652174</v>
          </cell>
          <cell r="AY185">
            <v>1.2693255739321871</v>
          </cell>
          <cell r="AZ185">
            <v>1.398144831280991</v>
          </cell>
          <cell r="BA185">
            <v>1.3303756467116907</v>
          </cell>
          <cell r="BB185">
            <v>1.3187280232684002</v>
          </cell>
          <cell r="BC185">
            <v>1.3243812088484246</v>
          </cell>
          <cell r="BD185">
            <v>1.3418943603377871</v>
          </cell>
          <cell r="BE185">
            <v>1.3748728540788235</v>
          </cell>
          <cell r="BF185">
            <v>1.3476259530170505</v>
          </cell>
          <cell r="BG185">
            <v>1.3543261560761142</v>
          </cell>
          <cell r="BH185">
            <v>1.3663616580646454</v>
          </cell>
          <cell r="BI185">
            <v>1.360285306450451</v>
          </cell>
        </row>
        <row r="186">
          <cell r="A186" t="str">
            <v>Revenue Growth</v>
          </cell>
          <cell r="AF186">
            <v>0.69524561511646921</v>
          </cell>
          <cell r="AG186">
            <v>0.73126217043554198</v>
          </cell>
          <cell r="AH186">
            <v>0.73502799949401099</v>
          </cell>
          <cell r="AI186">
            <v>0.85923051128059336</v>
          </cell>
          <cell r="AJ186">
            <v>0.96242057243330814</v>
          </cell>
          <cell r="AK186">
            <v>0.90958271781435096</v>
          </cell>
          <cell r="AL186">
            <v>0.76122023750621293</v>
          </cell>
          <cell r="AM186">
            <v>0.77497751422524064</v>
          </cell>
          <cell r="AN186">
            <v>0.71001291784440168</v>
          </cell>
          <cell r="AO186">
            <v>0.97080128361735829</v>
          </cell>
          <cell r="AP186">
            <v>0.99304513166918351</v>
          </cell>
          <cell r="AQ186">
            <v>1.0054061392399962</v>
          </cell>
          <cell r="AR186">
            <v>1.0153016809107767</v>
          </cell>
          <cell r="AS186">
            <v>1.0400448814780456</v>
          </cell>
          <cell r="AT186">
            <v>1.0091041587043028</v>
          </cell>
          <cell r="AU186">
            <v>0.29286228184872187</v>
          </cell>
          <cell r="AV186">
            <v>0.86955763881694459</v>
          </cell>
          <cell r="AW186">
            <v>1.0192342992434642</v>
          </cell>
          <cell r="AX186">
            <v>1.1444381242607511</v>
          </cell>
          <cell r="AY186">
            <v>0.84647061287786052</v>
          </cell>
          <cell r="AZ186">
            <v>0.45900571010655944</v>
          </cell>
          <cell r="BA186">
            <v>0.66957867540546756</v>
          </cell>
          <cell r="BB186">
            <v>0.6041898809972932</v>
          </cell>
          <cell r="BC186">
            <v>0.35661064100804829</v>
          </cell>
          <cell r="BD186">
            <v>0.52452099272663366</v>
          </cell>
          <cell r="BE186">
            <v>0.12167308908143148</v>
          </cell>
          <cell r="BF186">
            <v>0.21440711478415864</v>
          </cell>
          <cell r="BG186">
            <v>0.12078721895574418</v>
          </cell>
          <cell r="BH186">
            <v>0.23251028772894111</v>
          </cell>
          <cell r="BI186">
            <v>0.17317150364398293</v>
          </cell>
          <cell r="BJ186">
            <v>0.31232638209284591</v>
          </cell>
          <cell r="BK186">
            <v>0.50154499395895291</v>
          </cell>
          <cell r="BL186">
            <v>0.5468722516574962</v>
          </cell>
          <cell r="BM186">
            <v>0.48843646314720779</v>
          </cell>
          <cell r="BN186">
            <v>0.46666057863706234</v>
          </cell>
          <cell r="BO186">
            <v>0.59939409637990071</v>
          </cell>
          <cell r="BP186">
            <v>0.61014536573459566</v>
          </cell>
          <cell r="BQ186">
            <v>0.67744659641119043</v>
          </cell>
          <cell r="BR186">
            <v>0.55073964761914462</v>
          </cell>
          <cell r="BS186">
            <v>0.61013542612481375</v>
          </cell>
        </row>
        <row r="187">
          <cell r="A187" t="str">
            <v xml:space="preserve">   Newport Menthol</v>
          </cell>
          <cell r="AF187">
            <v>1.3161223070179418E-4</v>
          </cell>
          <cell r="AG187">
            <v>8.0580857832289965E-2</v>
          </cell>
          <cell r="AH187">
            <v>0.1117583583639703</v>
          </cell>
          <cell r="AI187">
            <v>0.1328606487470736</v>
          </cell>
          <cell r="AJ187">
            <v>-0.10074281270855612</v>
          </cell>
          <cell r="AK187">
            <v>-1.5921358262950935E-2</v>
          </cell>
          <cell r="AL187">
            <v>0.30136606424648127</v>
          </cell>
          <cell r="AM187">
            <v>0.19677113358174814</v>
          </cell>
          <cell r="AN187">
            <v>0.30332257840272892</v>
          </cell>
          <cell r="AO187">
            <v>1.8865917382173913E-2</v>
          </cell>
          <cell r="AP187">
            <v>2.05711716354533E-2</v>
          </cell>
          <cell r="AQ187">
            <v>6.7541553171404312E-2</v>
          </cell>
          <cell r="AR187">
            <v>9.2562781341014144E-2</v>
          </cell>
          <cell r="AS187">
            <v>8.8736205991917672E-2</v>
          </cell>
          <cell r="AT187">
            <v>7.2440495571882924E-2</v>
          </cell>
          <cell r="AU187">
            <v>0.63727142012054161</v>
          </cell>
          <cell r="AV187">
            <v>0.23635799231907262</v>
          </cell>
          <cell r="AW187">
            <v>0.11698961740729885</v>
          </cell>
          <cell r="AX187">
            <v>0.1385134564909678</v>
          </cell>
          <cell r="AY187">
            <v>0.26740097036132249</v>
          </cell>
          <cell r="AZ187">
            <v>0.52379775521425098</v>
          </cell>
          <cell r="BA187">
            <v>0.44830702726754112</v>
          </cell>
          <cell r="BB187">
            <v>0.56328602356919122</v>
          </cell>
          <cell r="BC187">
            <v>0.85368134933125539</v>
          </cell>
          <cell r="BD187">
            <v>0.59693963968927655</v>
          </cell>
          <cell r="BE187">
            <v>1.0109978837200511</v>
          </cell>
          <cell r="BF187">
            <v>0.99515000256088637</v>
          </cell>
          <cell r="BG187">
            <v>1.1017391119259279</v>
          </cell>
          <cell r="BH187">
            <v>1.0251959385751022</v>
          </cell>
          <cell r="BI187">
            <v>1.033821659700715</v>
          </cell>
          <cell r="BJ187">
            <v>0.91401345076968488</v>
          </cell>
          <cell r="BK187">
            <v>0.7988717642323242</v>
          </cell>
          <cell r="BL187">
            <v>0.82909061913328008</v>
          </cell>
          <cell r="BM187">
            <v>0.98502561089243579</v>
          </cell>
          <cell r="BN187">
            <v>0.87957855749359237</v>
          </cell>
          <cell r="BO187">
            <v>0.75752652199680082</v>
          </cell>
          <cell r="BP187">
            <v>0.77498523862468272</v>
          </cell>
          <cell r="BQ187">
            <v>0.78007985838668215</v>
          </cell>
          <cell r="BR187">
            <v>0.91187383002750688</v>
          </cell>
          <cell r="BS187">
            <v>0.80593520325008083</v>
          </cell>
        </row>
        <row r="188">
          <cell r="A188" t="str">
            <v xml:space="preserve">   Newport Red</v>
          </cell>
          <cell r="AF188">
            <v>1.3161223070179418E-4</v>
          </cell>
          <cell r="AG188">
            <v>8.0580857832289965E-2</v>
          </cell>
          <cell r="AH188">
            <v>0.1117583583639703</v>
          </cell>
          <cell r="AI188">
            <v>0.1328606487470736</v>
          </cell>
          <cell r="AJ188">
            <v>-0.10074281270855612</v>
          </cell>
          <cell r="AK188">
            <v>-0.21908623900716706</v>
          </cell>
          <cell r="AL188">
            <v>7.8753911203137905E-2</v>
          </cell>
          <cell r="AM188">
            <v>3.285054062440107E-2</v>
          </cell>
          <cell r="AN188">
            <v>0.12943438234406246</v>
          </cell>
          <cell r="AO188">
            <v>1.8865917382173913E-2</v>
          </cell>
          <cell r="AP188">
            <v>2.05711716354533E-2</v>
          </cell>
          <cell r="AQ188">
            <v>6.7541553171404312E-2</v>
          </cell>
          <cell r="AR188">
            <v>9.2562781341014144E-2</v>
          </cell>
          <cell r="AS188">
            <v>8.8736205991917672E-2</v>
          </cell>
          <cell r="AT188">
            <v>7.2440495571882924E-2</v>
          </cell>
          <cell r="AU188">
            <v>0.63727142012054161</v>
          </cell>
          <cell r="AV188">
            <v>0.23635799231907262</v>
          </cell>
          <cell r="AW188">
            <v>0.11698961740729885</v>
          </cell>
          <cell r="AX188">
            <v>0.25091552954430507</v>
          </cell>
          <cell r="AY188">
            <v>0.26740097036132249</v>
          </cell>
          <cell r="AZ188">
            <v>0.38807878171821408</v>
          </cell>
          <cell r="BA188">
            <v>0.44830702726754112</v>
          </cell>
          <cell r="BB188">
            <v>0.5633106454816621</v>
          </cell>
          <cell r="BC188">
            <v>0.85376094227700428</v>
          </cell>
          <cell r="BD188">
            <v>0.56317071701865484</v>
          </cell>
          <cell r="BE188">
            <v>1.0109978837200511</v>
          </cell>
          <cell r="BF188">
            <v>0.97628034976957023</v>
          </cell>
          <cell r="BG188">
            <v>0.91997521965613371</v>
          </cell>
          <cell r="BH188">
            <v>0.84774601509037195</v>
          </cell>
          <cell r="BI188">
            <v>0.93482444441802448</v>
          </cell>
        </row>
        <row r="189">
          <cell r="A189" t="str">
            <v xml:space="preserve">   Other</v>
          </cell>
          <cell r="AP189">
            <v>31.836999999999989</v>
          </cell>
          <cell r="AQ189">
            <v>14.951999999999884</v>
          </cell>
          <cell r="AR189">
            <v>27.134999999999991</v>
          </cell>
          <cell r="AS189">
            <v>16.504000000000133</v>
          </cell>
          <cell r="AT189">
            <v>92.074999999999818</v>
          </cell>
          <cell r="AU189">
            <v>17.383000000000038</v>
          </cell>
          <cell r="AV189">
            <v>14.175999999999888</v>
          </cell>
          <cell r="AW189">
            <v>5.392999999999887</v>
          </cell>
          <cell r="AX189">
            <v>7.7041687271112096</v>
          </cell>
          <cell r="AY189">
            <v>111.24800000000005</v>
          </cell>
          <cell r="AZ189">
            <v>9.81899999999996</v>
          </cell>
        </row>
        <row r="190">
          <cell r="A190" t="str">
            <v>Net Revenue/pack comparison</v>
          </cell>
        </row>
        <row r="191">
          <cell r="A191" t="str">
            <v>Net Revenue/pack comparison</v>
          </cell>
          <cell r="B191">
            <v>1.6590623691921309</v>
          </cell>
          <cell r="C191">
            <v>1.81445937300064</v>
          </cell>
          <cell r="D191">
            <v>1.8468447719944723</v>
          </cell>
          <cell r="E191">
            <v>1.7533930857874518</v>
          </cell>
          <cell r="F191">
            <v>1.7670204358134811</v>
          </cell>
          <cell r="G191">
            <v>1.5211423511179989</v>
          </cell>
          <cell r="H191">
            <v>1.4373836126629422</v>
          </cell>
          <cell r="I191">
            <v>1.4542888165037999</v>
          </cell>
          <cell r="J191">
            <v>1.5086730732763018</v>
          </cell>
          <cell r="K191">
            <v>1.4802295140200159</v>
          </cell>
          <cell r="L191">
            <v>1.5024137339966415</v>
          </cell>
          <cell r="M191">
            <v>1.5642722545773606</v>
          </cell>
          <cell r="N191">
            <v>1.6077824444802031</v>
          </cell>
          <cell r="O191">
            <v>1.5567484930651283</v>
          </cell>
          <cell r="P191">
            <v>1.5589598854722624</v>
          </cell>
          <cell r="Q191">
            <v>1.5556388010746058</v>
          </cell>
          <cell r="R191">
            <v>1.5950278895724705</v>
          </cell>
          <cell r="S191">
            <v>1.6530918058225885</v>
          </cell>
          <cell r="T191">
            <v>1.7711584538515148</v>
          </cell>
          <cell r="U191">
            <v>1.6433067853789176</v>
          </cell>
          <cell r="V191">
            <v>1.6317686870461798</v>
          </cell>
          <cell r="W191">
            <v>1.7515590866776711</v>
          </cell>
          <cell r="X191">
            <v>1.6631753909070119</v>
          </cell>
          <cell r="Y191">
            <v>1.7184681270349358</v>
          </cell>
          <cell r="Z191">
            <v>1.6917946768056629</v>
          </cell>
          <cell r="AA191">
            <v>1.7915283814054948</v>
          </cell>
          <cell r="AB191">
            <v>1.8481102101966749</v>
          </cell>
          <cell r="AC191">
            <v>1.8235902987785046</v>
          </cell>
          <cell r="AD191">
            <v>1.8601345567789045</v>
          </cell>
          <cell r="AE191">
            <v>1.8312508328179253</v>
          </cell>
          <cell r="AF191">
            <v>1.8014971201595011</v>
          </cell>
          <cell r="AG191">
            <v>1.8724227110504108</v>
          </cell>
          <cell r="AH191">
            <v>1.8922409227019583</v>
          </cell>
          <cell r="AI191">
            <v>1.9786634128646101</v>
          </cell>
          <cell r="AJ191">
            <v>1.8880638732224586</v>
          </cell>
          <cell r="AK191">
            <v>1.9856857172111702</v>
          </cell>
          <cell r="AL191">
            <v>2.1387338467881882</v>
          </cell>
          <cell r="AM191">
            <v>2.0523077910384573</v>
          </cell>
          <cell r="AN191">
            <v>2.0975153332984497</v>
          </cell>
          <cell r="AO191">
            <v>2.0726103751500711</v>
          </cell>
          <cell r="AP191">
            <v>2.1211900450689685</v>
          </cell>
          <cell r="AQ191">
            <v>2.1620617320697284</v>
          </cell>
          <cell r="AR191">
            <v>2.1830451852714643</v>
          </cell>
          <cell r="AS191">
            <v>2.1918755840654729</v>
          </cell>
          <cell r="AT191">
            <v>2.1654755660570761</v>
          </cell>
          <cell r="AU191">
            <v>2.2175938350891387</v>
          </cell>
          <cell r="AV191">
            <v>2.1872792256314399</v>
          </cell>
          <cell r="AW191">
            <v>2.202454658473588</v>
          </cell>
          <cell r="AX191">
            <v>2.294506777412141</v>
          </cell>
          <cell r="AY191">
            <v>2.2245862440688837</v>
          </cell>
          <cell r="AZ191">
            <v>2.280643645446272</v>
          </cell>
          <cell r="BA191">
            <v>2.2884522348686138</v>
          </cell>
          <cell r="BB191">
            <v>2.3221494251619141</v>
          </cell>
          <cell r="BC191">
            <v>2.3764029282564967</v>
          </cell>
          <cell r="BD191">
            <v>2.3169900703681283</v>
          </cell>
          <cell r="BE191">
            <v>2.3550705608993052</v>
          </cell>
          <cell r="BF191">
            <v>2.3992062934435889</v>
          </cell>
          <cell r="BG191">
            <v>2.4345343242371591</v>
          </cell>
        </row>
        <row r="192">
          <cell r="A192" t="str">
            <v>Overall</v>
          </cell>
          <cell r="B192">
            <v>1.6590623691921309</v>
          </cell>
          <cell r="C192">
            <v>1.81445937300064</v>
          </cell>
          <cell r="D192">
            <v>1.8468447719944723</v>
          </cell>
          <cell r="E192">
            <v>1.7533930857874518</v>
          </cell>
          <cell r="F192">
            <v>1.7670204358134811</v>
          </cell>
          <cell r="G192">
            <v>1.5211423511179989</v>
          </cell>
          <cell r="H192">
            <v>1.4373836126629422</v>
          </cell>
          <cell r="I192">
            <v>1.4542888165037999</v>
          </cell>
          <cell r="J192">
            <v>1.5086730732763018</v>
          </cell>
          <cell r="K192">
            <v>1.4802295140200159</v>
          </cell>
          <cell r="L192">
            <v>1.5024137339966415</v>
          </cell>
          <cell r="M192">
            <v>1.5642722545773606</v>
          </cell>
          <cell r="N192">
            <v>1.6077824444802031</v>
          </cell>
          <cell r="O192">
            <v>1.5567484930651283</v>
          </cell>
          <cell r="P192">
            <v>1.5589598854722624</v>
          </cell>
          <cell r="Q192">
            <v>1.5556388010746058</v>
          </cell>
          <cell r="R192">
            <v>1.5950278895724705</v>
          </cell>
          <cell r="S192">
            <v>1.6530918058225885</v>
          </cell>
          <cell r="T192">
            <v>1.7711584538515148</v>
          </cell>
          <cell r="U192">
            <v>1.6433067853789176</v>
          </cell>
          <cell r="V192">
            <v>1.6317686870461798</v>
          </cell>
          <cell r="W192">
            <v>1.7515590866776711</v>
          </cell>
          <cell r="X192">
            <v>1.6631753909070119</v>
          </cell>
          <cell r="Y192">
            <v>1.7184681270349358</v>
          </cell>
          <cell r="Z192">
            <v>1.6917946768056629</v>
          </cell>
          <cell r="AA192">
            <v>1.7915283814054948</v>
          </cell>
          <cell r="AB192">
            <v>1.8481102101966749</v>
          </cell>
          <cell r="AC192">
            <v>1.8235902987785046</v>
          </cell>
          <cell r="AD192">
            <v>1.8601345567789045</v>
          </cell>
          <cell r="AE192">
            <v>1.8312508328179253</v>
          </cell>
          <cell r="AF192">
            <v>1.8014971201595011</v>
          </cell>
          <cell r="AG192">
            <v>1.8724227110504108</v>
          </cell>
          <cell r="AH192">
            <v>1.8922409227019583</v>
          </cell>
          <cell r="AI192">
            <v>1.9786634128646101</v>
          </cell>
          <cell r="AJ192">
            <v>1.8500529929984606</v>
          </cell>
          <cell r="AK192">
            <v>1.9395406980500534</v>
          </cell>
          <cell r="AL192">
            <v>2.09311653400975</v>
          </cell>
          <cell r="AM192">
            <v>2.0153189617618081</v>
          </cell>
          <cell r="AN192">
            <v>2.0604004627058119</v>
          </cell>
          <cell r="AO192">
            <v>2.0312048740759088</v>
          </cell>
          <cell r="AP192">
            <v>2.082780717602577</v>
          </cell>
          <cell r="AQ192">
            <v>2.1216771633135445</v>
          </cell>
          <cell r="AR192">
            <v>2.1453235794753915</v>
          </cell>
          <cell r="AS192">
            <v>2.1552560593310899</v>
          </cell>
          <cell r="AT192">
            <v>2.1271699672571702</v>
          </cell>
          <cell r="AU192">
            <v>2.1756113962480592</v>
          </cell>
          <cell r="AV192">
            <v>2.1553854369402381</v>
          </cell>
          <cell r="AW192">
            <v>2.1645398393475812</v>
          </cell>
          <cell r="AX192">
            <v>2.2535432460457576</v>
          </cell>
          <cell r="AY192">
            <v>2.186579025423609</v>
          </cell>
          <cell r="AZ192">
            <v>2.2433869338281354</v>
          </cell>
          <cell r="BA192">
            <v>2.2524181741356348</v>
          </cell>
          <cell r="BB192">
            <v>2.2819555703846262</v>
          </cell>
          <cell r="BC192">
            <v>2.3371433097325136</v>
          </cell>
          <cell r="BD192">
            <v>2.2788295094823221</v>
          </cell>
          <cell r="BE192">
            <v>2.3095261665519669</v>
          </cell>
          <cell r="BF192">
            <v>2.3564311763693024</v>
          </cell>
          <cell r="BG192">
            <v>2.3921313266670174</v>
          </cell>
          <cell r="BH192">
            <v>2.4342758217228972</v>
          </cell>
          <cell r="BI192">
            <v>2.3741159084240109</v>
          </cell>
          <cell r="BJ192">
            <v>2.4474870549484291</v>
          </cell>
          <cell r="BK192">
            <v>2.4971043003802436</v>
          </cell>
          <cell r="BL192">
            <v>2.5205248336375212</v>
          </cell>
          <cell r="BM192">
            <v>2.5486314320419918</v>
          </cell>
          <cell r="BN192">
            <v>2.5047328994051901</v>
          </cell>
          <cell r="BO192">
            <v>2.5603651574592079</v>
          </cell>
          <cell r="BP192">
            <v>2.5969884723954535</v>
          </cell>
          <cell r="BQ192">
            <v>2.6087432028148343</v>
          </cell>
          <cell r="BR192">
            <v>2.6287625725499173</v>
          </cell>
          <cell r="BS192">
            <v>2.5991986495152788</v>
          </cell>
        </row>
        <row r="193">
          <cell r="A193" t="str">
            <v xml:space="preserve">   Newport</v>
          </cell>
          <cell r="B193">
            <v>1.6590623691921309</v>
          </cell>
          <cell r="C193">
            <v>1.81445937300064</v>
          </cell>
          <cell r="D193">
            <v>1.8468447719944723</v>
          </cell>
          <cell r="E193">
            <v>1.7533930857874518</v>
          </cell>
          <cell r="F193">
            <v>1.7670204358134811</v>
          </cell>
          <cell r="G193">
            <v>1.5211423511179989</v>
          </cell>
          <cell r="H193">
            <v>1.4373836126629422</v>
          </cell>
          <cell r="I193">
            <v>1.4542888165037999</v>
          </cell>
          <cell r="J193">
            <v>1.5086730732763018</v>
          </cell>
          <cell r="K193">
            <v>1.4802295140200159</v>
          </cell>
          <cell r="L193">
            <v>1.5024137339966415</v>
          </cell>
          <cell r="M193">
            <v>1.5642722545773606</v>
          </cell>
          <cell r="N193">
            <v>1.6077824444802031</v>
          </cell>
          <cell r="O193">
            <v>1.5567484930651283</v>
          </cell>
          <cell r="P193">
            <v>1.5589598854722624</v>
          </cell>
          <cell r="Q193">
            <v>1.578146611709389</v>
          </cell>
          <cell r="R193">
            <v>1.6198667051303719</v>
          </cell>
          <cell r="S193">
            <v>1.6811920145248263</v>
          </cell>
          <cell r="T193">
            <v>1.7981269222837823</v>
          </cell>
          <cell r="U193">
            <v>1.6688619772173241</v>
          </cell>
          <cell r="V193">
            <v>1.6575918350816088</v>
          </cell>
          <cell r="W193">
            <v>1.7811348377906078</v>
          </cell>
          <cell r="X193">
            <v>1.6949848743627538</v>
          </cell>
          <cell r="Y193">
            <v>1.7546887665345547</v>
          </cell>
          <cell r="Z193">
            <v>1.7226953941260736</v>
          </cell>
          <cell r="AA193">
            <v>1.8268520519692433</v>
          </cell>
          <cell r="AB193">
            <v>1.8860890251726163</v>
          </cell>
          <cell r="AC193">
            <v>1.868621817717752</v>
          </cell>
          <cell r="AD193">
            <v>1.9254714890539899</v>
          </cell>
          <cell r="AE193">
            <v>1.8768072797663842</v>
          </cell>
          <cell r="AF193">
            <v>1.864686703756768</v>
          </cell>
          <cell r="AG193">
            <v>1.9403686803004723</v>
          </cell>
          <cell r="AH193">
            <v>1.9667665621067898</v>
          </cell>
          <cell r="AI193">
            <v>2.0725455236313688</v>
          </cell>
          <cell r="AJ193">
            <v>1.9630566037860371</v>
          </cell>
          <cell r="AK193">
            <v>2.0897536022863092</v>
          </cell>
          <cell r="AL193">
            <v>2.2317327103912477</v>
          </cell>
          <cell r="AM193">
            <v>2.1581011531043384</v>
          </cell>
          <cell r="AN193">
            <v>2.1938653750935937</v>
          </cell>
          <cell r="AO193">
            <v>2.1738484313914865</v>
          </cell>
          <cell r="AP193">
            <v>2.2344011009460174</v>
          </cell>
          <cell r="AQ193">
            <v>2.2850426421656702</v>
          </cell>
          <cell r="AR193">
            <v>2.3234811783012206</v>
          </cell>
          <cell r="AS193">
            <v>2.3258649895064973</v>
          </cell>
          <cell r="AT193">
            <v>2.2938875791336035</v>
          </cell>
          <cell r="AU193">
            <v>2.1864324060517326</v>
          </cell>
          <cell r="AV193">
            <v>2.2890386290701912</v>
          </cell>
          <cell r="AW193">
            <v>2.3485175810124144</v>
          </cell>
          <cell r="AX193">
            <v>2.4586483129918211</v>
          </cell>
          <cell r="AY193">
            <v>2.3204394411352562</v>
          </cell>
          <cell r="AZ193">
            <v>2.3294110400002053</v>
          </cell>
          <cell r="BA193">
            <v>2.3922175261001546</v>
          </cell>
          <cell r="BB193">
            <v>2.430751870035357</v>
          </cell>
          <cell r="BC193">
            <v>2.4747884765922081</v>
          </cell>
          <cell r="BD193">
            <v>2.40765461598318</v>
          </cell>
          <cell r="BE193">
            <v>2.4513541909693464</v>
          </cell>
          <cell r="BF193">
            <v>2.5006648666953777</v>
          </cell>
          <cell r="BG193">
            <v>2.52648904315414</v>
          </cell>
          <cell r="BH193">
            <v>2.5603452504028268</v>
          </cell>
          <cell r="BI193">
            <v>2.5109166862206256</v>
          </cell>
          <cell r="BJ193">
            <v>2.5720881489330618</v>
          </cell>
          <cell r="BK193">
            <v>2.6192844808168783</v>
          </cell>
          <cell r="BL193">
            <v>2.6515766961930574</v>
          </cell>
          <cell r="BM193">
            <v>2.6656944381213985</v>
          </cell>
          <cell r="BN193">
            <v>2.6285079843853008</v>
          </cell>
          <cell r="BO193">
            <v>2.6642023078055503</v>
          </cell>
          <cell r="BP193">
            <v>2.7040340264654668</v>
          </cell>
          <cell r="BQ193">
            <v>2.7270188376542794</v>
          </cell>
          <cell r="BR193">
            <v>2.7300099711381733</v>
          </cell>
          <cell r="BS193">
            <v>2.7069609107081942</v>
          </cell>
        </row>
        <row r="194">
          <cell r="A194" t="str">
            <v xml:space="preserve">   Newport Menthol</v>
          </cell>
          <cell r="Q194">
            <v>1.578146611709389</v>
          </cell>
          <cell r="R194">
            <v>1.6198667051303719</v>
          </cell>
          <cell r="S194">
            <v>1.6811920145248263</v>
          </cell>
          <cell r="T194">
            <v>1.7981269222837823</v>
          </cell>
          <cell r="U194">
            <v>1.6688619772173241</v>
          </cell>
          <cell r="V194">
            <v>1.6575918350816088</v>
          </cell>
          <cell r="W194">
            <v>1.7811348377906078</v>
          </cell>
          <cell r="X194">
            <v>1.6949848743627538</v>
          </cell>
          <cell r="Y194">
            <v>1.7546887665345547</v>
          </cell>
          <cell r="Z194">
            <v>1.7226953941260736</v>
          </cell>
          <cell r="AA194">
            <v>1.8268520519692433</v>
          </cell>
          <cell r="AB194">
            <v>1.8860890251726163</v>
          </cell>
          <cell r="AC194">
            <v>1.868621817717752</v>
          </cell>
          <cell r="AD194">
            <v>1.9254714890539899</v>
          </cell>
          <cell r="AE194">
            <v>1.8768072797663842</v>
          </cell>
          <cell r="AF194">
            <v>1.864686703756768</v>
          </cell>
          <cell r="AG194">
            <v>1.9403686803004723</v>
          </cell>
          <cell r="AH194">
            <v>1.9667665621067898</v>
          </cell>
          <cell r="AI194">
            <v>2.0725455236313688</v>
          </cell>
          <cell r="AJ194">
            <v>1.962597037917994</v>
          </cell>
          <cell r="AK194">
            <v>2.0897536022863092</v>
          </cell>
          <cell r="AL194">
            <v>2.2317327103912477</v>
          </cell>
          <cell r="AM194">
            <v>2.1581011531043384</v>
          </cell>
          <cell r="AN194">
            <v>2.1938653750935937</v>
          </cell>
          <cell r="AO194">
            <v>2.1720103366556582</v>
          </cell>
          <cell r="AP194">
            <v>2.2344011009460174</v>
          </cell>
          <cell r="AQ194">
            <v>2.2850426421656702</v>
          </cell>
          <cell r="AR194">
            <v>2.3234811783012206</v>
          </cell>
          <cell r="AS194">
            <v>2.3703270215497962</v>
          </cell>
          <cell r="AT194">
            <v>2.3033684104505485</v>
          </cell>
          <cell r="AU194">
            <v>2.2383848730085796</v>
          </cell>
          <cell r="AV194">
            <v>2.3556300518640931</v>
          </cell>
          <cell r="AW194">
            <v>2.4158889789065658</v>
          </cell>
          <cell r="AX194">
            <v>2.5249043030169362</v>
          </cell>
          <cell r="AY194">
            <v>2.3831971571713702</v>
          </cell>
          <cell r="AZ194">
            <v>2.3809482966018014</v>
          </cell>
          <cell r="BA194">
            <v>2.4482613493846994</v>
          </cell>
          <cell r="BB194">
            <v>2.4862039278348846</v>
          </cell>
          <cell r="BC194">
            <v>2.5346731991877283</v>
          </cell>
          <cell r="BD194">
            <v>2.4633549927536973</v>
          </cell>
          <cell r="BE194">
            <v>2.5075438268803061</v>
          </cell>
          <cell r="BF194">
            <v>2.5571830703620955</v>
          </cell>
          <cell r="BG194">
            <v>2.5768524869577862</v>
          </cell>
          <cell r="BH194">
            <v>2.6240678843686887</v>
          </cell>
          <cell r="BI194">
            <v>2.567278469795149</v>
          </cell>
          <cell r="BJ194">
            <v>2.6642384776447328</v>
          </cell>
          <cell r="BK194">
            <v>2.7094970419772717</v>
          </cell>
          <cell r="BL194">
            <v>2.7538236468772284</v>
          </cell>
          <cell r="BM194">
            <v>2.7723626591800157</v>
          </cell>
          <cell r="BN194">
            <v>2.7262003501930434</v>
          </cell>
          <cell r="BO194">
            <v>2.7562403237224276</v>
          </cell>
          <cell r="BP194">
            <v>2.7968714800442105</v>
          </cell>
          <cell r="BQ194">
            <v>2.8340503100170444</v>
          </cell>
          <cell r="BR194">
            <v>2.8284443259876055</v>
          </cell>
          <cell r="BS194">
            <v>2.8044467412153709</v>
          </cell>
        </row>
        <row r="195">
          <cell r="A195" t="str">
            <v xml:space="preserve">   Newport Non-Menthol</v>
          </cell>
          <cell r="Q195">
            <v>1.3109902098912607</v>
          </cell>
          <cell r="R195">
            <v>1.3250806843803857</v>
          </cell>
          <cell r="S195">
            <v>1.3600871928035785</v>
          </cell>
          <cell r="T195">
            <v>1.4946782055107892</v>
          </cell>
          <cell r="U195">
            <v>1.3724338436175214</v>
          </cell>
          <cell r="V195">
            <v>1.3408791695814455</v>
          </cell>
          <cell r="W195">
            <v>1.4349874532698306</v>
          </cell>
          <cell r="X195">
            <v>1.3141616537377687</v>
          </cell>
          <cell r="Y195">
            <v>1.3250275275342154</v>
          </cell>
          <cell r="Z195">
            <v>1.3536682267703235</v>
          </cell>
          <cell r="AA195">
            <v>1.3750020970627421</v>
          </cell>
          <cell r="AB195">
            <v>1.4108070620405397</v>
          </cell>
          <cell r="AC195">
            <v>1.3301525343439127</v>
          </cell>
          <cell r="AD195">
            <v>1.2291318055126157</v>
          </cell>
          <cell r="AE195">
            <v>1.333126894575053</v>
          </cell>
          <cell r="AF195">
            <v>1.864686703756768</v>
          </cell>
          <cell r="AG195">
            <v>1.9403686803004723</v>
          </cell>
          <cell r="AH195">
            <v>1.9667665621067898</v>
          </cell>
          <cell r="AI195">
            <v>2.0725455236313688</v>
          </cell>
          <cell r="AJ195">
            <v>1.962597037917994</v>
          </cell>
          <cell r="AK195">
            <v>2.0897536022863092</v>
          </cell>
          <cell r="AL195">
            <v>2.2317327103912477</v>
          </cell>
          <cell r="AM195">
            <v>2.1581011531043384</v>
          </cell>
          <cell r="AN195">
            <v>2.1938653750935937</v>
          </cell>
          <cell r="AO195">
            <v>2.1720103366556582</v>
          </cell>
          <cell r="AP195">
            <v>2.2344011009460174</v>
          </cell>
          <cell r="AQ195">
            <v>2.2850426421656702</v>
          </cell>
          <cell r="AR195">
            <v>2.3234811783012206</v>
          </cell>
          <cell r="AS195">
            <v>1.3743775037798938</v>
          </cell>
          <cell r="AT195">
            <v>1.3743775037798938</v>
          </cell>
          <cell r="AU195">
            <v>1.3731459670427837</v>
          </cell>
          <cell r="AV195">
            <v>1.35</v>
          </cell>
          <cell r="AW195">
            <v>1.61</v>
          </cell>
          <cell r="AX195">
            <v>1.63</v>
          </cell>
          <cell r="AY195">
            <v>1.4882786749995587</v>
          </cell>
          <cell r="AZ195">
            <v>1.63</v>
          </cell>
          <cell r="BA195">
            <v>1.63</v>
          </cell>
          <cell r="BB195">
            <v>1.71</v>
          </cell>
          <cell r="BC195">
            <v>1.71</v>
          </cell>
          <cell r="BD195">
            <v>1.6709008483485546</v>
          </cell>
          <cell r="BE195">
            <v>1.77</v>
          </cell>
          <cell r="BF195">
            <v>1.83</v>
          </cell>
          <cell r="BG195">
            <v>1.8900000000000001</v>
          </cell>
          <cell r="BH195">
            <v>1.9500000000000002</v>
          </cell>
          <cell r="BI195">
            <v>1.8663074804183464</v>
          </cell>
          <cell r="BJ195">
            <v>2.0100000000000002</v>
          </cell>
          <cell r="BK195">
            <v>2.0700000000000003</v>
          </cell>
          <cell r="BL195">
            <v>2.1300000000000003</v>
          </cell>
          <cell r="BM195">
            <v>2.1900000000000004</v>
          </cell>
          <cell r="BN195">
            <v>2.1051046818615622</v>
          </cell>
          <cell r="BO195">
            <v>2.2500000000000004</v>
          </cell>
          <cell r="BP195">
            <v>2.3100000000000005</v>
          </cell>
          <cell r="BQ195">
            <v>2.3700000000000006</v>
          </cell>
          <cell r="BR195">
            <v>2.4300000000000006</v>
          </cell>
          <cell r="BS195">
            <v>2.3449149574608557</v>
          </cell>
        </row>
        <row r="196">
          <cell r="A196" t="str">
            <v xml:space="preserve">   Other</v>
          </cell>
          <cell r="B196">
            <v>1.6590623691921309</v>
          </cell>
          <cell r="C196">
            <v>1.81445937300064</v>
          </cell>
          <cell r="D196">
            <v>1.8468447719944723</v>
          </cell>
          <cell r="E196">
            <v>1.7533930857874518</v>
          </cell>
          <cell r="F196">
            <v>1.7670204358134811</v>
          </cell>
          <cell r="G196">
            <v>1.5211423511179989</v>
          </cell>
          <cell r="H196">
            <v>1.4373836126629422</v>
          </cell>
          <cell r="I196">
            <v>1.4542888165037999</v>
          </cell>
          <cell r="J196">
            <v>1.5086730732763018</v>
          </cell>
          <cell r="K196">
            <v>1.4802295140200159</v>
          </cell>
          <cell r="L196">
            <v>1.5024137339966415</v>
          </cell>
          <cell r="M196">
            <v>1.5642722545773606</v>
          </cell>
          <cell r="N196">
            <v>1.6077824444802031</v>
          </cell>
          <cell r="O196">
            <v>1.5567484930651283</v>
          </cell>
          <cell r="P196">
            <v>1.5589598854722624</v>
          </cell>
          <cell r="Q196">
            <v>1.3109902098912607</v>
          </cell>
          <cell r="R196">
            <v>1.3250806843803857</v>
          </cell>
          <cell r="S196">
            <v>1.3600871928035785</v>
          </cell>
          <cell r="T196">
            <v>1.4946782055107892</v>
          </cell>
          <cell r="U196">
            <v>1.3724338436175214</v>
          </cell>
          <cell r="V196">
            <v>1.3408791695814455</v>
          </cell>
          <cell r="W196">
            <v>1.4349874532698306</v>
          </cell>
          <cell r="X196">
            <v>1.3141616537377687</v>
          </cell>
          <cell r="Y196">
            <v>1.3250275275342154</v>
          </cell>
          <cell r="Z196">
            <v>1.3536682267703235</v>
          </cell>
          <cell r="AA196">
            <v>1.3750020970627421</v>
          </cell>
          <cell r="AB196">
            <v>1.4108070620405397</v>
          </cell>
          <cell r="AC196">
            <v>1.3301525343439127</v>
          </cell>
          <cell r="AD196">
            <v>1.2291318055126157</v>
          </cell>
          <cell r="AE196">
            <v>1.333126894575053</v>
          </cell>
          <cell r="AF196">
            <v>1.1694410886402988</v>
          </cell>
          <cell r="AG196">
            <v>1.2091065098649303</v>
          </cell>
          <cell r="AH196">
            <v>1.2317385626127788</v>
          </cell>
          <cell r="AI196">
            <v>1.2133150123507754</v>
          </cell>
          <cell r="AJ196">
            <v>0.99670605312856764</v>
          </cell>
          <cell r="AK196">
            <v>1.1801708844719583</v>
          </cell>
          <cell r="AL196">
            <v>1.4705124728850347</v>
          </cell>
          <cell r="AM196">
            <v>1.3831236388790977</v>
          </cell>
          <cell r="AN196">
            <v>1.483852457249192</v>
          </cell>
          <cell r="AO196">
            <v>1.1903741683579943</v>
          </cell>
          <cell r="AP196">
            <v>1.2413559692768339</v>
          </cell>
          <cell r="AQ196">
            <v>1.279636502925674</v>
          </cell>
          <cell r="AR196">
            <v>1.3081794973904439</v>
          </cell>
          <cell r="AS196">
            <v>1.3206522010039263</v>
          </cell>
          <cell r="AT196">
            <v>1.4399825198272935</v>
          </cell>
          <cell r="AU196">
            <v>2.1205138631605895</v>
          </cell>
          <cell r="AV196">
            <v>1.4779893377390783</v>
          </cell>
          <cell r="AW196">
            <v>1.3142219889792701</v>
          </cell>
          <cell r="AX196">
            <v>1.3170357246985591</v>
          </cell>
          <cell r="AY196">
            <v>1.7106474819915254</v>
          </cell>
          <cell r="AZ196">
            <v>2.0263982947087</v>
          </cell>
          <cell r="BA196">
            <v>1.7361853961715474</v>
          </cell>
          <cell r="BB196">
            <v>1.7727508164322372</v>
          </cell>
          <cell r="BC196">
            <v>1.8627324624913739</v>
          </cell>
          <cell r="BD196">
            <v>2.0368375229716094</v>
          </cell>
          <cell r="BE196">
            <v>1.8205774361106517</v>
          </cell>
          <cell r="BF196">
            <v>1.8367803705392296</v>
          </cell>
          <cell r="BG196">
            <v>1.7163792405473226</v>
          </cell>
          <cell r="BH196">
            <v>1.7605440599702531</v>
          </cell>
          <cell r="BI196">
            <v>2.631070347286447</v>
          </cell>
          <cell r="BJ196">
            <v>1.9409801838077676</v>
          </cell>
          <cell r="BK196">
            <v>1.976969761198734</v>
          </cell>
          <cell r="BL196">
            <v>1.9908847650124439</v>
          </cell>
          <cell r="BM196">
            <v>2.0672815960181152</v>
          </cell>
          <cell r="BN196">
            <v>2.5804564162014798</v>
          </cell>
          <cell r="BO196">
            <v>1.9737032738338884</v>
          </cell>
          <cell r="BP196">
            <v>1.9945410716080891</v>
          </cell>
          <cell r="BQ196">
            <v>1.959877257242566</v>
          </cell>
          <cell r="BR196">
            <v>2.0485527155682122</v>
          </cell>
          <cell r="BS196">
            <v>2.4129797262772903</v>
          </cell>
        </row>
        <row r="197">
          <cell r="A197" t="str">
            <v xml:space="preserve">   Ex-Newport Non-Menthol</v>
          </cell>
          <cell r="B197">
            <v>1.6590623691921309</v>
          </cell>
          <cell r="C197">
            <v>1.81445937300064</v>
          </cell>
          <cell r="D197">
            <v>1.8468447719944723</v>
          </cell>
          <cell r="E197">
            <v>1.7533930857874518</v>
          </cell>
          <cell r="F197">
            <v>1.7670204358134811</v>
          </cell>
          <cell r="G197">
            <v>1.5211423511179989</v>
          </cell>
          <cell r="H197">
            <v>1.4373836126629422</v>
          </cell>
          <cell r="I197">
            <v>1.4542888165037999</v>
          </cell>
          <cell r="J197">
            <v>1.5086730732763018</v>
          </cell>
          <cell r="K197">
            <v>1.4802295140200159</v>
          </cell>
          <cell r="L197">
            <v>1.5024137339966415</v>
          </cell>
          <cell r="M197">
            <v>1.5642722545773606</v>
          </cell>
          <cell r="N197">
            <v>1.6077824444802031</v>
          </cell>
          <cell r="O197">
            <v>1.5567484930651283</v>
          </cell>
          <cell r="P197">
            <v>1.5589598854722624</v>
          </cell>
          <cell r="Q197">
            <v>1.5556388010746058</v>
          </cell>
          <cell r="R197">
            <v>1.5950278895724705</v>
          </cell>
          <cell r="S197">
            <v>1.6530918058225885</v>
          </cell>
          <cell r="T197">
            <v>1.7711584538515148</v>
          </cell>
          <cell r="U197">
            <v>1.6433067853789176</v>
          </cell>
          <cell r="V197">
            <v>1.6317686870461798</v>
          </cell>
          <cell r="W197">
            <v>1.7515590866776711</v>
          </cell>
          <cell r="X197">
            <v>1.6631753909070119</v>
          </cell>
          <cell r="Y197">
            <v>1.7184681270349358</v>
          </cell>
          <cell r="Z197">
            <v>1.6917946768056629</v>
          </cell>
          <cell r="AA197">
            <v>1.7915283814054948</v>
          </cell>
          <cell r="AB197">
            <v>1.8481102101966749</v>
          </cell>
          <cell r="AC197">
            <v>1.8235902987785046</v>
          </cell>
          <cell r="AD197">
            <v>1.8601345567789045</v>
          </cell>
          <cell r="AE197">
            <v>1.8312508328179253</v>
          </cell>
          <cell r="AF197">
            <v>1.8014971201595011</v>
          </cell>
          <cell r="AG197">
            <v>1.8724227110504108</v>
          </cell>
          <cell r="AH197">
            <v>1.8922409227019583</v>
          </cell>
          <cell r="AI197">
            <v>1.9786634128646101</v>
          </cell>
          <cell r="AJ197">
            <v>1.8500529929984606</v>
          </cell>
          <cell r="AK197">
            <v>1.9395406980500534</v>
          </cell>
          <cell r="AL197">
            <v>2.09311653400975</v>
          </cell>
          <cell r="AM197">
            <v>2.0153189617618081</v>
          </cell>
          <cell r="AN197">
            <v>2.0604004627058119</v>
          </cell>
          <cell r="AO197">
            <v>2.0312048740759088</v>
          </cell>
          <cell r="AP197">
            <v>2.082780717602577</v>
          </cell>
          <cell r="AQ197">
            <v>2.1216771633135445</v>
          </cell>
          <cell r="AR197">
            <v>2.1453235794753915</v>
          </cell>
          <cell r="AS197">
            <v>2.1853141428925436</v>
          </cell>
          <cell r="AT197">
            <v>2.1341581375946364</v>
          </cell>
          <cell r="AU197">
            <v>2.2180130793292578</v>
          </cell>
          <cell r="AV197">
            <v>2.2188842204808186</v>
          </cell>
          <cell r="AW197">
            <v>2.2054652844726834</v>
          </cell>
          <cell r="AX197">
            <v>2.2902860654749828</v>
          </cell>
          <cell r="AY197">
            <v>2.2329353150956792</v>
          </cell>
          <cell r="AZ197">
            <v>2.280217535755003</v>
          </cell>
          <cell r="BA197">
            <v>2.305825080599857</v>
          </cell>
          <cell r="BB197">
            <v>2.3471049327412237</v>
          </cell>
          <cell r="BC197">
            <v>2.4600006534126</v>
          </cell>
          <cell r="BD197">
            <v>2.3485067365877437</v>
          </cell>
          <cell r="BE197">
            <v>2.4779532159098876</v>
          </cell>
          <cell r="BF197">
            <v>2.50948543172108</v>
          </cell>
          <cell r="BG197">
            <v>2.5535714372553868</v>
          </cell>
          <cell r="BH197">
            <v>2.5952967453667228</v>
          </cell>
          <cell r="BI197">
            <v>2.5346325980003783</v>
          </cell>
          <cell r="BJ197">
            <v>2.595583801223408</v>
          </cell>
          <cell r="BK197">
            <v>2.6009546021877332</v>
          </cell>
          <cell r="BL197">
            <v>2.6255946039773685</v>
          </cell>
          <cell r="BM197">
            <v>2.6593659612985472</v>
          </cell>
          <cell r="BN197">
            <v>2.6206976764484291</v>
          </cell>
          <cell r="BO197">
            <v>2.6436060056507369</v>
          </cell>
          <cell r="BP197">
            <v>2.6798203035818444</v>
          </cell>
          <cell r="BQ197">
            <v>2.6914634125972889</v>
          </cell>
          <cell r="BR197">
            <v>2.7181597658642094</v>
          </cell>
          <cell r="BS197">
            <v>2.6836186960889039</v>
          </cell>
        </row>
        <row r="198">
          <cell r="A198" t="str">
            <v xml:space="preserve">   Ex-Newport Non-Menthol</v>
          </cell>
          <cell r="B198">
            <v>1.6590623691921309</v>
          </cell>
          <cell r="C198">
            <v>1.81445937300064</v>
          </cell>
          <cell r="D198">
            <v>1.8468447719944723</v>
          </cell>
          <cell r="E198">
            <v>1.7533930857874518</v>
          </cell>
          <cell r="F198">
            <v>1.7670204358134811</v>
          </cell>
          <cell r="G198">
            <v>1.5211423511179989</v>
          </cell>
          <cell r="H198">
            <v>1.4373836126629422</v>
          </cell>
          <cell r="I198">
            <v>1.4542888165037999</v>
          </cell>
          <cell r="J198">
            <v>1.5086730732763018</v>
          </cell>
          <cell r="K198">
            <v>1.4802295140200159</v>
          </cell>
          <cell r="L198">
            <v>1.5024137339966415</v>
          </cell>
          <cell r="M198">
            <v>1.5642722545773606</v>
          </cell>
          <cell r="N198">
            <v>1.6077824444802031</v>
          </cell>
          <cell r="O198">
            <v>1.5567484930651283</v>
          </cell>
          <cell r="P198">
            <v>1.5589598854722624</v>
          </cell>
          <cell r="Q198">
            <v>1.5556388010746058</v>
          </cell>
          <cell r="R198">
            <v>1.5950278895724705</v>
          </cell>
          <cell r="S198">
            <v>1.6530918058225885</v>
          </cell>
          <cell r="T198">
            <v>1.7711584538515148</v>
          </cell>
          <cell r="U198">
            <v>1.6433067853789176</v>
          </cell>
          <cell r="V198">
            <v>1.6317686870461798</v>
          </cell>
          <cell r="W198">
            <v>1.7515590866776711</v>
          </cell>
          <cell r="X198">
            <v>1.6631753909070119</v>
          </cell>
          <cell r="Y198">
            <v>1.7184681270349358</v>
          </cell>
          <cell r="Z198">
            <v>1.6917946768056629</v>
          </cell>
          <cell r="AA198">
            <v>1.7915283814054948</v>
          </cell>
          <cell r="AB198">
            <v>1.8481102101966749</v>
          </cell>
          <cell r="AC198">
            <v>1.8235902987785046</v>
          </cell>
          <cell r="AD198">
            <v>1.8601345567789045</v>
          </cell>
          <cell r="AE198">
            <v>1.8312508328179253</v>
          </cell>
          <cell r="AF198">
            <v>1.8014971201595011</v>
          </cell>
          <cell r="AG198">
            <v>1.8724227110504108</v>
          </cell>
          <cell r="AH198">
            <v>1.8922409227019583</v>
          </cell>
          <cell r="AI198">
            <v>1.9786634128646101</v>
          </cell>
          <cell r="AJ198">
            <v>1.8500529929984606</v>
          </cell>
          <cell r="AK198">
            <v>1.9395406980500534</v>
          </cell>
          <cell r="AL198">
            <v>2.09311653400975</v>
          </cell>
          <cell r="AM198">
            <v>2.0153189617618081</v>
          </cell>
          <cell r="AN198">
            <v>2.0604004627058119</v>
          </cell>
          <cell r="AO198">
            <v>2.0312048740759088</v>
          </cell>
          <cell r="AP198">
            <v>2.082780717602577</v>
          </cell>
          <cell r="AQ198">
            <v>2.1216771633135445</v>
          </cell>
          <cell r="AR198">
            <v>2.1453235794753915</v>
          </cell>
          <cell r="AS198">
            <v>2.1853141428925436</v>
          </cell>
          <cell r="AT198">
            <v>2.1341581375946364</v>
          </cell>
          <cell r="AU198">
            <v>2.2180130793292578</v>
          </cell>
          <cell r="AV198">
            <v>2.2188842204808186</v>
          </cell>
          <cell r="AW198">
            <v>2.2054652844726834</v>
          </cell>
          <cell r="AX198">
            <v>2.2902860654749828</v>
          </cell>
          <cell r="AY198">
            <v>2.2329353150956792</v>
          </cell>
          <cell r="AZ198">
            <v>2.2801900864991027</v>
          </cell>
          <cell r="BA198">
            <v>2.305825080599857</v>
          </cell>
          <cell r="BB198">
            <v>2.3470835461421125</v>
          </cell>
          <cell r="BC198">
            <v>2.4599710804611892</v>
          </cell>
          <cell r="BD198">
            <v>2.3484879571095738</v>
          </cell>
          <cell r="BE198">
            <v>2.4779532159098876</v>
          </cell>
          <cell r="BF198">
            <v>2.5163376556730408</v>
          </cell>
          <cell r="BG198">
            <v>2.5594848136216406</v>
          </cell>
          <cell r="BH198">
            <v>2.6132948512593015</v>
          </cell>
          <cell r="BI198">
            <v>2.5422601253863024</v>
          </cell>
        </row>
        <row r="199">
          <cell r="A199" t="str">
            <v>Net Revenue/pack comparison</v>
          </cell>
          <cell r="G199">
            <v>-8.3131303943257517E-2</v>
          </cell>
          <cell r="H199">
            <v>-0.20781714154013453</v>
          </cell>
          <cell r="I199">
            <v>-0.21255492689119582</v>
          </cell>
          <cell r="J199">
            <v>-0.13956939518855571</v>
          </cell>
          <cell r="K199">
            <v>-0.16230198359954773</v>
          </cell>
          <cell r="L199">
            <v>-1.2312205434022894E-2</v>
          </cell>
          <cell r="M199">
            <v>8.8277506990176668E-2</v>
          </cell>
          <cell r="N199">
            <v>0.1055454915382017</v>
          </cell>
          <cell r="O199">
            <v>3.1866028923299927E-2</v>
          </cell>
          <cell r="P199">
            <v>5.318794869751664E-2</v>
          </cell>
          <cell r="Q199">
            <v>3.5426371493808118E-2</v>
          </cell>
          <cell r="R199">
            <v>1.9661305699895326E-2</v>
          </cell>
          <cell r="S199">
            <v>2.8181276327490901E-2</v>
          </cell>
          <cell r="T199">
            <v>0.13772935174918866</v>
          </cell>
          <cell r="U199">
            <v>5.4104599286147526E-2</v>
          </cell>
          <cell r="V199">
            <v>4.8938022064623832E-2</v>
          </cell>
          <cell r="W199">
            <v>9.8136965584443292E-2</v>
          </cell>
          <cell r="X199">
            <v>6.0998336867357228E-3</v>
          </cell>
          <cell r="Y199">
            <v>-2.9749075641425593E-2</v>
          </cell>
          <cell r="Z199">
            <v>2.9506292956470004E-2</v>
          </cell>
          <cell r="AA199">
            <v>9.7905846354063408E-2</v>
          </cell>
          <cell r="AB199">
            <v>5.5122961168349915E-2</v>
          </cell>
          <cell r="AC199">
            <v>9.6450986918469539E-2</v>
          </cell>
          <cell r="AD199">
            <v>8.2437624251083141E-2</v>
          </cell>
          <cell r="AE199">
            <v>8.2430898928925966E-2</v>
          </cell>
          <cell r="AF199">
            <v>5.5643766838824327E-3</v>
          </cell>
          <cell r="AG199">
            <v>1.3155330628874529E-2</v>
          </cell>
          <cell r="AH199">
            <v>3.7645859362948952E-2</v>
          </cell>
          <cell r="AI199">
            <v>6.3720581747030103E-2</v>
          </cell>
          <cell r="AJ199">
            <v>3.102417177722705E-2</v>
          </cell>
          <cell r="AK199">
            <v>0.10224196030652632</v>
          </cell>
          <cell r="AL199">
            <v>0.14222810595390589</v>
          </cell>
          <cell r="AM199">
            <v>8.4591167232519915E-2</v>
          </cell>
          <cell r="AN199">
            <v>6.0066770154592275E-2</v>
          </cell>
          <cell r="AO199">
            <v>9.7743781100285032E-2</v>
          </cell>
          <cell r="AP199">
            <v>6.8240571346864343E-2</v>
          </cell>
          <cell r="AQ199">
            <v>1.0907334410297231E-2</v>
          </cell>
          <cell r="AR199">
            <v>6.3702625309849159E-2</v>
          </cell>
          <cell r="AS199">
            <v>4.4986679844021271E-2</v>
          </cell>
          <cell r="AT199">
            <v>4.4805908539505834E-2</v>
          </cell>
          <cell r="AU199">
            <v>4.5447974001328051E-2</v>
          </cell>
          <cell r="AV199">
            <v>1.1663632535399815E-2</v>
          </cell>
          <cell r="AW199">
            <v>8.8910084560205327E-3</v>
          </cell>
          <cell r="AX199">
            <v>4.6823457541467217E-2</v>
          </cell>
          <cell r="AY199">
            <v>2.7296857530208385E-2</v>
          </cell>
          <cell r="AZ199">
            <v>2.8431631329187468E-2</v>
          </cell>
          <cell r="BA199">
            <v>4.6255186832840911E-2</v>
          </cell>
          <cell r="BB199">
            <v>5.4346075288233431E-2</v>
          </cell>
          <cell r="BC199">
            <v>3.5692268007472272E-2</v>
          </cell>
          <cell r="BD199">
            <v>4.1537533797850523E-2</v>
          </cell>
          <cell r="BE199">
            <v>3.2634171323363104E-2</v>
          </cell>
          <cell r="BF199">
            <v>4.8396928232733671E-2</v>
          </cell>
          <cell r="BG199">
            <v>4.8396928232733671E-2</v>
          </cell>
        </row>
        <row r="200">
          <cell r="A200" t="str">
            <v>Overall</v>
          </cell>
          <cell r="G200">
            <v>-8.3131303943257517E-2</v>
          </cell>
          <cell r="H200">
            <v>-0.20781714154013453</v>
          </cell>
          <cell r="I200">
            <v>-0.21255492689119582</v>
          </cell>
          <cell r="J200">
            <v>-0.13956939518855571</v>
          </cell>
          <cell r="K200">
            <v>-0.16230198359954773</v>
          </cell>
          <cell r="L200">
            <v>-1.2312205434022894E-2</v>
          </cell>
          <cell r="M200">
            <v>8.8277506990176668E-2</v>
          </cell>
          <cell r="N200">
            <v>0.1055454915382017</v>
          </cell>
          <cell r="O200">
            <v>3.1866028923299927E-2</v>
          </cell>
          <cell r="P200">
            <v>5.318794869751664E-2</v>
          </cell>
          <cell r="Q200">
            <v>3.5426371493808118E-2</v>
          </cell>
          <cell r="R200">
            <v>1.9661305699895326E-2</v>
          </cell>
          <cell r="S200">
            <v>2.8181276327490901E-2</v>
          </cell>
          <cell r="T200">
            <v>0.13772935174918866</v>
          </cell>
          <cell r="U200">
            <v>5.4104599286147526E-2</v>
          </cell>
          <cell r="V200">
            <v>4.8938022064623832E-2</v>
          </cell>
          <cell r="W200">
            <v>9.8136965584443292E-2</v>
          </cell>
          <cell r="X200">
            <v>6.0998336867357228E-3</v>
          </cell>
          <cell r="Y200">
            <v>-2.9749075641425593E-2</v>
          </cell>
          <cell r="Z200">
            <v>2.9506292956470004E-2</v>
          </cell>
          <cell r="AA200">
            <v>9.7905846354063408E-2</v>
          </cell>
          <cell r="AB200">
            <v>5.5122961168349915E-2</v>
          </cell>
          <cell r="AC200">
            <v>9.6450986918469539E-2</v>
          </cell>
          <cell r="AD200">
            <v>8.2437624251083141E-2</v>
          </cell>
          <cell r="AE200">
            <v>8.2430898928925966E-2</v>
          </cell>
          <cell r="AF200">
            <v>5.5643766838824327E-3</v>
          </cell>
          <cell r="AG200">
            <v>1.3155330628874529E-2</v>
          </cell>
          <cell r="AH200">
            <v>3.7645859362948952E-2</v>
          </cell>
          <cell r="AI200">
            <v>6.3720581747030103E-2</v>
          </cell>
          <cell r="AJ200">
            <v>1.0267386555452118E-2</v>
          </cell>
          <cell r="AK200">
            <v>7.6627143249793361E-2</v>
          </cell>
          <cell r="AL200">
            <v>0.11786538459338169</v>
          </cell>
          <cell r="AM200">
            <v>6.5043535198522573E-2</v>
          </cell>
          <cell r="AN200">
            <v>4.1309223847661336E-2</v>
          </cell>
          <cell r="AO200">
            <v>9.7917130894638493E-2</v>
          </cell>
          <cell r="AP200">
            <v>7.3852546479964198E-2</v>
          </cell>
          <cell r="AQ200">
            <v>1.3645025893078921E-2</v>
          </cell>
          <cell r="AR200">
            <v>6.4508209459773314E-2</v>
          </cell>
          <cell r="AS200">
            <v>4.6037456476159644E-2</v>
          </cell>
          <cell r="AT200">
            <v>4.7245403162455846E-2</v>
          </cell>
          <cell r="AU200">
            <v>4.4570548335177929E-2</v>
          </cell>
          <cell r="AV200">
            <v>1.5887560185664285E-2</v>
          </cell>
          <cell r="AW200">
            <v>8.9572780796491891E-3</v>
          </cell>
          <cell r="AX200">
            <v>4.5603484694608509E-2</v>
          </cell>
          <cell r="AY200">
            <v>2.7928684158249117E-2</v>
          </cell>
          <cell r="AZ200">
            <v>3.1152409707431383E-2</v>
          </cell>
          <cell r="BA200">
            <v>4.5018740283010894E-2</v>
          </cell>
          <cell r="BB200">
            <v>5.4245123560504815E-2</v>
          </cell>
          <cell r="BC200">
            <v>3.7097164136276062E-2</v>
          </cell>
          <cell r="BD200">
            <v>4.2189412313072605E-2</v>
          </cell>
          <cell r="BE200">
            <v>2.9481865890593761E-2</v>
          </cell>
          <cell r="BF200">
            <v>4.617837106272793E-2</v>
          </cell>
          <cell r="BG200">
            <v>4.8281288957708002E-2</v>
          </cell>
          <cell r="BH200">
            <v>4.1560357717858709E-2</v>
          </cell>
          <cell r="BI200">
            <v>4.1813746287380216E-2</v>
          </cell>
          <cell r="BJ200">
            <v>5.9735581434191998E-2</v>
          </cell>
          <cell r="BK200">
            <v>5.9697531343853916E-2</v>
          </cell>
          <cell r="BL200">
            <v>5.3673268494583759E-2</v>
          </cell>
          <cell r="BM200">
            <v>4.6977260875128657E-2</v>
          </cell>
          <cell r="BN200">
            <v>5.5017107849584912E-2</v>
          </cell>
          <cell r="BO200">
            <v>4.6119999810645407E-2</v>
          </cell>
          <cell r="BP200">
            <v>4.0000000000000036E-2</v>
          </cell>
          <cell r="BQ200">
            <v>3.499999999999992E-2</v>
          </cell>
          <cell r="BR200">
            <v>3.1440850764256512E-2</v>
          </cell>
          <cell r="BS200">
            <v>3.7714899713467309E-2</v>
          </cell>
        </row>
        <row r="201">
          <cell r="A201" t="str">
            <v xml:space="preserve">   Newport</v>
          </cell>
          <cell r="G201">
            <v>-8.3131303943257517E-2</v>
          </cell>
          <cell r="H201">
            <v>-0.20781714154013453</v>
          </cell>
          <cell r="I201">
            <v>-0.21255492689119582</v>
          </cell>
          <cell r="J201">
            <v>-0.13956939518855571</v>
          </cell>
          <cell r="K201">
            <v>-0.16230198359954773</v>
          </cell>
          <cell r="L201">
            <v>-1.2312205434022894E-2</v>
          </cell>
          <cell r="M201">
            <v>8.8277506990176668E-2</v>
          </cell>
          <cell r="N201">
            <v>0.1055454915382017</v>
          </cell>
          <cell r="O201">
            <v>3.1866028923299927E-2</v>
          </cell>
          <cell r="P201">
            <v>5.318794869751664E-2</v>
          </cell>
          <cell r="Q201">
            <v>3.5426371493808118E-2</v>
          </cell>
          <cell r="R201">
            <v>1.9661305699895326E-2</v>
          </cell>
          <cell r="S201">
            <v>2.8181276327490901E-2</v>
          </cell>
          <cell r="T201">
            <v>0.13772935174918866</v>
          </cell>
          <cell r="U201">
            <v>5.4104599286147526E-2</v>
          </cell>
          <cell r="V201">
            <v>4.8938022064623832E-2</v>
          </cell>
          <cell r="W201">
            <v>9.8136965584443292E-2</v>
          </cell>
          <cell r="X201">
            <v>6.0998336867357228E-3</v>
          </cell>
          <cell r="Y201">
            <v>-2.9749075641425593E-2</v>
          </cell>
          <cell r="Z201">
            <v>2.9506292956470004E-2</v>
          </cell>
          <cell r="AA201">
            <v>9.7905846354063408E-2</v>
          </cell>
          <cell r="AB201">
            <v>5.5122961168349915E-2</v>
          </cell>
          <cell r="AC201">
            <v>9.6450986918469539E-2</v>
          </cell>
          <cell r="AD201">
            <v>8.2437624251083141E-2</v>
          </cell>
          <cell r="AE201">
            <v>8.2430898928925966E-2</v>
          </cell>
          <cell r="AF201">
            <v>5.5643766838824327E-3</v>
          </cell>
          <cell r="AG201">
            <v>1.3155330628874529E-2</v>
          </cell>
          <cell r="AH201">
            <v>3.7645859362948952E-2</v>
          </cell>
          <cell r="AI201">
            <v>6.3720581747030103E-2</v>
          </cell>
          <cell r="AJ201">
            <v>4.5955343923425485E-2</v>
          </cell>
          <cell r="AK201">
            <v>0.12069957815224441</v>
          </cell>
          <cell r="AL201">
            <v>0.15015910793079623</v>
          </cell>
          <cell r="AM201">
            <v>9.7283833620087634E-2</v>
          </cell>
          <cell r="AN201">
            <v>5.8536640126320094E-2</v>
          </cell>
          <cell r="AO201">
            <v>0.10737939354316484</v>
          </cell>
          <cell r="AP201">
            <v>6.921748980427922E-2</v>
          </cell>
          <cell r="AQ201">
            <v>2.3887238613389705E-2</v>
          </cell>
          <cell r="AR201">
            <v>7.6632193518357594E-2</v>
          </cell>
          <cell r="AS201">
            <v>6.0167600032099644E-2</v>
          </cell>
          <cell r="AT201">
            <v>5.5219649175485275E-2</v>
          </cell>
          <cell r="AU201">
            <v>-2.1468256023493448E-2</v>
          </cell>
          <cell r="AV201">
            <v>1.7487581329045376E-3</v>
          </cell>
          <cell r="AW201">
            <v>1.077538434354719E-2</v>
          </cell>
          <cell r="AX201">
            <v>5.7089867246979731E-2</v>
          </cell>
          <cell r="AY201">
            <v>1.1575049380441405E-2</v>
          </cell>
          <cell r="AZ201">
            <v>6.5393576107236617E-2</v>
          </cell>
          <cell r="BA201">
            <v>4.5075210055268711E-2</v>
          </cell>
          <cell r="BB201">
            <v>3.5015402774839943E-2</v>
          </cell>
          <cell r="BC201">
            <v>6.5646491672275431E-3</v>
          </cell>
          <cell r="BD201">
            <v>3.7585628524420489E-2</v>
          </cell>
          <cell r="BE201">
            <v>5.2349348773211846E-2</v>
          </cell>
          <cell r="BF201">
            <v>4.5333394397463644E-2</v>
          </cell>
          <cell r="BG201">
            <v>3.9385827199791779E-2</v>
          </cell>
          <cell r="BH201">
            <v>3.4571348064635687E-2</v>
          </cell>
          <cell r="BI201">
            <v>4.2889071194822437E-2</v>
          </cell>
          <cell r="BJ201">
            <v>4.9251943439464041E-2</v>
          </cell>
          <cell r="BK201">
            <v>4.7435230406646323E-2</v>
          </cell>
          <cell r="BL201">
            <v>4.9510467254096691E-2</v>
          </cell>
          <cell r="BM201">
            <v>4.1146477297152373E-2</v>
          </cell>
          <cell r="BN201">
            <v>4.6832019082907461E-2</v>
          </cell>
          <cell r="BO201">
            <v>3.581298677912681E-2</v>
          </cell>
          <cell r="BP201">
            <v>3.2355991214118696E-2</v>
          </cell>
          <cell r="BQ201">
            <v>2.8451804380969392E-2</v>
          </cell>
          <cell r="BR201">
            <v>2.4127121284801101E-2</v>
          </cell>
          <cell r="BS201">
            <v>2.9846942367664386E-2</v>
          </cell>
        </row>
        <row r="202">
          <cell r="A202" t="str">
            <v xml:space="preserve">   Newport Menthol</v>
          </cell>
          <cell r="AJ202">
            <v>4.5955343923425485E-2</v>
          </cell>
          <cell r="AK202">
            <v>0.12069957815224441</v>
          </cell>
          <cell r="AL202">
            <v>0.15015910793079623</v>
          </cell>
          <cell r="AM202">
            <v>9.7283833620087634E-2</v>
          </cell>
          <cell r="AN202">
            <v>5.8536640126320094E-2</v>
          </cell>
          <cell r="AO202">
            <v>0.10670213736785139</v>
          </cell>
          <cell r="AP202">
            <v>6.921748980427922E-2</v>
          </cell>
          <cell r="AQ202">
            <v>2.3887238613389705E-2</v>
          </cell>
          <cell r="AR202">
            <v>7.6632193518357594E-2</v>
          </cell>
          <cell r="AS202">
            <v>8.0434127116243204E-2</v>
          </cell>
          <cell r="AT202">
            <v>6.0477646711915911E-2</v>
          </cell>
          <cell r="AU202">
            <v>1.7829261097639382E-3</v>
          </cell>
          <cell r="AV202">
            <v>3.0891068899932206E-2</v>
          </cell>
          <cell r="AW202">
            <v>3.9771271430271593E-2</v>
          </cell>
          <cell r="AX202">
            <v>6.5213483229023872E-2</v>
          </cell>
          <cell r="AY202">
            <v>3.4657394083652759E-2</v>
          </cell>
          <cell r="AZ202">
            <v>6.3690308718716615E-2</v>
          </cell>
          <cell r="BA202">
            <v>3.9323363805493949E-2</v>
          </cell>
          <cell r="BB202">
            <v>2.9105207044797021E-2</v>
          </cell>
          <cell r="BC202">
            <v>3.869016405540382E-3</v>
          </cell>
          <cell r="BD202">
            <v>3.363458006028619E-2</v>
          </cell>
          <cell r="BE202">
            <v>5.3170213926605481E-2</v>
          </cell>
          <cell r="BF202">
            <v>4.4489417359290684E-2</v>
          </cell>
          <cell r="BG202">
            <v>3.6460629036912051E-2</v>
          </cell>
          <cell r="BH202">
            <v>3.5268722299035771E-2</v>
          </cell>
          <cell r="BI202">
            <v>4.2187779409446513E-2</v>
          </cell>
          <cell r="BJ202">
            <v>6.2489296930604121E-2</v>
          </cell>
          <cell r="BK202">
            <v>5.9563186296868631E-2</v>
          </cell>
          <cell r="BL202">
            <v>6.8677256775521833E-2</v>
          </cell>
          <cell r="BM202">
            <v>5.6513314954504068E-2</v>
          </cell>
          <cell r="BN202">
            <v>6.1902860273110649E-2</v>
          </cell>
          <cell r="BO202">
            <v>3.4532136236928412E-2</v>
          </cell>
          <cell r="BP202">
            <v>3.2247474979037793E-2</v>
          </cell>
          <cell r="BQ202">
            <v>2.9132825273975316E-2</v>
          </cell>
          <cell r="BR202">
            <v>2.0228835005365875E-2</v>
          </cell>
          <cell r="BS202">
            <v>2.870162899685158E-2</v>
          </cell>
        </row>
        <row r="203">
          <cell r="A203" t="str">
            <v xml:space="preserve">   Newport Non-Menthol</v>
          </cell>
          <cell r="V203">
            <v>5.0340838286353939E-2</v>
          </cell>
          <cell r="W203">
            <v>9.9556421617577717E-2</v>
          </cell>
          <cell r="X203">
            <v>8.204214461383863E-3</v>
          </cell>
          <cell r="Y203">
            <v>-2.4157446958225415E-2</v>
          </cell>
          <cell r="Z203">
            <v>3.2257560926944873E-2</v>
          </cell>
          <cell r="AA203">
            <v>0.10211212030934091</v>
          </cell>
          <cell r="AB203">
            <v>5.892545873292665E-2</v>
          </cell>
          <cell r="AC203">
            <v>0.10244158870165654</v>
          </cell>
          <cell r="AD203">
            <v>9.7329353089052217E-2</v>
          </cell>
          <cell r="AE203">
            <v>8.94597420796448E-2</v>
          </cell>
          <cell r="AF203">
            <v>2.0710298760505008E-2</v>
          </cell>
          <cell r="AG203">
            <v>2.8778946488428936E-2</v>
          </cell>
          <cell r="AH203">
            <v>5.2522529416309194E-2</v>
          </cell>
          <cell r="AI203">
            <v>7.6383387348746723E-2</v>
          </cell>
          <cell r="AJ203">
            <v>-9.6871633534446833E-2</v>
          </cell>
          <cell r="AK203">
            <v>0.12069957815224441</v>
          </cell>
          <cell r="AL203">
            <v>0.15015910793079623</v>
          </cell>
          <cell r="AM203">
            <v>9.7283833620087634E-2</v>
          </cell>
          <cell r="AN203">
            <v>5.8536640126320094E-2</v>
          </cell>
          <cell r="AO203">
            <v>0.10670213736785139</v>
          </cell>
          <cell r="AP203">
            <v>6.921748980427922E-2</v>
          </cell>
          <cell r="AQ203">
            <v>2.3887238613389705E-2</v>
          </cell>
          <cell r="AR203">
            <v>7.6632193518357594E-2</v>
          </cell>
          <cell r="AS203">
            <v>8.0434127116243204E-2</v>
          </cell>
          <cell r="AT203">
            <v>6.0477646711915911E-2</v>
          </cell>
          <cell r="AU203">
            <v>1.7829261097639382E-3</v>
          </cell>
          <cell r="AV203">
            <v>3.0891068899932206E-2</v>
          </cell>
          <cell r="AW203">
            <v>3.9771271430271593E-2</v>
          </cell>
          <cell r="AX203">
            <v>0.18599147287923312</v>
          </cell>
          <cell r="AY203">
            <v>8.2874734857349752E-2</v>
          </cell>
          <cell r="AZ203">
            <v>6.3672928408472274E-2</v>
          </cell>
          <cell r="BA203">
            <v>3.9323363805493949E-2</v>
          </cell>
          <cell r="BB203">
            <v>2.909188089025383E-2</v>
          </cell>
          <cell r="BC203">
            <v>3.853200100556009E-3</v>
          </cell>
          <cell r="BD203">
            <v>3.3623235221205361E-2</v>
          </cell>
          <cell r="BE203">
            <v>5.318742262353604E-2</v>
          </cell>
          <cell r="BF203">
            <v>4.6646468199213587E-2</v>
          </cell>
          <cell r="BG203">
            <v>3.9395953603342804E-2</v>
          </cell>
          <cell r="BH203">
            <v>4.5200460805758569E-2</v>
          </cell>
          <cell r="BI203">
            <v>4.5986470491807596E-2</v>
          </cell>
        </row>
        <row r="204">
          <cell r="A204" t="str">
            <v xml:space="preserve">   Other</v>
          </cell>
          <cell r="V204">
            <v>5.0340838286353939E-2</v>
          </cell>
          <cell r="W204">
            <v>9.9556421617577717E-2</v>
          </cell>
          <cell r="X204">
            <v>8.204214461383863E-3</v>
          </cell>
          <cell r="Y204">
            <v>-2.4157446958225415E-2</v>
          </cell>
          <cell r="Z204">
            <v>3.2257560926944873E-2</v>
          </cell>
          <cell r="AA204">
            <v>0.10211212030934091</v>
          </cell>
          <cell r="AB204">
            <v>5.892545873292665E-2</v>
          </cell>
          <cell r="AC204">
            <v>0.10244158870165654</v>
          </cell>
          <cell r="AD204">
            <v>9.7329353089052217E-2</v>
          </cell>
          <cell r="AE204">
            <v>8.94597420796448E-2</v>
          </cell>
          <cell r="AF204">
            <v>2.0710298760505008E-2</v>
          </cell>
          <cell r="AG204">
            <v>2.8778946488428936E-2</v>
          </cell>
          <cell r="AH204">
            <v>5.2522529416309194E-2</v>
          </cell>
          <cell r="AI204">
            <v>7.6383387348746723E-2</v>
          </cell>
          <cell r="AJ204">
            <v>-0.25235470292850304</v>
          </cell>
          <cell r="AK204">
            <v>9.1751486551023831E-3</v>
          </cell>
          <cell r="AL204">
            <v>0.21619763096743738</v>
          </cell>
          <cell r="AM204">
            <v>0.12290357780566596</v>
          </cell>
          <cell r="AN204">
            <v>0.22297378845931792</v>
          </cell>
          <cell r="AO204">
            <v>0.194308155971884</v>
          </cell>
          <cell r="AP204">
            <v>5.184425883566135E-2</v>
          </cell>
          <cell r="AQ204">
            <v>-0.12980234678654334</v>
          </cell>
          <cell r="AR204">
            <v>-5.4184701484380371E-2</v>
          </cell>
          <cell r="AS204">
            <v>-0.10998415337587608</v>
          </cell>
          <cell r="AT204">
            <v>0.20968898528234181</v>
          </cell>
          <cell r="AU204">
            <v>0.70822384202648903</v>
          </cell>
          <cell r="AV204">
            <v>0.15500717145838205</v>
          </cell>
          <cell r="AW204">
            <v>4.6190080190675609E-3</v>
          </cell>
          <cell r="AX204">
            <v>-2.7384017552979367E-3</v>
          </cell>
          <cell r="AY204">
            <v>0.18796406097811147</v>
          </cell>
          <cell r="AZ204">
            <v>-4.4383378051399247E-2</v>
          </cell>
          <cell r="BA204">
            <v>0.17469412792073236</v>
          </cell>
          <cell r="BB204">
            <v>0.34889754645567694</v>
          </cell>
          <cell r="BC204">
            <v>0.41433708103682076</v>
          </cell>
          <cell r="BD204">
            <v>0.19068220917166134</v>
          </cell>
          <cell r="BE204">
            <v>-0.10156979461317384</v>
          </cell>
          <cell r="BF204">
            <v>5.7940226078104118E-2</v>
          </cell>
          <cell r="BG204">
            <v>-3.1798928175571617E-2</v>
          </cell>
          <cell r="BH204">
            <v>-5.4859409270424986E-2</v>
          </cell>
          <cell r="BI204">
            <v>0.29174286982296538</v>
          </cell>
          <cell r="BJ204">
            <v>6.6134373253760259E-2</v>
          </cell>
          <cell r="BK204">
            <v>7.6323436872503425E-2</v>
          </cell>
          <cell r="BL204">
            <v>0.15993290875365429</v>
          </cell>
          <cell r="BM204">
            <v>0.17422883245139853</v>
          </cell>
          <cell r="BN204">
            <v>-1.9237011711666252E-2</v>
          </cell>
          <cell r="BO204">
            <v>1.6859054151663555E-2</v>
          </cell>
          <cell r="BP204">
            <v>8.8880016043850762E-3</v>
          </cell>
          <cell r="BQ204">
            <v>-1.5574737581400933E-2</v>
          </cell>
          <cell r="BR204">
            <v>-9.0596658365157401E-3</v>
          </cell>
          <cell r="BS204">
            <v>-6.490196419233496E-2</v>
          </cell>
        </row>
        <row r="205">
          <cell r="A205" t="str">
            <v xml:space="preserve">   Ex-Newport Non-Menthol</v>
          </cell>
          <cell r="V205">
            <v>-1.4028162217301077E-3</v>
          </cell>
          <cell r="W205">
            <v>-1.4194560331344253E-3</v>
          </cell>
          <cell r="X205">
            <v>-2.1043807746481402E-3</v>
          </cell>
          <cell r="Y205">
            <v>-5.5916286832001783E-3</v>
          </cell>
          <cell r="Z205">
            <v>-2.7512679704748688E-3</v>
          </cell>
          <cell r="AA205">
            <v>-4.2062739552775064E-3</v>
          </cell>
          <cell r="AB205">
            <v>-3.8024975645767345E-3</v>
          </cell>
          <cell r="AC205">
            <v>-5.9906017831869995E-3</v>
          </cell>
          <cell r="AD205">
            <v>-1.4891728837969076E-2</v>
          </cell>
          <cell r="AE205">
            <v>-7.0288431507188331E-3</v>
          </cell>
          <cell r="AF205">
            <v>-1.5145922076622576E-2</v>
          </cell>
          <cell r="AG205">
            <v>-1.5623615859554407E-2</v>
          </cell>
          <cell r="AH205">
            <v>-1.4876670053360241E-2</v>
          </cell>
          <cell r="AI205">
            <v>-1.266280560171662E-2</v>
          </cell>
          <cell r="AJ205">
            <v>1.0267386555452118E-2</v>
          </cell>
          <cell r="AK205">
            <v>7.6627143249793361E-2</v>
          </cell>
          <cell r="AL205">
            <v>0.11786538459338169</v>
          </cell>
          <cell r="AM205">
            <v>6.5043535198522573E-2</v>
          </cell>
          <cell r="AN205">
            <v>4.1309223847661336E-2</v>
          </cell>
          <cell r="AO205">
            <v>9.7917130894638493E-2</v>
          </cell>
          <cell r="AP205">
            <v>7.3852546479964198E-2</v>
          </cell>
          <cell r="AQ205">
            <v>1.3645025893078921E-2</v>
          </cell>
          <cell r="AR205">
            <v>6.4508209459773314E-2</v>
          </cell>
          <cell r="AS205">
            <v>6.0625923187130892E-2</v>
          </cell>
          <cell r="AT205">
            <v>5.0685809606264343E-2</v>
          </cell>
          <cell r="AU205">
            <v>6.4928756341830596E-2</v>
          </cell>
          <cell r="AV205">
            <v>4.5816139631469799E-2</v>
          </cell>
          <cell r="AW205">
            <v>2.8033861918395964E-2</v>
          </cell>
          <cell r="AX205">
            <v>4.8035163696646066E-2</v>
          </cell>
          <cell r="AY205">
            <v>4.6283907345485042E-2</v>
          </cell>
          <cell r="AZ205">
            <v>2.8045126065963544E-2</v>
          </cell>
          <cell r="BA205">
            <v>3.9182242731078176E-2</v>
          </cell>
          <cell r="BB205">
            <v>6.4222116424020648E-2</v>
          </cell>
          <cell r="BC205">
            <v>7.4101917003289275E-2</v>
          </cell>
          <cell r="BD205">
            <v>5.1757621777374307E-2</v>
          </cell>
          <cell r="BE205">
            <v>8.6717901715202883E-2</v>
          </cell>
          <cell r="BF205">
            <v>8.8324284801447828E-2</v>
          </cell>
          <cell r="BG205">
            <v>8.7966456733158171E-2</v>
          </cell>
          <cell r="BH205">
            <v>5.4998396755072232E-2</v>
          </cell>
          <cell r="BI205">
            <v>7.9252853957347158E-2</v>
          </cell>
          <cell r="BJ205">
            <v>4.7470866099595499E-2</v>
          </cell>
          <cell r="BK205">
            <v>3.6449372971223415E-2</v>
          </cell>
          <cell r="BL205">
            <v>2.8204876382621702E-2</v>
          </cell>
          <cell r="BM205">
            <v>2.4686662920609947E-2</v>
          </cell>
          <cell r="BN205">
            <v>3.3955642532156105E-2</v>
          </cell>
          <cell r="BO205">
            <v>1.8501504133557223E-2</v>
          </cell>
          <cell r="BP205">
            <v>3.0321829272904388E-2</v>
          </cell>
          <cell r="BQ205">
            <v>2.5087196827773495E-2</v>
          </cell>
          <cell r="BR205">
            <v>2.2108203767846168E-2</v>
          </cell>
          <cell r="BS205">
            <v>2.4009262955407173E-2</v>
          </cell>
        </row>
        <row r="206">
          <cell r="A206" t="str">
            <v xml:space="preserve">   Ex-Newport Non-Menthol</v>
          </cell>
          <cell r="V206">
            <v>-1.4028162217301077E-3</v>
          </cell>
          <cell r="W206">
            <v>-1.4194560331344253E-3</v>
          </cell>
          <cell r="X206">
            <v>-2.1043807746481402E-3</v>
          </cell>
          <cell r="Y206">
            <v>-5.5916286832001783E-3</v>
          </cell>
          <cell r="Z206">
            <v>-2.7512679704748688E-3</v>
          </cell>
          <cell r="AA206">
            <v>-4.2062739552775064E-3</v>
          </cell>
          <cell r="AB206">
            <v>-3.8024975645767345E-3</v>
          </cell>
          <cell r="AC206">
            <v>-5.9906017831869995E-3</v>
          </cell>
          <cell r="AD206">
            <v>-1.4891728837969076E-2</v>
          </cell>
          <cell r="AE206">
            <v>-7.0288431507188331E-3</v>
          </cell>
          <cell r="AF206">
            <v>-1.5145922076622576E-2</v>
          </cell>
          <cell r="AG206">
            <v>-1.5623615859554407E-2</v>
          </cell>
          <cell r="AH206">
            <v>-1.4876670053360241E-2</v>
          </cell>
          <cell r="AI206">
            <v>-1.266280560171662E-2</v>
          </cell>
          <cell r="AJ206">
            <v>1.0267386555452118E-2</v>
          </cell>
          <cell r="AK206">
            <v>7.6627143249793361E-2</v>
          </cell>
          <cell r="AL206">
            <v>0.11786538459338169</v>
          </cell>
          <cell r="AM206">
            <v>6.5043535198522573E-2</v>
          </cell>
          <cell r="AN206">
            <v>4.1309223847661336E-2</v>
          </cell>
          <cell r="AO206">
            <v>9.7917130894638493E-2</v>
          </cell>
          <cell r="AP206">
            <v>7.3852546479964198E-2</v>
          </cell>
          <cell r="AQ206">
            <v>1.3645025893078921E-2</v>
          </cell>
          <cell r="AR206">
            <v>6.4508209459773314E-2</v>
          </cell>
          <cell r="AS206">
            <v>3.439667064008356E-2</v>
          </cell>
          <cell r="AT206">
            <v>5.0685809606264343E-2</v>
          </cell>
          <cell r="AU206">
            <v>-4.278762222541399E-2</v>
          </cell>
          <cell r="AV206">
            <v>1.5003508714267921E-2</v>
          </cell>
          <cell r="AW206">
            <v>3.0813993350622404E-2</v>
          </cell>
          <cell r="AX206">
            <v>1.9609998534415363E-2</v>
          </cell>
          <cell r="AY206">
            <v>4.6283907345485042E-2</v>
          </cell>
          <cell r="AZ206">
            <v>2.8032750459996203E-2</v>
          </cell>
          <cell r="BA206">
            <v>3.9182242731078176E-2</v>
          </cell>
          <cell r="BB206">
            <v>6.4212419332317694E-2</v>
          </cell>
          <cell r="BC206">
            <v>7.4089004663710156E-2</v>
          </cell>
          <cell r="BD206">
            <v>5.1749211556960439E-2</v>
          </cell>
          <cell r="BE206">
            <v>8.6730983781453608E-2</v>
          </cell>
          <cell r="BF206">
            <v>9.1295986345338642E-2</v>
          </cell>
          <cell r="BG206">
            <v>9.0495827397644613E-2</v>
          </cell>
          <cell r="BH206">
            <v>6.2327468812912956E-2</v>
          </cell>
          <cell r="BI206">
            <v>8.250933017992379E-2</v>
          </cell>
        </row>
        <row r="207">
          <cell r="A207" t="str">
            <v>Impact of Channel Shift</v>
          </cell>
          <cell r="AP207">
            <v>-8.9621762444155735</v>
          </cell>
          <cell r="AQ207">
            <v>-8.908021894125735</v>
          </cell>
          <cell r="AR207">
            <v>-9.3183713364960568</v>
          </cell>
          <cell r="AS207">
            <v>3.439667064008356E-2</v>
          </cell>
          <cell r="AT207">
            <v>-49.799591532730801</v>
          </cell>
          <cell r="AU207">
            <v>-4.278762222541399E-2</v>
          </cell>
          <cell r="AV207">
            <v>1.5003508714267921E-2</v>
          </cell>
          <cell r="AW207">
            <v>3.0813993350622404E-2</v>
          </cell>
          <cell r="AX207">
            <v>1.9609998534415363E-2</v>
          </cell>
          <cell r="AY207">
            <v>-159.43312107987717</v>
          </cell>
          <cell r="AZ207">
            <v>0.42390563999999997</v>
          </cell>
          <cell r="BA207">
            <v>0.40427619999999997</v>
          </cell>
        </row>
        <row r="208">
          <cell r="A208" t="str">
            <v>Estimated volume (4.5% of prior year)</v>
          </cell>
          <cell r="AP208">
            <v>3.4783962111169515</v>
          </cell>
          <cell r="AQ208">
            <v>-1.3249455098666445</v>
          </cell>
          <cell r="AR208">
            <v>1.2090329900293142</v>
          </cell>
          <cell r="AS208">
            <v>-0.86814884647782264</v>
          </cell>
          <cell r="AT208">
            <v>2.1465707018277556</v>
          </cell>
          <cell r="AU208">
            <v>0.74049087428061</v>
          </cell>
          <cell r="AV208">
            <v>8.9610808773912254E-3</v>
          </cell>
          <cell r="AW208">
            <v>0.40012611999999997</v>
          </cell>
          <cell r="AX208">
            <v>0.37823812000000007</v>
          </cell>
          <cell r="AY208">
            <v>-1.6114748516985742</v>
          </cell>
          <cell r="AZ208">
            <v>0.43017827999999997</v>
          </cell>
          <cell r="BA208">
            <v>0.41135763999999997</v>
          </cell>
        </row>
        <row r="209">
          <cell r="A209" t="str">
            <v>Assumed promo expense/thousand</v>
          </cell>
          <cell r="AP209">
            <v>0</v>
          </cell>
          <cell r="AQ209">
            <v>0</v>
          </cell>
          <cell r="AR209">
            <v>0</v>
          </cell>
          <cell r="AS209">
            <v>-12.9662237525765</v>
          </cell>
          <cell r="AT209">
            <v>-12.529772755331255</v>
          </cell>
          <cell r="AU209">
            <v>-18.153848472774023</v>
          </cell>
          <cell r="AV209">
            <v>-31.911780212112561</v>
          </cell>
          <cell r="AW209">
            <v>35</v>
          </cell>
          <cell r="AX209">
            <v>35</v>
          </cell>
          <cell r="AY209">
            <v>-0.71812681568137293</v>
          </cell>
          <cell r="AZ209">
            <v>35</v>
          </cell>
          <cell r="BA209">
            <v>35</v>
          </cell>
          <cell r="BB209">
            <v>1.6097759401832867</v>
          </cell>
          <cell r="BC209">
            <v>-0.19809697309179086</v>
          </cell>
          <cell r="BD209">
            <v>3.9244329620897256</v>
          </cell>
        </row>
        <row r="210">
          <cell r="A210" t="str">
            <v>Increase in promotional spending</v>
          </cell>
          <cell r="AP210">
            <v>-12.440572455532573</v>
          </cell>
          <cell r="AQ210">
            <v>-7.5830763842591153</v>
          </cell>
          <cell r="AR210">
            <v>-10.52740432652546</v>
          </cell>
          <cell r="AS210">
            <v>-7.3940853598051444</v>
          </cell>
          <cell r="AT210">
            <v>-37.769389479227669</v>
          </cell>
          <cell r="AU210">
            <v>-7.7353344206716859</v>
          </cell>
          <cell r="AV210">
            <v>-7.4720156829017004</v>
          </cell>
          <cell r="AW210">
            <v>14.004414199999999</v>
          </cell>
          <cell r="AX210">
            <v>13.238334200000002</v>
          </cell>
          <cell r="AY210">
            <v>-24.078171063406401</v>
          </cell>
          <cell r="AZ210">
            <v>15.056239799999998</v>
          </cell>
          <cell r="BA210">
            <v>14.397517399999998</v>
          </cell>
        </row>
        <row r="211">
          <cell r="A211" t="str">
            <v>% Impact on net revenue growth</v>
          </cell>
          <cell r="AW211">
            <v>-1.3051644175209692E-2</v>
          </cell>
          <cell r="AX211">
            <v>-1.2991495780176646E-2</v>
          </cell>
          <cell r="AZ211">
            <v>-1.4257802840909089E-2</v>
          </cell>
          <cell r="BA211">
            <v>-1.2422361863675581E-2</v>
          </cell>
        </row>
        <row r="212">
          <cell r="A212" t="str">
            <v>% Impact on net revenue growth</v>
          </cell>
          <cell r="AK212">
            <v>9</v>
          </cell>
          <cell r="AL212">
            <v>147</v>
          </cell>
          <cell r="AM212">
            <v>17</v>
          </cell>
          <cell r="AN212">
            <v>20</v>
          </cell>
          <cell r="AO212">
            <v>193</v>
          </cell>
          <cell r="AP212">
            <v>156</v>
          </cell>
          <cell r="AQ212">
            <v>5</v>
          </cell>
          <cell r="AR212">
            <v>120</v>
          </cell>
          <cell r="AS212">
            <v>87</v>
          </cell>
          <cell r="AT212">
            <v>368</v>
          </cell>
          <cell r="AU212">
            <v>133</v>
          </cell>
          <cell r="AV212">
            <v>121</v>
          </cell>
          <cell r="AW212">
            <v>-1.3051644175209692E-2</v>
          </cell>
          <cell r="AX212">
            <v>-1.2991495780176646E-2</v>
          </cell>
          <cell r="AY212">
            <v>400</v>
          </cell>
          <cell r="AZ212">
            <v>-1.4257802840909089E-2</v>
          </cell>
          <cell r="BA212">
            <v>-1.2422361863675581E-2</v>
          </cell>
          <cell r="BB212">
            <v>50</v>
          </cell>
          <cell r="BC212">
            <v>84</v>
          </cell>
          <cell r="BD212">
            <v>183</v>
          </cell>
          <cell r="BE212">
            <v>3773.8326693643103</v>
          </cell>
          <cell r="BF212">
            <v>3819.9033712317678</v>
          </cell>
        </row>
        <row r="213">
          <cell r="A213" t="str">
            <v>Revenue Growth</v>
          </cell>
          <cell r="AK213">
            <v>9</v>
          </cell>
          <cell r="AL213">
            <v>147</v>
          </cell>
          <cell r="AM213">
            <v>17</v>
          </cell>
          <cell r="AN213">
            <v>20</v>
          </cell>
          <cell r="AO213">
            <v>193</v>
          </cell>
          <cell r="AP213">
            <v>156</v>
          </cell>
          <cell r="AQ213">
            <v>5</v>
          </cell>
          <cell r="AR213">
            <v>120</v>
          </cell>
          <cell r="AS213">
            <v>87</v>
          </cell>
          <cell r="AT213">
            <v>368</v>
          </cell>
          <cell r="AU213">
            <v>133</v>
          </cell>
          <cell r="AV213">
            <v>121</v>
          </cell>
          <cell r="AW213">
            <v>40</v>
          </cell>
          <cell r="AX213">
            <v>106</v>
          </cell>
          <cell r="AY213">
            <v>400</v>
          </cell>
          <cell r="AZ213">
            <v>3</v>
          </cell>
          <cell r="BA213">
            <v>46</v>
          </cell>
          <cell r="BB213">
            <v>50</v>
          </cell>
          <cell r="BC213">
            <v>84</v>
          </cell>
          <cell r="BD213">
            <v>183</v>
          </cell>
          <cell r="BE213">
            <v>63</v>
          </cell>
          <cell r="BF213">
            <v>83</v>
          </cell>
          <cell r="BG213">
            <v>147</v>
          </cell>
          <cell r="BH213">
            <v>44</v>
          </cell>
          <cell r="BI213">
            <v>337</v>
          </cell>
          <cell r="BJ213">
            <v>25</v>
          </cell>
          <cell r="BK213">
            <v>9</v>
          </cell>
          <cell r="BL213">
            <v>14</v>
          </cell>
          <cell r="BM213">
            <v>30</v>
          </cell>
          <cell r="BN213">
            <v>78</v>
          </cell>
          <cell r="BO213">
            <v>63</v>
          </cell>
          <cell r="BP213">
            <v>43.983764849422414</v>
          </cell>
          <cell r="BQ213">
            <v>28.382568296378849</v>
          </cell>
          <cell r="BR213">
            <v>14.200477309553207</v>
          </cell>
          <cell r="BS213">
            <v>149.56681045535424</v>
          </cell>
        </row>
        <row r="214">
          <cell r="A214" t="str">
            <v xml:space="preserve">   Newport Menthol</v>
          </cell>
          <cell r="AK214">
            <v>1.5660000000001446</v>
          </cell>
          <cell r="AL214">
            <v>113.38800000000003</v>
          </cell>
          <cell r="AM214">
            <v>-8.9000000000000909</v>
          </cell>
          <cell r="AN214">
            <v>-8.3680000000003929</v>
          </cell>
          <cell r="AO214">
            <v>97.685999999999694</v>
          </cell>
          <cell r="AP214">
            <v>124.16300000000001</v>
          </cell>
          <cell r="AQ214">
            <v>-9.9519999999998845</v>
          </cell>
          <cell r="AR214">
            <v>92.865000000000009</v>
          </cell>
          <cell r="AS214">
            <v>46.410497485103406</v>
          </cell>
          <cell r="AT214">
            <v>253.48649748510343</v>
          </cell>
          <cell r="AU214">
            <v>14.583164242837711</v>
          </cell>
          <cell r="AV214">
            <v>38.705733593749869</v>
          </cell>
          <cell r="AW214">
            <v>-22.290399999999863</v>
          </cell>
          <cell r="AX214">
            <v>72.655651912218218</v>
          </cell>
          <cell r="AY214">
            <v>103.65414974880559</v>
          </cell>
          <cell r="AZ214">
            <v>10.388591757162203</v>
          </cell>
          <cell r="BA214">
            <v>29.219669758749887</v>
          </cell>
          <cell r="BB214">
            <v>17.857926479999946</v>
          </cell>
          <cell r="BC214">
            <v>9.6773313826787444</v>
          </cell>
          <cell r="BD214">
            <v>67.143519378591009</v>
          </cell>
          <cell r="BE214">
            <v>23.679421600000069</v>
          </cell>
          <cell r="BF214">
            <v>20.947334147500101</v>
          </cell>
          <cell r="BG214">
            <v>84.589146519999986</v>
          </cell>
          <cell r="BH214">
            <v>14.557026694999308</v>
          </cell>
          <cell r="BI214">
            <v>143.77292896249901</v>
          </cell>
          <cell r="BJ214">
            <v>30.816990084048257</v>
          </cell>
          <cell r="BK214">
            <v>31.167367922642143</v>
          </cell>
          <cell r="BL214">
            <v>31.398182220416402</v>
          </cell>
          <cell r="BM214">
            <v>43.683060818314743</v>
          </cell>
          <cell r="BN214">
            <v>137.06560104542177</v>
          </cell>
          <cell r="BO214">
            <v>66.891300575599416</v>
          </cell>
          <cell r="BP214">
            <v>34.174671415910552</v>
          </cell>
          <cell r="BQ214">
            <v>17.807200312666964</v>
          </cell>
          <cell r="BR214">
            <v>10.911769223734609</v>
          </cell>
          <cell r="BS214">
            <v>129.784941527912</v>
          </cell>
        </row>
        <row r="215">
          <cell r="A215" t="str">
            <v xml:space="preserve">   Newport Red</v>
          </cell>
          <cell r="AK215">
            <v>0</v>
          </cell>
          <cell r="AL215">
            <v>0</v>
          </cell>
          <cell r="AM215">
            <v>0</v>
          </cell>
          <cell r="AN215">
            <v>0</v>
          </cell>
          <cell r="AO215">
            <v>0</v>
          </cell>
          <cell r="AP215">
            <v>0</v>
          </cell>
          <cell r="AQ215">
            <v>0</v>
          </cell>
          <cell r="AR215">
            <v>0</v>
          </cell>
          <cell r="AS215">
            <v>24.085502514896497</v>
          </cell>
          <cell r="AT215">
            <v>24.085502514896497</v>
          </cell>
          <cell r="AU215">
            <v>33.449835757162212</v>
          </cell>
          <cell r="AV215">
            <v>53.051266406250008</v>
          </cell>
          <cell r="AW215">
            <v>56.897399999999998</v>
          </cell>
          <cell r="AX215">
            <v>21.195348087782072</v>
          </cell>
          <cell r="AY215">
            <v>164.59385025119431</v>
          </cell>
          <cell r="AZ215">
            <v>10.134408242837779</v>
          </cell>
          <cell r="BA215">
            <v>-3.8926697587499604</v>
          </cell>
          <cell r="BB215">
            <v>-6.4279264799999893</v>
          </cell>
          <cell r="BC215">
            <v>6.0276686173214244</v>
          </cell>
          <cell r="BD215">
            <v>5.8414806214092323</v>
          </cell>
          <cell r="BE215">
            <v>8.0875784000000195</v>
          </cell>
          <cell r="BF215">
            <v>12.665665852499949</v>
          </cell>
          <cell r="BG215">
            <v>9.7918534799999506</v>
          </cell>
          <cell r="BH215">
            <v>25.176973305000104</v>
          </cell>
          <cell r="BI215">
            <v>55.722071037500029</v>
          </cell>
          <cell r="BJ215">
            <v>0.90900991595157876</v>
          </cell>
          <cell r="BK215">
            <v>-1.7803679226421778</v>
          </cell>
          <cell r="BL215">
            <v>6.8188177795837746</v>
          </cell>
          <cell r="BM215">
            <v>-6.2637540935559741</v>
          </cell>
          <cell r="BN215">
            <v>-0.31629432066279151</v>
          </cell>
          <cell r="BO215">
            <v>7.0317049340484203</v>
          </cell>
          <cell r="BP215">
            <v>7.7086676076421838</v>
          </cell>
          <cell r="BQ215">
            <v>13.752206895416279</v>
          </cell>
          <cell r="BR215">
            <v>6.4100550935559113</v>
          </cell>
          <cell r="BS215">
            <v>34.902634530662795</v>
          </cell>
        </row>
        <row r="216">
          <cell r="A216" t="str">
            <v xml:space="preserve">   Other</v>
          </cell>
          <cell r="AK216">
            <v>7.4339999999998554</v>
          </cell>
          <cell r="AL216">
            <v>33.611999999999966</v>
          </cell>
          <cell r="AM216">
            <v>25.900000000000091</v>
          </cell>
          <cell r="AN216">
            <v>28.368000000000393</v>
          </cell>
          <cell r="AO216">
            <v>93.229000000000269</v>
          </cell>
          <cell r="AP216">
            <v>31.836999999999989</v>
          </cell>
          <cell r="AQ216">
            <v>14.951999999999884</v>
          </cell>
          <cell r="AR216">
            <v>27.134999999999991</v>
          </cell>
          <cell r="AS216">
            <v>16.504000000000133</v>
          </cell>
          <cell r="AT216">
            <v>92.074999999999818</v>
          </cell>
          <cell r="AU216">
            <v>84.967000000000098</v>
          </cell>
          <cell r="AV216">
            <v>29.243000000000109</v>
          </cell>
          <cell r="AW216">
            <v>5.3929999999998586</v>
          </cell>
          <cell r="AX216">
            <v>12.148999999999674</v>
          </cell>
          <cell r="AY216">
            <v>132.95600000000059</v>
          </cell>
          <cell r="AZ216">
            <v>-17.523000000000025</v>
          </cell>
          <cell r="BA216">
            <v>12.673000000000059</v>
          </cell>
          <cell r="BB216">
            <v>24.569999999999993</v>
          </cell>
          <cell r="BC216">
            <v>29.294999999999831</v>
          </cell>
          <cell r="BD216">
            <v>110.01499999999942</v>
          </cell>
          <cell r="BE216">
            <v>-25.767000000000053</v>
          </cell>
          <cell r="BF216">
            <v>0.38699999999994361</v>
          </cell>
          <cell r="BG216">
            <v>3.6190000000001419</v>
          </cell>
          <cell r="BH216">
            <v>-10.733999999999469</v>
          </cell>
          <cell r="BI216">
            <v>137.50500000000102</v>
          </cell>
          <cell r="BJ216">
            <v>-0.7259999999998854</v>
          </cell>
          <cell r="BK216">
            <v>-0.38699999999994361</v>
          </cell>
          <cell r="BL216">
            <v>0.78299999999990177</v>
          </cell>
          <cell r="BM216">
            <v>7.580693275241174</v>
          </cell>
          <cell r="BN216">
            <v>-58.749306724758753</v>
          </cell>
          <cell r="BO216">
            <v>12.076994490352149</v>
          </cell>
          <cell r="BP216">
            <v>8.1629258258697064</v>
          </cell>
          <cell r="BQ216">
            <v>3.885661088295592</v>
          </cell>
          <cell r="BR216">
            <v>2.0036529922626869</v>
          </cell>
          <cell r="BS216">
            <v>-15.120765603220207</v>
          </cell>
        </row>
        <row r="217">
          <cell r="A217" t="str">
            <v xml:space="preserve">   Other</v>
          </cell>
          <cell r="AK217">
            <v>7.4339999999998554</v>
          </cell>
          <cell r="AL217">
            <v>33.611999999999966</v>
          </cell>
          <cell r="AM217">
            <v>25.900000000000091</v>
          </cell>
          <cell r="AN217">
            <v>28.368000000000393</v>
          </cell>
          <cell r="AO217">
            <v>93.229000000000269</v>
          </cell>
          <cell r="AP217">
            <v>31.836999999999989</v>
          </cell>
          <cell r="AQ217">
            <v>14.951999999999884</v>
          </cell>
          <cell r="AR217">
            <v>27.134999999999991</v>
          </cell>
          <cell r="AS217">
            <v>16.504000000000133</v>
          </cell>
          <cell r="AT217">
            <v>92.074999999999818</v>
          </cell>
          <cell r="AU217">
            <v>84.967000000000098</v>
          </cell>
          <cell r="AV217">
            <v>29.243000000000109</v>
          </cell>
          <cell r="AW217">
            <v>5.3929999999998586</v>
          </cell>
          <cell r="AX217">
            <v>12.148999999999674</v>
          </cell>
          <cell r="AY217">
            <v>132.95600000000059</v>
          </cell>
          <cell r="AZ217">
            <v>-17.523000000000025</v>
          </cell>
          <cell r="BA217">
            <v>12.673000000000059</v>
          </cell>
          <cell r="BB217">
            <v>24.569999999999993</v>
          </cell>
          <cell r="BC217">
            <v>29.294999999999831</v>
          </cell>
          <cell r="BD217">
            <v>110.01499999999942</v>
          </cell>
          <cell r="BE217">
            <v>-25.767000000000053</v>
          </cell>
          <cell r="BF217">
            <v>1.6179999999999382</v>
          </cell>
          <cell r="BG217">
            <v>3.6190000000001419</v>
          </cell>
          <cell r="BH217">
            <v>-11.932999999999765</v>
          </cell>
          <cell r="BI217">
            <v>137.53700000000026</v>
          </cell>
        </row>
        <row r="218">
          <cell r="A218" t="str">
            <v>Volume</v>
          </cell>
          <cell r="AK218">
            <v>-62.145525555294284</v>
          </cell>
          <cell r="AL218">
            <v>18.372773367639549</v>
          </cell>
          <cell r="AM218">
            <v>-57.327898666455489</v>
          </cell>
          <cell r="AN218">
            <v>-32.810097778950215</v>
          </cell>
          <cell r="AO218">
            <v>-135.6446829122022</v>
          </cell>
          <cell r="AP218">
            <v>112.97161750929517</v>
          </cell>
          <cell r="AQ218">
            <v>13.344736773727469</v>
          </cell>
          <cell r="AR218">
            <v>73.477441842485945</v>
          </cell>
          <cell r="AS218">
            <v>59.700320422474007</v>
          </cell>
          <cell r="AT218">
            <v>185.1530584529782</v>
          </cell>
          <cell r="AU218">
            <v>87.941770934512931</v>
          </cell>
          <cell r="AV218">
            <v>102.87429103687451</v>
          </cell>
          <cell r="AW218">
            <v>30.119055861686689</v>
          </cell>
          <cell r="AX218">
            <v>56.933675114501895</v>
          </cell>
          <cell r="AY218">
            <v>279.01258864225105</v>
          </cell>
          <cell r="AZ218">
            <v>-45.77094767654593</v>
          </cell>
          <cell r="BA218">
            <v>-31.602045737874196</v>
          </cell>
          <cell r="BB218">
            <v>-41.985254582849166</v>
          </cell>
          <cell r="BC218">
            <v>-15.488828084396999</v>
          </cell>
          <cell r="BD218">
            <v>-135.50241153445342</v>
          </cell>
          <cell r="BE218">
            <v>-27.657023391779962</v>
          </cell>
          <cell r="BF218">
            <v>-22.978953026410835</v>
          </cell>
          <cell r="BG218">
            <v>44.085979249806719</v>
          </cell>
          <cell r="BH218">
            <v>-12.128780321352888</v>
          </cell>
          <cell r="BI218">
            <v>-19.450334596155052</v>
          </cell>
          <cell r="BJ218">
            <v>-25.575597930855022</v>
          </cell>
          <cell r="BK218">
            <v>-35.700715094057628</v>
          </cell>
          <cell r="BL218">
            <v>-25.233020544082201</v>
          </cell>
          <cell r="BM218">
            <v>-13.022135136828837</v>
          </cell>
          <cell r="BN218">
            <v>-99.869962740944629</v>
          </cell>
          <cell r="BO218">
            <v>51.250078494907122</v>
          </cell>
          <cell r="BP218">
            <v>14.516796398081286</v>
          </cell>
          <cell r="BQ218">
            <v>7.5710407575379497</v>
          </cell>
          <cell r="BR218">
            <v>-4.6764769466563179</v>
          </cell>
          <cell r="BS218">
            <v>69.340434517006017</v>
          </cell>
        </row>
        <row r="219">
          <cell r="A219" t="str">
            <v xml:space="preserve">   % Impact</v>
          </cell>
          <cell r="AK219">
            <v>-8.1986181471364494E-2</v>
          </cell>
          <cell r="AL219">
            <v>2.0736764523295204E-2</v>
          </cell>
          <cell r="AM219">
            <v>-6.1247754985529368E-2</v>
          </cell>
          <cell r="AN219">
            <v>-3.5975984406743655E-2</v>
          </cell>
          <cell r="AO219">
            <v>-3.8844410914147254E-2</v>
          </cell>
          <cell r="AP219">
            <v>0.14729024447104977</v>
          </cell>
          <cell r="AQ219">
            <v>1.2918428628971412E-2</v>
          </cell>
          <cell r="AR219">
            <v>7.7101198155808959E-2</v>
          </cell>
          <cell r="AS219">
            <v>6.4056137792354084E-2</v>
          </cell>
          <cell r="AT219">
            <v>5.0245063352232888E-2</v>
          </cell>
          <cell r="AU219">
            <v>9.5278191695030268E-2</v>
          </cell>
          <cell r="AV219">
            <v>9.9108180189667161E-2</v>
          </cell>
          <cell r="AW219">
            <v>2.8069949544908379E-2</v>
          </cell>
          <cell r="AX219">
            <v>5.5872105117273696E-2</v>
          </cell>
          <cell r="AY219">
            <v>6.8841003859425376E-2</v>
          </cell>
          <cell r="AZ219">
            <v>-4.3343700451274558E-2</v>
          </cell>
          <cell r="BA219">
            <v>-2.726664860903727E-2</v>
          </cell>
          <cell r="BB219">
            <v>-3.7722600703368525E-2</v>
          </cell>
          <cell r="BC219">
            <v>-1.3767847186130666E-2</v>
          </cell>
          <cell r="BD219">
            <v>-3.0429465873445638E-2</v>
          </cell>
          <cell r="BE219">
            <v>-2.6116169397337075E-2</v>
          </cell>
          <cell r="BF219">
            <v>-1.9069670561336793E-2</v>
          </cell>
          <cell r="BG219">
            <v>3.7907118873436563E-2</v>
          </cell>
          <cell r="BH219">
            <v>-1.0032076361747633E-2</v>
          </cell>
          <cell r="BI219">
            <v>-4.1954992657797785E-3</v>
          </cell>
          <cell r="BJ219">
            <v>-2.2794650562259378E-2</v>
          </cell>
          <cell r="BK219">
            <v>-2.7717946501597535E-2</v>
          </cell>
          <cell r="BL219">
            <v>-1.9261847743574201E-2</v>
          </cell>
          <cell r="BM219">
            <v>-1.0392765472329479E-2</v>
          </cell>
          <cell r="BN219">
            <v>-2.0082437711832823E-2</v>
          </cell>
          <cell r="BO219">
            <v>4.468184698771327E-2</v>
          </cell>
          <cell r="BP219">
            <v>1.1192595526662519E-2</v>
          </cell>
          <cell r="BQ219">
            <v>5.7183087292582702E-3</v>
          </cell>
          <cell r="BR219">
            <v>-3.6449547518755399E-3</v>
          </cell>
          <cell r="BS219">
            <v>1.3728060684420118E-2</v>
          </cell>
        </row>
        <row r="220">
          <cell r="A220" t="str">
            <v>Newport Menthol</v>
          </cell>
          <cell r="AK220">
            <v>-72.866955516211505</v>
          </cell>
          <cell r="AL220">
            <v>-9.7915537040315055</v>
          </cell>
          <cell r="AM220">
            <v>-82.374261803661469</v>
          </cell>
          <cell r="AN220">
            <v>-52.469899582831758</v>
          </cell>
          <cell r="AO220">
            <v>-214.10265526577695</v>
          </cell>
          <cell r="AP220">
            <v>66.37015511778128</v>
          </cell>
          <cell r="AQ220">
            <v>-30.470327241806679</v>
          </cell>
          <cell r="AR220">
            <v>23.454286512935219</v>
          </cell>
          <cell r="AS220">
            <v>-18.899374438718109</v>
          </cell>
          <cell r="AT220">
            <v>43.864452320283029</v>
          </cell>
          <cell r="AU220">
            <v>12.177498160642845</v>
          </cell>
          <cell r="AV220">
            <v>8.8115374269574787</v>
          </cell>
          <cell r="AW220">
            <v>-53.63448394721145</v>
          </cell>
          <cell r="AX220">
            <v>12.534997143938295</v>
          </cell>
          <cell r="AY220">
            <v>-19.537603176009597</v>
          </cell>
          <cell r="AZ220">
            <v>-40.184195172120496</v>
          </cell>
          <cell r="BA220">
            <v>-8.0289147499497595</v>
          </cell>
          <cell r="BB220">
            <v>-8.167808831264237</v>
          </cell>
          <cell r="BC220">
            <v>5.2962052234729349</v>
          </cell>
          <cell r="BD220">
            <v>-51.644027752833757</v>
          </cell>
          <cell r="BE220">
            <v>-20.244406996041342</v>
          </cell>
          <cell r="BF220">
            <v>-21.377277081666982</v>
          </cell>
          <cell r="BG220">
            <v>45.437747612066538</v>
          </cell>
          <cell r="BH220">
            <v>-18.433937527007714</v>
          </cell>
          <cell r="BI220">
            <v>-14.865052983612824</v>
          </cell>
          <cell r="BJ220">
            <v>-22.957722193444141</v>
          </cell>
          <cell r="BK220">
            <v>-27.696011143543227</v>
          </cell>
          <cell r="BL220">
            <v>-36.970582322320169</v>
          </cell>
          <cell r="BM220">
            <v>-11.154682883753496</v>
          </cell>
          <cell r="BN220">
            <v>-98.937132983002684</v>
          </cell>
          <cell r="BO220">
            <v>33.123895227574202</v>
          </cell>
          <cell r="BP220">
            <v>0.10331697482798059</v>
          </cell>
          <cell r="BQ220">
            <v>-12.389760200058404</v>
          </cell>
          <cell r="BR220">
            <v>-9.3235301118800766</v>
          </cell>
          <cell r="BS220">
            <v>12.014610424177803</v>
          </cell>
        </row>
        <row r="221">
          <cell r="A221" t="str">
            <v>Newport Red</v>
          </cell>
          <cell r="AK221">
            <v>0</v>
          </cell>
          <cell r="AL221">
            <v>0</v>
          </cell>
          <cell r="AM221">
            <v>0</v>
          </cell>
          <cell r="AN221">
            <v>0</v>
          </cell>
          <cell r="AO221">
            <v>0</v>
          </cell>
          <cell r="AP221">
            <v>0</v>
          </cell>
          <cell r="AQ221">
            <v>0</v>
          </cell>
          <cell r="AR221">
            <v>0</v>
          </cell>
          <cell r="AS221">
            <v>36.758249241021119</v>
          </cell>
          <cell r="AT221">
            <v>35.596180793323192</v>
          </cell>
          <cell r="AU221">
            <v>50.736538280798776</v>
          </cell>
          <cell r="AV221">
            <v>83.376044754817499</v>
          </cell>
          <cell r="AW221">
            <v>75.815735298660329</v>
          </cell>
          <cell r="AX221">
            <v>22.102150888440335</v>
          </cell>
          <cell r="AY221">
            <v>232.39807181824139</v>
          </cell>
          <cell r="AZ221">
            <v>5.1753443893948781</v>
          </cell>
          <cell r="BA221">
            <v>-19.697175448049059</v>
          </cell>
          <cell r="BB221">
            <v>-12.609933767609121</v>
          </cell>
          <cell r="BC221">
            <v>5.014852723472818</v>
          </cell>
          <cell r="BD221">
            <v>-22.653297779321665</v>
          </cell>
          <cell r="BE221">
            <v>5.597429311891716</v>
          </cell>
          <cell r="BF221">
            <v>8.3513166271539969</v>
          </cell>
          <cell r="BG221">
            <v>5.5705233021327984</v>
          </cell>
          <cell r="BH221">
            <v>22.636724925775614</v>
          </cell>
          <cell r="BI221">
            <v>41.48183168877685</v>
          </cell>
          <cell r="BJ221">
            <v>-7.5264719729700174</v>
          </cell>
          <cell r="BK221">
            <v>-11.991791411327915</v>
          </cell>
          <cell r="BL221">
            <v>-0.99807744534136889</v>
          </cell>
          <cell r="BM221">
            <v>-18.403176539089053</v>
          </cell>
          <cell r="BN221">
            <v>-38.849068790572076</v>
          </cell>
          <cell r="BO221">
            <v>0.86910657332966901</v>
          </cell>
          <cell r="BP221">
            <v>0.84081179833783681</v>
          </cell>
          <cell r="BQ221">
            <v>6.8700682144754639</v>
          </cell>
          <cell r="BR221">
            <v>-1.407133248523103</v>
          </cell>
          <cell r="BS221">
            <v>7.1899182668074042</v>
          </cell>
        </row>
        <row r="222">
          <cell r="A222" t="str">
            <v>Other</v>
          </cell>
          <cell r="AK222">
            <v>10.721429960917188</v>
          </cell>
          <cell r="AL222">
            <v>28.164327071671153</v>
          </cell>
          <cell r="AM222">
            <v>25.046363137205955</v>
          </cell>
          <cell r="AN222">
            <v>19.659801803881518</v>
          </cell>
          <cell r="AO222">
            <v>78.45797235357486</v>
          </cell>
          <cell r="AP222">
            <v>46.601462391513813</v>
          </cell>
          <cell r="AQ222">
            <v>43.815064015534119</v>
          </cell>
          <cell r="AR222">
            <v>50.02315532955064</v>
          </cell>
          <cell r="AS222">
            <v>41.841445620171001</v>
          </cell>
          <cell r="AT222">
            <v>37.232391582786285</v>
          </cell>
          <cell r="AU222">
            <v>25.027734493071385</v>
          </cell>
          <cell r="AV222">
            <v>19.343648949503837</v>
          </cell>
          <cell r="AW222">
            <v>7.9378045102378261</v>
          </cell>
          <cell r="AX222">
            <v>20.356070191973135</v>
          </cell>
          <cell r="AY222">
            <v>70.598005892308066</v>
          </cell>
          <cell r="AZ222">
            <v>-10.762096893820354</v>
          </cell>
          <cell r="BA222">
            <v>-12.670433291053255</v>
          </cell>
          <cell r="BB222">
            <v>-21.207511983975838</v>
          </cell>
          <cell r="BC222">
            <v>-23.770937545102147</v>
          </cell>
          <cell r="BD222">
            <v>7.9216478222557267</v>
          </cell>
          <cell r="BE222">
            <v>-13.010045707630345</v>
          </cell>
          <cell r="BF222">
            <v>-9.9529925718979033</v>
          </cell>
          <cell r="BG222">
            <v>11.260270509187746</v>
          </cell>
          <cell r="BH222">
            <v>-3.6915280727831066</v>
          </cell>
          <cell r="BI222">
            <v>-46.067113301320319</v>
          </cell>
          <cell r="BJ222">
            <v>-11.551954791490752</v>
          </cell>
          <cell r="BK222">
            <v>-14.449530376319634</v>
          </cell>
          <cell r="BL222">
            <v>-29.404789130858529</v>
          </cell>
          <cell r="BM222">
            <v>-20.187786436050164</v>
          </cell>
          <cell r="BN222">
            <v>-42.766058466418933</v>
          </cell>
          <cell r="BO222">
            <v>13.112015372442674</v>
          </cell>
          <cell r="BP222">
            <v>8.9762978279780388</v>
          </cell>
          <cell r="BQ222">
            <v>8.3280248403400723</v>
          </cell>
          <cell r="BR222">
            <v>4.2987724880014033</v>
          </cell>
          <cell r="BS222">
            <v>34.835356091662526</v>
          </cell>
        </row>
        <row r="223">
          <cell r="A223" t="str">
            <v>Other</v>
          </cell>
          <cell r="AK223">
            <v>27.277008345471021</v>
          </cell>
          <cell r="AL223">
            <v>47.874197497272199</v>
          </cell>
          <cell r="AM223">
            <v>41.173364849117881</v>
          </cell>
          <cell r="AN223">
            <v>35.497023760449927</v>
          </cell>
          <cell r="AO223">
            <v>78.45797235357486</v>
          </cell>
          <cell r="AP223">
            <v>27.694313719317083</v>
          </cell>
          <cell r="AQ223">
            <v>20.847545334564039</v>
          </cell>
          <cell r="AR223">
            <v>31.945626990471357</v>
          </cell>
          <cell r="AS223">
            <v>24.609629166604609</v>
          </cell>
          <cell r="AT223">
            <v>37.232391582786285</v>
          </cell>
          <cell r="AU223">
            <v>25.027734493071385</v>
          </cell>
          <cell r="AV223">
            <v>19.343648949503837</v>
          </cell>
          <cell r="AW223">
            <v>7.9378045102378261</v>
          </cell>
          <cell r="AX223">
            <v>1.1475660887907333</v>
          </cell>
          <cell r="AY223">
            <v>70.598005892308066</v>
          </cell>
          <cell r="AZ223">
            <v>6.0151303883465639</v>
          </cell>
          <cell r="BA223">
            <v>-12.670433291053255</v>
          </cell>
          <cell r="BB223">
            <v>-21.207511983975838</v>
          </cell>
          <cell r="BC223">
            <v>-3.7534689118296378</v>
          </cell>
          <cell r="BD223">
            <v>24.783451976810483</v>
          </cell>
          <cell r="BE223">
            <v>-30.097391273584783</v>
          </cell>
          <cell r="BF223">
            <v>-9.9529925718979033</v>
          </cell>
          <cell r="BG223">
            <v>11.26027050918759</v>
          </cell>
          <cell r="BH223">
            <v>-3.6915280727831066</v>
          </cell>
          <cell r="BI223">
            <v>-33.792589857213457</v>
          </cell>
        </row>
        <row r="224">
          <cell r="A224" t="str">
            <v>Price/Mix</v>
          </cell>
          <cell r="AK224">
            <v>53.321340494284101</v>
          </cell>
          <cell r="AL224">
            <v>106.5942447487601</v>
          </cell>
          <cell r="AM224">
            <v>57.151939751048275</v>
          </cell>
          <cell r="AN224">
            <v>36.318652475452851</v>
          </cell>
          <cell r="AO224">
            <v>328.64468291220214</v>
          </cell>
          <cell r="AP224">
            <v>63.477896126848471</v>
          </cell>
          <cell r="AQ224">
            <v>13.97287661381951</v>
          </cell>
          <cell r="AR224">
            <v>65.022804084774251</v>
          </cell>
          <cell r="AS224">
            <v>44.847503173779366</v>
          </cell>
          <cell r="AT224">
            <v>182.84694154702208</v>
          </cell>
          <cell r="AU224">
            <v>45.058229065487076</v>
          </cell>
          <cell r="AV224">
            <v>18.125708963125515</v>
          </cell>
          <cell r="AW224">
            <v>9.8809441383133034</v>
          </cell>
          <cell r="AX224">
            <v>49.066324885498133</v>
          </cell>
          <cell r="AY224">
            <v>120.98741135774898</v>
          </cell>
          <cell r="AZ224">
            <v>31.471069336330267</v>
          </cell>
          <cell r="BA224">
            <v>50.75403569852454</v>
          </cell>
          <cell r="BB224">
            <v>58.097327200276034</v>
          </cell>
          <cell r="BC224">
            <v>41.159718055585216</v>
          </cell>
          <cell r="BD224">
            <v>182.15268592046951</v>
          </cell>
          <cell r="BE224">
            <v>29.909202730632003</v>
          </cell>
          <cell r="BF224">
            <v>53.367651668614364</v>
          </cell>
          <cell r="BG224">
            <v>56.58149230760133</v>
          </cell>
          <cell r="BH224">
            <v>47.34253689950657</v>
          </cell>
          <cell r="BI224">
            <v>187.35786336900466</v>
          </cell>
          <cell r="BJ224">
            <v>60.965971983192908</v>
          </cell>
          <cell r="BK224">
            <v>70.17684877412475</v>
          </cell>
          <cell r="BL224">
            <v>64.667264330896003</v>
          </cell>
          <cell r="BM224">
            <v>55.15783909443185</v>
          </cell>
          <cell r="BN224">
            <v>251.66929156377961</v>
          </cell>
          <cell r="BO224">
            <v>52.110503370598309</v>
          </cell>
          <cell r="BP224">
            <v>50.386394801900956</v>
          </cell>
          <cell r="BQ224">
            <v>44.686548203259107</v>
          </cell>
          <cell r="BR224">
            <v>38.509263783126052</v>
          </cell>
          <cell r="BS224">
            <v>184.51275675316722</v>
          </cell>
        </row>
        <row r="225">
          <cell r="A225" t="str">
            <v xml:space="preserve">   % Impact</v>
          </cell>
          <cell r="AK225">
            <v>7.0344776377683507E-2</v>
          </cell>
          <cell r="AL225">
            <v>0.12030953131914233</v>
          </cell>
          <cell r="AM225">
            <v>6.1059764691290895E-2</v>
          </cell>
          <cell r="AN225">
            <v>3.982308385466321E-2</v>
          </cell>
          <cell r="AO225">
            <v>9.4113597626632919E-2</v>
          </cell>
          <cell r="AP225">
            <v>8.2761272655604262E-2</v>
          </cell>
          <cell r="AQ225">
            <v>1.3526502046291878E-2</v>
          </cell>
          <cell r="AR225">
            <v>6.8229595052229017E-2</v>
          </cell>
          <cell r="AS225">
            <v>4.8119638598475713E-2</v>
          </cell>
          <cell r="AT225">
            <v>4.961925143745511E-2</v>
          </cell>
          <cell r="AU225">
            <v>4.8817149583409616E-2</v>
          </cell>
          <cell r="AV225">
            <v>1.7462147363319379E-2</v>
          </cell>
          <cell r="AW225">
            <v>9.2087084234047569E-3</v>
          </cell>
          <cell r="AX225">
            <v>4.8151447385179721E-2</v>
          </cell>
          <cell r="AY225">
            <v>2.9851322812175916E-2</v>
          </cell>
          <cell r="AZ225">
            <v>2.9802148992736994E-2</v>
          </cell>
          <cell r="BA225">
            <v>4.3791230110892615E-2</v>
          </cell>
          <cell r="BB225">
            <v>5.2198856424327075E-2</v>
          </cell>
          <cell r="BC225">
            <v>3.6586416049409085E-2</v>
          </cell>
          <cell r="BD225">
            <v>4.090561103087121E-2</v>
          </cell>
          <cell r="BE225">
            <v>2.8242873211172807E-2</v>
          </cell>
          <cell r="BF225">
            <v>4.4288507608808599E-2</v>
          </cell>
          <cell r="BG225">
            <v>4.8651326145830898E-2</v>
          </cell>
          <cell r="BH225">
            <v>3.9158425888756468E-2</v>
          </cell>
          <cell r="BI225">
            <v>4.0413689251295223E-2</v>
          </cell>
          <cell r="BJ225">
            <v>5.4336873425305625E-2</v>
          </cell>
          <cell r="BK225">
            <v>5.4485131035811138E-2</v>
          </cell>
          <cell r="BL225">
            <v>4.9364323916714505E-2</v>
          </cell>
          <cell r="BM225">
            <v>4.4020621783265643E-2</v>
          </cell>
          <cell r="BN225">
            <v>5.0607136851755399E-2</v>
          </cell>
          <cell r="BO225">
            <v>4.5431999451262695E-2</v>
          </cell>
          <cell r="BP225">
            <v>3.8848415421666116E-2</v>
          </cell>
          <cell r="BQ225">
            <v>3.3751169337808994E-2</v>
          </cell>
          <cell r="BR225">
            <v>3.0015014640004715E-2</v>
          </cell>
          <cell r="BS225">
            <v>3.6529945902428675E-2</v>
          </cell>
        </row>
        <row r="226">
          <cell r="A226" t="str">
            <v xml:space="preserve">   % Impact (excluding Channel Shift)</v>
          </cell>
          <cell r="AK226">
            <v>7.0344776377683507E-2</v>
          </cell>
          <cell r="AL226">
            <v>0.12030953131914233</v>
          </cell>
          <cell r="AM226">
            <v>6.1059764691290895E-2</v>
          </cell>
          <cell r="AN226">
            <v>3.982308385466321E-2</v>
          </cell>
          <cell r="AO226">
            <v>9.4113597626632919E-2</v>
          </cell>
          <cell r="AP226">
            <v>8.2761272655604262E-2</v>
          </cell>
          <cell r="AQ226">
            <v>1.3526502046291878E-2</v>
          </cell>
          <cell r="AR226">
            <v>6.8229595052229017E-2</v>
          </cell>
          <cell r="AS226">
            <v>4.8119638598475713E-2</v>
          </cell>
          <cell r="AT226">
            <v>4.961925143745511E-2</v>
          </cell>
          <cell r="AU226">
            <v>4.8817149583409616E-2</v>
          </cell>
          <cell r="AV226">
            <v>1.7462147363319379E-2</v>
          </cell>
          <cell r="AW226">
            <v>2.2260352598614447E-2</v>
          </cell>
          <cell r="AX226">
            <v>6.1142943165356366E-2</v>
          </cell>
          <cell r="AY226">
            <v>2.9851322812175916E-2</v>
          </cell>
          <cell r="AZ226">
            <v>4.4059951833646083E-2</v>
          </cell>
          <cell r="BA226">
            <v>5.6213591974568204E-2</v>
          </cell>
          <cell r="BB226">
            <v>5.2198856424327075E-2</v>
          </cell>
          <cell r="BC226">
            <v>3.6586416049409085E-2</v>
          </cell>
          <cell r="BD226">
            <v>4.090561103087121E-2</v>
          </cell>
          <cell r="BE226">
            <v>2.8242873211172807E-2</v>
          </cell>
          <cell r="BF226">
            <v>4.4288507608808599E-2</v>
          </cell>
          <cell r="BG226">
            <v>4.8651326145830898E-2</v>
          </cell>
          <cell r="BH226">
            <v>3.9158425888756468E-2</v>
          </cell>
          <cell r="BI226">
            <v>4.0413689251295223E-2</v>
          </cell>
          <cell r="BJ226">
            <v>5.4336873425305625E-2</v>
          </cell>
          <cell r="BK226">
            <v>5.4485131035811138E-2</v>
          </cell>
          <cell r="BL226">
            <v>4.9364323916714505E-2</v>
          </cell>
          <cell r="BM226">
            <v>4.4020621783265643E-2</v>
          </cell>
          <cell r="BN226">
            <v>5.0607136851755399E-2</v>
          </cell>
          <cell r="BO226">
            <v>4.5431999451262695E-2</v>
          </cell>
          <cell r="BP226">
            <v>3.8848415421666116E-2</v>
          </cell>
          <cell r="BQ226">
            <v>3.3751169337808994E-2</v>
          </cell>
          <cell r="BR226">
            <v>3.0015014640004715E-2</v>
          </cell>
          <cell r="BS226">
            <v>3.6529945902428675E-2</v>
          </cell>
        </row>
        <row r="227">
          <cell r="A227" t="str">
            <v xml:space="preserve">   % Impact (excluding Channel Shift)</v>
          </cell>
          <cell r="AK227">
            <v>7.2018399961399054E-2</v>
          </cell>
          <cell r="AL227">
            <v>0.12293155328076669</v>
          </cell>
          <cell r="AM227">
            <v>6.2180445464256037E-2</v>
          </cell>
          <cell r="AN227">
            <v>4.0540434015769553E-2</v>
          </cell>
          <cell r="AO227">
            <v>9.4113597626632919E-2</v>
          </cell>
          <cell r="AP227">
            <v>8.2761272655604262E-2</v>
          </cell>
          <cell r="AQ227">
            <v>1.3526502046291878E-2</v>
          </cell>
          <cell r="AR227">
            <v>6.8229595052229017E-2</v>
          </cell>
          <cell r="AS227">
            <v>4.8119638598475713E-2</v>
          </cell>
          <cell r="AT227">
            <v>4.961925143745511E-2</v>
          </cell>
          <cell r="AU227">
            <v>4.8817149583409616E-2</v>
          </cell>
          <cell r="AV227">
            <v>1.7462147363319379E-2</v>
          </cell>
          <cell r="AW227">
            <v>2.2260352598614447E-2</v>
          </cell>
          <cell r="AX227">
            <v>6.0283301631621523E-2</v>
          </cell>
          <cell r="AY227">
            <v>2.9851322812175916E-2</v>
          </cell>
          <cell r="AZ227">
            <v>4.4554886547707409E-2</v>
          </cell>
          <cell r="BA227">
            <v>5.6213591974568204E-2</v>
          </cell>
          <cell r="BB227">
            <v>5.2198856424327075E-2</v>
          </cell>
          <cell r="BC227">
            <v>3.6586416049409085E-2</v>
          </cell>
          <cell r="BD227">
            <v>4.1065366163999174E-2</v>
          </cell>
          <cell r="BE227">
            <v>2.8242873211172807E-2</v>
          </cell>
          <cell r="BF227">
            <v>4.4288507608808599E-2</v>
          </cell>
          <cell r="BG227">
            <v>4.9384170183190586E-2</v>
          </cell>
          <cell r="BH227">
            <v>3.9571974186704599E-2</v>
          </cell>
          <cell r="BI227">
            <v>4.0678485138880546E-2</v>
          </cell>
        </row>
        <row r="228">
          <cell r="A228" t="str">
            <v>Pricing</v>
          </cell>
          <cell r="AK228">
            <v>77.463036098619796</v>
          </cell>
          <cell r="AL228">
            <v>138.95991002421951</v>
          </cell>
          <cell r="AM228">
            <v>86.314837656658526</v>
          </cell>
          <cell r="AN228">
            <v>62.904074682611956</v>
          </cell>
          <cell r="AO228">
            <v>375.77332696051582</v>
          </cell>
          <cell r="AP228">
            <v>58.454372234694716</v>
          </cell>
          <cell r="AQ228">
            <v>6.6696925015375221</v>
          </cell>
          <cell r="AR228">
            <v>61.624286610632332</v>
          </cell>
          <cell r="AS228">
            <v>53.08198356784672</v>
          </cell>
          <cell r="AT228">
            <v>276.83651420086329</v>
          </cell>
          <cell r="AU228">
            <v>71.569425601066612</v>
          </cell>
          <cell r="AV228">
            <v>46.792085053922918</v>
          </cell>
          <cell r="AW228">
            <v>36.350810170976942</v>
          </cell>
          <cell r="AX228">
            <v>65.64654411348225</v>
          </cell>
          <cell r="AY228">
            <v>209.97495024892635</v>
          </cell>
          <cell r="AZ228">
            <v>51.566746420425474</v>
          </cell>
          <cell r="BA228">
            <v>67.800287192993125</v>
          </cell>
          <cell r="BB228">
            <v>67.371975719544906</v>
          </cell>
          <cell r="BC228">
            <v>49.331202729717205</v>
          </cell>
          <cell r="BD228">
            <v>248.50925969880944</v>
          </cell>
          <cell r="BE228">
            <v>34.693922060661961</v>
          </cell>
          <cell r="BF228">
            <v>58.310290960719634</v>
          </cell>
          <cell r="BG228">
            <v>37.39239780813412</v>
          </cell>
          <cell r="BH228">
            <v>35.064276654503011</v>
          </cell>
          <cell r="BI228">
            <v>363.03924156672338</v>
          </cell>
          <cell r="BJ228">
            <v>68.048068813187754</v>
          </cell>
          <cell r="BK228">
            <v>76.527954586750795</v>
          </cell>
          <cell r="BL228">
            <v>96.872688307712437</v>
          </cell>
          <cell r="BM228">
            <v>84.170407497468929</v>
          </cell>
          <cell r="BN228">
            <v>251.58444341433827</v>
          </cell>
          <cell r="BO228">
            <v>41.521427746426134</v>
          </cell>
          <cell r="BP228">
            <v>42.443564954991004</v>
          </cell>
          <cell r="BQ228">
            <v>36.550479536748725</v>
          </cell>
          <cell r="BR228">
            <v>26.860542878260102</v>
          </cell>
          <cell r="BS228">
            <v>97.008408754062899</v>
          </cell>
        </row>
        <row r="229">
          <cell r="A229" t="str">
            <v xml:space="preserve">   % Impact</v>
          </cell>
          <cell r="AK229">
            <v>0.10219397902192585</v>
          </cell>
          <cell r="AL229">
            <v>0.15683962756683917</v>
          </cell>
          <cell r="AM229">
            <v>9.2216706898139447E-2</v>
          </cell>
          <cell r="AN229">
            <v>6.897376609935521E-2</v>
          </cell>
          <cell r="AO229">
            <v>0.10760977289820041</v>
          </cell>
          <cell r="AP229">
            <v>7.6211697828806671E-2</v>
          </cell>
          <cell r="AQ229">
            <v>6.4566239124274174E-3</v>
          </cell>
          <cell r="AR229">
            <v>6.4663469685868127E-2</v>
          </cell>
          <cell r="AS229">
            <v>5.6954917991251845E-2</v>
          </cell>
          <cell r="AT229">
            <v>7.5125241302812285E-2</v>
          </cell>
          <cell r="AU229">
            <v>7.7540006068327852E-2</v>
          </cell>
          <cell r="AV229">
            <v>4.5079080013413216E-2</v>
          </cell>
          <cell r="AW229">
            <v>3.3877735480873201E-2</v>
          </cell>
          <cell r="AX229">
            <v>6.4422516303711722E-2</v>
          </cell>
          <cell r="AY229">
            <v>5.1807290957050667E-2</v>
          </cell>
          <cell r="AZ229">
            <v>4.8832146231463515E-2</v>
          </cell>
          <cell r="BA229">
            <v>5.8498953574627373E-2</v>
          </cell>
          <cell r="BB229">
            <v>6.0531873961855262E-2</v>
          </cell>
          <cell r="BC229">
            <v>4.3849957981970847E-2</v>
          </cell>
          <cell r="BD229">
            <v>5.580715465951256E-2</v>
          </cell>
          <cell r="BE229">
            <v>3.276102177588476E-2</v>
          </cell>
          <cell r="BF229">
            <v>4.8390282954954053E-2</v>
          </cell>
          <cell r="BG229">
            <v>3.2151674813528909E-2</v>
          </cell>
          <cell r="BH229">
            <v>2.900271021877834E-2</v>
          </cell>
          <cell r="BI229">
            <v>7.8308723375048184E-2</v>
          </cell>
          <cell r="BJ229">
            <v>6.0648902685550586E-2</v>
          </cell>
          <cell r="BK229">
            <v>5.9416113809589124E-2</v>
          </cell>
          <cell r="BL229">
            <v>7.3948617028788119E-2</v>
          </cell>
          <cell r="BM229">
            <v>6.7175105744189084E-2</v>
          </cell>
          <cell r="BN229">
            <v>5.0590075088344712E-2</v>
          </cell>
          <cell r="BO229">
            <v>3.6200024190432549E-2</v>
          </cell>
          <cell r="BP229">
            <v>3.2724413997680037E-2</v>
          </cell>
          <cell r="BQ229">
            <v>2.7606102369145562E-2</v>
          </cell>
          <cell r="BR229">
            <v>2.0935731004099845E-2</v>
          </cell>
          <cell r="BS229">
            <v>1.9205782766593328E-2</v>
          </cell>
        </row>
        <row r="230">
          <cell r="A230" t="str">
            <v>Newport Menthol</v>
          </cell>
          <cell r="AK230">
            <v>76.988847793553774</v>
          </cell>
          <cell r="AL230">
            <v>123.53486695832919</v>
          </cell>
          <cell r="AM230">
            <v>76.718560379898022</v>
          </cell>
          <cell r="AN230">
            <v>46.591451313827648</v>
          </cell>
          <cell r="AO230">
            <v>324.8131356146182</v>
          </cell>
          <cell r="AP230">
            <v>54.314448671101779</v>
          </cell>
          <cell r="AQ230">
            <v>21.843272751673439</v>
          </cell>
          <cell r="AR230">
            <v>68.201680497035468</v>
          </cell>
          <cell r="AS230">
            <v>66.178020770299327</v>
          </cell>
          <cell r="AT230">
            <v>206.58131078169927</v>
          </cell>
          <cell r="AU230">
            <v>1.5191796058815845</v>
          </cell>
          <cell r="AV230">
            <v>29.215722996571479</v>
          </cell>
          <cell r="AW230">
            <v>35.798139720296547</v>
          </cell>
          <cell r="AX230">
            <v>58.869799267615178</v>
          </cell>
          <cell r="AY230">
            <v>124.81009810471784</v>
          </cell>
          <cell r="AZ230">
            <v>51.732231877092509</v>
          </cell>
          <cell r="BA230">
            <v>37.994505361093829</v>
          </cell>
          <cell r="BB230">
            <v>26.974191738122695</v>
          </cell>
          <cell r="BC230">
            <v>3.7433820866657999</v>
          </cell>
          <cell r="BD230">
            <v>123.43140044503802</v>
          </cell>
          <cell r="BE230">
            <v>44.81419486858168</v>
          </cell>
          <cell r="BF230">
            <v>43.665612384370156</v>
          </cell>
          <cell r="BG230">
            <v>36.526941144416192</v>
          </cell>
          <cell r="BH230">
            <v>33.584431863639026</v>
          </cell>
          <cell r="BI230">
            <v>159.3690631196952</v>
          </cell>
          <cell r="BJ230">
            <v>54.019242963295056</v>
          </cell>
          <cell r="BK230">
            <v>59.380652130399135</v>
          </cell>
          <cell r="BL230">
            <v>68.745800439955659</v>
          </cell>
          <cell r="BM230">
            <v>55.068980849305213</v>
          </cell>
          <cell r="BN230">
            <v>237.49360967175463</v>
          </cell>
          <cell r="BO230">
            <v>32.891012210615735</v>
          </cell>
          <cell r="BP230">
            <v>34.066999332390481</v>
          </cell>
          <cell r="BQ230">
            <v>30.78653610036984</v>
          </cell>
          <cell r="BR230">
            <v>20.629246408482224</v>
          </cell>
          <cell r="BS230">
            <v>117.29039076279069</v>
          </cell>
        </row>
        <row r="231">
          <cell r="A231" t="str">
            <v>Newport Red</v>
          </cell>
          <cell r="AK231">
            <v>76.988847793553774</v>
          </cell>
          <cell r="AL231">
            <v>123.53486695832919</v>
          </cell>
          <cell r="AM231">
            <v>76.718560379898022</v>
          </cell>
          <cell r="AN231">
            <v>46.591451313827648</v>
          </cell>
          <cell r="AO231">
            <v>324.8131356146182</v>
          </cell>
          <cell r="AP231">
            <v>54.314448671101779</v>
          </cell>
          <cell r="AQ231">
            <v>21.843272751673439</v>
          </cell>
          <cell r="AR231">
            <v>68.201680497035468</v>
          </cell>
          <cell r="AS231">
            <v>66.178020770299327</v>
          </cell>
          <cell r="AT231">
            <v>206.58131078169927</v>
          </cell>
          <cell r="AU231">
            <v>0</v>
          </cell>
          <cell r="AV231">
            <v>0</v>
          </cell>
          <cell r="AW231">
            <v>0</v>
          </cell>
          <cell r="AX231">
            <v>7.1011067865192601</v>
          </cell>
          <cell r="AY231">
            <v>124.81009810471784</v>
          </cell>
          <cell r="AZ231">
            <v>6.8679686164364115</v>
          </cell>
          <cell r="BA231">
            <v>8.4444215100000015</v>
          </cell>
          <cell r="BB231">
            <v>2.951431199999996</v>
          </cell>
          <cell r="BC231">
            <v>2.400398560000002</v>
          </cell>
          <cell r="BD231">
            <v>21.260278483904877</v>
          </cell>
          <cell r="BE231">
            <v>4.0870368000000044</v>
          </cell>
          <cell r="BF231">
            <v>6.7567500000000065</v>
          </cell>
          <cell r="BG231">
            <v>5.7391740000000002</v>
          </cell>
          <cell r="BH231">
            <v>9.4135990800000204</v>
          </cell>
          <cell r="BI231">
            <v>26.201000460058694</v>
          </cell>
          <cell r="BJ231">
            <v>6.2783083362330299</v>
          </cell>
          <cell r="BK231">
            <v>6.9616109654907659</v>
          </cell>
          <cell r="BL231">
            <v>7.5583261723474688</v>
          </cell>
          <cell r="BM231">
            <v>7.6955329787884033</v>
          </cell>
          <cell r="BN231">
            <v>28.35097730452453</v>
          </cell>
          <cell r="BO231">
            <v>6.358670640000005</v>
          </cell>
          <cell r="BP231">
            <v>7.0392272400000051</v>
          </cell>
          <cell r="BQ231">
            <v>8.1855546000000068</v>
          </cell>
          <cell r="BR231">
            <v>7.5685722000000082</v>
          </cell>
          <cell r="BS231">
            <v>29.128979469950849</v>
          </cell>
        </row>
        <row r="232">
          <cell r="A232" t="str">
            <v>Other</v>
          </cell>
          <cell r="AK232">
            <v>0.47418830506602516</v>
          </cell>
          <cell r="AL232">
            <v>15.425043065890309</v>
          </cell>
          <cell r="AM232">
            <v>9.5962772767605014</v>
          </cell>
          <cell r="AN232">
            <v>16.312623368784308</v>
          </cell>
          <cell r="AO232">
            <v>50.96019134589762</v>
          </cell>
          <cell r="AP232">
            <v>4.1399235635929363</v>
          </cell>
          <cell r="AQ232">
            <v>-15.173580250135917</v>
          </cell>
          <cell r="AR232">
            <v>-6.5773938864031374</v>
          </cell>
          <cell r="AS232">
            <v>-13.096037202452603</v>
          </cell>
          <cell r="AT232">
            <v>70.255203419164033</v>
          </cell>
          <cell r="AU232">
            <v>70.050245995185023</v>
          </cell>
          <cell r="AV232">
            <v>17.576362057351442</v>
          </cell>
          <cell r="AW232">
            <v>0.55267045068039855</v>
          </cell>
          <cell r="AX232">
            <v>-0.32436194065220048</v>
          </cell>
          <cell r="AY232">
            <v>85.164852144208524</v>
          </cell>
          <cell r="AZ232">
            <v>-7.0334540731034512</v>
          </cell>
          <cell r="BA232">
            <v>21.361360321899294</v>
          </cell>
          <cell r="BB232">
            <v>37.446352781422213</v>
          </cell>
          <cell r="BC232">
            <v>43.187422083051402</v>
          </cell>
          <cell r="BD232">
            <v>103.81758076986652</v>
          </cell>
          <cell r="BE232">
            <v>-14.207309607919727</v>
          </cell>
          <cell r="BF232">
            <v>7.8879285763494726</v>
          </cell>
          <cell r="BG232">
            <v>-4.8737173362820663</v>
          </cell>
          <cell r="BH232">
            <v>-7.9337542891360338</v>
          </cell>
          <cell r="BI232">
            <v>177.46917798696953</v>
          </cell>
          <cell r="BJ232">
            <v>7.7505175136596653</v>
          </cell>
          <cell r="BK232">
            <v>10.185691490860888</v>
          </cell>
          <cell r="BL232">
            <v>20.568561695409311</v>
          </cell>
          <cell r="BM232">
            <v>21.405893669375317</v>
          </cell>
          <cell r="BN232">
            <v>-14.260143561940909</v>
          </cell>
          <cell r="BO232">
            <v>2.2717448958103952</v>
          </cell>
          <cell r="BP232">
            <v>1.337338382600519</v>
          </cell>
          <cell r="BQ232">
            <v>-2.4216111636211233</v>
          </cell>
          <cell r="BR232">
            <v>-1.3372757302221314</v>
          </cell>
          <cell r="BS232">
            <v>-49.41096147867863</v>
          </cell>
        </row>
        <row r="233">
          <cell r="A233" t="str">
            <v>Other</v>
          </cell>
          <cell r="AK233">
            <v>-10.272858355429475</v>
          </cell>
          <cell r="AL233">
            <v>2.6975043004480934</v>
          </cell>
          <cell r="AM233">
            <v>-0.90146097081939469</v>
          </cell>
          <cell r="AN233">
            <v>6.6012500099286573</v>
          </cell>
          <cell r="AO233">
            <v>50.96019134589762</v>
          </cell>
          <cell r="AP233">
            <v>17.886526673972316</v>
          </cell>
          <cell r="AQ233">
            <v>2.5228504193605046</v>
          </cell>
          <cell r="AR233">
            <v>7.8089248378758214</v>
          </cell>
          <cell r="AS233">
            <v>0.85765586791430815</v>
          </cell>
          <cell r="AT233">
            <v>70.255203419164033</v>
          </cell>
          <cell r="AU233">
            <v>70.050245995185023</v>
          </cell>
          <cell r="AV233">
            <v>17.576362057351442</v>
          </cell>
          <cell r="AW233">
            <v>0.55267045068039855</v>
          </cell>
          <cell r="AX233">
            <v>11.445818735575195</v>
          </cell>
          <cell r="AY233">
            <v>85.164852144208524</v>
          </cell>
          <cell r="AZ233">
            <v>-23.38579672886635</v>
          </cell>
          <cell r="BA233">
            <v>21.361360321899294</v>
          </cell>
          <cell r="BB233">
            <v>37.446352781422213</v>
          </cell>
          <cell r="BC233">
            <v>31.687181268580922</v>
          </cell>
          <cell r="BD233">
            <v>90.625922712488432</v>
          </cell>
          <cell r="BE233">
            <v>-1.1236515308649457</v>
          </cell>
          <cell r="BF233">
            <v>9.1189285763494787</v>
          </cell>
          <cell r="BG233">
            <v>-4.8737173362819473</v>
          </cell>
          <cell r="BH233">
            <v>-9.1327542891363418</v>
          </cell>
          <cell r="BI233">
            <v>166.2710626894264</v>
          </cell>
        </row>
        <row r="234">
          <cell r="A234" t="str">
            <v>Mix</v>
          </cell>
          <cell r="AK234">
            <v>-24.141695604335695</v>
          </cell>
          <cell r="AL234">
            <v>-32.365665275459406</v>
          </cell>
          <cell r="AM234">
            <v>-29.162897905610251</v>
          </cell>
          <cell r="AN234">
            <v>-26.585422207159105</v>
          </cell>
          <cell r="AO234">
            <v>-47.128644048313674</v>
          </cell>
          <cell r="AP234">
            <v>5.0235238921537544</v>
          </cell>
          <cell r="AQ234">
            <v>7.303184112281988</v>
          </cell>
          <cell r="AR234">
            <v>3.3985174741419186</v>
          </cell>
          <cell r="AS234">
            <v>-8.2344803940673543</v>
          </cell>
          <cell r="AT234">
            <v>-93.989572653841208</v>
          </cell>
          <cell r="AU234">
            <v>-26.511196535579536</v>
          </cell>
          <cell r="AV234">
            <v>-28.666376090797403</v>
          </cell>
          <cell r="AW234">
            <v>-26.469866032663639</v>
          </cell>
          <cell r="AX234">
            <v>-16.580219227984117</v>
          </cell>
          <cell r="AY234">
            <v>-88.987538891177365</v>
          </cell>
          <cell r="AZ234">
            <v>-20.095677084095207</v>
          </cell>
          <cell r="BA234">
            <v>-17.046251494468585</v>
          </cell>
          <cell r="BB234">
            <v>-9.2746485192688723</v>
          </cell>
          <cell r="BC234">
            <v>-8.1714846741319889</v>
          </cell>
          <cell r="BD234">
            <v>-66.356573778339936</v>
          </cell>
          <cell r="BE234">
            <v>-4.784719330029958</v>
          </cell>
          <cell r="BF234">
            <v>-4.9426392921052695</v>
          </cell>
          <cell r="BG234">
            <v>19.18909449946721</v>
          </cell>
          <cell r="BH234">
            <v>12.278260245003558</v>
          </cell>
          <cell r="BI234">
            <v>-175.68137819771871</v>
          </cell>
          <cell r="BJ234">
            <v>-7.0820968299948461</v>
          </cell>
          <cell r="BK234">
            <v>-6.3511058126260451</v>
          </cell>
          <cell r="BL234">
            <v>-32.205423976816434</v>
          </cell>
          <cell r="BM234">
            <v>-29.012568403037079</v>
          </cell>
          <cell r="BN234">
            <v>8.4848149441342002E-2</v>
          </cell>
          <cell r="BO234">
            <v>10.589075624172175</v>
          </cell>
          <cell r="BP234">
            <v>7.9428298469099516</v>
          </cell>
          <cell r="BQ234">
            <v>8.1360686665103827</v>
          </cell>
          <cell r="BR234">
            <v>11.64872090486595</v>
          </cell>
          <cell r="BS234">
            <v>87.504347999104326</v>
          </cell>
        </row>
        <row r="235">
          <cell r="A235" t="str">
            <v>Newport Menthol</v>
          </cell>
          <cell r="AK235">
            <v>-2.5558922773421244</v>
          </cell>
          <cell r="AL235">
            <v>-0.35531325429765559</v>
          </cell>
          <cell r="AM235">
            <v>-3.2442985762366447</v>
          </cell>
          <cell r="AN235">
            <v>-2.4895517309962827</v>
          </cell>
          <cell r="AO235">
            <v>-13.024480348841564</v>
          </cell>
          <cell r="AP235">
            <v>3.4783962111169515</v>
          </cell>
          <cell r="AQ235">
            <v>-1.3249455098666445</v>
          </cell>
          <cell r="AR235">
            <v>1.2090329900293142</v>
          </cell>
          <cell r="AS235">
            <v>-0.86814884647780843</v>
          </cell>
          <cell r="AT235">
            <v>3.0407343831211335</v>
          </cell>
          <cell r="AU235">
            <v>0.88648647631328159</v>
          </cell>
          <cell r="AV235">
            <v>0.67847317022091147</v>
          </cell>
          <cell r="AW235">
            <v>-4.4540557730849599</v>
          </cell>
          <cell r="AX235">
            <v>1.2508555006647413</v>
          </cell>
          <cell r="AY235">
            <v>-1.6183451799026471</v>
          </cell>
          <cell r="AZ235">
            <v>-1.1594449478098099</v>
          </cell>
          <cell r="BA235">
            <v>-0.74592085239417827</v>
          </cell>
          <cell r="BB235">
            <v>-0.94845642685850962</v>
          </cell>
          <cell r="BC235">
            <v>0.63774407254000964</v>
          </cell>
          <cell r="BD235">
            <v>-4.6438533136132634</v>
          </cell>
          <cell r="BE235">
            <v>-0.89036627254026968</v>
          </cell>
          <cell r="BF235">
            <v>-1.3410011552030738</v>
          </cell>
          <cell r="BG235">
            <v>2.6244577635172561</v>
          </cell>
          <cell r="BH235">
            <v>-0.59346764163200305</v>
          </cell>
          <cell r="BI235">
            <v>-0.73108117358336244</v>
          </cell>
          <cell r="BJ235">
            <v>-0.24453068580265835</v>
          </cell>
          <cell r="BK235">
            <v>-0.51727306421376085</v>
          </cell>
          <cell r="BL235">
            <v>-0.3770358972190877</v>
          </cell>
          <cell r="BM235">
            <v>-0.23123714723697475</v>
          </cell>
          <cell r="BN235">
            <v>-1.4908756433301562</v>
          </cell>
          <cell r="BO235">
            <v>0.87639313740947955</v>
          </cell>
          <cell r="BP235">
            <v>4.3551086920885496E-3</v>
          </cell>
          <cell r="BQ235">
            <v>-0.58957558764447171</v>
          </cell>
          <cell r="BR235">
            <v>-0.39394707286754027</v>
          </cell>
          <cell r="BS235">
            <v>0.47994034094350013</v>
          </cell>
        </row>
        <row r="236">
          <cell r="A236" t="str">
            <v>Newport Red</v>
          </cell>
          <cell r="AK236">
            <v>0</v>
          </cell>
          <cell r="AL236">
            <v>0</v>
          </cell>
          <cell r="AM236">
            <v>0</v>
          </cell>
          <cell r="AN236">
            <v>0</v>
          </cell>
          <cell r="AO236">
            <v>0</v>
          </cell>
          <cell r="AP236">
            <v>0</v>
          </cell>
          <cell r="AQ236">
            <v>0</v>
          </cell>
          <cell r="AR236">
            <v>0</v>
          </cell>
          <cell r="AS236">
            <v>-12.672746726124622</v>
          </cell>
          <cell r="AT236">
            <v>-11.510678278426695</v>
          </cell>
          <cell r="AU236">
            <v>-17.286702523636563</v>
          </cell>
          <cell r="AV236">
            <v>-30.324778348567492</v>
          </cell>
          <cell r="AW236">
            <v>-18.918335298660331</v>
          </cell>
          <cell r="AX236">
            <v>-8.0079095871775223</v>
          </cell>
          <cell r="AY236">
            <v>-67.80422156704708</v>
          </cell>
          <cell r="AZ236">
            <v>-1.9089047629935108</v>
          </cell>
          <cell r="BA236">
            <v>7.360084179299097</v>
          </cell>
          <cell r="BB236">
            <v>3.2305760876091356</v>
          </cell>
          <cell r="BC236">
            <v>-1.3875826661513955</v>
          </cell>
          <cell r="BD236">
            <v>7.2344999168260209</v>
          </cell>
          <cell r="BE236">
            <v>-1.5968877118917009</v>
          </cell>
          <cell r="BF236">
            <v>-2.4424007746540548</v>
          </cell>
          <cell r="BG236">
            <v>-1.5178438221328481</v>
          </cell>
          <cell r="BH236">
            <v>-6.8733507007755303</v>
          </cell>
          <cell r="BI236">
            <v>-11.960761111335515</v>
          </cell>
          <cell r="BJ236">
            <v>2.1571735526885671</v>
          </cell>
          <cell r="BK236">
            <v>3.2498125231949713</v>
          </cell>
          <cell r="BL236">
            <v>0.25856905257767426</v>
          </cell>
          <cell r="BM236">
            <v>4.4438894667446753</v>
          </cell>
          <cell r="BN236">
            <v>10.181797165384754</v>
          </cell>
          <cell r="BO236">
            <v>-0.19607227928125326</v>
          </cell>
          <cell r="BP236">
            <v>-0.17137143069565841</v>
          </cell>
          <cell r="BQ236">
            <v>-1.3034159190591916</v>
          </cell>
          <cell r="BR236">
            <v>0.24861614207900562</v>
          </cell>
          <cell r="BS236">
            <v>-1.4162632060954579</v>
          </cell>
        </row>
        <row r="237">
          <cell r="A237" t="str">
            <v>Other</v>
          </cell>
          <cell r="AK237">
            <v>-3.7616182659833579</v>
          </cell>
          <cell r="AL237">
            <v>-9.9773701375614952</v>
          </cell>
          <cell r="AM237">
            <v>-8.7426404139663649</v>
          </cell>
          <cell r="AN237">
            <v>-7.6044251726654331</v>
          </cell>
          <cell r="AO237">
            <v>-36.189163699472211</v>
          </cell>
          <cell r="AP237">
            <v>-18.904385955106761</v>
          </cell>
          <cell r="AQ237">
            <v>-13.689483765398318</v>
          </cell>
          <cell r="AR237">
            <v>-16.310761443147513</v>
          </cell>
          <cell r="AS237">
            <v>-12.241408417718265</v>
          </cell>
          <cell r="AT237">
            <v>-15.4125950019505</v>
          </cell>
          <cell r="AU237">
            <v>-10.11098048825631</v>
          </cell>
          <cell r="AV237">
            <v>-7.6770110068551709</v>
          </cell>
          <cell r="AW237">
            <v>-3.0974749609183663</v>
          </cell>
          <cell r="AX237">
            <v>-7.8827082513212607</v>
          </cell>
          <cell r="AY237">
            <v>-22.806858036516005</v>
          </cell>
          <cell r="AZ237">
            <v>0.27255096692378089</v>
          </cell>
          <cell r="BA237">
            <v>3.9820729691540215</v>
          </cell>
          <cell r="BB237">
            <v>8.3311592025536143</v>
          </cell>
          <cell r="BC237">
            <v>9.8785154620505722</v>
          </cell>
          <cell r="BD237">
            <v>-1.7242285921228273</v>
          </cell>
          <cell r="BE237">
            <v>1.45035531555002</v>
          </cell>
          <cell r="BF237">
            <v>2.4520639955483743</v>
          </cell>
          <cell r="BG237">
            <v>-2.7675531729055383</v>
          </cell>
          <cell r="BH237">
            <v>0.89128236191967147</v>
          </cell>
          <cell r="BI237">
            <v>6.1029353143518108</v>
          </cell>
          <cell r="BJ237">
            <v>3.0754372778312016</v>
          </cell>
          <cell r="BK237">
            <v>3.8768388854588025</v>
          </cell>
          <cell r="BL237">
            <v>9.619227435449119</v>
          </cell>
          <cell r="BM237">
            <v>6.3625860419160212</v>
          </cell>
          <cell r="BN237">
            <v>-1.7231046963989112</v>
          </cell>
          <cell r="BO237">
            <v>-3.3067657779009196</v>
          </cell>
          <cell r="BP237">
            <v>-2.1507103847088516</v>
          </cell>
          <cell r="BQ237">
            <v>-2.020752588423357</v>
          </cell>
          <cell r="BR237">
            <v>-0.95784376551658501</v>
          </cell>
          <cell r="BS237">
            <v>-0.54516021620410271</v>
          </cell>
        </row>
        <row r="238">
          <cell r="A238" t="str">
            <v>Other</v>
          </cell>
          <cell r="AK238">
            <v>-9.5701499900416902</v>
          </cell>
          <cell r="AL238">
            <v>-16.959701797720328</v>
          </cell>
          <cell r="AM238">
            <v>-14.371903878298395</v>
          </cell>
          <cell r="AN238">
            <v>-13.730273770378192</v>
          </cell>
          <cell r="AO238">
            <v>-36.189163699472211</v>
          </cell>
          <cell r="AP238">
            <v>-13.74384039328941</v>
          </cell>
          <cell r="AQ238">
            <v>-8.4183957539246599</v>
          </cell>
          <cell r="AR238">
            <v>-12.619551828347188</v>
          </cell>
          <cell r="AS238">
            <v>-8.9632850345187851</v>
          </cell>
          <cell r="AT238">
            <v>-15.4125950019505</v>
          </cell>
          <cell r="AU238">
            <v>-10.11098048825631</v>
          </cell>
          <cell r="AV238">
            <v>-7.6770110068551709</v>
          </cell>
          <cell r="AW238">
            <v>-3.0974749609183663</v>
          </cell>
          <cell r="AX238">
            <v>-0.44438482436625293</v>
          </cell>
          <cell r="AY238">
            <v>-22.806858036516005</v>
          </cell>
          <cell r="AZ238">
            <v>-0.15233365948023803</v>
          </cell>
          <cell r="BA238">
            <v>3.9820729691540215</v>
          </cell>
          <cell r="BB238">
            <v>8.3311592025536143</v>
          </cell>
          <cell r="BC238">
            <v>1.361287643248545</v>
          </cell>
          <cell r="BD238">
            <v>-5.3943746892994966</v>
          </cell>
          <cell r="BE238">
            <v>5.454042804449676</v>
          </cell>
          <cell r="BF238">
            <v>2.4520639955483627</v>
          </cell>
          <cell r="BG238">
            <v>-2.767553172905501</v>
          </cell>
          <cell r="BH238">
            <v>0.89128236191968391</v>
          </cell>
          <cell r="BI238">
            <v>5.0585271677873038</v>
          </cell>
        </row>
        <row r="239">
          <cell r="A239" t="str">
            <v>Mix Impact</v>
          </cell>
          <cell r="AK239">
            <v>-3.184920264424234E-2</v>
          </cell>
          <cell r="AL239">
            <v>-3.6530096247696847E-2</v>
          </cell>
          <cell r="AM239">
            <v>-3.1156942206848559E-2</v>
          </cell>
          <cell r="AN239">
            <v>-2.9150682244692E-2</v>
          </cell>
          <cell r="AO239">
            <v>-1.349617527156749E-2</v>
          </cell>
          <cell r="AP239">
            <v>6.5495748267975938E-3</v>
          </cell>
          <cell r="AQ239">
            <v>7.0698781338644611E-3</v>
          </cell>
          <cell r="AR239">
            <v>3.5661253663608799E-3</v>
          </cell>
          <cell r="AS239">
            <v>-8.8352793927761308E-3</v>
          </cell>
          <cell r="AT239">
            <v>-2.5505989865357181E-2</v>
          </cell>
          <cell r="AU239">
            <v>-2.8722856484918242E-2</v>
          </cell>
          <cell r="AV239">
            <v>-2.7616932650093837E-2</v>
          </cell>
          <cell r="AW239">
            <v>-2.4669027057468443E-2</v>
          </cell>
          <cell r="AX239">
            <v>-1.6271068918532007E-2</v>
          </cell>
          <cell r="AY239">
            <v>-2.195596814487475E-2</v>
          </cell>
          <cell r="AZ239">
            <v>-1.9029997238726521E-2</v>
          </cell>
          <cell r="BA239">
            <v>-1.4707723463734758E-2</v>
          </cell>
          <cell r="BB239">
            <v>-8.3330175375281867E-3</v>
          </cell>
          <cell r="BC239">
            <v>-7.2635419325617675E-3</v>
          </cell>
          <cell r="BD239">
            <v>-1.4901543628641351E-2</v>
          </cell>
          <cell r="BE239">
            <v>-4.518148564711953E-3</v>
          </cell>
          <cell r="BF239">
            <v>-4.1017753461454519E-3</v>
          </cell>
          <cell r="BG239">
            <v>1.6499651332301985E-2</v>
          </cell>
          <cell r="BH239">
            <v>1.0155715669978129E-2</v>
          </cell>
          <cell r="BI239">
            <v>-3.789503412375296E-2</v>
          </cell>
          <cell r="BJ239">
            <v>-6.3120292602449612E-3</v>
          </cell>
          <cell r="BK239">
            <v>-4.9309827737779857E-3</v>
          </cell>
          <cell r="BL239">
            <v>-2.4584293112073614E-2</v>
          </cell>
          <cell r="BM239">
            <v>-2.3154483960923448E-2</v>
          </cell>
          <cell r="BN239">
            <v>1.7061763410686105E-5</v>
          </cell>
          <cell r="BO239">
            <v>9.2319752608301438E-3</v>
          </cell>
          <cell r="BP239">
            <v>6.1240014239860845E-3</v>
          </cell>
          <cell r="BQ239">
            <v>6.145066968663431E-3</v>
          </cell>
          <cell r="BR239">
            <v>9.0792836359048709E-3</v>
          </cell>
          <cell r="BS239">
            <v>1.7324163135835343E-2</v>
          </cell>
        </row>
        <row r="240">
          <cell r="A240" t="str">
            <v>Newport Menthol</v>
          </cell>
          <cell r="AK240">
            <v>-3.371889547944755E-3</v>
          </cell>
          <cell r="AL240">
            <v>-4.0103076105830202E-4</v>
          </cell>
          <cell r="AM240">
            <v>-3.4661309575177829E-3</v>
          </cell>
          <cell r="AN240">
            <v>-2.7297716348643449E-3</v>
          </cell>
          <cell r="AO240">
            <v>-3.7298053690840677E-3</v>
          </cell>
          <cell r="AP240">
            <v>4.5350667680794671E-3</v>
          </cell>
          <cell r="AQ240">
            <v>-1.2826190802194041E-3</v>
          </cell>
          <cell r="AR240">
            <v>1.2686600105239394E-3</v>
          </cell>
          <cell r="AS240">
            <v>-9.3149017862425795E-4</v>
          </cell>
          <cell r="AT240">
            <v>8.2516536855390332E-4</v>
          </cell>
          <cell r="AU240">
            <v>9.6044038603822495E-4</v>
          </cell>
          <cell r="AV240">
            <v>6.5363503874846967E-4</v>
          </cell>
          <cell r="AW240">
            <v>-4.1510305434156198E-3</v>
          </cell>
          <cell r="AX240">
            <v>1.2275323853432202E-3</v>
          </cell>
          <cell r="AY240">
            <v>-3.9929562790590851E-4</v>
          </cell>
          <cell r="AZ240">
            <v>-1.0979592308805017E-3</v>
          </cell>
          <cell r="BA240">
            <v>-6.4359003657823836E-4</v>
          </cell>
          <cell r="BB240">
            <v>-8.5216210858805896E-4</v>
          </cell>
          <cell r="BC240">
            <v>5.6688362003556414E-4</v>
          </cell>
          <cell r="BD240">
            <v>-1.042859491042727E-3</v>
          </cell>
          <cell r="BE240">
            <v>-8.4076135272924423E-4</v>
          </cell>
          <cell r="BF240">
            <v>-1.1128640292141691E-3</v>
          </cell>
          <cell r="BG240">
            <v>2.2566274836777781E-3</v>
          </cell>
          <cell r="BH240">
            <v>-4.9087480697436155E-4</v>
          </cell>
          <cell r="BI240">
            <v>-1.5769654305076842E-4</v>
          </cell>
          <cell r="BJ240">
            <v>-2.1794178770290405E-4</v>
          </cell>
          <cell r="BK240">
            <v>-4.0160952190509383E-4</v>
          </cell>
          <cell r="BL240">
            <v>-2.8781366199930356E-4</v>
          </cell>
          <cell r="BM240">
            <v>-1.8454680545648423E-4</v>
          </cell>
          <cell r="BN240">
            <v>-2.9979401635434473E-4</v>
          </cell>
          <cell r="BO240">
            <v>7.6407422616345212E-4</v>
          </cell>
          <cell r="BP240">
            <v>3.357832453422166E-6</v>
          </cell>
          <cell r="BQ240">
            <v>-4.4529878220881547E-4</v>
          </cell>
          <cell r="BR240">
            <v>-3.0705149872762297E-4</v>
          </cell>
          <cell r="BS240">
            <v>9.5018875656998643E-5</v>
          </cell>
        </row>
        <row r="241">
          <cell r="A241" t="str">
            <v>Newport Red</v>
          </cell>
          <cell r="AK241">
            <v>0</v>
          </cell>
          <cell r="AL241">
            <v>0</v>
          </cell>
          <cell r="AM241">
            <v>0</v>
          </cell>
          <cell r="AN241">
            <v>0</v>
          </cell>
          <cell r="AO241">
            <v>0</v>
          </cell>
          <cell r="AP241">
            <v>0</v>
          </cell>
          <cell r="AQ241">
            <v>0</v>
          </cell>
          <cell r="AR241">
            <v>0</v>
          </cell>
          <cell r="AS241">
            <v>-1.3597367731893371E-2</v>
          </cell>
          <cell r="AT241">
            <v>-3.1236576060859416E-3</v>
          </cell>
          <cell r="AU241">
            <v>-1.8728821802423145E-2</v>
          </cell>
          <cell r="AV241">
            <v>-2.9214622686481204E-2</v>
          </cell>
          <cell r="AW241">
            <v>-1.7631253773215592E-2</v>
          </cell>
          <cell r="AX241">
            <v>-7.8585962582703849E-3</v>
          </cell>
          <cell r="AY241">
            <v>-1.6729390961521609E-2</v>
          </cell>
          <cell r="AZ241">
            <v>-1.807674964955976E-3</v>
          </cell>
          <cell r="BA241">
            <v>6.3503746154435691E-3</v>
          </cell>
          <cell r="BB241">
            <v>2.9025840859021883E-3</v>
          </cell>
          <cell r="BC241">
            <v>-1.233406814356796E-3</v>
          </cell>
          <cell r="BD241">
            <v>1.6246350587976691E-3</v>
          </cell>
          <cell r="BE241">
            <v>-1.5079204078297459E-3</v>
          </cell>
          <cell r="BF241">
            <v>-2.0268886096714146E-3</v>
          </cell>
          <cell r="BG241">
            <v>-1.3051107670961721E-3</v>
          </cell>
          <cell r="BH241">
            <v>-5.6851535986563529E-3</v>
          </cell>
          <cell r="BI241">
            <v>-2.5799743553355293E-3</v>
          </cell>
          <cell r="BJ241">
            <v>1.9226145745887407E-3</v>
          </cell>
          <cell r="BK241">
            <v>2.5231463689401952E-3</v>
          </cell>
          <cell r="BL241">
            <v>1.9738095616616356E-4</v>
          </cell>
          <cell r="BM241">
            <v>3.5465997340340585E-3</v>
          </cell>
          <cell r="BN241">
            <v>2.0474154766508654E-3</v>
          </cell>
          <cell r="BO241">
            <v>-1.7094357391565237E-4</v>
          </cell>
          <cell r="BP241">
            <v>-1.3212909074453231E-4</v>
          </cell>
          <cell r="BQ241">
            <v>-9.8445311107189706E-4</v>
          </cell>
          <cell r="BR241">
            <v>1.9377719569680873E-4</v>
          </cell>
          <cell r="BS241">
            <v>-2.8039263632854045E-4</v>
          </cell>
        </row>
        <row r="242">
          <cell r="A242" t="str">
            <v>Other</v>
          </cell>
          <cell r="AK242">
            <v>-4.9625570791337172E-3</v>
          </cell>
          <cell r="AL242">
            <v>-1.1261140110114554E-2</v>
          </cell>
          <cell r="AM242">
            <v>-9.3404277926991078E-3</v>
          </cell>
          <cell r="AN242">
            <v>-8.3381854963436759E-3</v>
          </cell>
          <cell r="AO242">
            <v>-1.0363448940284138E-2</v>
          </cell>
          <cell r="AP242">
            <v>-2.4647178559461226E-2</v>
          </cell>
          <cell r="AQ242">
            <v>-1.3252162406000308E-2</v>
          </cell>
          <cell r="AR242">
            <v>-1.711517465178123E-2</v>
          </cell>
          <cell r="AS242">
            <v>-1.3134558388109726E-2</v>
          </cell>
          <cell r="AT242">
            <v>-4.1825223885890092E-3</v>
          </cell>
          <cell r="AU242">
            <v>-1.095447506853338E-2</v>
          </cell>
          <cell r="AV242">
            <v>-7.395964361132149E-3</v>
          </cell>
          <cell r="AW242">
            <v>-2.8867427408372473E-3</v>
          </cell>
          <cell r="AX242">
            <v>-7.7357293928569781E-3</v>
          </cell>
          <cell r="AY242">
            <v>-5.6271547092316817E-3</v>
          </cell>
          <cell r="AZ242">
            <v>2.5809750655661067E-4</v>
          </cell>
          <cell r="BA242">
            <v>3.4357834073805191E-3</v>
          </cell>
          <cell r="BB242">
            <v>7.4853182412880628E-3</v>
          </cell>
          <cell r="BC242">
            <v>8.7809026329338426E-3</v>
          </cell>
          <cell r="BD242">
            <v>-3.8720606155913482E-4</v>
          </cell>
          <cell r="BE242">
            <v>1.3695517616147497E-3</v>
          </cell>
          <cell r="BF242">
            <v>2.0349078801231322E-3</v>
          </cell>
          <cell r="BG242">
            <v>-2.3796673885688206E-3</v>
          </cell>
          <cell r="BH242">
            <v>7.3720625468955462E-4</v>
          </cell>
          <cell r="BI242">
            <v>1.3164226303606149E-3</v>
          </cell>
          <cell r="BJ242">
            <v>2.7410314419172919E-3</v>
          </cell>
          <cell r="BK242">
            <v>3.0099680787723623E-3</v>
          </cell>
          <cell r="BL242">
            <v>7.3429217064497091E-3</v>
          </cell>
          <cell r="BM242">
            <v>5.0778819169321797E-3</v>
          </cell>
          <cell r="BN242">
            <v>-3.4649199605849815E-4</v>
          </cell>
          <cell r="BO242">
            <v>-2.8829692919798778E-3</v>
          </cell>
          <cell r="BP242">
            <v>-1.6582192634609495E-3</v>
          </cell>
          <cell r="BQ242">
            <v>-1.5262481785674902E-3</v>
          </cell>
          <cell r="BR242">
            <v>-7.4656567850084571E-4</v>
          </cell>
          <cell r="BS242">
            <v>-1.0793114555614783E-4</v>
          </cell>
        </row>
        <row r="243">
          <cell r="A243" t="str">
            <v>Other</v>
          </cell>
          <cell r="AK243">
            <v>-1.2625527691347876E-2</v>
          </cell>
          <cell r="AL243">
            <v>-1.9141875618194502E-2</v>
          </cell>
          <cell r="AM243">
            <v>-1.5354598160575208E-2</v>
          </cell>
          <cell r="AN243">
            <v>-1.5055124748221701E-2</v>
          </cell>
          <cell r="AO243">
            <v>-1.0363448940284138E-2</v>
          </cell>
          <cell r="AP243">
            <v>-1.7918957487991407E-2</v>
          </cell>
          <cell r="AQ243">
            <v>-8.1494634597528166E-3</v>
          </cell>
          <cell r="AR243">
            <v>-1.3241922170353818E-2</v>
          </cell>
          <cell r="AS243">
            <v>-9.6172586207283108E-3</v>
          </cell>
          <cell r="AT243">
            <v>-4.1825223885890092E-3</v>
          </cell>
          <cell r="AU243">
            <v>-1.095447506853338E-2</v>
          </cell>
          <cell r="AV243">
            <v>-7.395964361132149E-3</v>
          </cell>
          <cell r="AW243">
            <v>-2.8867427408372473E-3</v>
          </cell>
          <cell r="AX243">
            <v>-4.3609894442223052E-4</v>
          </cell>
          <cell r="AY243">
            <v>-5.6271547092316817E-3</v>
          </cell>
          <cell r="AZ243">
            <v>-1.44255359356286E-4</v>
          </cell>
          <cell r="BA243">
            <v>3.4357834073805191E-3</v>
          </cell>
          <cell r="BB243">
            <v>7.4853182412880628E-3</v>
          </cell>
          <cell r="BC243">
            <v>1.2100334606653734E-3</v>
          </cell>
          <cell r="BD243">
            <v>-1.2114023555579378E-3</v>
          </cell>
          <cell r="BE243">
            <v>5.1501820627475698E-3</v>
          </cell>
          <cell r="BF243">
            <v>2.0349078801231227E-3</v>
          </cell>
          <cell r="BG243">
            <v>-2.3796673885687885E-3</v>
          </cell>
          <cell r="BH243">
            <v>7.3720625468956481E-4</v>
          </cell>
          <cell r="BI243">
            <v>1.0911404589705141E-3</v>
          </cell>
        </row>
        <row r="244">
          <cell r="A244" t="str">
            <v>Prior Year OM</v>
          </cell>
          <cell r="AK244">
            <v>0.35092348284960423</v>
          </cell>
          <cell r="AL244">
            <v>0.39729119638826182</v>
          </cell>
          <cell r="AM244">
            <v>0.40811965811965811</v>
          </cell>
          <cell r="AN244">
            <v>0.45394736842105265</v>
          </cell>
          <cell r="AO244">
            <v>0.40492554410080184</v>
          </cell>
          <cell r="AP244">
            <v>0.3833116036505867</v>
          </cell>
          <cell r="AQ244">
            <v>0.44143272023233299</v>
          </cell>
          <cell r="AR244">
            <v>0.41133263378803775</v>
          </cell>
          <cell r="AS244">
            <v>0.42703862660944208</v>
          </cell>
          <cell r="AT244">
            <v>0.41791044776119401</v>
          </cell>
          <cell r="AU244">
            <v>0.41386782231852653</v>
          </cell>
          <cell r="AV244">
            <v>0.42870905587668595</v>
          </cell>
          <cell r="AW244">
            <v>0.43336439888164024</v>
          </cell>
          <cell r="AX244">
            <v>0.42394504416094209</v>
          </cell>
          <cell r="AY244">
            <v>0.42561065877128051</v>
          </cell>
          <cell r="AZ244">
            <v>0.39867424242424243</v>
          </cell>
          <cell r="BA244">
            <v>0.42018981880931838</v>
          </cell>
          <cell r="BB244">
            <v>0.4088050314465409</v>
          </cell>
          <cell r="BC244">
            <v>0.44888888888888889</v>
          </cell>
          <cell r="BD244">
            <v>0.41949247698181003</v>
          </cell>
          <cell r="BE244">
            <v>0.40447426488547478</v>
          </cell>
          <cell r="BF244">
            <v>0.40499161919405025</v>
          </cell>
          <cell r="BI244">
            <v>0.40492554410080184</v>
          </cell>
          <cell r="BJ244">
            <v>0.41791044776119401</v>
          </cell>
          <cell r="BK244">
            <v>0.42561065877128051</v>
          </cell>
          <cell r="BL244">
            <v>0.41949247698181003</v>
          </cell>
          <cell r="BM244">
            <v>0.40447426488547478</v>
          </cell>
          <cell r="BN244">
            <v>0.40499161919405025</v>
          </cell>
        </row>
        <row r="245">
          <cell r="A245" t="str">
            <v>Prior Year OM</v>
          </cell>
          <cell r="AK245">
            <v>0.35092348284960423</v>
          </cell>
          <cell r="AL245">
            <v>0.39729119638826182</v>
          </cell>
          <cell r="AM245">
            <v>0.40811965811965811</v>
          </cell>
          <cell r="AN245">
            <v>0.45394736842105265</v>
          </cell>
          <cell r="AO245">
            <v>0.40492554410080184</v>
          </cell>
          <cell r="AP245">
            <v>0.3833116036505867</v>
          </cell>
          <cell r="AQ245">
            <v>0.44143272023233299</v>
          </cell>
          <cell r="AR245">
            <v>0.41133263378803775</v>
          </cell>
          <cell r="AS245">
            <v>0.42703862660944208</v>
          </cell>
          <cell r="AT245">
            <v>0.41791044776119401</v>
          </cell>
          <cell r="AU245">
            <v>0.41386782231852653</v>
          </cell>
          <cell r="AV245">
            <v>0.42870905587668595</v>
          </cell>
          <cell r="AW245">
            <v>0.43336439888164024</v>
          </cell>
          <cell r="AX245">
            <v>0.42394504416094209</v>
          </cell>
          <cell r="AY245">
            <v>0.42561065877128051</v>
          </cell>
          <cell r="AZ245">
            <v>0.39867424242424243</v>
          </cell>
          <cell r="BA245">
            <v>0.42018981880931838</v>
          </cell>
          <cell r="BB245">
            <v>0.4088050314465409</v>
          </cell>
          <cell r="BC245">
            <v>0.44888888888888889</v>
          </cell>
          <cell r="BD245">
            <v>0.41949247698181003</v>
          </cell>
          <cell r="BE245">
            <v>0.37677053824362605</v>
          </cell>
          <cell r="BF245">
            <v>0.4058091286307054</v>
          </cell>
          <cell r="BG245">
            <v>0.41358555460017199</v>
          </cell>
          <cell r="BH245">
            <v>0.4251447477253929</v>
          </cell>
          <cell r="BI245">
            <v>0.40616911130284727</v>
          </cell>
          <cell r="BJ245">
            <v>0.39037433155080214</v>
          </cell>
          <cell r="BK245">
            <v>0.4107142857142857</v>
          </cell>
          <cell r="BL245">
            <v>0.41297709923664122</v>
          </cell>
          <cell r="BM245">
            <v>0.41739824421388666</v>
          </cell>
          <cell r="BN245">
            <v>0.40840538910114621</v>
          </cell>
          <cell r="BO245">
            <v>0.38971229293809939</v>
          </cell>
          <cell r="BP245">
            <v>0.41017733230531994</v>
          </cell>
          <cell r="BQ245">
            <v>0.43051359516616317</v>
          </cell>
          <cell r="BR245">
            <v>0.45985970381917379</v>
          </cell>
          <cell r="BS245">
            <v>0.42348049891110673</v>
          </cell>
        </row>
        <row r="246">
          <cell r="A246" t="str">
            <v>Price</v>
          </cell>
          <cell r="AK246">
            <v>6.9279180100411342E-2</v>
          </cell>
          <cell r="AL246">
            <v>8.681764924108798E-2</v>
          </cell>
          <cell r="AM246">
            <v>5.8626512090014737E-2</v>
          </cell>
          <cell r="AN246">
            <v>4.147022667129574E-2</v>
          </cell>
          <cell r="AO246">
            <v>6.6098139911591081E-2</v>
          </cell>
          <cell r="AP246">
            <v>3.9630052356503298E-2</v>
          </cell>
          <cell r="AQ246">
            <v>3.694582519791989E-3</v>
          </cell>
          <cell r="AR246">
            <v>3.4525759542005652E-2</v>
          </cell>
          <cell r="AS246">
            <v>3.165707563150455E-2</v>
          </cell>
          <cell r="AT246">
            <v>4.2109390554163906E-2</v>
          </cell>
          <cell r="AU246">
            <v>4.3717190615600421E-2</v>
          </cell>
          <cell r="AV246">
            <v>2.439339528951312E-2</v>
          </cell>
          <cell r="AW246">
            <v>2.8014775935712111E-2</v>
          </cell>
          <cell r="AX246">
            <v>4.1557885968725783E-2</v>
          </cell>
          <cell r="AY246">
            <v>3.4178592856009715E-2</v>
          </cell>
          <cell r="AZ246">
            <v>4.1840356302308257E-2</v>
          </cell>
          <cell r="BA246">
            <v>4.3499367328943495E-2</v>
          </cell>
          <cell r="BB246">
            <v>3.6059592216997338E-2</v>
          </cell>
          <cell r="BC246">
            <v>2.4453793235580168E-2</v>
          </cell>
          <cell r="BD246">
            <v>3.6077611118039254E-2</v>
          </cell>
          <cell r="BE246">
            <v>0.43055978627199454</v>
          </cell>
          <cell r="BF246">
            <v>1.1304460438783708</v>
          </cell>
          <cell r="BG246">
            <v>-3.0210892631588142</v>
          </cell>
          <cell r="BH246">
            <v>-0.95705035856614962</v>
          </cell>
          <cell r="BI246">
            <v>-3.1135772589102131</v>
          </cell>
          <cell r="BJ246">
            <v>-0.675906595732227</v>
          </cell>
          <cell r="BK246">
            <v>-0.62542779744700283</v>
          </cell>
          <cell r="BL246">
            <v>-0.58717953760204589</v>
          </cell>
          <cell r="BM246">
            <v>-0.54845031881669337</v>
          </cell>
          <cell r="BN246">
            <v>-0.5949310024312382</v>
          </cell>
          <cell r="BO246">
            <v>-0.57410885775302978</v>
          </cell>
          <cell r="BP246">
            <v>-0.56721949936518112</v>
          </cell>
          <cell r="BQ246">
            <v>-0.54791100164007189</v>
          </cell>
          <cell r="BR246">
            <v>-0.53529188460013377</v>
          </cell>
          <cell r="BS246">
            <v>-0.55542370197188373</v>
          </cell>
        </row>
        <row r="247">
          <cell r="A247" t="str">
            <v>Reservation Shift</v>
          </cell>
          <cell r="AK247">
            <v>5.8751843419143635E-2</v>
          </cell>
          <cell r="AL247">
            <v>7.7758920805894471E-2</v>
          </cell>
          <cell r="AM247">
            <v>5.0879984314453397E-2</v>
          </cell>
          <cell r="AN247">
            <v>3.4680371056000026E-2</v>
          </cell>
          <cell r="AO247">
            <v>6.6098139911591081E-2</v>
          </cell>
          <cell r="AP247">
            <v>4.9740671631468836E-2</v>
          </cell>
          <cell r="AQ247">
            <v>1.3732912671143682E-2</v>
          </cell>
          <cell r="AR247">
            <v>4.3200374322724056E-2</v>
          </cell>
          <cell r="AS247">
            <v>4.0564790925249561E-2</v>
          </cell>
          <cell r="AT247">
            <v>4.2109390554163906E-2</v>
          </cell>
          <cell r="AU247">
            <v>0</v>
          </cell>
          <cell r="AV247">
            <v>0</v>
          </cell>
          <cell r="AW247">
            <v>-7.3463236774060636E-3</v>
          </cell>
          <cell r="AX247">
            <v>-6.4097235622889159E-3</v>
          </cell>
          <cell r="AY247">
            <v>-3.5298579300283572E-3</v>
          </cell>
          <cell r="AZ247">
            <v>-8.7364998953651241E-3</v>
          </cell>
          <cell r="BA247">
            <v>-7.0156559180973854E-3</v>
          </cell>
          <cell r="BB247">
            <v>0</v>
          </cell>
          <cell r="BC247">
            <v>0</v>
          </cell>
          <cell r="BD247">
            <v>-3.7489495607053724E-3</v>
          </cell>
          <cell r="BE247">
            <v>-2.2929908104742047E-2</v>
          </cell>
          <cell r="BF247">
            <v>-3.1732497137604454E-2</v>
          </cell>
          <cell r="BG247">
            <v>-5.9084766037430292E-2</v>
          </cell>
          <cell r="BH247">
            <v>-0.11048269126330607</v>
          </cell>
          <cell r="BI247">
            <v>-5.9586078601419845E-2</v>
          </cell>
          <cell r="BJ247">
            <v>-0.29456304758621565</v>
          </cell>
          <cell r="BK247">
            <v>-0.36241065615897938</v>
          </cell>
          <cell r="BL247">
            <v>-0.42752403781168047</v>
          </cell>
          <cell r="BM247">
            <v>-0.46283376182946007</v>
          </cell>
          <cell r="BN247">
            <v>-0.42986830721124658</v>
          </cell>
          <cell r="BO247">
            <v>-0.54864122822979677</v>
          </cell>
          <cell r="BP247">
            <v>-0.55249825824790455</v>
          </cell>
          <cell r="BQ247">
            <v>-0.54038551986336913</v>
          </cell>
          <cell r="BR247">
            <v>-0.5316100032958665</v>
          </cell>
          <cell r="BS247">
            <v>-0.54753164562381418</v>
          </cell>
        </row>
        <row r="248">
          <cell r="A248" t="str">
            <v>Mix</v>
          </cell>
          <cell r="AK248">
            <v>-1.8818251686280985E-2</v>
          </cell>
          <cell r="AL248">
            <v>-1.6969198651722917E-2</v>
          </cell>
          <cell r="AM248">
            <v>-1.747902139025187E-2</v>
          </cell>
          <cell r="AN248">
            <v>-1.5890519161984362E-2</v>
          </cell>
          <cell r="AO248">
            <v>-7.3505213587567453E-3</v>
          </cell>
          <cell r="AP248">
            <v>3.2075429765120456E-3</v>
          </cell>
          <cell r="AQ248">
            <v>4.0479827649593791E-3</v>
          </cell>
          <cell r="AR248">
            <v>1.8004098005960367E-3</v>
          </cell>
          <cell r="AS248">
            <v>-4.6177511856322906E-3</v>
          </cell>
          <cell r="AT248">
            <v>-1.301826488183333E-2</v>
          </cell>
          <cell r="AU248">
            <v>-1.4726744066959119E-2</v>
          </cell>
          <cell r="AV248">
            <v>-1.3994718592601374E-2</v>
          </cell>
          <cell r="AW248">
            <v>-1.373344928486786E-2</v>
          </cell>
          <cell r="AX248">
            <v>-8.0042934235314278E-3</v>
          </cell>
          <cell r="AY248">
            <v>-1.1373420851307103E-2</v>
          </cell>
          <cell r="AZ248">
            <v>-1.1606216463208474E-2</v>
          </cell>
          <cell r="BA248">
            <v>-8.2883336180539779E-3</v>
          </cell>
          <cell r="BB248">
            <v>-4.6395167502558121E-3</v>
          </cell>
          <cell r="BC248">
            <v>-3.8592925836278824E-3</v>
          </cell>
          <cell r="BD248">
            <v>-8.3797522708977112E-3</v>
          </cell>
          <cell r="BE248">
            <v>-2.5886823541995119E-3</v>
          </cell>
          <cell r="BF248">
            <v>-2.2527114793735592E-3</v>
          </cell>
          <cell r="BG248">
            <v>8.7266367739056161E-3</v>
          </cell>
          <cell r="BH248">
            <v>5.7654635584530323E-3</v>
          </cell>
          <cell r="BI248">
            <v>-2.0186169805954279E-2</v>
          </cell>
          <cell r="BJ248">
            <v>-3.7450686111843989E-3</v>
          </cell>
          <cell r="BK248">
            <v>-2.8741496873007089E-3</v>
          </cell>
          <cell r="BL248">
            <v>-1.3523431474655456E-2</v>
          </cell>
          <cell r="BM248">
            <v>-1.1944136563613372E-2</v>
          </cell>
          <cell r="BN248">
            <v>9.6847029327773448E-6</v>
          </cell>
          <cell r="BO248">
            <v>5.0490628171639407E-3</v>
          </cell>
          <cell r="BP248">
            <v>3.372263743070314E-3</v>
          </cell>
          <cell r="BQ248">
            <v>3.3124014999999507E-3</v>
          </cell>
          <cell r="BR248">
            <v>4.8476274049326085E-3</v>
          </cell>
          <cell r="BS248">
            <v>9.4940738523754398E-3</v>
          </cell>
        </row>
        <row r="249">
          <cell r="A249" t="str">
            <v>Volume</v>
          </cell>
          <cell r="AK249">
            <v>-1.0711849103059001E-2</v>
          </cell>
          <cell r="AL249">
            <v>7.2769753845702279E-3</v>
          </cell>
          <cell r="AM249">
            <v>-7.5244533849338491E-3</v>
          </cell>
          <cell r="AN249">
            <v>-3.1629873524415819E-3</v>
          </cell>
          <cell r="AO249">
            <v>-6.6742974079290751E-3</v>
          </cell>
          <cell r="AP249">
            <v>2.1546430802924676E-2</v>
          </cell>
          <cell r="AQ249">
            <v>-1.446303708104002E-3</v>
          </cell>
          <cell r="AR249">
            <v>1.0351252301511626E-2</v>
          </cell>
          <cell r="AS249">
            <v>8.2982705489184627E-3</v>
          </cell>
          <cell r="AT249">
            <v>8.8764006084948721E-3</v>
          </cell>
          <cell r="AU249">
            <v>1.7445302704723831E-2</v>
          </cell>
          <cell r="AV249">
            <v>1.7663789340162273E-2</v>
          </cell>
          <cell r="AW249">
            <v>4.7873259708464122E-3</v>
          </cell>
          <cell r="AX249">
            <v>9.9791198541155923E-3</v>
          </cell>
          <cell r="AY249">
            <v>1.2195371520125176E-2</v>
          </cell>
          <cell r="AZ249">
            <v>-5.044032079055405E-3</v>
          </cell>
          <cell r="BA249">
            <v>-2.0905239928213915E-3</v>
          </cell>
          <cell r="BB249">
            <v>-3.9008191752340493E-3</v>
          </cell>
          <cell r="BC249">
            <v>4.8018414909317686E-4</v>
          </cell>
          <cell r="BD249">
            <v>-2.5594553364653994E-3</v>
          </cell>
          <cell r="BE249">
            <v>-4.3472023305460294E-3</v>
          </cell>
          <cell r="BF249">
            <v>-3.2287062225823115E-3</v>
          </cell>
          <cell r="BG249">
            <v>6.6179150113523932E-3</v>
          </cell>
          <cell r="BH249">
            <v>-3.1836451070124672E-3</v>
          </cell>
          <cell r="BI249">
            <v>-9.7316663338448128E-4</v>
          </cell>
          <cell r="BJ249">
            <v>-6.0017585151604935E-3</v>
          </cell>
          <cell r="BK249">
            <v>-7.0696025126398832E-3</v>
          </cell>
          <cell r="BL249">
            <v>-4.413721500582779E-3</v>
          </cell>
          <cell r="BM249">
            <v>-1.7353055872561529E-3</v>
          </cell>
          <cell r="BN249">
            <v>-4.7593919797890849E-3</v>
          </cell>
          <cell r="BO249">
            <v>6.5238882329618497E-3</v>
          </cell>
          <cell r="BP249">
            <v>-5.3281239878688602E-5</v>
          </cell>
          <cell r="BQ249">
            <v>-1.3080658647613985E-3</v>
          </cell>
          <cell r="BR249">
            <v>-2.7164125874517553E-3</v>
          </cell>
          <cell r="BS249">
            <v>2.4649969503093283E-4</v>
          </cell>
        </row>
        <row r="250">
          <cell r="A250" t="str">
            <v>Controllable COGS</v>
          </cell>
          <cell r="AK250">
            <v>-1.4204714798633E-2</v>
          </cell>
          <cell r="AL250">
            <v>-1.6830312649774859E-2</v>
          </cell>
          <cell r="AM250">
            <v>-2.0164177977927022E-2</v>
          </cell>
          <cell r="AN250">
            <v>-2.1099521964519863E-2</v>
          </cell>
          <cell r="AO250">
            <v>-2.2139088245568039E-2</v>
          </cell>
          <cell r="AP250">
            <v>-1.8002896614791875E-2</v>
          </cell>
          <cell r="AQ250">
            <v>-1.4153952956386162E-2</v>
          </cell>
          <cell r="AR250">
            <v>-2.1183579998758084E-3</v>
          </cell>
          <cell r="AS250">
            <v>-3.3526699967906248E-3</v>
          </cell>
          <cell r="AT250">
            <v>-8.8602345281412198E-3</v>
          </cell>
          <cell r="AU250">
            <v>-8.8016796410683162E-3</v>
          </cell>
          <cell r="AV250">
            <v>-3.2124368948490134E-3</v>
          </cell>
          <cell r="AW250">
            <v>-1.8912917080364244E-2</v>
          </cell>
          <cell r="AX250">
            <v>-7.7260976943371862E-4</v>
          </cell>
          <cell r="AY250">
            <v>-8.2114625710452693E-3</v>
          </cell>
          <cell r="AZ250">
            <v>-1.0054951055847472E-2</v>
          </cell>
          <cell r="BA250">
            <v>-1.4337724608725011E-2</v>
          </cell>
          <cell r="BB250">
            <v>-3.9835709377144535E-3</v>
          </cell>
          <cell r="BC250">
            <v>-1.9908536284987732E-2</v>
          </cell>
          <cell r="BD250">
            <v>-1.2163946099354339E-2</v>
          </cell>
          <cell r="BE250">
            <v>-2.5168533585971375E-3</v>
          </cell>
          <cell r="BF250">
            <v>-9.0792941116289994E-3</v>
          </cell>
          <cell r="BG250">
            <v>-6.3295124303687222E-3</v>
          </cell>
          <cell r="BH250">
            <v>8.0043263502818651E-3</v>
          </cell>
          <cell r="BI250">
            <v>-2.4516019557201396E-3</v>
          </cell>
          <cell r="BJ250">
            <v>-1.3852704184832143E-2</v>
          </cell>
          <cell r="BK250">
            <v>-6.2501150591645072E-3</v>
          </cell>
          <cell r="BL250">
            <v>3.3056690075502493E-3</v>
          </cell>
          <cell r="BM250">
            <v>9.7999116819479926E-3</v>
          </cell>
          <cell r="BN250">
            <v>-1.2985356106938184E-3</v>
          </cell>
          <cell r="BO250">
            <v>2.3495050605341017E-2</v>
          </cell>
          <cell r="BP250">
            <v>3.1123173477254906E-3</v>
          </cell>
          <cell r="BQ250">
            <v>4.6242706948640966E-3</v>
          </cell>
          <cell r="BR250">
            <v>-2.9382978287254724E-2</v>
          </cell>
          <cell r="BS250">
            <v>0</v>
          </cell>
        </row>
        <row r="251">
          <cell r="A251" t="str">
            <v>MSA</v>
          </cell>
          <cell r="AK251">
            <v>-7.6603040356764684E-3</v>
          </cell>
          <cell r="AL251">
            <v>-1.521593662161147E-3</v>
          </cell>
          <cell r="AM251">
            <v>-3.7790470377734864E-3</v>
          </cell>
          <cell r="AN251">
            <v>-2.4462488001819771E-2</v>
          </cell>
          <cell r="AO251">
            <v>-1.6204841815822435E-2</v>
          </cell>
          <cell r="AP251">
            <v>9.2522785170429112E-4</v>
          </cell>
          <cell r="AQ251">
            <v>-6.5102503264042322E-3</v>
          </cell>
          <cell r="AR251">
            <v>-1.2936367962761597E-2</v>
          </cell>
          <cell r="AS251">
            <v>-7.5308124504944174E-3</v>
          </cell>
          <cell r="AT251">
            <v>-7.0600744017094708E-3</v>
          </cell>
          <cell r="AU251">
            <v>-1.6522434399689756E-2</v>
          </cell>
          <cell r="AV251">
            <v>-9.7971845354277165E-3</v>
          </cell>
          <cell r="AW251">
            <v>-7.1663491854689343E-3</v>
          </cell>
          <cell r="AX251">
            <v>-2.0803963260836444E-3</v>
          </cell>
          <cell r="AY251">
            <v>-8.4405810403788695E-3</v>
          </cell>
          <cell r="AZ251">
            <v>-1.9238947312041843E-2</v>
          </cell>
          <cell r="BA251">
            <v>-1.3210568898256225E-2</v>
          </cell>
          <cell r="BB251">
            <v>-8.3345759665499064E-3</v>
          </cell>
          <cell r="BC251">
            <v>-1.2504660531210521E-2</v>
          </cell>
          <cell r="BD251">
            <v>-1.319093630520024E-2</v>
          </cell>
          <cell r="BE251">
            <v>3.2534959306758093E-3</v>
          </cell>
          <cell r="BF251">
            <v>3.2213929926562801E-3</v>
          </cell>
          <cell r="BG251">
            <v>-1.1536095346684427E-2</v>
          </cell>
          <cell r="BH251">
            <v>-2.0494638378034113E-2</v>
          </cell>
          <cell r="BI251">
            <v>-6.7187111886340967E-3</v>
          </cell>
          <cell r="BJ251">
            <v>-6.6259668687386752E-3</v>
          </cell>
          <cell r="BK251">
            <v>-2.0957470225165475E-2</v>
          </cell>
          <cell r="BL251">
            <v>-8.4575941034639168E-3</v>
          </cell>
          <cell r="BM251">
            <v>7.0993115531443052E-3</v>
          </cell>
          <cell r="BN251">
            <v>-7.3286369951145458E-3</v>
          </cell>
          <cell r="BO251">
            <v>-1.0315742538577366E-2</v>
          </cell>
          <cell r="BP251">
            <v>-4.2559753276792955E-3</v>
          </cell>
          <cell r="BQ251">
            <v>-4.2145015105739536E-3</v>
          </cell>
          <cell r="BR251">
            <v>1.7625064871020779E-3</v>
          </cell>
          <cell r="BS251">
            <v>-4.1516531379924837E-3</v>
          </cell>
        </row>
        <row r="252">
          <cell r="A252" t="str">
            <v>SG&amp;A</v>
          </cell>
          <cell r="AK252">
            <v>1.4511873350923465E-2</v>
          </cell>
          <cell r="AL252">
            <v>-7.9006772009029835E-3</v>
          </cell>
          <cell r="AM252">
            <v>-6.410256410256443E-3</v>
          </cell>
          <cell r="AN252">
            <v>-3.2894736842105088E-3</v>
          </cell>
          <cell r="AO252">
            <v>-1.4318442153493649E-3</v>
          </cell>
          <cell r="AP252">
            <v>-9.126466753585416E-3</v>
          </cell>
          <cell r="AQ252">
            <v>9.6805421103579592E-4</v>
          </cell>
          <cell r="AR252">
            <v>-5.2465897166841802E-3</v>
          </cell>
          <cell r="AS252">
            <v>-2.3605150214592252E-2</v>
          </cell>
          <cell r="AT252">
            <v>-8.6838534599728567E-3</v>
          </cell>
          <cell r="AU252">
            <v>-2.816901408450706E-2</v>
          </cell>
          <cell r="AV252">
            <v>-1.4450867052023086E-2</v>
          </cell>
          <cell r="AW252">
            <v>-6.5237651444547962E-3</v>
          </cell>
          <cell r="AX252">
            <v>-2.9440628066731978E-3</v>
          </cell>
          <cell r="AY252">
            <v>-1.2830002467308199E-2</v>
          </cell>
          <cell r="AZ252">
            <v>-8.5227272727272929E-3</v>
          </cell>
          <cell r="BA252">
            <v>-9.4909404659189178E-3</v>
          </cell>
          <cell r="BB252">
            <v>-1.1680143755615435E-2</v>
          </cell>
          <cell r="BC252">
            <v>-1.2444444444444425E-2</v>
          </cell>
          <cell r="BD252">
            <v>-1.0554682236694368E-2</v>
          </cell>
          <cell r="BE252">
            <v>-9.4428706326726841E-4</v>
          </cell>
          <cell r="BF252">
            <v>-1.2448132780082999E-2</v>
          </cell>
          <cell r="BG252">
            <v>-6.0189165950128576E-3</v>
          </cell>
          <cell r="BH252">
            <v>-1.1579818031430933E-2</v>
          </cell>
          <cell r="BI252">
            <v>-7.9810181190681506E-3</v>
          </cell>
          <cell r="BJ252">
            <v>-8.0213903743315274E-3</v>
          </cell>
          <cell r="BK252">
            <v>-2.3291925465838692E-3</v>
          </cell>
          <cell r="BL252">
            <v>-9.92366412213741E-3</v>
          </cell>
          <cell r="BM252">
            <v>7.9808459696728007E-3</v>
          </cell>
          <cell r="BN252">
            <v>-3.0162879549567312E-3</v>
          </cell>
          <cell r="BO252">
            <v>-3.4873583260680019E-3</v>
          </cell>
          <cell r="BP252">
            <v>4.9127499538982877E-3</v>
          </cell>
          <cell r="BQ252">
            <v>5.3738922329518157E-3</v>
          </cell>
          <cell r="BR252">
            <v>1.0706397627537168E-2</v>
          </cell>
          <cell r="BS252">
            <v>4.5977386978349744E-3</v>
          </cell>
        </row>
        <row r="253">
          <cell r="A253" t="str">
            <v>Other</v>
          </cell>
          <cell r="AF253">
            <v>0.35092348284960423</v>
          </cell>
          <cell r="AG253">
            <v>0.39729119638826182</v>
          </cell>
          <cell r="AH253">
            <v>0.40811965811965811</v>
          </cell>
          <cell r="AI253">
            <v>0.45394736842105265</v>
          </cell>
          <cell r="AJ253">
            <v>0.40492554410080184</v>
          </cell>
          <cell r="AK253">
            <v>-7.8130267028853062E-6</v>
          </cell>
          <cell r="AL253">
            <v>-6.7313186170251393E-3</v>
          </cell>
          <cell r="AM253">
            <v>-5.6580220492430389E-5</v>
          </cell>
          <cell r="AN253">
            <v>-4.7397831793022371E-4</v>
          </cell>
          <cell r="AO253">
            <v>6.873567922267565E-4</v>
          </cell>
          <cell r="AP253">
            <v>-7.6236719513271822E-3</v>
          </cell>
          <cell r="AQ253">
            <v>6.7622313946019696E-4</v>
          </cell>
          <cell r="AR253">
            <v>-4.344340871189234E-3</v>
          </cell>
          <cell r="AS253">
            <v>-3.9425447814134262E-3</v>
          </cell>
          <cell r="AT253">
            <v>-5.6631528809154008E-3</v>
          </cell>
          <cell r="AU253">
            <v>-8.1362010223841041E-3</v>
          </cell>
          <cell r="AV253">
            <v>-9.1212146221417711E-3</v>
          </cell>
          <cell r="AW253">
            <v>-3.6786649690959683E-3</v>
          </cell>
          <cell r="AX253">
            <v>-6.3820752068836639E-3</v>
          </cell>
          <cell r="AY253">
            <v>-8.1068213055375815E-3</v>
          </cell>
          <cell r="AZ253">
            <v>-5.4068640467902496E-4</v>
          </cell>
          <cell r="BA253">
            <v>-3.4463100056835727E-3</v>
          </cell>
          <cell r="BB253">
            <v>1.2595575220034072E-3</v>
          </cell>
          <cell r="BC253">
            <v>3.8815296101224472E-5</v>
          </cell>
          <cell r="BD253">
            <v>1.1967450123154255E-3</v>
          </cell>
          <cell r="BE253">
            <v>-0.38688255568414243</v>
          </cell>
          <cell r="BF253">
            <v>-1.070020938056174</v>
          </cell>
          <cell r="BG253">
            <v>3.0881055464195217</v>
          </cell>
          <cell r="BH253">
            <v>1.0812748579256921</v>
          </cell>
          <cell r="BI253">
            <v>3.2137102830126931</v>
          </cell>
          <cell r="BJ253">
            <v>1.0080544932599873</v>
          </cell>
          <cell r="BK253">
            <v>1.026782030227871</v>
          </cell>
          <cell r="BL253">
            <v>1.0652528135365378</v>
          </cell>
          <cell r="BM253">
            <v>1.0425449131975448</v>
          </cell>
          <cell r="BN253">
            <v>1.0562675872900666</v>
          </cell>
          <cell r="BO253">
            <v>1.1398720658076245</v>
          </cell>
          <cell r="BP253">
            <v>1.1364871092503337</v>
          </cell>
          <cell r="BQ253">
            <v>1.1027178223361094</v>
          </cell>
          <cell r="BR253">
            <v>1.0868413335721587</v>
          </cell>
          <cell r="BS253">
            <v>1.1145295548308163</v>
          </cell>
        </row>
        <row r="254">
          <cell r="A254" t="str">
            <v>Current Year OM</v>
          </cell>
          <cell r="AF254">
            <v>0.35092348284960423</v>
          </cell>
          <cell r="AG254">
            <v>0.39729119638826182</v>
          </cell>
          <cell r="AH254">
            <v>0.40811965811965811</v>
          </cell>
          <cell r="AI254">
            <v>0.45394736842105265</v>
          </cell>
          <cell r="AJ254">
            <v>0.40492554410080184</v>
          </cell>
          <cell r="AK254">
            <v>0.3833116036505867</v>
          </cell>
          <cell r="AL254">
            <v>0.44143272023233299</v>
          </cell>
          <cell r="AM254">
            <v>0.41133263378803775</v>
          </cell>
          <cell r="AN254">
            <v>0.42703862660944208</v>
          </cell>
          <cell r="AO254">
            <v>0.41791044776119401</v>
          </cell>
          <cell r="AP254">
            <v>0.41386782231852653</v>
          </cell>
          <cell r="AQ254">
            <v>0.42870905587668595</v>
          </cell>
          <cell r="AR254">
            <v>0.43336439888164024</v>
          </cell>
          <cell r="AS254">
            <v>0.42394504416094209</v>
          </cell>
          <cell r="AT254">
            <v>0.42561065877128051</v>
          </cell>
          <cell r="AU254">
            <v>0.39867424242424243</v>
          </cell>
          <cell r="AV254">
            <v>0.42018981880931838</v>
          </cell>
          <cell r="AW254">
            <v>0.4088050314465409</v>
          </cell>
          <cell r="AX254">
            <v>0.44888888888888889</v>
          </cell>
          <cell r="AY254">
            <v>0.41949247698181003</v>
          </cell>
          <cell r="AZ254">
            <v>0.37677053824362605</v>
          </cell>
          <cell r="BA254">
            <v>0.4058091286307054</v>
          </cell>
          <cell r="BB254">
            <v>0.41358555460017199</v>
          </cell>
          <cell r="BC254">
            <v>0.4251447477253929</v>
          </cell>
          <cell r="BD254">
            <v>0.40616911130284727</v>
          </cell>
          <cell r="BE254">
            <v>0.39037433155080214</v>
          </cell>
          <cell r="BF254">
            <v>0.4107142857142857</v>
          </cell>
          <cell r="BG254">
            <v>0.41297709923664122</v>
          </cell>
          <cell r="BH254">
            <v>0.41739824421388666</v>
          </cell>
          <cell r="BI254">
            <v>0.40840538910114621</v>
          </cell>
          <cell r="BJ254">
            <v>0.38971229293809939</v>
          </cell>
          <cell r="BK254">
            <v>0.41017733230531994</v>
          </cell>
          <cell r="BL254">
            <v>0.43051359516616317</v>
          </cell>
          <cell r="BM254">
            <v>0.45985970381917379</v>
          </cell>
          <cell r="BN254">
            <v>0.42348049891110673</v>
          </cell>
          <cell r="BO254">
            <v>0.42809917355371901</v>
          </cell>
          <cell r="BP254">
            <v>0.4340347584197039</v>
          </cell>
          <cell r="BQ254">
            <v>0.45272289305131214</v>
          </cell>
          <cell r="BR254">
            <v>0.46501629014019752</v>
          </cell>
          <cell r="BS254">
            <v>0.44524136525347385</v>
          </cell>
          <cell r="BV254">
            <v>155.5678871522459</v>
          </cell>
        </row>
        <row r="255">
          <cell r="A255" t="str">
            <v>Current Year OM</v>
          </cell>
          <cell r="AF255">
            <v>0.35092348284960423</v>
          </cell>
          <cell r="AG255">
            <v>0.39729119638826182</v>
          </cell>
          <cell r="AH255">
            <v>0.40811965811965811</v>
          </cell>
          <cell r="AI255">
            <v>0.45394736842105265</v>
          </cell>
          <cell r="AJ255">
            <v>0.40492554410080184</v>
          </cell>
          <cell r="AK255">
            <v>0.3833116036505867</v>
          </cell>
          <cell r="AL255">
            <v>0.44143272023233299</v>
          </cell>
          <cell r="AM255">
            <v>0.41133263378803775</v>
          </cell>
          <cell r="AN255">
            <v>0.42703862660944208</v>
          </cell>
          <cell r="AO255">
            <v>0.41791044776119401</v>
          </cell>
          <cell r="AP255">
            <v>0.41386782231852653</v>
          </cell>
          <cell r="AQ255">
            <v>0.42870905587668595</v>
          </cell>
          <cell r="AR255">
            <v>0.43336439888164024</v>
          </cell>
          <cell r="AS255">
            <v>0.42394504416094209</v>
          </cell>
          <cell r="AT255">
            <v>0.42561065877128051</v>
          </cell>
          <cell r="AU255">
            <v>0.39867424242424243</v>
          </cell>
          <cell r="AV255">
            <v>0.42018981880931838</v>
          </cell>
          <cell r="AW255">
            <v>0.4088050314465409</v>
          </cell>
          <cell r="AX255">
            <v>0.44888888888888889</v>
          </cell>
          <cell r="AY255">
            <v>0.41949247698181003</v>
          </cell>
          <cell r="AZ255">
            <v>0.37677053824362605</v>
          </cell>
          <cell r="BA255">
            <v>0.4058091286307054</v>
          </cell>
          <cell r="BB255">
            <v>0.41358555460017199</v>
          </cell>
          <cell r="BC255">
            <v>0.4251447477253929</v>
          </cell>
          <cell r="BD255">
            <v>0.40616911130284727</v>
          </cell>
          <cell r="BE255">
            <v>0.39037433155080214</v>
          </cell>
          <cell r="BF255">
            <v>0.4107142857142857</v>
          </cell>
          <cell r="BG255">
            <v>0.41297709923664122</v>
          </cell>
          <cell r="BH255">
            <v>0.41739824421388666</v>
          </cell>
          <cell r="BI255">
            <v>0.40840538910114621</v>
          </cell>
        </row>
        <row r="256">
          <cell r="A256" t="str">
            <v>Price</v>
          </cell>
          <cell r="BI256">
            <v>6.3969057480405989E-2</v>
          </cell>
          <cell r="BJ256">
            <v>3.3540412496448069E-2</v>
          </cell>
          <cell r="BK256">
            <v>3.3639330560933378E-2</v>
          </cell>
          <cell r="BL256">
            <v>3.1902883905326196E-2</v>
          </cell>
          <cell r="BM256">
            <v>2.8236489591520364E-2</v>
          </cell>
          <cell r="BN256">
            <v>2.9064208244669154E-2</v>
          </cell>
        </row>
        <row r="257">
          <cell r="A257" t="str">
            <v>Price</v>
          </cell>
          <cell r="BI257">
            <v>-5.7482613373290303E-3</v>
          </cell>
          <cell r="BJ257">
            <v>-6.9719112366535274E-3</v>
          </cell>
          <cell r="BK257">
            <v>-1.5198829386420143E-2</v>
          </cell>
          <cell r="BL257">
            <v>-8.3689420260861791E-3</v>
          </cell>
          <cell r="BM257">
            <v>9.3032430365019847E-4</v>
          </cell>
          <cell r="BN257">
            <v>-3.6193833889046623E-3</v>
          </cell>
        </row>
        <row r="258">
          <cell r="A258" t="str">
            <v>Reservation Shift / Mix</v>
          </cell>
          <cell r="BI258">
            <v>-5.5438059357019176E-3</v>
          </cell>
          <cell r="BJ258">
            <v>4.5742080339489788E-3</v>
          </cell>
          <cell r="BK258">
            <v>4.6204325396605461E-3</v>
          </cell>
          <cell r="BL258">
            <v>1.9300513917724915E-3</v>
          </cell>
          <cell r="BM258">
            <v>-2.6310295120656746E-3</v>
          </cell>
          <cell r="BN258">
            <v>-6.494399802515205E-4</v>
          </cell>
        </row>
        <row r="259">
          <cell r="A259" t="str">
            <v>Volume Leverage / Other</v>
          </cell>
          <cell r="BI259">
            <v>-3.9692086546982863E-2</v>
          </cell>
          <cell r="BJ259">
            <v>-2.3442498283657021E-2</v>
          </cell>
          <cell r="BK259">
            <v>-2.9179115503644271E-2</v>
          </cell>
          <cell r="BL259">
            <v>-4.0482205367347757E-2</v>
          </cell>
          <cell r="BM259">
            <v>-2.6018430074529419E-2</v>
          </cell>
          <cell r="BN259">
            <v>-2.2061351816605124E-2</v>
          </cell>
        </row>
        <row r="260">
          <cell r="A260" t="str">
            <v>Costs</v>
          </cell>
        </row>
        <row r="261">
          <cell r="A261" t="str">
            <v>Costs</v>
          </cell>
        </row>
        <row r="264">
          <cell r="A264" t="str">
            <v>Mix</v>
          </cell>
          <cell r="AG264">
            <v>0</v>
          </cell>
          <cell r="AH264">
            <v>0</v>
          </cell>
          <cell r="AI264">
            <v>0</v>
          </cell>
          <cell r="AJ264">
            <v>0</v>
          </cell>
          <cell r="AK264">
            <v>-6.3175105433255254</v>
          </cell>
          <cell r="AL264">
            <v>-10.332683391859206</v>
          </cell>
          <cell r="AM264">
            <v>-11.986938990203058</v>
          </cell>
          <cell r="AN264">
            <v>-10.093976903661719</v>
          </cell>
          <cell r="AO264">
            <v>-36.753124168711338</v>
          </cell>
          <cell r="AP264">
            <v>-8.9621762444155735</v>
          </cell>
          <cell r="AQ264">
            <v>-8.908021894125735</v>
          </cell>
          <cell r="AR264">
            <v>-9.3183713364960568</v>
          </cell>
          <cell r="AS264">
            <v>-21.228457958859373</v>
          </cell>
          <cell r="AT264">
            <v>-49.799591532730801</v>
          </cell>
          <cell r="AU264">
            <v>-25.759663057439276</v>
          </cell>
          <cell r="AV264">
            <v>-30.038469164517025</v>
          </cell>
          <cell r="AW264">
            <v>-26.31747305880716</v>
          </cell>
          <cell r="AX264">
            <v>-15.616096395260875</v>
          </cell>
          <cell r="AY264">
            <v>-91.824019951412851</v>
          </cell>
          <cell r="AZ264">
            <v>-1.683059414115128</v>
          </cell>
          <cell r="BA264">
            <v>-3.0104763883992618</v>
          </cell>
          <cell r="BB264">
            <v>3.3658731629778345</v>
          </cell>
          <cell r="BC264">
            <v>2.5064571527276271</v>
          </cell>
          <cell r="BD264">
            <v>-65.975009324200613</v>
          </cell>
          <cell r="BE264">
            <v>7.5445706902988263</v>
          </cell>
          <cell r="BF264">
            <v>-30.895945662359168</v>
          </cell>
        </row>
        <row r="265">
          <cell r="A265" t="str">
            <v>Mix</v>
          </cell>
          <cell r="AG265">
            <v>0</v>
          </cell>
          <cell r="AH265">
            <v>0</v>
          </cell>
          <cell r="AI265">
            <v>0</v>
          </cell>
          <cell r="AJ265">
            <v>0</v>
          </cell>
          <cell r="AK265">
            <v>-24.141695604335695</v>
          </cell>
          <cell r="AL265">
            <v>-32.365665275459406</v>
          </cell>
          <cell r="AM265">
            <v>-29.162897905610251</v>
          </cell>
          <cell r="AN265">
            <v>-26.585422207159105</v>
          </cell>
          <cell r="AO265">
            <v>-47.128644048313674</v>
          </cell>
          <cell r="AP265">
            <v>5.0235238921537544</v>
          </cell>
          <cell r="AQ265">
            <v>7.303184112281988</v>
          </cell>
          <cell r="AR265">
            <v>3.3985174741419186</v>
          </cell>
          <cell r="AS265">
            <v>-8.2344803940673543</v>
          </cell>
          <cell r="AT265">
            <v>-93.989572653841208</v>
          </cell>
          <cell r="AU265">
            <v>-26.511196535579536</v>
          </cell>
          <cell r="AV265">
            <v>-28.666376090797403</v>
          </cell>
          <cell r="AW265">
            <v>-26.469866032663639</v>
          </cell>
          <cell r="AX265">
            <v>-16.580219227984117</v>
          </cell>
          <cell r="AY265">
            <v>-88.987538891177365</v>
          </cell>
          <cell r="AZ265">
            <v>-20.095677084095207</v>
          </cell>
          <cell r="BA265">
            <v>-17.046251494468585</v>
          </cell>
          <cell r="BB265">
            <v>-9.2746485192688723</v>
          </cell>
          <cell r="BC265">
            <v>-8.1714846741319889</v>
          </cell>
          <cell r="BD265">
            <v>-66.356573778339936</v>
          </cell>
          <cell r="BE265">
            <v>-4.784719330029958</v>
          </cell>
          <cell r="BF265">
            <v>-4.9426392921052695</v>
          </cell>
          <cell r="BG265">
            <v>19.18909449946721</v>
          </cell>
          <cell r="BH265">
            <v>12.278260245003558</v>
          </cell>
          <cell r="BI265">
            <v>-175.68137819771871</v>
          </cell>
          <cell r="BJ265">
            <v>-7.0820968299948461</v>
          </cell>
          <cell r="BK265">
            <v>-6.3511058126260451</v>
          </cell>
          <cell r="BL265">
            <v>-32.205423976816434</v>
          </cell>
          <cell r="BM265">
            <v>-29.012568403037079</v>
          </cell>
          <cell r="BN265">
            <v>8.4848149441342002E-2</v>
          </cell>
          <cell r="BO265">
            <v>10.589075624172175</v>
          </cell>
          <cell r="BP265">
            <v>7.9428298469099516</v>
          </cell>
          <cell r="BQ265">
            <v>8.1360686665103827</v>
          </cell>
          <cell r="BR265">
            <v>11.64872090486595</v>
          </cell>
          <cell r="BS265">
            <v>87.504347999104326</v>
          </cell>
        </row>
        <row r="266">
          <cell r="A266" t="str">
            <v>Underlying Pricing</v>
          </cell>
          <cell r="AG266">
            <v>0</v>
          </cell>
          <cell r="AH266">
            <v>0</v>
          </cell>
          <cell r="AI266">
            <v>0</v>
          </cell>
          <cell r="AJ266">
            <v>0</v>
          </cell>
          <cell r="AK266">
            <v>77.463036098619796</v>
          </cell>
          <cell r="AL266">
            <v>138.95991002421951</v>
          </cell>
          <cell r="AM266">
            <v>86.314837656658526</v>
          </cell>
          <cell r="AN266">
            <v>62.904074682611956</v>
          </cell>
          <cell r="AO266">
            <v>375.77332696051582</v>
          </cell>
          <cell r="AP266">
            <v>58.454372234694716</v>
          </cell>
          <cell r="AQ266">
            <v>6.6696925015375221</v>
          </cell>
          <cell r="AR266">
            <v>61.624286610632332</v>
          </cell>
          <cell r="AS266">
            <v>53.08198356784672</v>
          </cell>
          <cell r="AT266">
            <v>276.83651420086329</v>
          </cell>
          <cell r="AU266">
            <v>71.569425601066612</v>
          </cell>
          <cell r="AV266">
            <v>46.792085053922918</v>
          </cell>
          <cell r="AW266">
            <v>50.355224370976941</v>
          </cell>
          <cell r="AX266">
            <v>78.884878313482247</v>
          </cell>
          <cell r="AY266">
            <v>247.6016133394487</v>
          </cell>
          <cell r="AZ266">
            <v>66.622986220425474</v>
          </cell>
          <cell r="BA266">
            <v>82.197804592993123</v>
          </cell>
          <cell r="BB266">
            <v>67.371975719544906</v>
          </cell>
          <cell r="BC266">
            <v>49.331202729717205</v>
          </cell>
          <cell r="BD266">
            <v>265.52396926268068</v>
          </cell>
          <cell r="BE266">
            <v>464.42495230493591</v>
          </cell>
          <cell r="BF266">
            <v>846.65210001687865</v>
          </cell>
          <cell r="BG266">
            <v>1625.9322243142124</v>
          </cell>
          <cell r="BH266">
            <v>3202.5332458987077</v>
          </cell>
          <cell r="BI266">
            <v>6139.5425225347344</v>
          </cell>
          <cell r="BJ266">
            <v>11814.660092764534</v>
          </cell>
          <cell r="BK266">
            <v>22782.668085512189</v>
          </cell>
          <cell r="BL266">
            <v>43939.403946710168</v>
          </cell>
          <cell r="BM266">
            <v>84676.274647521626</v>
          </cell>
          <cell r="BN266">
            <v>163213.0067725085</v>
          </cell>
          <cell r="BO266">
            <v>314611.35345225246</v>
          </cell>
          <cell r="BP266">
            <v>606440.03881899267</v>
          </cell>
          <cell r="BQ266">
            <v>1168940.6736912753</v>
          </cell>
          <cell r="BR266">
            <v>2253205.0727350293</v>
          </cell>
          <cell r="BS266">
            <v>4343197.1386975497</v>
          </cell>
        </row>
        <row r="267">
          <cell r="A267" t="str">
            <v>Reservation Shift</v>
          </cell>
          <cell r="AG267">
            <v>0</v>
          </cell>
          <cell r="AH267">
            <v>0</v>
          </cell>
          <cell r="AI267">
            <v>0</v>
          </cell>
          <cell r="AJ267">
            <v>0</v>
          </cell>
          <cell r="AK267">
            <v>66.715989438124296</v>
          </cell>
          <cell r="AL267">
            <v>126.23237125877728</v>
          </cell>
          <cell r="AM267">
            <v>75.817099409078622</v>
          </cell>
          <cell r="AN267">
            <v>53.192701323756303</v>
          </cell>
          <cell r="AO267">
            <v>375.77332696051582</v>
          </cell>
          <cell r="AP267">
            <v>72.200975345074099</v>
          </cell>
          <cell r="AQ267">
            <v>24.366123171033944</v>
          </cell>
          <cell r="AR267">
            <v>76.01060533491129</v>
          </cell>
          <cell r="AS267">
            <v>67.03567663821363</v>
          </cell>
          <cell r="AT267">
            <v>276.83651420086329</v>
          </cell>
          <cell r="AU267">
            <v>71.569425601066612</v>
          </cell>
          <cell r="AV267">
            <v>46.792085053922918</v>
          </cell>
          <cell r="AW267">
            <v>-14.004414199999999</v>
          </cell>
          <cell r="AX267">
            <v>-13.238334200000002</v>
          </cell>
          <cell r="AY267">
            <v>-27.242748400000004</v>
          </cell>
          <cell r="AZ267">
            <v>-15.056239799999998</v>
          </cell>
          <cell r="BA267">
            <v>-14.397517399999998</v>
          </cell>
          <cell r="BB267">
            <v>67.359152414112486</v>
          </cell>
          <cell r="BC267">
            <v>37.814355176095702</v>
          </cell>
          <cell r="BD267">
            <v>-29.453757199999998</v>
          </cell>
          <cell r="BE267">
            <v>-43.851274599999996</v>
          </cell>
          <cell r="BF267">
            <v>-73.305031799999995</v>
          </cell>
          <cell r="BG267">
            <v>-146.61006359999999</v>
          </cell>
          <cell r="BH267">
            <v>-293.22012719999998</v>
          </cell>
          <cell r="BI267">
            <v>-556.98649720000003</v>
          </cell>
          <cell r="BJ267">
            <v>-1070.1217197999999</v>
          </cell>
          <cell r="BK267">
            <v>-2066.9384077999998</v>
          </cell>
          <cell r="BL267">
            <v>-3987.2667519999995</v>
          </cell>
          <cell r="BM267">
            <v>-7681.3133767999989</v>
          </cell>
          <cell r="BN267">
            <v>-14805.640256399998</v>
          </cell>
          <cell r="BO267">
            <v>-28541.158792999995</v>
          </cell>
          <cell r="BP267">
            <v>-55015.37917819999</v>
          </cell>
          <cell r="BQ267">
            <v>-106043.49160439998</v>
          </cell>
          <cell r="BR267">
            <v>-204405.66983199999</v>
          </cell>
          <cell r="BS267">
            <v>-394005.69940759998</v>
          </cell>
        </row>
        <row r="268">
          <cell r="A268" t="str">
            <v>Volume Leverage</v>
          </cell>
          <cell r="AG268">
            <v>0</v>
          </cell>
          <cell r="AH268">
            <v>0</v>
          </cell>
          <cell r="AI268">
            <v>0</v>
          </cell>
          <cell r="AJ268">
            <v>0</v>
          </cell>
          <cell r="AK268">
            <v>-8.1195816201186837</v>
          </cell>
          <cell r="AL268">
            <v>6.4474001907292244</v>
          </cell>
          <cell r="AM268">
            <v>-7.0428883682980548</v>
          </cell>
          <cell r="AN268">
            <v>-2.8846444654267285</v>
          </cell>
          <cell r="AO268">
            <v>-23.306646548488352</v>
          </cell>
          <cell r="AP268">
            <v>16.52611242584323</v>
          </cell>
          <cell r="AQ268">
            <v>-1.4940317304713955</v>
          </cell>
          <cell r="AR268">
            <v>9.8647434433406165</v>
          </cell>
          <cell r="AS268">
            <v>7.7339881515919986</v>
          </cell>
          <cell r="AT268">
            <v>32.709536242303614</v>
          </cell>
          <cell r="AU268">
            <v>16.102014396460117</v>
          </cell>
          <cell r="AV268">
            <v>18.335013335088426</v>
          </cell>
          <cell r="AW268">
            <v>5.1368007667182329</v>
          </cell>
          <cell r="AX268">
            <v>10.168723131343812</v>
          </cell>
          <cell r="AY268">
            <v>49.427840771067423</v>
          </cell>
          <cell r="AZ268">
            <v>-5.3264978754825103</v>
          </cell>
          <cell r="BA268">
            <v>-2.4229173076799859</v>
          </cell>
          <cell r="BB268">
            <v>-4.3416117420355009</v>
          </cell>
          <cell r="BC268">
            <v>0.54020716772980948</v>
          </cell>
          <cell r="BD268">
            <v>-11.39725461328052</v>
          </cell>
          <cell r="BE268">
            <v>-4.603687268048259</v>
          </cell>
          <cell r="BF268">
            <v>-3.8905909982116729</v>
          </cell>
          <cell r="BG268">
            <v>7.696635158202783</v>
          </cell>
          <cell r="BH268">
            <v>-3.8490269343781578</v>
          </cell>
          <cell r="BI268">
            <v>-4.5116005123703928</v>
          </cell>
          <cell r="BJ268">
            <v>-6.7339730540101126</v>
          </cell>
          <cell r="BK268">
            <v>-9.1056480362802059</v>
          </cell>
          <cell r="BL268">
            <v>-5.7819751657635159</v>
          </cell>
          <cell r="BM268">
            <v>-2.1743379008319161</v>
          </cell>
          <cell r="BN268">
            <v>-23.66845631549138</v>
          </cell>
          <cell r="BO268">
            <v>7.4828998032072889</v>
          </cell>
          <cell r="BP268">
            <v>-6.9105768122625477E-2</v>
          </cell>
          <cell r="BQ268">
            <v>-1.7318792049441352</v>
          </cell>
          <cell r="BR268">
            <v>-3.4851573497005441</v>
          </cell>
          <cell r="BS268">
            <v>1.2450699596011472</v>
          </cell>
        </row>
        <row r="269">
          <cell r="A269" t="str">
            <v>Controllable COGS</v>
          </cell>
          <cell r="AG269">
            <v>8.1448911231630721</v>
          </cell>
          <cell r="AH269">
            <v>3.0073262878356872</v>
          </cell>
          <cell r="AI269">
            <v>-20.182388832527884</v>
          </cell>
          <cell r="AJ269">
            <v>1.2272320966179704</v>
          </cell>
          <cell r="AK269">
            <v>-10.767173817363796</v>
          </cell>
          <cell r="AL269">
            <v>-14.911657007700532</v>
          </cell>
          <cell r="AM269">
            <v>-18.873670587339671</v>
          </cell>
          <cell r="AN269">
            <v>-19.242764031642146</v>
          </cell>
          <cell r="AO269">
            <v>-77.309696153523646</v>
          </cell>
          <cell r="AP269">
            <v>-13.808221703545398</v>
          </cell>
          <cell r="AQ269">
            <v>-14.621033403946841</v>
          </cell>
          <cell r="AR269">
            <v>-2.0187951738816619</v>
          </cell>
          <cell r="AS269">
            <v>-3.1246884370089116</v>
          </cell>
          <cell r="AT269">
            <v>-32.649964236200375</v>
          </cell>
          <cell r="AU269">
            <v>-8.123950308706064</v>
          </cell>
          <cell r="AV269">
            <v>-3.3345094968532956</v>
          </cell>
          <cell r="AW269">
            <v>-20.293560027230821</v>
          </cell>
          <cell r="AX269">
            <v>-0.78728935505295072</v>
          </cell>
          <cell r="AY269">
            <v>-33.281057800446348</v>
          </cell>
          <cell r="AZ269">
            <v>-10.618028314974914</v>
          </cell>
          <cell r="BA269">
            <v>-16.617422821512235</v>
          </cell>
          <cell r="BB269">
            <v>-4.4337144536761981</v>
          </cell>
          <cell r="BC269">
            <v>-22.397103320611222</v>
          </cell>
          <cell r="BD269">
            <v>-54.166051980425088</v>
          </cell>
          <cell r="BE269">
            <v>-2.6653477067543414</v>
          </cell>
          <cell r="BF269">
            <v>-10.940549404512952</v>
          </cell>
          <cell r="BG269">
            <v>-7.361222956518862</v>
          </cell>
          <cell r="BH269">
            <v>9.6772305574907502</v>
          </cell>
          <cell r="BI269">
            <v>-11.365626666718613</v>
          </cell>
          <cell r="BJ269">
            <v>-15.542734095381681</v>
          </cell>
          <cell r="BK269">
            <v>-8.0501481962038426</v>
          </cell>
          <cell r="BL269">
            <v>4.3304263998908246</v>
          </cell>
          <cell r="BM269">
            <v>12.279289337480856</v>
          </cell>
          <cell r="BN269">
            <v>-6.4576175919806653</v>
          </cell>
          <cell r="BO269">
            <v>26.94882304432614</v>
          </cell>
          <cell r="BP269">
            <v>4.0366755999999855</v>
          </cell>
          <cell r="BQ269">
            <v>6.1225344000000144</v>
          </cell>
          <cell r="BR269">
            <v>-37.698361142547782</v>
          </cell>
          <cell r="BS269">
            <v>0</v>
          </cell>
        </row>
        <row r="270">
          <cell r="A270" t="str">
            <v>MSA &amp; Other Costs</v>
          </cell>
          <cell r="AG270">
            <v>-18.102979339421495</v>
          </cell>
          <cell r="AH270">
            <v>-13.776080053112139</v>
          </cell>
          <cell r="AI270">
            <v>4.0518176583559296</v>
          </cell>
          <cell r="AJ270">
            <v>-12.140802913462494</v>
          </cell>
          <cell r="AK270">
            <v>-5.8065104590427836</v>
          </cell>
          <cell r="AL270">
            <v>-1.348131984674751</v>
          </cell>
          <cell r="AM270">
            <v>-3.5371880273559668</v>
          </cell>
          <cell r="AN270">
            <v>-22.309789057659657</v>
          </cell>
          <cell r="AO270">
            <v>-56.587307620852016</v>
          </cell>
          <cell r="AP270">
            <v>0.70964976225721443</v>
          </cell>
          <cell r="AQ270">
            <v>-6.7250885871755486</v>
          </cell>
          <cell r="AR270">
            <v>-12.328358668511783</v>
          </cell>
          <cell r="AS270">
            <v>-7.018717203860831</v>
          </cell>
          <cell r="AT270">
            <v>-26.016374170299287</v>
          </cell>
          <cell r="AU270">
            <v>-15.25020695091365</v>
          </cell>
          <cell r="AV270">
            <v>-10.169477547773965</v>
          </cell>
          <cell r="AW270">
            <v>-7.6894926760081717</v>
          </cell>
          <cell r="AX270">
            <v>-2.1199238562792289</v>
          </cell>
          <cell r="AY270">
            <v>-34.20967495665559</v>
          </cell>
          <cell r="AZ270">
            <v>-20.316328361516184</v>
          </cell>
          <cell r="BA270">
            <v>-15.311049353078943</v>
          </cell>
          <cell r="BB270">
            <v>-9.2763830507700504</v>
          </cell>
          <cell r="BC270">
            <v>-14.06774309761181</v>
          </cell>
          <cell r="BD270">
            <v>-58.739239367056598</v>
          </cell>
          <cell r="BE270">
            <v>3.4454521905856836</v>
          </cell>
          <cell r="BF270">
            <v>3.8817785561508344</v>
          </cell>
          <cell r="BG270">
            <v>-13.416478888194035</v>
          </cell>
          <cell r="BH270">
            <v>-24.778017799043198</v>
          </cell>
          <cell r="BI270">
            <v>-31.147945070507603</v>
          </cell>
          <cell r="BJ270">
            <v>-7.4343348267248075</v>
          </cell>
          <cell r="BK270">
            <v>-26.993221650013083</v>
          </cell>
          <cell r="BL270">
            <v>-11.079448275537686</v>
          </cell>
          <cell r="BM270">
            <v>8.8954373760898307</v>
          </cell>
          <cell r="BN270">
            <v>-36.445311776704784</v>
          </cell>
          <cell r="BO270">
            <v>-11.832156691748253</v>
          </cell>
          <cell r="BP270">
            <v>-5.5199999999999818</v>
          </cell>
          <cell r="BQ270">
            <v>-5.5799999999999841</v>
          </cell>
          <cell r="BR270">
            <v>2.2612958229519791</v>
          </cell>
          <cell r="BS270">
            <v>-20.970000000000027</v>
          </cell>
        </row>
        <row r="271">
          <cell r="A271" t="str">
            <v>SG&amp;A</v>
          </cell>
          <cell r="AG271">
            <v>-8.0999999999999943</v>
          </cell>
          <cell r="AH271">
            <v>-8.2999999999999972</v>
          </cell>
          <cell r="AI271">
            <v>-4</v>
          </cell>
          <cell r="AJ271">
            <v>-38.5</v>
          </cell>
          <cell r="AK271">
            <v>11</v>
          </cell>
          <cell r="AL271">
            <v>-7</v>
          </cell>
          <cell r="AM271">
            <v>-6</v>
          </cell>
          <cell r="AN271">
            <v>-3</v>
          </cell>
          <cell r="AO271">
            <v>-5</v>
          </cell>
          <cell r="AP271">
            <v>-7</v>
          </cell>
          <cell r="AQ271">
            <v>1</v>
          </cell>
          <cell r="AR271">
            <v>-5</v>
          </cell>
          <cell r="AS271">
            <v>-22</v>
          </cell>
          <cell r="AT271">
            <v>-32</v>
          </cell>
          <cell r="AU271">
            <v>-26</v>
          </cell>
          <cell r="AV271">
            <v>-15</v>
          </cell>
          <cell r="AW271">
            <v>-7</v>
          </cell>
          <cell r="AX271">
            <v>-3</v>
          </cell>
          <cell r="AY271">
            <v>-52</v>
          </cell>
          <cell r="AZ271">
            <v>-9</v>
          </cell>
          <cell r="BA271">
            <v>-11</v>
          </cell>
          <cell r="BB271">
            <v>-13</v>
          </cell>
          <cell r="BC271">
            <v>-14</v>
          </cell>
          <cell r="BD271">
            <v>-47</v>
          </cell>
          <cell r="BE271">
            <v>-1</v>
          </cell>
          <cell r="BF271">
            <v>-15</v>
          </cell>
          <cell r="BG271">
            <v>-7</v>
          </cell>
          <cell r="BH271">
            <v>-14</v>
          </cell>
          <cell r="BI271">
            <v>-37</v>
          </cell>
          <cell r="BJ271">
            <v>-9</v>
          </cell>
          <cell r="BK271">
            <v>-3</v>
          </cell>
          <cell r="BL271">
            <v>-13</v>
          </cell>
          <cell r="BM271">
            <v>10</v>
          </cell>
          <cell r="BN271">
            <v>-15</v>
          </cell>
          <cell r="BO271">
            <v>-4</v>
          </cell>
          <cell r="BP271">
            <v>6.3718366902061234</v>
          </cell>
          <cell r="BQ271">
            <v>7.1150333164281392</v>
          </cell>
          <cell r="BR271">
            <v>13.736308156130235</v>
          </cell>
          <cell r="BS271">
            <v>23.223178162764498</v>
          </cell>
        </row>
        <row r="272">
          <cell r="A272" t="str">
            <v>SG&amp;A</v>
          </cell>
          <cell r="AF272">
            <v>758</v>
          </cell>
          <cell r="AG272">
            <v>-8.0999999999999943</v>
          </cell>
          <cell r="AH272">
            <v>-8.2999999999999972</v>
          </cell>
          <cell r="AI272">
            <v>-4</v>
          </cell>
          <cell r="AJ272">
            <v>-38.5</v>
          </cell>
          <cell r="AK272">
            <v>11</v>
          </cell>
          <cell r="AL272">
            <v>-7</v>
          </cell>
          <cell r="AM272">
            <v>-6</v>
          </cell>
          <cell r="AN272">
            <v>-3</v>
          </cell>
          <cell r="AO272">
            <v>-5</v>
          </cell>
          <cell r="AP272">
            <v>-7</v>
          </cell>
          <cell r="AQ272">
            <v>1</v>
          </cell>
          <cell r="AR272">
            <v>-5</v>
          </cell>
          <cell r="AS272">
            <v>-22</v>
          </cell>
          <cell r="AT272">
            <v>-32</v>
          </cell>
          <cell r="AU272">
            <v>-26</v>
          </cell>
          <cell r="AV272">
            <v>-15</v>
          </cell>
          <cell r="AW272">
            <v>-7</v>
          </cell>
          <cell r="AX272">
            <v>-3</v>
          </cell>
          <cell r="AY272">
            <v>-52</v>
          </cell>
          <cell r="AZ272">
            <v>-9</v>
          </cell>
          <cell r="BA272">
            <v>-11</v>
          </cell>
          <cell r="BB272">
            <v>-13</v>
          </cell>
          <cell r="BC272">
            <v>-14</v>
          </cell>
          <cell r="BD272">
            <v>-47</v>
          </cell>
          <cell r="BE272">
            <v>-1</v>
          </cell>
          <cell r="BF272">
            <v>-15</v>
          </cell>
          <cell r="BG272">
            <v>-7</v>
          </cell>
          <cell r="BH272">
            <v>-14</v>
          </cell>
          <cell r="BI272">
            <v>-37</v>
          </cell>
        </row>
        <row r="273">
          <cell r="A273" t="str">
            <v>Net Sales</v>
          </cell>
          <cell r="AF273">
            <v>758</v>
          </cell>
          <cell r="AG273">
            <v>886</v>
          </cell>
          <cell r="AH273">
            <v>936</v>
          </cell>
          <cell r="AI273">
            <v>912</v>
          </cell>
          <cell r="AJ273">
            <v>3492</v>
          </cell>
          <cell r="AK273">
            <v>767</v>
          </cell>
          <cell r="AL273">
            <v>1033</v>
          </cell>
          <cell r="AM273">
            <v>953</v>
          </cell>
          <cell r="AN273">
            <v>932</v>
          </cell>
          <cell r="AO273">
            <v>3685</v>
          </cell>
          <cell r="AP273">
            <v>923</v>
          </cell>
          <cell r="AQ273">
            <v>1038</v>
          </cell>
          <cell r="AR273">
            <v>1073</v>
          </cell>
          <cell r="AS273">
            <v>1019</v>
          </cell>
          <cell r="AT273">
            <v>4053</v>
          </cell>
          <cell r="AU273">
            <v>1056</v>
          </cell>
          <cell r="AV273">
            <v>1159</v>
          </cell>
          <cell r="AW273">
            <v>1113</v>
          </cell>
          <cell r="AX273">
            <v>1125</v>
          </cell>
          <cell r="AY273">
            <v>4453</v>
          </cell>
          <cell r="AZ273">
            <v>1059</v>
          </cell>
          <cell r="BA273">
            <v>1205</v>
          </cell>
          <cell r="BB273">
            <v>1163</v>
          </cell>
          <cell r="BC273">
            <v>1209</v>
          </cell>
          <cell r="BD273">
            <v>4636</v>
          </cell>
          <cell r="BE273">
            <v>1122</v>
          </cell>
          <cell r="BF273">
            <v>1288</v>
          </cell>
          <cell r="BG273">
            <v>1310</v>
          </cell>
          <cell r="BH273">
            <v>1253</v>
          </cell>
          <cell r="BI273">
            <v>4973</v>
          </cell>
          <cell r="BJ273">
            <v>1147</v>
          </cell>
          <cell r="BK273">
            <v>1297</v>
          </cell>
          <cell r="BL273">
            <v>1324</v>
          </cell>
          <cell r="BM273">
            <v>1283</v>
          </cell>
          <cell r="BN273">
            <v>5051</v>
          </cell>
          <cell r="BO273">
            <v>1210</v>
          </cell>
          <cell r="BP273">
            <v>1340.9837648494224</v>
          </cell>
          <cell r="BQ273">
            <v>1352.3825682963788</v>
          </cell>
          <cell r="BR273">
            <v>1297.2004773095532</v>
          </cell>
          <cell r="BS273">
            <v>5200.5668104553542</v>
          </cell>
        </row>
        <row r="274">
          <cell r="A274" t="str">
            <v>COGS</v>
          </cell>
          <cell r="AF274">
            <v>135</v>
          </cell>
          <cell r="AG274">
            <v>150</v>
          </cell>
          <cell r="AH274">
            <v>160</v>
          </cell>
          <cell r="AI274">
            <v>155</v>
          </cell>
          <cell r="AJ274">
            <v>600</v>
          </cell>
          <cell r="AK274">
            <v>137</v>
          </cell>
          <cell r="AL274">
            <v>172</v>
          </cell>
          <cell r="AM274">
            <v>171</v>
          </cell>
          <cell r="AN274">
            <v>171</v>
          </cell>
          <cell r="AO274">
            <v>651</v>
          </cell>
          <cell r="AP274">
            <v>169</v>
          </cell>
          <cell r="AQ274">
            <v>185</v>
          </cell>
          <cell r="AR274">
            <v>183</v>
          </cell>
          <cell r="AS274">
            <v>182</v>
          </cell>
          <cell r="AT274">
            <v>718</v>
          </cell>
          <cell r="AU274">
            <v>194</v>
          </cell>
          <cell r="AV274">
            <v>207</v>
          </cell>
          <cell r="AW274">
            <v>209</v>
          </cell>
          <cell r="AX274">
            <v>193</v>
          </cell>
          <cell r="AY274">
            <v>803</v>
          </cell>
          <cell r="AZ274">
            <v>199</v>
          </cell>
          <cell r="BA274">
            <v>229</v>
          </cell>
          <cell r="BB274">
            <v>218</v>
          </cell>
          <cell r="BC274">
            <v>239</v>
          </cell>
          <cell r="BD274">
            <v>885</v>
          </cell>
          <cell r="BE274">
            <v>233</v>
          </cell>
          <cell r="BF274">
            <v>267</v>
          </cell>
          <cell r="BG274">
            <v>272</v>
          </cell>
          <cell r="BH274">
            <v>241</v>
          </cell>
          <cell r="BI274">
            <v>1013</v>
          </cell>
          <cell r="BJ274">
            <v>242</v>
          </cell>
          <cell r="BK274">
            <v>256</v>
          </cell>
          <cell r="BL274">
            <v>241</v>
          </cell>
          <cell r="BM274">
            <v>226</v>
          </cell>
          <cell r="BN274">
            <v>965</v>
          </cell>
          <cell r="BO274">
            <v>208</v>
          </cell>
          <cell r="BP274">
            <v>250.90286675326581</v>
          </cell>
          <cell r="BQ274">
            <v>231.37642601886276</v>
          </cell>
          <cell r="BR274">
            <v>248.20243433059636</v>
          </cell>
          <cell r="BS274">
            <v>938.4817271027249</v>
          </cell>
        </row>
        <row r="275">
          <cell r="A275" t="str">
            <v>Gross Profit</v>
          </cell>
          <cell r="AF275">
            <v>623</v>
          </cell>
          <cell r="AG275">
            <v>736</v>
          </cell>
          <cell r="AH275">
            <v>776</v>
          </cell>
          <cell r="AI275">
            <v>757</v>
          </cell>
          <cell r="AJ275">
            <v>2892</v>
          </cell>
          <cell r="AK275">
            <v>630</v>
          </cell>
          <cell r="AL275">
            <v>861</v>
          </cell>
          <cell r="AM275">
            <v>782</v>
          </cell>
          <cell r="AN275">
            <v>761</v>
          </cell>
          <cell r="AO275">
            <v>3034</v>
          </cell>
          <cell r="AP275">
            <v>754</v>
          </cell>
          <cell r="AQ275">
            <v>853</v>
          </cell>
          <cell r="AR275">
            <v>890</v>
          </cell>
          <cell r="AS275">
            <v>837</v>
          </cell>
          <cell r="AT275">
            <v>3335</v>
          </cell>
          <cell r="AU275">
            <v>862</v>
          </cell>
          <cell r="AV275">
            <v>952</v>
          </cell>
          <cell r="AW275">
            <v>904</v>
          </cell>
          <cell r="AX275">
            <v>932</v>
          </cell>
          <cell r="AY275">
            <v>3650</v>
          </cell>
          <cell r="AZ275">
            <v>860</v>
          </cell>
          <cell r="BA275">
            <v>976</v>
          </cell>
          <cell r="BB275">
            <v>945</v>
          </cell>
          <cell r="BC275">
            <v>970</v>
          </cell>
          <cell r="BD275">
            <v>3751</v>
          </cell>
          <cell r="BE275">
            <v>889</v>
          </cell>
          <cell r="BF275">
            <v>1021</v>
          </cell>
          <cell r="BG275">
            <v>1038</v>
          </cell>
          <cell r="BH275">
            <v>1012</v>
          </cell>
          <cell r="BI275">
            <v>3960</v>
          </cell>
          <cell r="BJ275">
            <v>905</v>
          </cell>
          <cell r="BK275">
            <v>1041</v>
          </cell>
          <cell r="BL275">
            <v>1083</v>
          </cell>
          <cell r="BM275">
            <v>1057</v>
          </cell>
          <cell r="BN275">
            <v>4086</v>
          </cell>
          <cell r="BO275">
            <v>1002</v>
          </cell>
          <cell r="BP275">
            <v>1090.0808980961565</v>
          </cell>
          <cell r="BQ275">
            <v>1121.0061422775161</v>
          </cell>
          <cell r="BR275">
            <v>1048.9980429789568</v>
          </cell>
          <cell r="BS275">
            <v>4262.0850833526292</v>
          </cell>
        </row>
        <row r="276">
          <cell r="A276" t="str">
            <v>SG&amp;A</v>
          </cell>
          <cell r="AF276">
            <v>100</v>
          </cell>
          <cell r="AG276">
            <v>91</v>
          </cell>
          <cell r="AH276">
            <v>90</v>
          </cell>
          <cell r="AI276">
            <v>80</v>
          </cell>
          <cell r="AJ276">
            <v>361</v>
          </cell>
          <cell r="AK276">
            <v>89</v>
          </cell>
          <cell r="AL276">
            <v>98</v>
          </cell>
          <cell r="AM276">
            <v>96</v>
          </cell>
          <cell r="AN276">
            <v>83</v>
          </cell>
          <cell r="AO276">
            <v>366</v>
          </cell>
          <cell r="AP276">
            <v>96</v>
          </cell>
          <cell r="AQ276">
            <v>97</v>
          </cell>
          <cell r="AR276">
            <v>101</v>
          </cell>
          <cell r="AS276">
            <v>105</v>
          </cell>
          <cell r="AT276">
            <v>398</v>
          </cell>
          <cell r="AU276">
            <v>122</v>
          </cell>
          <cell r="AV276">
            <v>112</v>
          </cell>
          <cell r="AW276">
            <v>108</v>
          </cell>
          <cell r="AX276">
            <v>108</v>
          </cell>
          <cell r="AY276">
            <v>450</v>
          </cell>
          <cell r="AZ276">
            <v>131</v>
          </cell>
          <cell r="BA276">
            <v>123</v>
          </cell>
          <cell r="BB276">
            <v>121</v>
          </cell>
          <cell r="BC276">
            <v>122</v>
          </cell>
          <cell r="BD276">
            <v>497</v>
          </cell>
          <cell r="BE276">
            <v>132</v>
          </cell>
          <cell r="BF276">
            <v>138</v>
          </cell>
          <cell r="BG276">
            <v>128</v>
          </cell>
          <cell r="BH276">
            <v>136</v>
          </cell>
          <cell r="BI276">
            <v>534</v>
          </cell>
          <cell r="BJ276">
            <v>141</v>
          </cell>
          <cell r="BK276">
            <v>141</v>
          </cell>
          <cell r="BL276">
            <v>141</v>
          </cell>
          <cell r="BM276">
            <v>126</v>
          </cell>
          <cell r="BN276">
            <v>549</v>
          </cell>
          <cell r="BO276">
            <v>145</v>
          </cell>
          <cell r="BP276">
            <v>134.62816330979388</v>
          </cell>
          <cell r="BQ276">
            <v>133.88496668357186</v>
          </cell>
          <cell r="BR276">
            <v>112.26369184386976</v>
          </cell>
          <cell r="BS276">
            <v>525.7768218372355</v>
          </cell>
        </row>
        <row r="277">
          <cell r="A277" t="str">
            <v>Operating Profit</v>
          </cell>
          <cell r="AF277">
            <v>266</v>
          </cell>
          <cell r="AG277">
            <v>352</v>
          </cell>
          <cell r="AH277">
            <v>382</v>
          </cell>
          <cell r="AI277">
            <v>414</v>
          </cell>
          <cell r="AJ277">
            <v>1414</v>
          </cell>
          <cell r="AK277">
            <v>294</v>
          </cell>
          <cell r="AL277">
            <v>456</v>
          </cell>
          <cell r="AM277">
            <v>392</v>
          </cell>
          <cell r="AN277">
            <v>398</v>
          </cell>
          <cell r="AO277">
            <v>1540</v>
          </cell>
          <cell r="AP277">
            <v>382</v>
          </cell>
          <cell r="AQ277">
            <v>445</v>
          </cell>
          <cell r="AR277">
            <v>465</v>
          </cell>
          <cell r="AS277">
            <v>432</v>
          </cell>
          <cell r="AT277">
            <v>1725</v>
          </cell>
          <cell r="AU277">
            <v>421</v>
          </cell>
          <cell r="AV277">
            <v>487</v>
          </cell>
          <cell r="AW277">
            <v>455</v>
          </cell>
          <cell r="AX277">
            <v>505</v>
          </cell>
          <cell r="AY277">
            <v>1868</v>
          </cell>
          <cell r="AZ277">
            <v>399</v>
          </cell>
          <cell r="BA277">
            <v>489</v>
          </cell>
          <cell r="BB277">
            <v>481</v>
          </cell>
          <cell r="BC277">
            <v>514</v>
          </cell>
          <cell r="BD277">
            <v>1883</v>
          </cell>
          <cell r="BE277">
            <v>438</v>
          </cell>
          <cell r="BF277">
            <v>529</v>
          </cell>
          <cell r="BG277">
            <v>541</v>
          </cell>
          <cell r="BH277">
            <v>523</v>
          </cell>
          <cell r="BI277">
            <v>2031</v>
          </cell>
          <cell r="BJ277">
            <v>447</v>
          </cell>
          <cell r="BK277">
            <v>532</v>
          </cell>
          <cell r="BL277">
            <v>570</v>
          </cell>
          <cell r="BM277">
            <v>590</v>
          </cell>
          <cell r="BN277">
            <v>2139</v>
          </cell>
          <cell r="BO277">
            <v>518</v>
          </cell>
          <cell r="BP277">
            <v>582.0335644211641</v>
          </cell>
          <cell r="BQ277">
            <v>612.25454883130033</v>
          </cell>
          <cell r="BR277">
            <v>603.21935352658193</v>
          </cell>
          <cell r="BS277">
            <v>2315.5074667790459</v>
          </cell>
        </row>
        <row r="278">
          <cell r="A278" t="str">
            <v>Operating Profit</v>
          </cell>
          <cell r="AF278">
            <v>266</v>
          </cell>
          <cell r="AG278">
            <v>352</v>
          </cell>
          <cell r="AH278">
            <v>382</v>
          </cell>
          <cell r="AI278">
            <v>414</v>
          </cell>
          <cell r="AJ278">
            <v>1414</v>
          </cell>
          <cell r="AK278">
            <v>294</v>
          </cell>
          <cell r="AL278">
            <v>456</v>
          </cell>
          <cell r="AM278">
            <v>392</v>
          </cell>
          <cell r="AN278">
            <v>398</v>
          </cell>
          <cell r="AO278">
            <v>1540</v>
          </cell>
          <cell r="AP278">
            <v>382</v>
          </cell>
          <cell r="AQ278">
            <v>445</v>
          </cell>
          <cell r="AR278">
            <v>465</v>
          </cell>
          <cell r="AS278">
            <v>432</v>
          </cell>
          <cell r="AT278">
            <v>1725</v>
          </cell>
          <cell r="AU278">
            <v>421</v>
          </cell>
          <cell r="AV278">
            <v>487</v>
          </cell>
          <cell r="AW278">
            <v>455</v>
          </cell>
          <cell r="AX278">
            <v>505</v>
          </cell>
          <cell r="AY278">
            <v>1868</v>
          </cell>
          <cell r="AZ278">
            <v>399</v>
          </cell>
          <cell r="BA278">
            <v>489</v>
          </cell>
          <cell r="BB278">
            <v>481</v>
          </cell>
          <cell r="BC278">
            <v>514</v>
          </cell>
          <cell r="BD278">
            <v>1883</v>
          </cell>
          <cell r="BE278">
            <v>438</v>
          </cell>
          <cell r="BF278">
            <v>529</v>
          </cell>
          <cell r="BG278">
            <v>541</v>
          </cell>
          <cell r="BH278">
            <v>523</v>
          </cell>
          <cell r="BI278">
            <v>2031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3">
          <cell r="A3" t="str">
            <v>$ millions, except per share</v>
          </cell>
          <cell r="B3" t="str">
            <v>3Q11A</v>
          </cell>
          <cell r="C3" t="str">
            <v>3Q12E</v>
          </cell>
          <cell r="D3" t="str">
            <v>% Chg</v>
          </cell>
        </row>
        <row r="5">
          <cell r="A5" t="str">
            <v>Net Sales</v>
          </cell>
          <cell r="B5">
            <v>1113</v>
          </cell>
          <cell r="C5">
            <v>1163</v>
          </cell>
          <cell r="D5">
            <v>4.4923629829290102E-2</v>
          </cell>
        </row>
        <row r="7">
          <cell r="A7" t="str">
            <v>COGS</v>
          </cell>
          <cell r="B7">
            <v>209</v>
          </cell>
          <cell r="C7">
            <v>218</v>
          </cell>
          <cell r="D7">
            <v>4.3062200956937691E-2</v>
          </cell>
        </row>
        <row r="8">
          <cell r="A8" t="str">
            <v>% of sales</v>
          </cell>
          <cell r="B8">
            <v>0.18778077268643306</v>
          </cell>
          <cell r="C8">
            <v>0.18744625967325881</v>
          </cell>
          <cell r="D8">
            <v>-3.3451301317424798E-4</v>
          </cell>
        </row>
        <row r="10">
          <cell r="A10" t="str">
            <v>SG&amp;A</v>
          </cell>
          <cell r="B10">
            <v>108</v>
          </cell>
          <cell r="C10">
            <v>121</v>
          </cell>
          <cell r="D10">
            <v>0.12037037037037046</v>
          </cell>
        </row>
        <row r="11">
          <cell r="A11" t="str">
            <v>% of sales</v>
          </cell>
          <cell r="B11">
            <v>9.7035040431266845E-2</v>
          </cell>
          <cell r="C11">
            <v>0.10404127257093723</v>
          </cell>
          <cell r="D11">
            <v>7.0062321396703875E-3</v>
          </cell>
        </row>
        <row r="13">
          <cell r="A13" t="str">
            <v>MSA</v>
          </cell>
          <cell r="B13">
            <v>341</v>
          </cell>
          <cell r="C13">
            <v>343</v>
          </cell>
          <cell r="D13">
            <v>5.8651026392961825E-3</v>
          </cell>
        </row>
        <row r="15">
          <cell r="A15" t="str">
            <v>Operating Income</v>
          </cell>
          <cell r="B15">
            <v>455</v>
          </cell>
          <cell r="C15">
            <v>481</v>
          </cell>
          <cell r="D15">
            <v>5.7142857142857162E-2</v>
          </cell>
        </row>
        <row r="16">
          <cell r="A16" t="str">
            <v>Operating Margin (Net Sales)</v>
          </cell>
          <cell r="B16">
            <v>0.4088050314465409</v>
          </cell>
          <cell r="C16">
            <v>0.41358555460017199</v>
          </cell>
          <cell r="D16">
            <v>4.7805231536310888E-3</v>
          </cell>
        </row>
        <row r="18">
          <cell r="A18" t="str">
            <v>Net Interest Expense</v>
          </cell>
          <cell r="B18">
            <v>34</v>
          </cell>
          <cell r="C18">
            <v>37</v>
          </cell>
          <cell r="D18">
            <v>8.8235294117646967E-2</v>
          </cell>
        </row>
        <row r="19">
          <cell r="A19" t="str">
            <v>Effective Tax Rate</v>
          </cell>
          <cell r="B19">
            <v>0.36579572446555819</v>
          </cell>
          <cell r="C19">
            <v>0.36261261261261263</v>
          </cell>
          <cell r="D19">
            <v>-3.1831118529455638E-3</v>
          </cell>
        </row>
        <row r="21">
          <cell r="A21" t="str">
            <v>Net Income</v>
          </cell>
          <cell r="B21">
            <v>267</v>
          </cell>
          <cell r="C21">
            <v>283</v>
          </cell>
          <cell r="D21">
            <v>5.9925093632958726E-2</v>
          </cell>
        </row>
        <row r="23">
          <cell r="A23" t="str">
            <v>EPS</v>
          </cell>
          <cell r="B23">
            <v>0.64954021310757548</v>
          </cell>
          <cell r="C23">
            <v>0.72369262242679966</v>
          </cell>
          <cell r="D23">
            <v>0.11416138342606841</v>
          </cell>
        </row>
        <row r="25">
          <cell r="A25" t="str">
            <v>Diluted Shares Outstanding</v>
          </cell>
          <cell r="B25">
            <v>411.06</v>
          </cell>
          <cell r="C25">
            <v>391.05</v>
          </cell>
          <cell r="D25">
            <v>-4.8679024959859873E-2</v>
          </cell>
        </row>
        <row r="26">
          <cell r="A26" t="str">
            <v>Share repurchases</v>
          </cell>
          <cell r="B26">
            <v>438</v>
          </cell>
          <cell r="C26">
            <v>86</v>
          </cell>
          <cell r="D26" t="str">
            <v>-</v>
          </cell>
        </row>
        <row r="27">
          <cell r="A27" t="str">
            <v>Number of shares repurchased (MM)</v>
          </cell>
          <cell r="B27">
            <v>12</v>
          </cell>
          <cell r="C27">
            <v>2.1</v>
          </cell>
          <cell r="D27" t="str">
            <v>-</v>
          </cell>
        </row>
        <row r="29">
          <cell r="A29" t="str">
            <v>Volume (Bn sticks)</v>
          </cell>
          <cell r="B29">
            <v>10.106904999999999</v>
          </cell>
          <cell r="C29">
            <v>9.8960039999999978</v>
          </cell>
          <cell r="D29">
            <v>-2.0867021110814954E-2</v>
          </cell>
        </row>
        <row r="30">
          <cell r="A30" t="str">
            <v xml:space="preserve">   Newport</v>
          </cell>
          <cell r="B30">
            <v>8.4546609999999998</v>
          </cell>
          <cell r="C30">
            <v>8.2626779999999993</v>
          </cell>
          <cell r="D30">
            <v>-2.2707356332796858E-2</v>
          </cell>
        </row>
        <row r="31">
          <cell r="A31" t="str">
            <v xml:space="preserve">   Maverick</v>
          </cell>
          <cell r="B31">
            <v>1.3974839999999999</v>
          </cell>
          <cell r="C31">
            <v>1.4122079999999999</v>
          </cell>
          <cell r="D31">
            <v>1.0536077693912738E-2</v>
          </cell>
        </row>
        <row r="33">
          <cell r="A33" t="str">
            <v>Per Pack Metrics</v>
          </cell>
        </row>
        <row r="34">
          <cell r="A34" t="str">
            <v>Net Revenue</v>
          </cell>
          <cell r="B34">
            <v>2.1645398393475812</v>
          </cell>
          <cell r="C34">
            <v>2.2819555703846262</v>
          </cell>
          <cell r="D34">
            <v>5.4245123560504815E-2</v>
          </cell>
        </row>
        <row r="35">
          <cell r="A35" t="str">
            <v>COGS</v>
          </cell>
          <cell r="B35">
            <v>0.4064589635432565</v>
          </cell>
          <cell r="C35">
            <v>0.41508156154080667</v>
          </cell>
          <cell r="D35">
            <v>2.1213944754431502E-2</v>
          </cell>
        </row>
        <row r="36">
          <cell r="A36" t="str">
            <v>SG&amp;A</v>
          </cell>
          <cell r="B36">
            <v>0.2100362108261804</v>
          </cell>
          <cell r="C36">
            <v>0.22243605211756148</v>
          </cell>
          <cell r="D36">
            <v>5.9036683449040117E-2</v>
          </cell>
        </row>
        <row r="37">
          <cell r="A37" t="str">
            <v>MSA</v>
          </cell>
          <cell r="B37">
            <v>0.66316988788636577</v>
          </cell>
          <cell r="C37">
            <v>0.68121040961003199</v>
          </cell>
          <cell r="D37">
            <v>2.7203469357097054E-2</v>
          </cell>
        </row>
        <row r="38">
          <cell r="A38" t="str">
            <v>Operating Income</v>
          </cell>
          <cell r="B38">
            <v>0.88487477709177842</v>
          </cell>
          <cell r="C38">
            <v>0.96322754711622605</v>
          </cell>
          <cell r="D38">
            <v>8.8546732320657906E-2</v>
          </cell>
        </row>
      </sheetData>
      <sheetData sheetId="26" refreshError="1"/>
      <sheetData sheetId="27" refreshError="1"/>
      <sheetData sheetId="28" refreshError="1"/>
      <sheetData sheetId="29" refreshError="1">
        <row r="2">
          <cell r="A2" t="str">
            <v>Estimated Impact of Channel Shift</v>
          </cell>
          <cell r="B2" t="str">
            <v>3Q11</v>
          </cell>
          <cell r="C2" t="str">
            <v>4Q11</v>
          </cell>
          <cell r="D2" t="str">
            <v>1Q12</v>
          </cell>
          <cell r="E2" t="str">
            <v>2Q12</v>
          </cell>
        </row>
        <row r="3">
          <cell r="A3" t="str">
            <v>% of volume impacted</v>
          </cell>
          <cell r="B3">
            <v>4.4999999999999998E-2</v>
          </cell>
          <cell r="C3">
            <v>4.4999999999999998E-2</v>
          </cell>
          <cell r="D3">
            <v>4.4999999999999998E-2</v>
          </cell>
          <cell r="E3">
            <v>4.4999999999999998E-2</v>
          </cell>
        </row>
        <row r="4">
          <cell r="A4" t="str">
            <v>Estimated volume impacted (Bn sticks)</v>
          </cell>
          <cell r="B4">
            <v>0.40012611999999997</v>
          </cell>
          <cell r="C4">
            <v>0.37823812000000007</v>
          </cell>
          <cell r="D4">
            <v>0.43017827999999997</v>
          </cell>
          <cell r="E4">
            <v>0.41135763999999997</v>
          </cell>
        </row>
        <row r="6">
          <cell r="A6" t="str">
            <v>Assumed promotional spending/pack</v>
          </cell>
          <cell r="B6">
            <v>0.7</v>
          </cell>
          <cell r="C6">
            <v>0.7</v>
          </cell>
          <cell r="D6">
            <v>0.7</v>
          </cell>
          <cell r="E6">
            <v>0.7</v>
          </cell>
        </row>
        <row r="7">
          <cell r="A7" t="str">
            <v>Increase in promotional spending ($MM)</v>
          </cell>
          <cell r="B7">
            <v>14.004414199999999</v>
          </cell>
          <cell r="C7">
            <v>13.238334200000002</v>
          </cell>
          <cell r="D7">
            <v>15.056239799999998</v>
          </cell>
          <cell r="E7">
            <v>14.397517399999998</v>
          </cell>
        </row>
        <row r="9">
          <cell r="A9" t="str">
            <v>% Impact on net revenue growth</v>
          </cell>
          <cell r="B9">
            <v>-1.3051644175209692E-2</v>
          </cell>
          <cell r="C9">
            <v>-1.2991495780176646E-2</v>
          </cell>
          <cell r="D9">
            <v>-1.4257802840909089E-2</v>
          </cell>
          <cell r="E9">
            <v>-1.2422361863675581E-2</v>
          </cell>
        </row>
      </sheetData>
      <sheetData sheetId="30" refreshError="1"/>
      <sheetData sheetId="31" refreshError="1"/>
      <sheetData sheetId="32" refreshError="1"/>
      <sheetData sheetId="33" refreshError="1"/>
      <sheetData sheetId="34" refreshError="1">
        <row r="3">
          <cell r="A3" t="str">
            <v>$ millions, except per share</v>
          </cell>
          <cell r="B3" t="str">
            <v>2Q10A</v>
          </cell>
          <cell r="C3" t="str">
            <v>2Q11E</v>
          </cell>
          <cell r="D3" t="str">
            <v>% Chg</v>
          </cell>
        </row>
        <row r="5">
          <cell r="A5" t="str">
            <v>Net Sales</v>
          </cell>
          <cell r="B5">
            <v>1038</v>
          </cell>
          <cell r="C5">
            <v>1159</v>
          </cell>
          <cell r="D5">
            <v>0.11657032755298657</v>
          </cell>
        </row>
        <row r="7">
          <cell r="A7" t="str">
            <v>COGS</v>
          </cell>
          <cell r="B7">
            <v>185</v>
          </cell>
          <cell r="C7">
            <v>207</v>
          </cell>
          <cell r="D7">
            <v>0.11891891891891881</v>
          </cell>
        </row>
        <row r="8">
          <cell r="A8" t="str">
            <v>% of sales</v>
          </cell>
          <cell r="B8">
            <v>0.17822736030828518</v>
          </cell>
          <cell r="C8">
            <v>0.17860224331320104</v>
          </cell>
          <cell r="D8">
            <v>3.7488300491586579E-4</v>
          </cell>
        </row>
        <row r="10">
          <cell r="A10" t="str">
            <v>SG&amp;A</v>
          </cell>
          <cell r="B10">
            <v>97</v>
          </cell>
          <cell r="C10">
            <v>112</v>
          </cell>
          <cell r="D10">
            <v>0.15463917525773185</v>
          </cell>
        </row>
        <row r="11">
          <cell r="A11" t="str">
            <v>% of sales</v>
          </cell>
          <cell r="B11">
            <v>9.3448940269749523E-2</v>
          </cell>
          <cell r="C11">
            <v>9.6635030198446936E-2</v>
          </cell>
          <cell r="D11">
            <v>3.1860899286974137E-3</v>
          </cell>
        </row>
        <row r="13">
          <cell r="A13" t="str">
            <v>MSA</v>
          </cell>
          <cell r="B13">
            <v>311</v>
          </cell>
          <cell r="C13">
            <v>353</v>
          </cell>
          <cell r="D13">
            <v>0.135048231511254</v>
          </cell>
        </row>
        <row r="15">
          <cell r="A15" t="str">
            <v>Operating Income</v>
          </cell>
          <cell r="B15">
            <v>445</v>
          </cell>
          <cell r="C15">
            <v>487</v>
          </cell>
          <cell r="D15">
            <v>9.4382022471910076E-2</v>
          </cell>
        </row>
        <row r="16">
          <cell r="A16" t="str">
            <v>Operating Margin (Net Sales)</v>
          </cell>
          <cell r="B16">
            <v>0.42870905587668595</v>
          </cell>
          <cell r="C16">
            <v>0.42018981880931838</v>
          </cell>
          <cell r="D16">
            <v>-8.5192370673675688E-3</v>
          </cell>
        </row>
        <row r="18">
          <cell r="A18" t="str">
            <v>Net Interest Expense</v>
          </cell>
          <cell r="B18">
            <v>27</v>
          </cell>
          <cell r="C18">
            <v>27</v>
          </cell>
          <cell r="D18">
            <v>0</v>
          </cell>
        </row>
        <row r="19">
          <cell r="A19" t="str">
            <v>Effective Tax Rate</v>
          </cell>
          <cell r="B19">
            <v>0.37081339712918659</v>
          </cell>
          <cell r="C19">
            <v>0.36739130434782608</v>
          </cell>
          <cell r="D19">
            <v>-3.4220927813605195E-3</v>
          </cell>
        </row>
        <row r="21">
          <cell r="A21" t="str">
            <v>Net Income</v>
          </cell>
          <cell r="B21">
            <v>263</v>
          </cell>
          <cell r="C21">
            <v>291</v>
          </cell>
          <cell r="D21">
            <v>0.10646387832699622</v>
          </cell>
        </row>
        <row r="23">
          <cell r="A23" t="str">
            <v>EPS</v>
          </cell>
          <cell r="B23">
            <v>0.57592081636228265</v>
          </cell>
          <cell r="C23">
            <v>0.68329106790645255</v>
          </cell>
          <cell r="D23">
            <v>0.18643231585612408</v>
          </cell>
        </row>
        <row r="25">
          <cell r="A25" t="str">
            <v>Diluted Shares Outstanding</v>
          </cell>
          <cell r="B25">
            <v>456.66</v>
          </cell>
          <cell r="C25">
            <v>425.88</v>
          </cell>
          <cell r="D25">
            <v>-6.7402443831296899E-2</v>
          </cell>
        </row>
        <row r="26">
          <cell r="A26" t="str">
            <v>Share repurchases</v>
          </cell>
          <cell r="B26">
            <v>136</v>
          </cell>
          <cell r="C26">
            <v>494</v>
          </cell>
          <cell r="D26" t="str">
            <v>-</v>
          </cell>
        </row>
        <row r="27">
          <cell r="A27" t="str">
            <v>Number of shares repurchased (MM)</v>
          </cell>
          <cell r="B27">
            <v>5.3069719042663897</v>
          </cell>
          <cell r="C27">
            <v>13.5</v>
          </cell>
          <cell r="D27" t="str">
            <v>-</v>
          </cell>
        </row>
        <row r="29">
          <cell r="A29" t="str">
            <v>Volume (Bn sticks)</v>
          </cell>
          <cell r="B29">
            <v>9.6019459999999999</v>
          </cell>
          <cell r="C29">
            <v>10.597640999999999</v>
          </cell>
          <cell r="D29">
            <v>0.10369720887828349</v>
          </cell>
        </row>
        <row r="30">
          <cell r="A30" t="str">
            <v xml:space="preserve">   Newport</v>
          </cell>
          <cell r="B30">
            <v>8.1948229999999995</v>
          </cell>
          <cell r="C30">
            <v>8.9822249999999997</v>
          </cell>
          <cell r="D30">
            <v>9.6085296778221974E-2</v>
          </cell>
        </row>
        <row r="31">
          <cell r="A31" t="str">
            <v xml:space="preserve">   Maverick</v>
          </cell>
          <cell r="B31">
            <v>1.12503</v>
          </cell>
          <cell r="C31">
            <v>1.36338</v>
          </cell>
          <cell r="D31">
            <v>0.21186101703954563</v>
          </cell>
        </row>
        <row r="33">
          <cell r="A33" t="str">
            <v>Per Pack Metrics</v>
          </cell>
        </row>
        <row r="34">
          <cell r="A34" t="str">
            <v>Net Revenue</v>
          </cell>
          <cell r="B34">
            <v>2.1216771633135445</v>
          </cell>
          <cell r="C34">
            <v>2.1553854369402381</v>
          </cell>
          <cell r="D34">
            <v>1.5887560185664285E-2</v>
          </cell>
        </row>
        <row r="35">
          <cell r="A35" t="str">
            <v>COGS</v>
          </cell>
          <cell r="B35">
            <v>0.37814092024374346</v>
          </cell>
          <cell r="C35">
            <v>0.38495667424213054</v>
          </cell>
          <cell r="D35">
            <v>1.8024375658666436E-2</v>
          </cell>
        </row>
        <row r="36">
          <cell r="A36" t="str">
            <v>SG&amp;A</v>
          </cell>
          <cell r="B36">
            <v>0.19826848250617901</v>
          </cell>
          <cell r="C36">
            <v>0.20828573678801265</v>
          </cell>
          <cell r="D36">
            <v>5.0523684628097421E-2</v>
          </cell>
        </row>
        <row r="37">
          <cell r="A37" t="str">
            <v>MSA</v>
          </cell>
          <cell r="B37">
            <v>0.63568554700434721</v>
          </cell>
          <cell r="C37">
            <v>0.65647200969793273</v>
          </cell>
          <cell r="D37">
            <v>3.269928471953043E-2</v>
          </cell>
        </row>
        <row r="38">
          <cell r="A38" t="str">
            <v>Operating Income</v>
          </cell>
          <cell r="B38">
            <v>0.90958221355927493</v>
          </cell>
          <cell r="C38">
            <v>0.90567101621216228</v>
          </cell>
          <cell r="D38">
            <v>-4.2999932153552356E-3</v>
          </cell>
        </row>
      </sheetData>
      <sheetData sheetId="35" refreshError="1">
        <row r="3">
          <cell r="A3" t="str">
            <v>$ millions, except per share</v>
          </cell>
          <cell r="B3" t="str">
            <v>1Q10A</v>
          </cell>
          <cell r="C3" t="str">
            <v>1Q11E</v>
          </cell>
          <cell r="D3" t="str">
            <v>% Chg</v>
          </cell>
        </row>
        <row r="5">
          <cell r="A5" t="str">
            <v>Net Sales</v>
          </cell>
          <cell r="B5">
            <v>923</v>
          </cell>
          <cell r="C5">
            <v>1056</v>
          </cell>
          <cell r="D5">
            <v>0.14409534127843981</v>
          </cell>
        </row>
        <row r="7">
          <cell r="A7" t="str">
            <v>COGS</v>
          </cell>
          <cell r="B7">
            <v>169</v>
          </cell>
          <cell r="C7">
            <v>194</v>
          </cell>
          <cell r="D7">
            <v>0.14792899408284033</v>
          </cell>
        </row>
        <row r="8">
          <cell r="A8" t="str">
            <v>% of sales</v>
          </cell>
          <cell r="B8">
            <v>0.18309859154929578</v>
          </cell>
          <cell r="C8">
            <v>0.18371212121212122</v>
          </cell>
          <cell r="D8">
            <v>6.1352966282543497E-4</v>
          </cell>
        </row>
        <row r="10">
          <cell r="A10" t="str">
            <v>SG&amp;A</v>
          </cell>
          <cell r="B10">
            <v>96</v>
          </cell>
          <cell r="C10">
            <v>122</v>
          </cell>
          <cell r="D10">
            <v>0.27083333333333326</v>
          </cell>
        </row>
        <row r="11">
          <cell r="A11" t="str">
            <v>% of sales</v>
          </cell>
          <cell r="B11">
            <v>0.10400866738894908</v>
          </cell>
          <cell r="C11">
            <v>0.11553030303030302</v>
          </cell>
          <cell r="D11">
            <v>1.1521635641353944E-2</v>
          </cell>
        </row>
        <row r="13">
          <cell r="A13" t="str">
            <v>MSA</v>
          </cell>
          <cell r="B13">
            <v>276</v>
          </cell>
          <cell r="C13">
            <v>319</v>
          </cell>
          <cell r="D13">
            <v>0.15579710144927539</v>
          </cell>
        </row>
        <row r="15">
          <cell r="A15" t="str">
            <v>Operating Income</v>
          </cell>
          <cell r="B15">
            <v>382</v>
          </cell>
          <cell r="C15">
            <v>421</v>
          </cell>
          <cell r="D15">
            <v>0.10209424083769636</v>
          </cell>
        </row>
        <row r="16">
          <cell r="A16" t="str">
            <v>Operating Margin (Net Sales)</v>
          </cell>
          <cell r="B16">
            <v>0.41386782231852653</v>
          </cell>
          <cell r="C16">
            <v>0.39867424242424243</v>
          </cell>
          <cell r="D16">
            <v>-1.5193579894284104E-2</v>
          </cell>
        </row>
        <row r="18">
          <cell r="A18" t="str">
            <v>Net Interest Expense</v>
          </cell>
          <cell r="B18">
            <v>9</v>
          </cell>
          <cell r="C18">
            <v>27</v>
          </cell>
          <cell r="D18">
            <v>2</v>
          </cell>
        </row>
        <row r="19">
          <cell r="A19" t="str">
            <v>Effective Tax Rate</v>
          </cell>
          <cell r="B19">
            <v>0.37801608579088469</v>
          </cell>
          <cell r="C19">
            <v>0.37055837563451777</v>
          </cell>
          <cell r="D19">
            <v>-7.4577101563669257E-3</v>
          </cell>
        </row>
        <row r="21">
          <cell r="A21" t="str">
            <v>Net Income</v>
          </cell>
          <cell r="B21">
            <v>232</v>
          </cell>
          <cell r="C21">
            <v>248</v>
          </cell>
          <cell r="D21">
            <v>6.8965517241379226E-2</v>
          </cell>
        </row>
        <row r="23">
          <cell r="A23" t="str">
            <v>EPS</v>
          </cell>
          <cell r="B23">
            <v>0.49982764563943466</v>
          </cell>
          <cell r="C23">
            <v>0.57035094981831569</v>
          </cell>
          <cell r="D23">
            <v>0.14109524511926463</v>
          </cell>
        </row>
        <row r="25">
          <cell r="A25" t="str">
            <v>Diluted Shares Outstanding</v>
          </cell>
          <cell r="B25">
            <v>464.16</v>
          </cell>
          <cell r="C25">
            <v>434.82</v>
          </cell>
          <cell r="D25">
            <v>-6.3210961737331983E-2</v>
          </cell>
        </row>
        <row r="26">
          <cell r="A26" t="str">
            <v>Share repurchases</v>
          </cell>
          <cell r="B26">
            <v>199.596</v>
          </cell>
          <cell r="C26">
            <v>289</v>
          </cell>
          <cell r="D26" t="str">
            <v>-</v>
          </cell>
        </row>
        <row r="27">
          <cell r="A27" t="str">
            <v>Number of shares repurchased (MM)</v>
          </cell>
          <cell r="B27">
            <v>7.8</v>
          </cell>
          <cell r="C27">
            <v>11.4</v>
          </cell>
          <cell r="D27" t="str">
            <v>-</v>
          </cell>
        </row>
        <row r="29">
          <cell r="A29" t="str">
            <v>Volume (Bn sticks)</v>
          </cell>
          <cell r="B29">
            <v>8.7026620000000001</v>
          </cell>
          <cell r="C29">
            <v>9.5238359999999993</v>
          </cell>
          <cell r="D29">
            <v>9.4358944424131286E-2</v>
          </cell>
        </row>
        <row r="30">
          <cell r="A30" t="str">
            <v xml:space="preserve">   Newport</v>
          </cell>
          <cell r="B30">
            <v>7.5099049999999998</v>
          </cell>
          <cell r="C30">
            <v>8.1140399999999993</v>
          </cell>
          <cell r="D30">
            <v>8.0445092181592015E-2</v>
          </cell>
        </row>
        <row r="31">
          <cell r="A31" t="str">
            <v xml:space="preserve">   Maverick</v>
          </cell>
          <cell r="B31">
            <v>0.95647800000000005</v>
          </cell>
          <cell r="C31">
            <v>1.1740200000000001</v>
          </cell>
          <cell r="D31">
            <v>0.22744067296895487</v>
          </cell>
        </row>
        <row r="33">
          <cell r="A33" t="str">
            <v>Per Pack Metrics</v>
          </cell>
        </row>
        <row r="34">
          <cell r="A34" t="str">
            <v>Net Revenue</v>
          </cell>
          <cell r="B34">
            <v>2.082780717602577</v>
          </cell>
          <cell r="C34">
            <v>2.1756113962480592</v>
          </cell>
          <cell r="D34">
            <v>4.4570548335177929E-2</v>
          </cell>
        </row>
        <row r="35">
          <cell r="A35" t="str">
            <v>COGS</v>
          </cell>
          <cell r="B35">
            <v>0.38135421589906343</v>
          </cell>
          <cell r="C35">
            <v>0.3996861845379957</v>
          </cell>
          <cell r="D35">
            <v>4.8070711885834783E-2</v>
          </cell>
        </row>
        <row r="36">
          <cell r="A36" t="str">
            <v>SG&amp;A</v>
          </cell>
          <cell r="B36">
            <v>0.21662724690124313</v>
          </cell>
          <cell r="C36">
            <v>0.25134904388471901</v>
          </cell>
          <cell r="D36">
            <v>0.16028360919577667</v>
          </cell>
        </row>
        <row r="37">
          <cell r="A37" t="str">
            <v>MSA</v>
          </cell>
          <cell r="B37">
            <v>0.62280333484107397</v>
          </cell>
          <cell r="C37">
            <v>0.65721594261660132</v>
          </cell>
          <cell r="D37">
            <v>5.5254373010556801E-2</v>
          </cell>
        </row>
        <row r="38">
          <cell r="A38" t="str">
            <v>Operating Income</v>
          </cell>
          <cell r="B38">
            <v>0.86199591996119662</v>
          </cell>
          <cell r="C38">
            <v>0.86736022520874334</v>
          </cell>
          <cell r="D38">
            <v>6.2231213899344162E-3</v>
          </cell>
        </row>
      </sheetData>
      <sheetData sheetId="36" refreshError="1">
        <row r="2">
          <cell r="B2" t="str">
            <v>Scenario</v>
          </cell>
          <cell r="C2" t="str">
            <v>Outcome</v>
          </cell>
          <cell r="D2" t="str">
            <v>12-month probability</v>
          </cell>
          <cell r="E2" t="str">
            <v>Est. LO Share Price</v>
          </cell>
        </row>
        <row r="3">
          <cell r="B3" t="str">
            <v>Extreme Bull Case</v>
          </cell>
          <cell r="C3" t="str">
            <v>No ban recommendation; LO trades at estimated consolidation valuation of 10x 2011e EV/EBITDA</v>
          </cell>
          <cell r="D3">
            <v>0.1</v>
          </cell>
          <cell r="E3">
            <v>110</v>
          </cell>
        </row>
        <row r="4">
          <cell r="B4" t="str">
            <v>Bull Case</v>
          </cell>
          <cell r="C4" t="str">
            <v>No ban recommendation; LO re-rates in line with current sector valuation (8.5x 2011e EV/EBITDA)</v>
          </cell>
          <cell r="D4">
            <v>0.4</v>
          </cell>
          <cell r="E4">
            <v>95</v>
          </cell>
        </row>
        <row r="5">
          <cell r="B5" t="str">
            <v>Bear Case</v>
          </cell>
          <cell r="C5" t="str">
            <v>Ban recommendation; FDA unlikely to follow through, but LO trades at depressed valuation given uncertainty</v>
          </cell>
          <cell r="D5">
            <v>0.45</v>
          </cell>
          <cell r="E5">
            <v>65</v>
          </cell>
        </row>
        <row r="6">
          <cell r="B6" t="str">
            <v>Extreme Bear Case</v>
          </cell>
          <cell r="C6" t="str">
            <v>FDA supports menthol ban; Stock de-rated to yield 8%, discount 30%+ 2015E EBITDA decline</v>
          </cell>
          <cell r="D6">
            <v>0.05</v>
          </cell>
          <cell r="E6">
            <v>55</v>
          </cell>
        </row>
        <row r="7">
          <cell r="B7" t="str">
            <v>Base Case / Price Target</v>
          </cell>
          <cell r="C7" t="str">
            <v>-</v>
          </cell>
          <cell r="D7" t="str">
            <v>-</v>
          </cell>
          <cell r="E7">
            <v>81</v>
          </cell>
        </row>
      </sheetData>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s"/>
      <sheetName val="mwareValPrintout"/>
      <sheetName val="mwareTaxoPres"/>
      <sheetName val="MW-Cache"/>
      <sheetName val="__FDSCACHE__"/>
      <sheetName val="IS Quarterly"/>
      <sheetName val="IS"/>
      <sheetName val="Quarterly Volumes"/>
      <sheetName val="RJR"/>
      <sheetName val="American Snuff"/>
      <sheetName val="SantaFe"/>
      <sheetName val="Variance"/>
      <sheetName val="LO Volumes"/>
      <sheetName val="BS"/>
      <sheetName val="CFS"/>
      <sheetName val="Per Unit Analysis"/>
      <sheetName val="LO IS Annual "/>
      <sheetName val="LO Quarterly"/>
      <sheetName val="Divestitures"/>
      <sheetName val="Scenarios"/>
      <sheetName val="MWA RR"/>
      <sheetName val="Summary P&amp;L"/>
      <sheetName val="MSA Benefit"/>
      <sheetName val="Valuation"/>
      <sheetName val="Pension"/>
      <sheetName val="OPEB"/>
      <sheetName val="mwareDates"/>
      <sheetName val="mwareSettings"/>
      <sheetName val="Preview CURRENT"/>
      <sheetName val="IS Annual"/>
      <sheetName val="INACTIVE &gt;&gt;&gt;"/>
      <sheetName val="Unit economics"/>
      <sheetName val="Debt"/>
      <sheetName val="Conwood acq"/>
      <sheetName val="Sheet1"/>
      <sheetName val="Volume"/>
      <sheetName val="2Q05"/>
      <sheetName val="Q_Income"/>
      <sheetName val="Quarterly"/>
      <sheetName val="Sheet5"/>
      <sheetName val="Metrics"/>
      <sheetName val="&lt;-------- RAI ||| RJR+B&amp;W ----&gt;"/>
      <sheetName val="B&amp;W_IS"/>
      <sheetName val="B&amp;W_BS"/>
      <sheetName val="B&amp;W_CF"/>
      <sheetName val="RAI_IS_PRO"/>
      <sheetName val="RAI_BS_PRO"/>
      <sheetName val="RAI_CF_PRO"/>
      <sheetName val="Balance"/>
      <sheetName val="BAT"/>
      <sheetName val="FY_Income"/>
      <sheetName val="OPEB_Old"/>
      <sheetName val="Pension_Old"/>
      <sheetName val="Model_Template"/>
      <sheetName val="LO Accretion"/>
      <sheetName val="Proforma Valuation"/>
      <sheetName val="Guidance"/>
      <sheetName val="RAI, CURRENT"/>
      <sheetName val="Fwd PE vs. Staples 2005"/>
      <sheetName val="Valuation Summary"/>
      <sheetName val="2000 Sector PE2"/>
      <sheetName val="R2000"/>
      <sheetName val="Front Page"/>
      <sheetName val="Costs v. Volume"/>
      <sheetName val="PE"/>
      <sheetName val="Dividend Yields Over 10YR"/>
      <sheetName val="L1000"/>
      <sheetName val="Dividend Increases"/>
      <sheetName val="Call-out"/>
      <sheetName val="Div Yield Spread"/>
      <sheetName val="2008 Sector PE2"/>
      <sheetName val="L1000 (2)"/>
      <sheetName val="WITP Summary"/>
      <sheetName val="Div Quadrants"/>
      <sheetName val="Rel PE"/>
      <sheetName val="SET"/>
      <sheetName val="Non-Controllable Costs Per Pack"/>
      <sheetName val="Retail gaps"/>
      <sheetName val="EPS Changes"/>
      <sheetName val="2008 Sector P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rgan Stanley Team"/>
      <sheetName val="Valuation"/>
      <sheetName val="Financial Summary"/>
      <sheetName val="P&amp;L"/>
      <sheetName val="Cash Flow"/>
      <sheetName val="RI"/>
      <sheetName val="mwareValPrintout"/>
      <sheetName val="Balance Sheet"/>
      <sheetName val="Costs-Summary"/>
      <sheetName val="Urology &amp; Gynaecology"/>
      <sheetName val="ENT"/>
      <sheetName val="Surgical"/>
      <sheetName val="Partnered Tech"/>
      <sheetName val="G400 Surgery"/>
      <sheetName val="Sensitivity"/>
      <sheetName val="mwareDates"/>
      <sheetName val="mwareSettings"/>
      <sheetName val="LTIP calculation"/>
      <sheetName val="Debt"/>
      <sheetName val="GE3"/>
      <sheetName val="Preview CURRENT"/>
    </sheetNames>
    <sheetDataSet>
      <sheetData sheetId="0" refreshError="1"/>
      <sheetData sheetId="1" refreshError="1"/>
      <sheetData sheetId="2" refreshError="1">
        <row r="1">
          <cell r="E1" t="str">
            <v>NA</v>
          </cell>
          <cell r="F1" t="str">
            <v>NA</v>
          </cell>
          <cell r="H1" t="str">
            <v>USD/£</v>
          </cell>
          <cell r="I1" t="e">
            <v>#VALUE!</v>
          </cell>
          <cell r="K1" t="str">
            <v>Ord</v>
          </cell>
          <cell r="L1" t="str">
            <v>P_PRICE(0)</v>
          </cell>
        </row>
        <row r="2">
          <cell r="K2" t="str">
            <v>017015^</v>
          </cell>
          <cell r="L2">
            <v>3.47</v>
          </cell>
        </row>
        <row r="3">
          <cell r="A3" t="str">
            <v>Gyrus: Valuation Sheet</v>
          </cell>
          <cell r="P3" t="str">
            <v>Morgan Stanley Healthcare Research</v>
          </cell>
        </row>
        <row r="5">
          <cell r="P5" t="str">
            <v>Daniel Mahony PhD +44 20 7513 8436</v>
          </cell>
        </row>
        <row r="6">
          <cell r="A6" t="str">
            <v>Price</v>
          </cell>
          <cell r="E6">
            <v>358</v>
          </cell>
          <cell r="H6" t="str">
            <v>Reuters ord:</v>
          </cell>
          <cell r="I6" t="str">
            <v>GYG.L</v>
          </cell>
        </row>
        <row r="7">
          <cell r="A7" t="str">
            <v>Price Target (GBp)</v>
          </cell>
          <cell r="E7">
            <v>419</v>
          </cell>
          <cell r="H7" t="str">
            <v>Bloomberg:</v>
          </cell>
          <cell r="I7" t="str">
            <v>GYG LN</v>
          </cell>
        </row>
        <row r="8">
          <cell r="A8" t="str">
            <v>Upside Potential (%)</v>
          </cell>
          <cell r="E8">
            <v>0.17039106145251393</v>
          </cell>
        </row>
        <row r="9">
          <cell r="A9" t="str">
            <v>Morgan Stanley Rating</v>
          </cell>
          <cell r="E9" t="str">
            <v>Overweight</v>
          </cell>
        </row>
        <row r="12">
          <cell r="A12" t="str">
            <v>Summary Earnings Estimates (£ millions, except per share data)</v>
          </cell>
          <cell r="B12" t="str">
            <v>2000A</v>
          </cell>
          <cell r="C12" t="str">
            <v>2001A</v>
          </cell>
          <cell r="D12" t="str">
            <v>2002A</v>
          </cell>
          <cell r="E12" t="str">
            <v>2004A</v>
          </cell>
          <cell r="F12" t="str">
            <v>2005A</v>
          </cell>
          <cell r="G12" t="str">
            <v>2006E</v>
          </cell>
          <cell r="H12" t="str">
            <v>2007E</v>
          </cell>
          <cell r="I12" t="str">
            <v>2008E</v>
          </cell>
          <cell r="J12" t="str">
            <v>2009E</v>
          </cell>
          <cell r="K12" t="str">
            <v>2010E</v>
          </cell>
          <cell r="L12" t="str">
            <v>2011E</v>
          </cell>
          <cell r="M12" t="str">
            <v>2012E</v>
          </cell>
          <cell r="N12" t="str">
            <v>% 06E-11E  CAGR</v>
          </cell>
          <cell r="O12" t="str">
            <v>% 06E-09E  CAGR</v>
          </cell>
        </row>
        <row r="13">
          <cell r="A13" t="str">
            <v>Sales</v>
          </cell>
          <cell r="B13" t="e">
            <v>#REF!</v>
          </cell>
          <cell r="C13" t="e">
            <v>#REF!</v>
          </cell>
          <cell r="D13" t="e">
            <v>#REF!</v>
          </cell>
          <cell r="E13">
            <v>86.93</v>
          </cell>
          <cell r="F13">
            <v>150.37599999999998</v>
          </cell>
          <cell r="G13">
            <v>213.34200000000001</v>
          </cell>
          <cell r="H13">
            <v>248.79408516758255</v>
          </cell>
          <cell r="I13">
            <v>272.89440722484801</v>
          </cell>
          <cell r="J13">
            <v>296.24308931900015</v>
          </cell>
          <cell r="K13">
            <v>320.82385140670317</v>
          </cell>
          <cell r="L13">
            <v>347.16219222986643</v>
          </cell>
          <cell r="M13">
            <v>375.35567645435589</v>
          </cell>
          <cell r="N13">
            <v>10.227818387207543</v>
          </cell>
          <cell r="O13">
            <v>11.563968736152619</v>
          </cell>
        </row>
        <row r="14">
          <cell r="A14" t="str">
            <v>EBIT Pre-exceptionals</v>
          </cell>
          <cell r="B14" t="e">
            <v>#REF!</v>
          </cell>
          <cell r="C14" t="e">
            <v>#REF!</v>
          </cell>
          <cell r="D14" t="e">
            <v>#REF!</v>
          </cell>
          <cell r="E14">
            <v>10.075000000000003</v>
          </cell>
          <cell r="F14">
            <v>17.473299999999988</v>
          </cell>
          <cell r="G14">
            <v>26.725999999999996</v>
          </cell>
          <cell r="H14">
            <v>36.851231958218506</v>
          </cell>
          <cell r="I14">
            <v>45.535036058112013</v>
          </cell>
          <cell r="J14">
            <v>53.507535043833968</v>
          </cell>
          <cell r="K14">
            <v>59.723129661067475</v>
          </cell>
          <cell r="L14">
            <v>66.191661056831663</v>
          </cell>
          <cell r="M14">
            <v>73.169937287912575</v>
          </cell>
          <cell r="N14">
            <v>19.88748871645145</v>
          </cell>
          <cell r="O14">
            <v>26.035723907730368</v>
          </cell>
        </row>
        <row r="15">
          <cell r="A15" t="str">
            <v>EBITDA Pre-exceptionals</v>
          </cell>
          <cell r="B15" t="e">
            <v>#REF!</v>
          </cell>
          <cell r="C15" t="e">
            <v>#REF!</v>
          </cell>
          <cell r="D15" t="e">
            <v>#REF!</v>
          </cell>
          <cell r="E15">
            <v>13.983000000000002</v>
          </cell>
          <cell r="F15">
            <v>26.116299999999988</v>
          </cell>
          <cell r="G15">
            <v>40.429759985518125</v>
          </cell>
          <cell r="H15">
            <v>50.98729954314048</v>
          </cell>
          <cell r="I15">
            <v>60.358900664311484</v>
          </cell>
          <cell r="J15">
            <v>68.787941098713418</v>
          </cell>
          <cell r="K15">
            <v>75.349247733268555</v>
          </cell>
          <cell r="L15">
            <v>82.603913665501409</v>
          </cell>
          <cell r="M15">
            <v>90.539215195968481</v>
          </cell>
          <cell r="N15">
            <v>15.361233793545237</v>
          </cell>
          <cell r="O15">
            <v>19.381504893899827</v>
          </cell>
        </row>
        <row r="16">
          <cell r="A16" t="str">
            <v>PBT Before Minorities</v>
          </cell>
          <cell r="B16" t="e">
            <v>#REF!</v>
          </cell>
          <cell r="C16" t="e">
            <v>#REF!</v>
          </cell>
          <cell r="D16" t="e">
            <v>#REF!</v>
          </cell>
          <cell r="E16">
            <v>9.9870000000000037</v>
          </cell>
          <cell r="F16">
            <v>13.990299999999987</v>
          </cell>
          <cell r="G16">
            <v>17.705999999999996</v>
          </cell>
          <cell r="H16">
            <v>30.92410084241104</v>
          </cell>
          <cell r="I16">
            <v>41.387053448739287</v>
          </cell>
          <cell r="J16">
            <v>51.4133073552036</v>
          </cell>
          <cell r="K16">
            <v>59.895794916020279</v>
          </cell>
          <cell r="L16">
            <v>68.698021590334463</v>
          </cell>
          <cell r="M16">
            <v>78.026054688645672</v>
          </cell>
          <cell r="N16">
            <v>31.148930717139113</v>
          </cell>
          <cell r="O16">
            <v>42.665302254289948</v>
          </cell>
        </row>
        <row r="17">
          <cell r="A17" t="str">
            <v>Net Income Reported</v>
          </cell>
          <cell r="B17" t="e">
            <v>#REF!</v>
          </cell>
          <cell r="C17" t="e">
            <v>#REF!</v>
          </cell>
          <cell r="D17" t="e">
            <v>#REF!</v>
          </cell>
          <cell r="E17">
            <v>8.4830000000000041</v>
          </cell>
          <cell r="F17">
            <v>6.2762999999999876</v>
          </cell>
          <cell r="G17">
            <v>13.192999999999996</v>
          </cell>
          <cell r="H17">
            <v>20.910427280159929</v>
          </cell>
          <cell r="I17">
            <v>26.14993158994168</v>
          </cell>
          <cell r="J17">
            <v>33.168309324466698</v>
          </cell>
          <cell r="K17">
            <v>39.150256441214196</v>
          </cell>
          <cell r="L17">
            <v>45.341815113234119</v>
          </cell>
          <cell r="M17">
            <v>51.871438282051969</v>
          </cell>
          <cell r="N17">
            <v>28.006218444653964</v>
          </cell>
          <cell r="O17">
            <v>35.975268223480519</v>
          </cell>
        </row>
        <row r="18">
          <cell r="A18" t="str">
            <v>Net Income Pre-exceptionals</v>
          </cell>
          <cell r="B18" t="e">
            <v>#REF!</v>
          </cell>
          <cell r="C18" t="e">
            <v>#REF!</v>
          </cell>
          <cell r="D18" t="e">
            <v>#REF!</v>
          </cell>
          <cell r="E18">
            <v>8.8290000000000042</v>
          </cell>
          <cell r="F18">
            <v>17.658299999999986</v>
          </cell>
          <cell r="G18">
            <v>28.691999999999993</v>
          </cell>
          <cell r="H18">
            <v>32.041020686753328</v>
          </cell>
          <cell r="I18">
            <v>36.553284337194427</v>
          </cell>
          <cell r="J18">
            <v>42.571662071719444</v>
          </cell>
          <cell r="K18">
            <v>48.406256441214197</v>
          </cell>
          <cell r="L18">
            <v>54.497815113234125</v>
          </cell>
          <cell r="M18">
            <v>61.027438282051975</v>
          </cell>
          <cell r="N18">
            <v>13.690363175812248</v>
          </cell>
          <cell r="O18">
            <v>14.056470462440762</v>
          </cell>
        </row>
        <row r="19">
          <cell r="A19" t="str">
            <v>Diluted EPS Reported (p)</v>
          </cell>
          <cell r="B19" t="e">
            <v>#REF!</v>
          </cell>
          <cell r="C19" t="e">
            <v>#REF!</v>
          </cell>
          <cell r="D19" t="e">
            <v>#REF!</v>
          </cell>
          <cell r="E19">
            <v>10.12180795845914</v>
          </cell>
          <cell r="F19">
            <v>5.4402188271096819</v>
          </cell>
          <cell r="G19">
            <v>8.749509585113282</v>
          </cell>
          <cell r="H19">
            <v>13.943527500703132</v>
          </cell>
          <cell r="I19">
            <v>17.520230285591211</v>
          </cell>
          <cell r="J19">
            <v>22.031986215200146</v>
          </cell>
          <cell r="K19">
            <v>25.955394813970123</v>
          </cell>
          <cell r="L19">
            <v>30.002417709803176</v>
          </cell>
          <cell r="M19">
            <v>34.257176864374998</v>
          </cell>
          <cell r="N19">
            <v>27.94829659430782</v>
          </cell>
          <cell r="O19">
            <v>36.04731654033322</v>
          </cell>
        </row>
        <row r="20">
          <cell r="A20" t="str">
            <v>Diluted EPS Pre-exceptionals (p)</v>
          </cell>
          <cell r="B20" t="e">
            <v>#REF!</v>
          </cell>
          <cell r="C20" t="e">
            <v>#REF!</v>
          </cell>
          <cell r="D20" t="e">
            <v>#REF!</v>
          </cell>
          <cell r="E20">
            <v>10.534650768034393</v>
          </cell>
          <cell r="F20">
            <v>15.305994951603813</v>
          </cell>
          <cell r="G20">
            <v>19.028342986134334</v>
          </cell>
          <cell r="H20">
            <v>21.365649162044569</v>
          </cell>
          <cell r="I20">
            <v>24.490387559127416</v>
          </cell>
          <cell r="J20">
            <v>28.278145344912375</v>
          </cell>
          <cell r="K20">
            <v>32.091833147620449</v>
          </cell>
          <cell r="L20">
            <v>36.060890134538099</v>
          </cell>
          <cell r="M20">
            <v>40.304025028960147</v>
          </cell>
          <cell r="N20">
            <v>13.638919142220129</v>
          </cell>
          <cell r="O20">
            <v>14.116904810762643</v>
          </cell>
          <cell r="R20">
            <v>14.523025007870306</v>
          </cell>
        </row>
        <row r="21">
          <cell r="A21" t="str">
            <v>Dividend per share</v>
          </cell>
          <cell r="B21" t="e">
            <v>#REF!</v>
          </cell>
          <cell r="C21" t="e">
            <v>#REF!</v>
          </cell>
          <cell r="D21" t="e">
            <v>#REF!</v>
          </cell>
          <cell r="E21">
            <v>0</v>
          </cell>
          <cell r="F21">
            <v>0</v>
          </cell>
          <cell r="G21">
            <v>0</v>
          </cell>
          <cell r="H21">
            <v>0</v>
          </cell>
          <cell r="I21">
            <v>0</v>
          </cell>
          <cell r="J21">
            <v>0</v>
          </cell>
          <cell r="K21">
            <v>0</v>
          </cell>
          <cell r="L21">
            <v>0</v>
          </cell>
          <cell r="M21">
            <v>0</v>
          </cell>
          <cell r="N21">
            <v>0</v>
          </cell>
          <cell r="O21">
            <v>0</v>
          </cell>
        </row>
        <row r="22">
          <cell r="A22" t="str">
            <v>Free Cash Flow to Equity per Share</v>
          </cell>
          <cell r="B22" t="e">
            <v>#REF!</v>
          </cell>
          <cell r="C22" t="e">
            <v>#REF!</v>
          </cell>
          <cell r="D22" t="e">
            <v>#REF!</v>
          </cell>
          <cell r="E22">
            <v>0.13229673204057482</v>
          </cell>
          <cell r="F22">
            <v>4.5662285393082723E-2</v>
          </cell>
          <cell r="G22">
            <v>0.18401910067583757</v>
          </cell>
          <cell r="H22">
            <v>0.14893227408315451</v>
          </cell>
          <cell r="I22">
            <v>0.19837942308397943</v>
          </cell>
          <cell r="J22">
            <v>0.22825272373619426</v>
          </cell>
          <cell r="K22">
            <v>0.28068346503257002</v>
          </cell>
          <cell r="L22">
            <v>0.32026177996924771</v>
          </cell>
          <cell r="M22">
            <v>0.36263596631276057</v>
          </cell>
          <cell r="N22">
            <v>11.719360697097958</v>
          </cell>
          <cell r="O22">
            <v>7.4445409977035082</v>
          </cell>
        </row>
        <row r="24">
          <cell r="A24" t="str">
            <v>Valuation Multiples</v>
          </cell>
          <cell r="B24" t="str">
            <v>2000A</v>
          </cell>
          <cell r="C24" t="str">
            <v>2001A</v>
          </cell>
          <cell r="D24" t="str">
            <v>2002A</v>
          </cell>
          <cell r="E24" t="str">
            <v>2004A</v>
          </cell>
          <cell r="F24" t="str">
            <v>2005A</v>
          </cell>
          <cell r="G24" t="str">
            <v>2006E</v>
          </cell>
          <cell r="H24" t="str">
            <v>2007E</v>
          </cell>
          <cell r="I24" t="str">
            <v>2008E</v>
          </cell>
          <cell r="J24" t="str">
            <v>2009E</v>
          </cell>
          <cell r="K24" t="str">
            <v>2010E</v>
          </cell>
          <cell r="L24" t="str">
            <v>2011E</v>
          </cell>
          <cell r="M24" t="str">
            <v>2012E</v>
          </cell>
        </row>
        <row r="25">
          <cell r="A25" t="str">
            <v>P/E (x)</v>
          </cell>
          <cell r="C25" t="e">
            <v>#REF!</v>
          </cell>
          <cell r="D25" t="e">
            <v>#REF!</v>
          </cell>
          <cell r="E25">
            <v>21.215700920829075</v>
          </cell>
          <cell r="F25">
            <v>23.062858776326166</v>
          </cell>
          <cell r="G25">
            <v>18.551273763418379</v>
          </cell>
          <cell r="H25">
            <v>16.521847631341519</v>
          </cell>
          <cell r="I25">
            <v>14.413818448064497</v>
          </cell>
          <cell r="J25">
            <v>12.483138328005994</v>
          </cell>
          <cell r="K25">
            <v>10.99968326446862</v>
          </cell>
          <cell r="L25">
            <v>9.7889985156496895</v>
          </cell>
          <cell r="M25">
            <v>8.7584304482332609</v>
          </cell>
        </row>
        <row r="26">
          <cell r="A26" t="str">
            <v>PEG (x)</v>
          </cell>
          <cell r="C26" t="e">
            <v>#REF!</v>
          </cell>
          <cell r="D26" t="e">
            <v>#REF!</v>
          </cell>
          <cell r="E26">
            <v>1.5555265559977216</v>
          </cell>
          <cell r="F26">
            <v>1.6909594181062078</v>
          </cell>
          <cell r="G26">
            <v>1.3601718413295485</v>
          </cell>
          <cell r="H26">
            <v>1.2113751433716697</v>
          </cell>
          <cell r="I26">
            <v>1.056815301693931</v>
          </cell>
          <cell r="J26">
            <v>0.91525862114422674</v>
          </cell>
          <cell r="K26">
            <v>0.8064922997027244</v>
          </cell>
          <cell r="L26">
            <v>0.71772538670951069</v>
          </cell>
          <cell r="M26">
            <v>0.64216455548306539</v>
          </cell>
        </row>
        <row r="27">
          <cell r="A27" t="str">
            <v>P/FCF to Equity (x)</v>
          </cell>
          <cell r="C27" t="e">
            <v>#REF!</v>
          </cell>
          <cell r="D27" t="e">
            <v>#REF!</v>
          </cell>
          <cell r="E27">
            <v>16.893841333242722</v>
          </cell>
          <cell r="F27">
            <v>77.306686899529382</v>
          </cell>
          <cell r="G27">
            <v>19.182791281098261</v>
          </cell>
          <cell r="H27">
            <v>23.702048610558833</v>
          </cell>
          <cell r="I27">
            <v>17.794184220939357</v>
          </cell>
          <cell r="J27">
            <v>15.465313807513807</v>
          </cell>
          <cell r="K27">
            <v>12.576444428567905</v>
          </cell>
          <cell r="L27">
            <v>11.022233125473038</v>
          </cell>
          <cell r="M27">
            <v>9.734279905803664</v>
          </cell>
        </row>
        <row r="28">
          <cell r="A28" t="str">
            <v>EV/EBITDA (x)</v>
          </cell>
          <cell r="C28" t="e">
            <v>#REF!</v>
          </cell>
          <cell r="D28" t="e">
            <v>#REF!</v>
          </cell>
          <cell r="E28">
            <v>13.564292850961881</v>
          </cell>
          <cell r="F28">
            <v>25.186513716445301</v>
          </cell>
          <cell r="G28">
            <v>15.6326578296762</v>
          </cell>
          <cell r="H28">
            <v>11.955454531849984</v>
          </cell>
          <cell r="I28">
            <v>9.5383764720189745</v>
          </cell>
          <cell r="J28">
            <v>7.8773942207397765</v>
          </cell>
          <cell r="K28">
            <v>6.6359325070085617</v>
          </cell>
          <cell r="L28">
            <v>5.4725160976701979</v>
          </cell>
          <cell r="M28">
            <v>4.3917982695433713</v>
          </cell>
        </row>
        <row r="29">
          <cell r="A29" t="str">
            <v>EV/EBITDA per Unit of Growth (x)</v>
          </cell>
          <cell r="C29" t="e">
            <v>#REF!</v>
          </cell>
          <cell r="D29" t="e">
            <v>#REF!</v>
          </cell>
          <cell r="E29">
            <v>0.88302105372952344</v>
          </cell>
          <cell r="F29">
            <v>1.6396152844850671</v>
          </cell>
          <cell r="G29">
            <v>1.0176694163879607</v>
          </cell>
          <cell r="H29">
            <v>0.77828738840454625</v>
          </cell>
          <cell r="I29">
            <v>0.62093817464238998</v>
          </cell>
          <cell r="J29">
            <v>0.512809994731663</v>
          </cell>
          <cell r="K29">
            <v>0.43199215611163788</v>
          </cell>
          <cell r="L29">
            <v>0.35625498389131605</v>
          </cell>
          <cell r="M29">
            <v>0.28590140144789655</v>
          </cell>
        </row>
        <row r="30">
          <cell r="A30" t="str">
            <v>EV/Sales (x)</v>
          </cell>
          <cell r="C30" t="e">
            <v>#REF!</v>
          </cell>
          <cell r="D30" t="e">
            <v>#REF!</v>
          </cell>
          <cell r="E30">
            <v>2.1818647985160475</v>
          </cell>
          <cell r="F30">
            <v>4.3742255956588831</v>
          </cell>
          <cell r="G30">
            <v>2.9624949798424098</v>
          </cell>
          <cell r="H30">
            <v>2.4501239287068799</v>
          </cell>
          <cell r="I30">
            <v>2.1097021512025225</v>
          </cell>
          <cell r="J30">
            <v>1.8291388025733748</v>
          </cell>
          <cell r="K30">
            <v>1.5585266501210979</v>
          </cell>
          <cell r="L30">
            <v>1.302132713131674</v>
          </cell>
          <cell r="M30">
            <v>1.0593418284745775</v>
          </cell>
        </row>
        <row r="32">
          <cell r="A32" t="str">
            <v>Key Financial Ratios</v>
          </cell>
          <cell r="B32" t="str">
            <v>2000A</v>
          </cell>
          <cell r="C32" t="str">
            <v>2001A</v>
          </cell>
          <cell r="D32" t="str">
            <v>2002A</v>
          </cell>
          <cell r="E32" t="str">
            <v>2004A</v>
          </cell>
          <cell r="F32" t="str">
            <v>2005A</v>
          </cell>
          <cell r="G32" t="str">
            <v>2006E</v>
          </cell>
          <cell r="H32" t="str">
            <v>2007E</v>
          </cell>
          <cell r="I32" t="str">
            <v>2008E</v>
          </cell>
          <cell r="J32" t="str">
            <v>2009E</v>
          </cell>
          <cell r="K32" t="str">
            <v>2010E</v>
          </cell>
          <cell r="L32" t="str">
            <v>2011E</v>
          </cell>
          <cell r="M32" t="str">
            <v>2012E</v>
          </cell>
        </row>
        <row r="33">
          <cell r="A33" t="str">
            <v>R&amp;D as % Sales</v>
          </cell>
          <cell r="B33" t="e">
            <v>#REF!</v>
          </cell>
          <cell r="C33" t="e">
            <v>#REF!</v>
          </cell>
          <cell r="D33" t="e">
            <v>#REF!</v>
          </cell>
          <cell r="E33">
            <v>8.2123547682043032</v>
          </cell>
          <cell r="F33">
            <v>9.6405543437782626</v>
          </cell>
          <cell r="G33">
            <v>8.501842112664173</v>
          </cell>
          <cell r="H33">
            <v>8.5208672291818353</v>
          </cell>
          <cell r="I33">
            <v>8.1105453949945012</v>
          </cell>
          <cell r="J33">
            <v>7.9243052163250827</v>
          </cell>
          <cell r="K33">
            <v>7.7053562423069097</v>
          </cell>
          <cell r="L33">
            <v>7.5714261329875976</v>
          </cell>
          <cell r="M33">
            <v>7.4453644718547114</v>
          </cell>
        </row>
        <row r="34">
          <cell r="A34" t="str">
            <v>EBIT margin (%)</v>
          </cell>
          <cell r="B34" t="e">
            <v>#REF!</v>
          </cell>
          <cell r="C34" t="e">
            <v>#REF!</v>
          </cell>
          <cell r="D34" t="e">
            <v>#REF!</v>
          </cell>
          <cell r="E34">
            <v>11.58978488438974</v>
          </cell>
          <cell r="F34">
            <v>11.619739852104052</v>
          </cell>
          <cell r="G34">
            <v>12.527303578292129</v>
          </cell>
          <cell r="H34">
            <v>14.811940538456241</v>
          </cell>
          <cell r="I34">
            <v>16.685954293154122</v>
          </cell>
          <cell r="J34">
            <v>18.062036541286552</v>
          </cell>
          <cell r="K34">
            <v>18.615551617874392</v>
          </cell>
          <cell r="L34">
            <v>19.066494721580796</v>
          </cell>
          <cell r="M34">
            <v>19.4934942716419</v>
          </cell>
        </row>
        <row r="35">
          <cell r="A35" t="str">
            <v>Interest Cover (x)</v>
          </cell>
          <cell r="B35" t="e">
            <v>#REF!</v>
          </cell>
          <cell r="C35" t="e">
            <v>#REF!</v>
          </cell>
          <cell r="D35" t="e">
            <v>#REF!</v>
          </cell>
          <cell r="E35">
            <v>114.48863636363645</v>
          </cell>
          <cell r="F35">
            <v>60.461245674740447</v>
          </cell>
          <cell r="G35">
            <v>8.3675641828428287</v>
          </cell>
          <cell r="H35">
            <v>10.580313510829315</v>
          </cell>
          <cell r="I35">
            <v>10.977634273398746</v>
          </cell>
          <cell r="J35">
            <v>25.550008403731926</v>
          </cell>
          <cell r="K35">
            <v>-345.88967929530594</v>
          </cell>
          <cell r="L35">
            <v>-26.409473087387259</v>
          </cell>
          <cell r="M35">
            <v>-15.067579971782939</v>
          </cell>
        </row>
        <row r="36">
          <cell r="A36" t="str">
            <v>Dividend Yield (%)</v>
          </cell>
          <cell r="B36" t="e">
            <v>#REF!</v>
          </cell>
          <cell r="C36" t="e">
            <v>#REF!</v>
          </cell>
          <cell r="D36" t="e">
            <v>#REF!</v>
          </cell>
          <cell r="E36">
            <v>0</v>
          </cell>
          <cell r="F36">
            <v>0</v>
          </cell>
          <cell r="G36">
            <v>0</v>
          </cell>
          <cell r="H36">
            <v>0</v>
          </cell>
          <cell r="I36">
            <v>0</v>
          </cell>
          <cell r="J36">
            <v>0</v>
          </cell>
          <cell r="K36">
            <v>0</v>
          </cell>
          <cell r="L36">
            <v>0</v>
          </cell>
          <cell r="M36">
            <v>0</v>
          </cell>
        </row>
        <row r="37">
          <cell r="A37" t="str">
            <v>ROCE (%)</v>
          </cell>
          <cell r="B37" t="e">
            <v>#REF!</v>
          </cell>
          <cell r="C37" t="e">
            <v>#REF!</v>
          </cell>
          <cell r="D37" t="e">
            <v>#REF!</v>
          </cell>
          <cell r="E37">
            <v>8.2726399369390862</v>
          </cell>
          <cell r="F37">
            <v>3.7625376290369084</v>
          </cell>
          <cell r="G37">
            <v>5.8353202155439678</v>
          </cell>
          <cell r="H37">
            <v>8.1434773277022678</v>
          </cell>
          <cell r="I37">
            <v>10.115037284321167</v>
          </cell>
          <cell r="J37">
            <v>12.012707862052322</v>
          </cell>
          <cell r="K37">
            <v>12.562466944996697</v>
          </cell>
          <cell r="L37">
            <v>12.687448630458508</v>
          </cell>
          <cell r="M37">
            <v>12.735395991309062</v>
          </cell>
        </row>
        <row r="38">
          <cell r="A38" t="str">
            <v>ROE (%)</v>
          </cell>
          <cell r="B38" t="e">
            <v>#REF!</v>
          </cell>
          <cell r="C38" t="e">
            <v>#REF!</v>
          </cell>
          <cell r="D38" t="e">
            <v>#REF!</v>
          </cell>
          <cell r="E38">
            <v>4.5813940557063058</v>
          </cell>
          <cell r="F38">
            <v>10.958463827443621</v>
          </cell>
          <cell r="G38">
            <v>6.8441492856995678</v>
          </cell>
          <cell r="H38">
            <v>6.5294479536225785</v>
          </cell>
          <cell r="I38">
            <v>7.6027871901960147</v>
          </cell>
          <cell r="J38">
            <v>8.8058429429896385</v>
          </cell>
          <cell r="K38">
            <v>9.5320162269020443</v>
          </cell>
          <cell r="L38">
            <v>10.054958278639377</v>
          </cell>
          <cell r="M38">
            <v>10.426431000762463</v>
          </cell>
        </row>
        <row r="39">
          <cell r="A39" t="str">
            <v>Capex as % Sales</v>
          </cell>
          <cell r="B39" t="e">
            <v>#REF!</v>
          </cell>
          <cell r="C39" t="e">
            <v>#REF!</v>
          </cell>
          <cell r="D39" t="e">
            <v>#REF!</v>
          </cell>
          <cell r="E39">
            <v>3.0564822270792589</v>
          </cell>
          <cell r="F39">
            <v>2.8182688726924519</v>
          </cell>
          <cell r="G39">
            <v>2.2645892510616759</v>
          </cell>
          <cell r="H39">
            <v>2.2137603457454089</v>
          </cell>
          <cell r="I39">
            <v>2.280628059508766</v>
          </cell>
          <cell r="J39">
            <v>2.3109659982744839</v>
          </cell>
          <cell r="K39">
            <v>2.3046176895180559</v>
          </cell>
          <cell r="L39">
            <v>2.3001537808476802</v>
          </cell>
          <cell r="M39">
            <v>2.2975769315473746</v>
          </cell>
        </row>
        <row r="40">
          <cell r="A40" t="str">
            <v>FCF as % Market Capitalisation</v>
          </cell>
          <cell r="C40" t="e">
            <v>#REF!</v>
          </cell>
          <cell r="D40" t="e">
            <v>#REF!</v>
          </cell>
          <cell r="E40">
            <v>2.1731059105330011</v>
          </cell>
          <cell r="F40">
            <v>0.72889222641860196</v>
          </cell>
          <cell r="G40">
            <v>2.953120476833607</v>
          </cell>
          <cell r="H40">
            <v>2.4057739166764267</v>
          </cell>
          <cell r="I40">
            <v>3.2480540444228918</v>
          </cell>
          <cell r="J40">
            <v>3.7374191373304546</v>
          </cell>
          <cell r="K40">
            <v>4.5959910335214804</v>
          </cell>
          <cell r="L40">
            <v>5.2441359094705629</v>
          </cell>
          <cell r="M40">
            <v>5.9380815523329824</v>
          </cell>
        </row>
        <row r="41">
          <cell r="A41" t="str">
            <v>Net Cash Inflow/(Outflow) for yr ($m)</v>
          </cell>
          <cell r="B41" t="e">
            <v>#REF!</v>
          </cell>
          <cell r="C41" t="e">
            <v>#REF!</v>
          </cell>
          <cell r="D41" t="e">
            <v>#REF!</v>
          </cell>
          <cell r="E41">
            <v>3.2519999999999989</v>
          </cell>
          <cell r="F41">
            <v>13.25</v>
          </cell>
          <cell r="G41">
            <v>13.656486560860591</v>
          </cell>
          <cell r="H41">
            <v>0.20080497730799607</v>
          </cell>
          <cell r="I41">
            <v>4.8759657940323571</v>
          </cell>
          <cell r="J41">
            <v>-0.8182693165940691</v>
          </cell>
          <cell r="K41">
            <v>4.8457496333552115</v>
          </cell>
          <cell r="L41">
            <v>48.986817524422257</v>
          </cell>
          <cell r="M41">
            <v>55.446821019146505</v>
          </cell>
        </row>
        <row r="42">
          <cell r="A42" t="str">
            <v>Net Debt/(Cash) on B/S ($m)</v>
          </cell>
          <cell r="B42" t="e">
            <v>#REF!</v>
          </cell>
          <cell r="C42" t="e">
            <v>#REF!</v>
          </cell>
          <cell r="D42" t="e">
            <v>#REF!</v>
          </cell>
          <cell r="E42">
            <v>1.8490000000000002</v>
          </cell>
          <cell r="F42">
            <v>129.94</v>
          </cell>
          <cell r="G42">
            <v>103.16051343913938</v>
          </cell>
          <cell r="H42">
            <v>79.686708461831387</v>
          </cell>
          <cell r="I42">
            <v>44.810742667799033</v>
          </cell>
          <cell r="J42">
            <v>9.9290119843930995</v>
          </cell>
          <cell r="K42">
            <v>-32.953737648962111</v>
          </cell>
          <cell r="L42">
            <v>-81.940555173384354</v>
          </cell>
          <cell r="M42">
            <v>-137.38737619253087</v>
          </cell>
        </row>
        <row r="44">
          <cell r="A44" t="str">
            <v>NM = Not Meaningful</v>
          </cell>
        </row>
        <row r="45">
          <cell r="A45" t="str">
            <v>E = Morgan Stanley Research Estimate, Source: Company data, Morgan Stanley Research.</v>
          </cell>
        </row>
        <row r="48">
          <cell r="A48" t="str">
            <v>Other Information</v>
          </cell>
          <cell r="B48" t="str">
            <v>2000A</v>
          </cell>
          <cell r="C48" t="str">
            <v>2001A</v>
          </cell>
          <cell r="D48" t="str">
            <v>2002A</v>
          </cell>
          <cell r="E48" t="str">
            <v>2004A</v>
          </cell>
          <cell r="F48" t="str">
            <v>2005A</v>
          </cell>
          <cell r="G48" t="str">
            <v>2006E</v>
          </cell>
          <cell r="H48" t="str">
            <v>2007E</v>
          </cell>
          <cell r="I48" t="str">
            <v>2008E</v>
          </cell>
          <cell r="J48" t="str">
            <v>2009E</v>
          </cell>
          <cell r="K48" t="str">
            <v>2010E</v>
          </cell>
          <cell r="L48" t="str">
            <v>2011E</v>
          </cell>
          <cell r="M48" t="str">
            <v>2012E</v>
          </cell>
        </row>
        <row r="49">
          <cell r="A49" t="str">
            <v>No. of Shares Outstanding (m)</v>
          </cell>
          <cell r="B49" t="e">
            <v>#REF!</v>
          </cell>
          <cell r="C49" t="e">
            <v>#REF!</v>
          </cell>
          <cell r="D49" t="e">
            <v>#REF!</v>
          </cell>
          <cell r="E49">
            <v>83.426096999999999</v>
          </cell>
          <cell r="F49">
            <v>111.60194799999999</v>
          </cell>
          <cell r="G49">
            <v>146.49287200000001</v>
          </cell>
          <cell r="H49">
            <v>146.80302896000001</v>
          </cell>
          <cell r="I49">
            <v>148.09355088000001</v>
          </cell>
          <cell r="J49">
            <v>149.38407280000001</v>
          </cell>
          <cell r="K49">
            <v>149.67459472000002</v>
          </cell>
          <cell r="L49">
            <v>149.96511664000002</v>
          </cell>
          <cell r="M49">
            <v>150.25563856000002</v>
          </cell>
        </row>
        <row r="50">
          <cell r="A50" t="str">
            <v>Book Value per Share (£)</v>
          </cell>
          <cell r="B50" t="e">
            <v>#REF!</v>
          </cell>
          <cell r="C50" t="e">
            <v>#REF!</v>
          </cell>
          <cell r="D50" t="e">
            <v>#REF!</v>
          </cell>
          <cell r="E50">
            <v>1.4582127700400513</v>
          </cell>
          <cell r="F50">
            <v>2.7016105489484832</v>
          </cell>
          <cell r="G50">
            <v>2.1656070747251102</v>
          </cell>
          <cell r="H50">
            <v>2.321249947812793</v>
          </cell>
          <cell r="I50">
            <v>2.5214717676172023</v>
          </cell>
          <cell r="J50">
            <v>2.7269736216387876</v>
          </cell>
          <cell r="K50">
            <v>2.9890727217716737</v>
          </cell>
          <cell r="L50">
            <v>3.2920241502171823</v>
          </cell>
          <cell r="M50">
            <v>3.6372608144674246</v>
          </cell>
        </row>
        <row r="51">
          <cell r="A51" t="str">
            <v>Capital Employed (£ m)</v>
          </cell>
          <cell r="B51" t="e">
            <v>#REF!</v>
          </cell>
          <cell r="C51" t="e">
            <v>#REF!</v>
          </cell>
          <cell r="D51" t="e">
            <v>#REF!</v>
          </cell>
          <cell r="E51">
            <v>121.78699999999999</v>
          </cell>
          <cell r="F51">
            <v>464.4020000000001</v>
          </cell>
          <cell r="G51">
            <v>458.00400000000002</v>
          </cell>
          <cell r="H51">
            <v>452.52452331215989</v>
          </cell>
          <cell r="I51">
            <v>450.17170751010167</v>
          </cell>
          <cell r="J51">
            <v>445.42442601856823</v>
          </cell>
          <cell r="K51">
            <v>475.40924821978251</v>
          </cell>
          <cell r="L51">
            <v>521.70978566901658</v>
          </cell>
          <cell r="M51">
            <v>574.53994628706857</v>
          </cell>
        </row>
        <row r="52">
          <cell r="A52" t="str">
            <v>Sales per Share (£)</v>
          </cell>
          <cell r="B52" t="e">
            <v>#REF!</v>
          </cell>
          <cell r="C52" t="e">
            <v>#REF!</v>
          </cell>
          <cell r="D52" t="e">
            <v>#REF!</v>
          </cell>
          <cell r="E52">
            <v>1.0420000830195857</v>
          </cell>
          <cell r="F52">
            <v>1.3474316774470638</v>
          </cell>
          <cell r="G52">
            <v>1.4563302438360277</v>
          </cell>
          <cell r="H52">
            <v>1.6947476283706138</v>
          </cell>
          <cell r="I52">
            <v>1.8427163478980524</v>
          </cell>
          <cell r="J52">
            <v>1.9830968842014336</v>
          </cell>
          <cell r="K52">
            <v>2.1434756647036615</v>
          </cell>
          <cell r="L52">
            <v>2.3149529704514515</v>
          </cell>
          <cell r="M52">
            <v>2.4981137483534037</v>
          </cell>
        </row>
        <row r="53">
          <cell r="A53" t="str">
            <v>RONA (%)</v>
          </cell>
          <cell r="B53" t="str">
            <v>NA</v>
          </cell>
          <cell r="C53" t="e">
            <v>#REF!</v>
          </cell>
          <cell r="D53" t="e">
            <v>#REF!</v>
          </cell>
          <cell r="E53">
            <v>-9.0366392924826303E-2</v>
          </cell>
          <cell r="F53">
            <v>-0.59234787291329938</v>
          </cell>
          <cell r="G53">
            <v>-1.5898106818531644E-2</v>
          </cell>
          <cell r="H53">
            <v>4.7357607360836169E-2</v>
          </cell>
          <cell r="I53">
            <v>7.1838751546360005E-2</v>
          </cell>
          <cell r="J53">
            <v>9.5668247187915584E-2</v>
          </cell>
          <cell r="K53">
            <v>0.26749230695941928</v>
          </cell>
          <cell r="L53">
            <v>-3.0113355793475339E-2</v>
          </cell>
          <cell r="M53">
            <v>7.9628723424258734E-3</v>
          </cell>
        </row>
        <row r="54">
          <cell r="A54" t="str">
            <v>Price/Book</v>
          </cell>
          <cell r="B54" t="e">
            <v>#REF!</v>
          </cell>
          <cell r="C54" t="e">
            <v>#REF!</v>
          </cell>
          <cell r="D54" t="e">
            <v>#REF!</v>
          </cell>
          <cell r="E54">
            <v>1.5326981397499442</v>
          </cell>
          <cell r="F54">
            <v>1.3066280043117025</v>
          </cell>
          <cell r="G54">
            <v>1.6300279220541787</v>
          </cell>
          <cell r="H54">
            <v>1.5207323982176741</v>
          </cell>
          <cell r="I54">
            <v>1.3999760161248442</v>
          </cell>
          <cell r="J54">
            <v>1.2944753011137049</v>
          </cell>
          <cell r="K54">
            <v>1.1809682562382455</v>
          </cell>
          <cell r="L54">
            <v>1.0722886099626936</v>
          </cell>
          <cell r="M54">
            <v>0.9705105517754492</v>
          </cell>
        </row>
        <row r="55">
          <cell r="A55" t="str">
            <v>No. of Shares Outstanding, end of period, dil (m)</v>
          </cell>
          <cell r="C55" t="e">
            <v>#REF!</v>
          </cell>
          <cell r="D55" t="e">
            <v>#REF!</v>
          </cell>
          <cell r="E55">
            <v>84.036021000000019</v>
          </cell>
          <cell r="F55">
            <v>149.52933376000001</v>
          </cell>
          <cell r="G55">
            <v>149.81985568000002</v>
          </cell>
          <cell r="H55">
            <v>150.11037760000002</v>
          </cell>
          <cell r="I55">
            <v>150.40089952000002</v>
          </cell>
          <cell r="J55">
            <v>150.69142144000003</v>
          </cell>
          <cell r="K55">
            <v>150.98194336000003</v>
          </cell>
          <cell r="L55">
            <v>151.27246528000003</v>
          </cell>
          <cell r="M55">
            <v>151.56298720000004</v>
          </cell>
        </row>
        <row r="56">
          <cell r="A56" t="str">
            <v>GBP/USD</v>
          </cell>
          <cell r="C56">
            <v>0.89039999999999997</v>
          </cell>
          <cell r="D56">
            <v>1.0492999999999999</v>
          </cell>
          <cell r="E56">
            <v>0.52090000000000003</v>
          </cell>
          <cell r="F56">
            <v>0.58250000000000002</v>
          </cell>
          <cell r="G56">
            <v>0.58250000000000002</v>
          </cell>
          <cell r="H56">
            <v>0.58250000000000002</v>
          </cell>
          <cell r="I56">
            <v>0.58250000000000002</v>
          </cell>
          <cell r="J56">
            <v>0.58250000000000002</v>
          </cell>
          <cell r="K56">
            <v>0.58250000000000002</v>
          </cell>
          <cell r="L56">
            <v>0.58250000000000002</v>
          </cell>
          <cell r="M56">
            <v>0.58250000000000002</v>
          </cell>
        </row>
        <row r="57">
          <cell r="A57" t="str">
            <v>Price, end of period (£)</v>
          </cell>
          <cell r="C57">
            <v>69.5</v>
          </cell>
          <cell r="D57">
            <v>39.46</v>
          </cell>
          <cell r="E57">
            <v>2.2349999999999999</v>
          </cell>
          <cell r="F57">
            <v>3.53</v>
          </cell>
          <cell r="G57">
            <v>3.53</v>
          </cell>
          <cell r="H57">
            <v>3.53</v>
          </cell>
          <cell r="I57">
            <v>3.53</v>
          </cell>
          <cell r="J57">
            <v>3.53</v>
          </cell>
          <cell r="K57">
            <v>3.53</v>
          </cell>
          <cell r="L57">
            <v>3.53</v>
          </cell>
          <cell r="M57">
            <v>3.53</v>
          </cell>
        </row>
        <row r="58">
          <cell r="A58" t="str">
            <v>Price, end of period ($)</v>
          </cell>
          <cell r="C58">
            <v>61.882799999999996</v>
          </cell>
          <cell r="D58">
            <v>41.405377999999999</v>
          </cell>
          <cell r="E58">
            <v>4.2906507966980225</v>
          </cell>
          <cell r="F58">
            <v>6.0600858369098711</v>
          </cell>
          <cell r="G58">
            <v>6.0600858369098711</v>
          </cell>
          <cell r="H58">
            <v>6.0600858369098711</v>
          </cell>
          <cell r="I58">
            <v>6.0600858369098711</v>
          </cell>
          <cell r="J58">
            <v>6.0600858369098711</v>
          </cell>
          <cell r="K58">
            <v>6.0600858369098711</v>
          </cell>
          <cell r="L58">
            <v>6.0600858369098711</v>
          </cell>
          <cell r="M58">
            <v>6.0600858369098711</v>
          </cell>
        </row>
        <row r="59">
          <cell r="A59" t="str">
            <v>Market Capitalisation (£m)</v>
          </cell>
          <cell r="C59" t="e">
            <v>#REF!</v>
          </cell>
          <cell r="D59" t="e">
            <v>#REF!</v>
          </cell>
          <cell r="E59">
            <v>187.82050693500003</v>
          </cell>
          <cell r="F59">
            <v>527.83854817280007</v>
          </cell>
          <cell r="G59">
            <v>528.86409055040008</v>
          </cell>
          <cell r="H59">
            <v>529.88963292800008</v>
          </cell>
          <cell r="I59">
            <v>530.91517530560009</v>
          </cell>
          <cell r="J59">
            <v>531.94071768320009</v>
          </cell>
          <cell r="K59">
            <v>532.9662600608001</v>
          </cell>
          <cell r="L59">
            <v>533.9918024384001</v>
          </cell>
          <cell r="M59">
            <v>535.0173448160001</v>
          </cell>
        </row>
        <row r="60">
          <cell r="A60" t="str">
            <v>Market Capitalisation ($m)</v>
          </cell>
          <cell r="C60" t="e">
            <v>#REF!</v>
          </cell>
          <cell r="D60" t="e">
            <v>#REF!</v>
          </cell>
          <cell r="E60">
            <v>360.5692204549818</v>
          </cell>
          <cell r="F60">
            <v>906.16059772154517</v>
          </cell>
          <cell r="G60">
            <v>907.92118549424902</v>
          </cell>
          <cell r="H60">
            <v>909.68177326695286</v>
          </cell>
          <cell r="I60">
            <v>911.44236103965682</v>
          </cell>
          <cell r="J60">
            <v>913.20294881236066</v>
          </cell>
          <cell r="K60">
            <v>914.9635365850645</v>
          </cell>
          <cell r="L60">
            <v>916.72412435776835</v>
          </cell>
          <cell r="M60">
            <v>918.4847121304723</v>
          </cell>
        </row>
        <row r="61">
          <cell r="A61" t="str">
            <v>Enterprise Value (£m)</v>
          </cell>
          <cell r="C61" t="e">
            <v>#REF!</v>
          </cell>
          <cell r="D61" t="e">
            <v>#REF!</v>
          </cell>
          <cell r="E61">
            <v>189.66950693500002</v>
          </cell>
          <cell r="F61">
            <v>657.77854817280013</v>
          </cell>
          <cell r="G61">
            <v>632.0246039895394</v>
          </cell>
          <cell r="H61">
            <v>609.57634138983144</v>
          </cell>
          <cell r="I61">
            <v>575.72591797339908</v>
          </cell>
          <cell r="J61">
            <v>541.86972966759322</v>
          </cell>
          <cell r="K61">
            <v>500.01252241183801</v>
          </cell>
          <cell r="L61">
            <v>452.05124726501572</v>
          </cell>
          <cell r="M61">
            <v>397.62996862346927</v>
          </cell>
        </row>
        <row r="62">
          <cell r="A62" t="str">
            <v>Enterprise Value ($ m)</v>
          </cell>
          <cell r="C62" t="e">
            <v>#REF!</v>
          </cell>
          <cell r="D62" t="e">
            <v>#REF!</v>
          </cell>
          <cell r="E62">
            <v>364.11884610289883</v>
          </cell>
          <cell r="F62">
            <v>1129.2335590949358</v>
          </cell>
          <cell r="G62">
            <v>1085.0207793811835</v>
          </cell>
          <cell r="H62">
            <v>1046.4829895104401</v>
          </cell>
          <cell r="I62">
            <v>988.37067463244477</v>
          </cell>
          <cell r="J62">
            <v>930.2484629486579</v>
          </cell>
          <cell r="K62">
            <v>858.39059641517247</v>
          </cell>
          <cell r="L62">
            <v>776.05364337341757</v>
          </cell>
          <cell r="M62">
            <v>682.62655557677124</v>
          </cell>
        </row>
        <row r="66">
          <cell r="A66" t="str">
            <v>£ million</v>
          </cell>
          <cell r="E66" t="str">
            <v>2005A</v>
          </cell>
          <cell r="F66" t="str">
            <v>2006E</v>
          </cell>
          <cell r="G66" t="str">
            <v>2007E</v>
          </cell>
          <cell r="H66" t="str">
            <v>2008E</v>
          </cell>
          <cell r="K66" t="str">
            <v>017015</v>
          </cell>
        </row>
        <row r="67">
          <cell r="A67" t="str">
            <v>Modelware EPS (£)</v>
          </cell>
          <cell r="E67">
            <v>15.305994951603813</v>
          </cell>
          <cell r="F67">
            <v>19.028342986134334</v>
          </cell>
          <cell r="G67">
            <v>21.365649162044569</v>
          </cell>
          <cell r="H67">
            <v>24.490387559127416</v>
          </cell>
          <cell r="K67" t="str">
            <v>GYRUS</v>
          </cell>
        </row>
        <row r="68">
          <cell r="A68" t="str">
            <v>Revenue (£mn)</v>
          </cell>
          <cell r="E68">
            <v>150.37599999999998</v>
          </cell>
          <cell r="F68">
            <v>213.34200000000001</v>
          </cell>
          <cell r="G68">
            <v>248.79408516758255</v>
          </cell>
          <cell r="H68">
            <v>272.89440722484801</v>
          </cell>
          <cell r="K68" t="str">
            <v>Shares O/S</v>
          </cell>
          <cell r="O68">
            <v>146246380</v>
          </cell>
          <cell r="P68" t="str">
            <v>Number of holders</v>
          </cell>
          <cell r="Q68" t="str">
            <v>% of total shares outstand.</v>
          </cell>
          <cell r="R68" t="str">
            <v>Country</v>
          </cell>
        </row>
        <row r="69">
          <cell r="A69" t="str">
            <v>EBIT Pre-Except ($mn)</v>
          </cell>
          <cell r="E69">
            <v>17.473299999999988</v>
          </cell>
          <cell r="F69">
            <v>26.725999999999996</v>
          </cell>
          <cell r="G69">
            <v>36.851231958218506</v>
          </cell>
          <cell r="H69">
            <v>45.535036058112013</v>
          </cell>
          <cell r="K69" t="str">
            <v>Short Interest Shares</v>
          </cell>
          <cell r="O69">
            <v>0</v>
          </cell>
        </row>
        <row r="70">
          <cell r="A70" t="str">
            <v>Modelware Net Income ($mn)</v>
          </cell>
          <cell r="E70">
            <v>17.658299999999986</v>
          </cell>
          <cell r="F70">
            <v>28.691999999999993</v>
          </cell>
          <cell r="G70">
            <v>32.041020686753328</v>
          </cell>
          <cell r="H70">
            <v>36.553284337194427</v>
          </cell>
          <cell r="K70" t="str">
            <v>Float (%)</v>
          </cell>
          <cell r="O70">
            <v>99.978999999999999</v>
          </cell>
        </row>
        <row r="71">
          <cell r="A71" t="str">
            <v>P/E</v>
          </cell>
          <cell r="E71">
            <v>23.062858776326166</v>
          </cell>
          <cell r="F71">
            <v>18.551273763418379</v>
          </cell>
          <cell r="G71">
            <v>16.521847631341519</v>
          </cell>
          <cell r="H71">
            <v>14.413818448064497</v>
          </cell>
          <cell r="K71" t="str">
            <v>Insider/Stake Ownership (%)</v>
          </cell>
          <cell r="O71">
            <v>2.0520170000000001E-2</v>
          </cell>
          <cell r="P71">
            <v>91</v>
          </cell>
          <cell r="Q71">
            <v>82.754000000000005</v>
          </cell>
          <cell r="R71" t="str">
            <v>United Kingdom</v>
          </cell>
        </row>
        <row r="72">
          <cell r="A72" t="str">
            <v>Price/Book</v>
          </cell>
          <cell r="E72">
            <v>1.3066280043117025</v>
          </cell>
          <cell r="F72">
            <v>1.6300279220541787</v>
          </cell>
          <cell r="G72">
            <v>1.5207323982176741</v>
          </cell>
          <cell r="H72">
            <v>1.3999760161248442</v>
          </cell>
          <cell r="K72" t="str">
            <v>Institutional Ownership (%)</v>
          </cell>
          <cell r="O72">
            <v>92.512</v>
          </cell>
          <cell r="P72">
            <v>11</v>
          </cell>
          <cell r="Q72">
            <v>7.8049999999999997</v>
          </cell>
          <cell r="R72" t="str">
            <v>United States</v>
          </cell>
        </row>
        <row r="73">
          <cell r="A73" t="str">
            <v>EV/EBITDA</v>
          </cell>
          <cell r="E73">
            <v>25.186513716445301</v>
          </cell>
          <cell r="F73">
            <v>15.6326578296762</v>
          </cell>
          <cell r="G73">
            <v>11.955454531849984</v>
          </cell>
          <cell r="H73">
            <v>9.5383764720189745</v>
          </cell>
          <cell r="K73" t="str">
            <v>Institution Ownership as % of Float</v>
          </cell>
          <cell r="O73">
            <v>92.531431600636139</v>
          </cell>
          <cell r="P73">
            <v>2</v>
          </cell>
          <cell r="Q73">
            <v>0.76500000000000001</v>
          </cell>
          <cell r="R73" t="str">
            <v>The Netherlands</v>
          </cell>
        </row>
        <row r="74">
          <cell r="A74" t="str">
            <v>Dividend Yield (%)</v>
          </cell>
          <cell r="E74">
            <v>0</v>
          </cell>
          <cell r="F74">
            <v>0</v>
          </cell>
          <cell r="G74">
            <v>0</v>
          </cell>
          <cell r="H74">
            <v>0</v>
          </cell>
          <cell r="K74" t="str">
            <v>Top 10 Instutional Holders (%)</v>
          </cell>
          <cell r="O74">
            <v>47.32</v>
          </cell>
          <cell r="P74">
            <v>3</v>
          </cell>
          <cell r="Q74">
            <v>0.39300000000000002</v>
          </cell>
          <cell r="R74" t="str">
            <v>Belgium</v>
          </cell>
        </row>
        <row r="75">
          <cell r="P75">
            <v>1</v>
          </cell>
          <cell r="Q75">
            <v>0.19800000000000001</v>
          </cell>
          <cell r="R75" t="str">
            <v>Switzerland</v>
          </cell>
        </row>
        <row r="76">
          <cell r="A76" t="str">
            <v>Market Cap (£m)</v>
          </cell>
          <cell r="E76">
            <v>527.83854817280007</v>
          </cell>
          <cell r="F76" t="str">
            <v>Book Value (£m) (12/05)</v>
          </cell>
          <cell r="H76">
            <v>301.50500000000005</v>
          </cell>
          <cell r="P76">
            <v>1</v>
          </cell>
          <cell r="Q76">
            <v>0.157</v>
          </cell>
          <cell r="R76" t="str">
            <v>Bermuda</v>
          </cell>
        </row>
        <row r="77">
          <cell r="A77" t="str">
            <v>Enterprise Value (£m)</v>
          </cell>
          <cell r="E77">
            <v>657.77854817280013</v>
          </cell>
          <cell r="F77" t="str">
            <v>Shares Out (m) (12/05)</v>
          </cell>
          <cell r="H77">
            <v>146.24637999999999</v>
          </cell>
          <cell r="P77">
            <v>2</v>
          </cell>
          <cell r="Q77">
            <v>0.08</v>
          </cell>
          <cell r="R77" t="str">
            <v>France</v>
          </cell>
        </row>
        <row r="78">
          <cell r="A78" t="str">
            <v>Debt/Cap (12/05) (%)</v>
          </cell>
          <cell r="E78">
            <v>24.617375985480535</v>
          </cell>
          <cell r="F78" t="str">
            <v>Free Float (%)</v>
          </cell>
          <cell r="H78">
            <v>99.978999999999999</v>
          </cell>
          <cell r="P78">
            <v>2</v>
          </cell>
          <cell r="Q78">
            <v>7.8E-2</v>
          </cell>
          <cell r="R78" t="str">
            <v>Ireland</v>
          </cell>
        </row>
        <row r="79">
          <cell r="A79" t="str">
            <v>Return on Equity (12/05) (%)</v>
          </cell>
          <cell r="E79">
            <v>10.958463827443621</v>
          </cell>
          <cell r="P79">
            <v>1</v>
          </cell>
          <cell r="Q79">
            <v>6.9000000000000006E-2</v>
          </cell>
          <cell r="R79" t="str">
            <v>Canada</v>
          </cell>
        </row>
        <row r="80">
          <cell r="A80" t="str">
            <v>L-T Est. EPS Growth ('06-'11) (%)</v>
          </cell>
          <cell r="E80">
            <v>13.638919142220129</v>
          </cell>
          <cell r="P80">
            <v>1</v>
          </cell>
          <cell r="Q80">
            <v>6.2E-2</v>
          </cell>
          <cell r="R80" t="str">
            <v>Japan</v>
          </cell>
        </row>
        <row r="81">
          <cell r="A81" t="str">
            <v>P/E to Growth, 2006E</v>
          </cell>
          <cell r="E81">
            <v>1.3601718413295485</v>
          </cell>
          <cell r="P81">
            <v>1</v>
          </cell>
          <cell r="Q81">
            <v>5.8000000000000003E-2</v>
          </cell>
          <cell r="R81" t="str">
            <v>Sweden</v>
          </cell>
        </row>
        <row r="82">
          <cell r="A82" t="str">
            <v>E = Morgan Stanley Estimates. Source: Company data, Morgan Stanley Research</v>
          </cell>
          <cell r="P82">
            <v>1</v>
          </cell>
          <cell r="Q82">
            <v>5.8000000000000003E-2</v>
          </cell>
          <cell r="R82" t="str">
            <v>Austria</v>
          </cell>
        </row>
        <row r="83">
          <cell r="P83">
            <v>3</v>
          </cell>
          <cell r="Q83">
            <v>0.03</v>
          </cell>
          <cell r="R83" t="str">
            <v>Germany</v>
          </cell>
        </row>
        <row r="84">
          <cell r="B84" t="str">
            <v>e=Morgan Stanley Estimates.  All other values are actual.</v>
          </cell>
          <cell r="P84" t="e">
            <v>#N/A</v>
          </cell>
          <cell r="Q84" t="e">
            <v>#N/A</v>
          </cell>
          <cell r="R84" t="e">
            <v>#N/A</v>
          </cell>
        </row>
        <row r="85">
          <cell r="P85" t="e">
            <v>#N/A</v>
          </cell>
          <cell r="Q85" t="e">
            <v>#N/A</v>
          </cell>
          <cell r="R85" t="e">
            <v>#N/A</v>
          </cell>
        </row>
        <row r="86">
          <cell r="B86" t="str">
            <v>ND = Not Disclosed, NA = Not Available, and NM = Non Meaningful</v>
          </cell>
          <cell r="P86" t="e">
            <v>#N/A</v>
          </cell>
          <cell r="Q86" t="e">
            <v>#N/A</v>
          </cell>
          <cell r="R86" t="e">
            <v>#N/A</v>
          </cell>
        </row>
        <row r="87">
          <cell r="P87" t="e">
            <v>#N/A</v>
          </cell>
          <cell r="Q87" t="e">
            <v>#N/A</v>
          </cell>
          <cell r="R87" t="e">
            <v>#N/A</v>
          </cell>
        </row>
        <row r="88">
          <cell r="B88" t="str">
            <v>Consensus EPS provided by Thomson Financial/First Call</v>
          </cell>
          <cell r="P88" t="e">
            <v>#N/A</v>
          </cell>
          <cell r="Q88" t="e">
            <v>#N/A</v>
          </cell>
          <cell r="R88" t="e">
            <v>#N/A</v>
          </cell>
        </row>
        <row r="89">
          <cell r="P89" t="e">
            <v>#N/A</v>
          </cell>
          <cell r="Q89" t="e">
            <v>#N/A</v>
          </cell>
          <cell r="R89" t="e">
            <v>#N/A</v>
          </cell>
        </row>
        <row r="90">
          <cell r="B90" t="str">
            <v>Ratios for companies are based on the currency reported by the companies unless explicitly noted.</v>
          </cell>
          <cell r="P90" t="e">
            <v>#N/A</v>
          </cell>
          <cell r="Q90" t="e">
            <v>#N/A</v>
          </cell>
          <cell r="R90" t="e">
            <v>#N/A</v>
          </cell>
        </row>
        <row r="91">
          <cell r="P91" t="e">
            <v>#N/A</v>
          </cell>
          <cell r="Q91" t="e">
            <v>#N/A</v>
          </cell>
          <cell r="R91" t="e">
            <v>#N/A</v>
          </cell>
        </row>
        <row r="92">
          <cell r="B92" t="str">
            <v xml:space="preserve">Although the information provided to you on this site is obtained or compiled from sources we believe to be reliable, </v>
          </cell>
          <cell r="P92" t="e">
            <v>#N/A</v>
          </cell>
          <cell r="Q92" t="e">
            <v>#N/A</v>
          </cell>
          <cell r="R92" t="e">
            <v>#N/A</v>
          </cell>
        </row>
        <row r="93">
          <cell r="B93" t="str">
            <v xml:space="preserve">Morgan Stanley cannot and does not guarantee the accuracy, validity, timeliness or completeness of any information or </v>
          </cell>
          <cell r="P93" t="e">
            <v>#N/A</v>
          </cell>
          <cell r="Q93" t="e">
            <v>#N/A</v>
          </cell>
          <cell r="R93" t="e">
            <v>#N/A</v>
          </cell>
        </row>
        <row r="94">
          <cell r="B94" t="str">
            <v>data made available to you for any particular purpose.</v>
          </cell>
          <cell r="P94" t="e">
            <v>#N/A</v>
          </cell>
          <cell r="Q94" t="e">
            <v>#N/A</v>
          </cell>
          <cell r="R94" t="e">
            <v>#N/A</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PB Organic Sales"/>
      <sheetName val="Organic vs Tracked"/>
      <sheetName val="L2005"/>
      <sheetName val="$100 MM Breakdown"/>
      <sheetName val="C1001"/>
      <sheetName val="SSB Nielsen Sales"/>
      <sheetName val="SSB Nielsen Vol"/>
      <sheetName val="SGA Leverage"/>
      <sheetName val="B&amp;S Nielsen Sales"/>
      <sheetName val="B&amp;S Nielsen Vol"/>
      <sheetName val="CPB Nielsen Condensed"/>
      <sheetName val="CPB Nielsen RTS"/>
      <sheetName val="CPB Nielsen Soup"/>
      <sheetName val="CPB Nielsen Org"/>
      <sheetName val="Marketing vs Revenue"/>
      <sheetName val="CPB Org Sales"/>
      <sheetName val="US SSB Org Sales"/>
      <sheetName val="US SSB Org Sales 2-yr"/>
      <sheetName val="US Simple Meals Org Sales"/>
      <sheetName val="US Beverages Org Sales"/>
      <sheetName val="B&amp;S Org Sales"/>
      <sheetName val="Intl Org Sales"/>
      <sheetName val="Foodsvc Org Sales"/>
      <sheetName val="US Soup Sales"/>
      <sheetName val="US Soup Sales 2-yr"/>
      <sheetName val="GM"/>
      <sheetName val="Marketing &amp; Selling"/>
      <sheetName val="US Simple Meals Margin"/>
      <sheetName val="US Beverage Margin"/>
      <sheetName val="Global Baking and Snacking Marg"/>
      <sheetName val="International Margin"/>
      <sheetName val="NA Foodsvc Margin"/>
      <sheetName val="CPB Margin"/>
      <sheetName val="Soup Sales per Distribution Poi"/>
      <sheetName val="RTS Gaps"/>
      <sheetName val="CPB Crackers"/>
      <sheetName val="Non Earnings ---&gt;"/>
      <sheetName val="Sales Break"/>
      <sheetName val="Geography"/>
      <sheetName val="EBIT"/>
      <sheetName val="GM vs Inputs"/>
      <sheetName val="Old---&gt;"/>
      <sheetName val="CPB IRI Condensed"/>
      <sheetName val="CPB IRI RTS"/>
      <sheetName val="CPB IRI Soup"/>
      <sheetName val="Sheet1"/>
      <sheetName val="Sheet2"/>
      <sheetName val="Q"/>
      <sheetName val="CPB v2"/>
      <sheetName val="Seg_Sales_Mix"/>
      <sheetName val="Seg_EBIT_Mix"/>
      <sheetName val="Geo_Sales_Mix"/>
      <sheetName val="Prep Pack"/>
      <sheetName val="LT Outlook"/>
      <sheetName val="New Segments"/>
      <sheetName val="Valuation"/>
      <sheetName val="Urology &amp; Gynaecology"/>
      <sheetName val="P&amp;L"/>
      <sheetName val="Sensitivity"/>
      <sheetName val="Cash Flow"/>
      <sheetName val="RI"/>
      <sheetName val="ENT"/>
      <sheetName val="Financial Summary"/>
      <sheetName val="Surgical"/>
      <sheetName val="Balance Sheet"/>
      <sheetName val="SGA Leverage (2)"/>
      <sheetName val="2016 Bridge"/>
      <sheetName val="LT Bridge"/>
      <sheetName val="GM - Annu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ed_List"/>
      <sheetName val="ALL_Market"/>
      <sheetName val="Company Shares GBO"/>
      <sheetName val="Lowest Level"/>
      <sheetName val="Lowest_Level"/>
      <sheetName val="Cadbury_NA"/>
      <sheetName val="OverallGrowth"/>
      <sheetName val="EMDMGrowth"/>
      <sheetName val="OpMargin"/>
      <sheetName val="PE_Growth_Scatter"/>
      <sheetName val="GIS"/>
      <sheetName val="Old"/>
      <sheetName val="ShareChart"/>
      <sheetName val="Summary Tables"/>
      <sheetName val="Tables for notes"/>
      <sheetName val="Fruit"/>
      <sheetName val="Summary"/>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rgan Stanley Team"/>
      <sheetName val="Valuation"/>
      <sheetName val="mwareTaxoPres"/>
      <sheetName val="Financial Summary"/>
      <sheetName val="Comps"/>
      <sheetName val="mwareValPrintout"/>
      <sheetName val="P&amp;L"/>
      <sheetName val="Balance Sheet"/>
      <sheetName val="MWare_Cached"/>
      <sheetName val="Cash Flow"/>
      <sheetName val="Revenue Model"/>
      <sheetName val="Cost model"/>
      <sheetName val="DCF Valuation"/>
      <sheetName val="RI"/>
      <sheetName val="Consumables"/>
      <sheetName val="Instruments"/>
      <sheetName val="Genomics"/>
      <sheetName val="Sensitivity"/>
      <sheetName val="New Products-M&amp;A"/>
      <sheetName val="PreAnalytix JV"/>
      <sheetName val="mwareSettings"/>
      <sheetName val="mwareDates"/>
      <sheetName val="GE3"/>
      <sheetName val="OverallGrowth"/>
      <sheetName val="PE_Growth_Scatter"/>
      <sheetName val="GIS"/>
      <sheetName val="EMDMGrowth"/>
      <sheetName val="Lowest_Lev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__FDSCACHE__"/>
      <sheetName val="Morgan Stanley Team"/>
      <sheetName val="Valuation"/>
      <sheetName val="Comps"/>
      <sheetName val="P&amp;L"/>
      <sheetName val="Balance Sheet"/>
      <sheetName val="Cash Flow"/>
      <sheetName val="Sales"/>
      <sheetName val="EBIT analysis"/>
      <sheetName val="Services"/>
      <sheetName val="Products"/>
      <sheetName val="BCT - TOTAL"/>
      <sheetName val="BCT - existing sales"/>
      <sheetName val="BCT - Atreus"/>
      <sheetName val="BCT - Blood Collection"/>
      <sheetName val="BCT - Navigant"/>
      <sheetName val="RI GW"/>
      <sheetName val="LBO"/>
      <sheetName val="Consensus"/>
      <sheetName val="mwareValPrintout"/>
      <sheetName val="Sensitivity"/>
      <sheetName val="Financial Summary"/>
      <sheetName val="Other segment data"/>
      <sheetName val="GE3"/>
      <sheetName val="mwareSettings"/>
      <sheetName val="mwareDates"/>
      <sheetName val="Revenue Model"/>
    </sheetNames>
    <sheetDataSet>
      <sheetData sheetId="0" refreshError="1"/>
      <sheetData sheetId="1" refreshError="1"/>
      <sheetData sheetId="2" refreshError="1"/>
      <sheetData sheetId="3" refreshError="1">
        <row r="1">
          <cell r="A1" t="str">
            <v>Ord</v>
          </cell>
          <cell r="B1">
            <v>109.5</v>
          </cell>
          <cell r="C1">
            <v>14.061717455792099</v>
          </cell>
          <cell r="E1" t="str">
            <v>EUR:USD</v>
          </cell>
          <cell r="F1">
            <v>0.12841751101179999</v>
          </cell>
          <cell r="I1" t="str">
            <v>P_PRICE(0)</v>
          </cell>
          <cell r="M1" t="str">
            <v>^(P_EXCH_RATE(SEK,USD,0))</v>
          </cell>
        </row>
        <row r="2">
          <cell r="A2" t="str">
            <v>Pref</v>
          </cell>
          <cell r="H2" t="str">
            <v>545005</v>
          </cell>
          <cell r="I2">
            <v>109.5</v>
          </cell>
          <cell r="L2" t="str">
            <v>dummy^</v>
          </cell>
          <cell r="M2">
            <v>0.1286738</v>
          </cell>
        </row>
        <row r="3">
          <cell r="A3" t="str">
            <v>Gambro: Valuation Sheet</v>
          </cell>
          <cell r="M3" t="str">
            <v>Morgan Stanley Healthcare Research</v>
          </cell>
        </row>
        <row r="7">
          <cell r="A7" t="str">
            <v>Share price</v>
          </cell>
          <cell r="B7">
            <v>111</v>
          </cell>
          <cell r="E7" t="str">
            <v>Reuters ord:</v>
          </cell>
          <cell r="F7" t="str">
            <v>GAMBb.ST</v>
          </cell>
          <cell r="M7" t="str">
            <v>Daniel Mahony Ph.D. +44 20 7513 8436</v>
          </cell>
        </row>
        <row r="8">
          <cell r="A8" t="str">
            <v>Price Target</v>
          </cell>
          <cell r="E8" t="str">
            <v>Bloomberg:</v>
          </cell>
          <cell r="M8" t="str">
            <v>Charles Weston +44 20 7513 8187</v>
          </cell>
        </row>
        <row r="9">
          <cell r="A9" t="str">
            <v>Upside Potential (%)</v>
          </cell>
          <cell r="E9" t="str">
            <v>ADR:</v>
          </cell>
        </row>
        <row r="10">
          <cell r="A10" t="str">
            <v>Morgan Stanley Rating</v>
          </cell>
          <cell r="B10" t="str">
            <v>Equal-weight</v>
          </cell>
        </row>
        <row r="12">
          <cell r="A12" t="str">
            <v>Summary Earnings Estimates (SEK millions, except per share data)</v>
          </cell>
          <cell r="B12" t="str">
            <v>2003A</v>
          </cell>
          <cell r="C12" t="str">
            <v>2004A</v>
          </cell>
          <cell r="D12" t="str">
            <v>2005E</v>
          </cell>
          <cell r="E12" t="str">
            <v>2006E</v>
          </cell>
          <cell r="F12" t="str">
            <v>2007E</v>
          </cell>
          <cell r="G12" t="str">
            <v>2008E</v>
          </cell>
          <cell r="H12" t="str">
            <v>2009E</v>
          </cell>
          <cell r="I12" t="str">
            <v>2010E</v>
          </cell>
          <cell r="J12" t="str">
            <v>2011E</v>
          </cell>
          <cell r="K12" t="str">
            <v>2012E</v>
          </cell>
          <cell r="L12" t="str">
            <v>% 06E-11E  CAGR</v>
          </cell>
          <cell r="M12" t="str">
            <v>% 06E-09E  CAGR</v>
          </cell>
        </row>
        <row r="13">
          <cell r="A13" t="str">
            <v>Sales</v>
          </cell>
          <cell r="B13">
            <v>26133</v>
          </cell>
          <cell r="C13">
            <v>26617</v>
          </cell>
          <cell r="D13">
            <v>14685</v>
          </cell>
          <cell r="E13">
            <v>15484.700845865154</v>
          </cell>
          <cell r="F13">
            <v>17427.963325507801</v>
          </cell>
          <cell r="G13">
            <v>19076.934043996353</v>
          </cell>
          <cell r="H13">
            <v>20842.399935416437</v>
          </cell>
          <cell r="I13">
            <v>22586.277471273781</v>
          </cell>
          <cell r="J13">
            <v>24411.109926323898</v>
          </cell>
          <cell r="K13">
            <v>26340.737932333072</v>
          </cell>
          <cell r="L13">
            <v>9.5309719188932274</v>
          </cell>
          <cell r="M13">
            <v>10.411667411111569</v>
          </cell>
        </row>
        <row r="14">
          <cell r="A14" t="str">
            <v>EBITDA</v>
          </cell>
          <cell r="B14">
            <v>4334</v>
          </cell>
          <cell r="C14">
            <v>928</v>
          </cell>
          <cell r="D14">
            <v>2792</v>
          </cell>
          <cell r="E14">
            <v>2853.9376096458932</v>
          </cell>
          <cell r="F14">
            <v>3282.6624751074887</v>
          </cell>
          <cell r="G14">
            <v>3670.0732846936767</v>
          </cell>
          <cell r="H14">
            <v>4115.7048354596982</v>
          </cell>
          <cell r="I14">
            <v>4569.5723348249867</v>
          </cell>
          <cell r="J14">
            <v>5008.0455363108395</v>
          </cell>
          <cell r="K14">
            <v>5456.7684741355051</v>
          </cell>
          <cell r="L14">
            <v>11.903780530977093</v>
          </cell>
          <cell r="M14">
            <v>12.979569472708974</v>
          </cell>
        </row>
        <row r="15">
          <cell r="A15" t="str">
            <v>EBIT Pre-exceptionals</v>
          </cell>
          <cell r="B15">
            <v>1581</v>
          </cell>
          <cell r="C15">
            <v>2245</v>
          </cell>
          <cell r="D15">
            <v>1396</v>
          </cell>
          <cell r="E15">
            <v>1326.768299423127</v>
          </cell>
          <cell r="F15">
            <v>1547.319731361858</v>
          </cell>
          <cell r="G15">
            <v>1772.6930613820111</v>
          </cell>
          <cell r="H15">
            <v>1975.5018302593307</v>
          </cell>
          <cell r="I15">
            <v>2255.2924550223679</v>
          </cell>
          <cell r="J15">
            <v>2510.7229004996498</v>
          </cell>
          <cell r="K15">
            <v>2765.9145024681548</v>
          </cell>
          <cell r="L15">
            <v>13.605861526118934</v>
          </cell>
          <cell r="M15">
            <v>14.189836208726625</v>
          </cell>
        </row>
        <row r="16">
          <cell r="A16" t="str">
            <v>PBT Before Minorities</v>
          </cell>
          <cell r="B16">
            <v>1530</v>
          </cell>
          <cell r="C16">
            <v>-531</v>
          </cell>
          <cell r="D16">
            <v>1891</v>
          </cell>
          <cell r="E16">
            <v>1605.1806043085121</v>
          </cell>
          <cell r="F16">
            <v>1834.6395870702713</v>
          </cell>
          <cell r="G16">
            <v>2049.5369591241219</v>
          </cell>
          <cell r="H16">
            <v>2248.2245744108222</v>
          </cell>
          <cell r="I16">
            <v>2530.7689884474939</v>
          </cell>
          <cell r="J16">
            <v>2377.8496295155933</v>
          </cell>
          <cell r="K16">
            <v>2630.1108971223503</v>
          </cell>
          <cell r="L16">
            <v>8.176293463585683</v>
          </cell>
          <cell r="M16">
            <v>11.88501619084219</v>
          </cell>
        </row>
        <row r="17">
          <cell r="A17" t="str">
            <v>Net Income Reported</v>
          </cell>
          <cell r="B17">
            <v>1422</v>
          </cell>
          <cell r="C17">
            <v>-1196.3</v>
          </cell>
          <cell r="D17">
            <v>9488</v>
          </cell>
          <cell r="E17">
            <v>1000.8919746712776</v>
          </cell>
          <cell r="F17">
            <v>1103.3765439835684</v>
          </cell>
          <cell r="G17">
            <v>1233.2029146569555</v>
          </cell>
          <cell r="H17">
            <v>1352.6382361347098</v>
          </cell>
          <cell r="I17">
            <v>1523.6896728374463</v>
          </cell>
          <cell r="J17">
            <v>1424.3409602996678</v>
          </cell>
          <cell r="K17">
            <v>1575.7503652158573</v>
          </cell>
          <cell r="L17">
            <v>7.3112741182666863</v>
          </cell>
          <cell r="M17">
            <v>10.560030779412921</v>
          </cell>
        </row>
        <row r="18">
          <cell r="A18" t="str">
            <v>Net Income Pre-exceptionals</v>
          </cell>
          <cell r="B18">
            <v>528</v>
          </cell>
          <cell r="C18">
            <v>984.7</v>
          </cell>
          <cell r="D18">
            <v>916</v>
          </cell>
          <cell r="E18">
            <v>1000.8919746712776</v>
          </cell>
          <cell r="F18">
            <v>1103.3765439835684</v>
          </cell>
          <cell r="G18">
            <v>1233.2029146569555</v>
          </cell>
          <cell r="H18">
            <v>1352.6382361347098</v>
          </cell>
          <cell r="I18">
            <v>1523.6896728374463</v>
          </cell>
          <cell r="J18">
            <v>1424.3409602996678</v>
          </cell>
          <cell r="K18">
            <v>1575.7503652158573</v>
          </cell>
          <cell r="L18">
            <v>7.3112741182666863</v>
          </cell>
          <cell r="M18">
            <v>10.560030779412921</v>
          </cell>
        </row>
        <row r="19">
          <cell r="A19" t="str">
            <v>EPS Reported</v>
          </cell>
          <cell r="B19">
            <v>4.1258854898839674</v>
          </cell>
          <cell r="C19">
            <v>-3.4710244806949291</v>
          </cell>
          <cell r="D19">
            <v>27.52911499860695</v>
          </cell>
          <cell r="E19">
            <v>2.904054623936382</v>
          </cell>
          <cell r="F19">
            <v>3.2014101777075412</v>
          </cell>
          <cell r="G19">
            <v>3.5780970546172641</v>
          </cell>
          <cell r="H19">
            <v>3.9246346494588207</v>
          </cell>
          <cell r="I19">
            <v>4.4209346780914691</v>
          </cell>
          <cell r="J19">
            <v>4.1326777079801653</v>
          </cell>
          <cell r="K19">
            <v>4.5719870376395697</v>
          </cell>
          <cell r="L19">
            <v>7.3112741182666863</v>
          </cell>
          <cell r="M19">
            <v>10.560030779412921</v>
          </cell>
        </row>
        <row r="20">
          <cell r="A20" t="str">
            <v>ModelWare EPS</v>
          </cell>
          <cell r="B20">
            <v>4.1752104219008643</v>
          </cell>
          <cell r="C20">
            <v>5.2797987524204322</v>
          </cell>
          <cell r="D20">
            <v>2.6577433957339762</v>
          </cell>
          <cell r="E20">
            <v>2.904054623936382</v>
          </cell>
          <cell r="F20">
            <v>3.2014101777075412</v>
          </cell>
          <cell r="G20">
            <v>3.5780970546172641</v>
          </cell>
          <cell r="H20">
            <v>3.9246346494588207</v>
          </cell>
          <cell r="I20">
            <v>4.4209346780914691</v>
          </cell>
          <cell r="J20">
            <v>4.1326777079801653</v>
          </cell>
          <cell r="K20">
            <v>4.5719870376395697</v>
          </cell>
          <cell r="L20">
            <v>7.3112741182666863</v>
          </cell>
          <cell r="M20">
            <v>10.560030779412921</v>
          </cell>
        </row>
        <row r="21">
          <cell r="A21" t="str">
            <v>Dividend per Ordinary share</v>
          </cell>
          <cell r="B21">
            <v>1.1000000000000001</v>
          </cell>
          <cell r="C21">
            <v>1.1000000000000001</v>
          </cell>
          <cell r="D21">
            <v>30.3</v>
          </cell>
          <cell r="E21">
            <v>1.452027311968191</v>
          </cell>
          <cell r="F21">
            <v>1.6007050888537706</v>
          </cell>
          <cell r="G21">
            <v>1.7890485273086321</v>
          </cell>
          <cell r="H21">
            <v>1.9623173247294103</v>
          </cell>
          <cell r="I21">
            <v>2.2104673390457346</v>
          </cell>
          <cell r="J21">
            <v>2.0663388539900827</v>
          </cell>
          <cell r="K21">
            <v>2.2859935188197849</v>
          </cell>
          <cell r="L21">
            <v>7.3112741182666863</v>
          </cell>
          <cell r="M21">
            <v>10.560030779412921</v>
          </cell>
        </row>
        <row r="22">
          <cell r="A22" t="str">
            <v>Free Cash Flow to Equity per Share</v>
          </cell>
          <cell r="D22">
            <v>11.452088627687777</v>
          </cell>
          <cell r="E22">
            <v>2.1427674562462191</v>
          </cell>
          <cell r="F22">
            <v>0.40888167421249494</v>
          </cell>
          <cell r="G22">
            <v>1.0072980813841239</v>
          </cell>
          <cell r="H22">
            <v>1.7117535251191232</v>
          </cell>
          <cell r="I22">
            <v>2.3466257655031568</v>
          </cell>
          <cell r="J22">
            <v>1.9822136357855666</v>
          </cell>
          <cell r="K22">
            <v>1.3882905918100477</v>
          </cell>
          <cell r="L22">
            <v>-1.5456105053678448</v>
          </cell>
          <cell r="M22">
            <v>-7.2126589263994623</v>
          </cell>
        </row>
        <row r="24">
          <cell r="A24" t="str">
            <v>Valuation Multiples</v>
          </cell>
          <cell r="B24" t="str">
            <v>2003A</v>
          </cell>
          <cell r="C24" t="str">
            <v>2004A</v>
          </cell>
          <cell r="D24" t="str">
            <v>2005E</v>
          </cell>
          <cell r="E24" t="str">
            <v>2006E</v>
          </cell>
          <cell r="F24" t="str">
            <v>2007E</v>
          </cell>
          <cell r="G24" t="str">
            <v>2008E</v>
          </cell>
          <cell r="H24" t="str">
            <v>2009E</v>
          </cell>
          <cell r="I24" t="str">
            <v>2010E</v>
          </cell>
          <cell r="J24" t="str">
            <v>2011E</v>
          </cell>
          <cell r="K24" t="str">
            <v>2012E</v>
          </cell>
        </row>
        <row r="25">
          <cell r="A25" t="str">
            <v>P/E (x)</v>
          </cell>
          <cell r="B25">
            <v>14.37053320361362</v>
          </cell>
          <cell r="C25">
            <v>17.993110051107326</v>
          </cell>
          <cell r="D25">
            <v>41.764754331877725</v>
          </cell>
          <cell r="E25">
            <v>38.222421536114894</v>
          </cell>
          <cell r="F25">
            <v>34.672220627312626</v>
          </cell>
          <cell r="G25">
            <v>31.022076345515245</v>
          </cell>
          <cell r="H25">
            <v>28.282887431395967</v>
          </cell>
          <cell r="I25">
            <v>25.107812732469288</v>
          </cell>
          <cell r="J25">
            <v>26.859099074108766</v>
          </cell>
          <cell r="K25">
            <v>24.278284055964253</v>
          </cell>
        </row>
        <row r="26">
          <cell r="A26" t="str">
            <v>PEG (x)</v>
          </cell>
          <cell r="B26">
            <v>1.9655306272418223</v>
          </cell>
          <cell r="C26">
            <v>2.4610088146131535</v>
          </cell>
          <cell r="D26">
            <v>5.7123770298163938</v>
          </cell>
          <cell r="E26">
            <v>5.2278742279158914</v>
          </cell>
          <cell r="F26">
            <v>4.7422952643352003</v>
          </cell>
          <cell r="G26">
            <v>4.2430465393177972</v>
          </cell>
          <cell r="H26">
            <v>3.8683937948288971</v>
          </cell>
          <cell r="I26">
            <v>3.4341227433586776</v>
          </cell>
          <cell r="J26">
            <v>3.673655048304544</v>
          </cell>
          <cell r="K26">
            <v>3.3206639038887529</v>
          </cell>
        </row>
        <row r="27">
          <cell r="A27" t="str">
            <v>EV/EBITDA (x)</v>
          </cell>
          <cell r="B27">
            <v>6.3519144623904014</v>
          </cell>
          <cell r="C27">
            <v>41.185412025862064</v>
          </cell>
          <cell r="D27">
            <v>11.41350822636103</v>
          </cell>
          <cell r="E27">
            <v>11.078316147928646</v>
          </cell>
          <cell r="F27">
            <v>9.7565891125141508</v>
          </cell>
          <cell r="G27">
            <v>8.8001027012111841</v>
          </cell>
          <cell r="H27">
            <v>7.8682463291972855</v>
          </cell>
          <cell r="I27">
            <v>9.3742803211229724</v>
          </cell>
          <cell r="J27">
            <v>8.5593163513709634</v>
          </cell>
          <cell r="K27">
            <v>7.9121631268471377</v>
          </cell>
        </row>
        <row r="28">
          <cell r="A28" t="str">
            <v>EV/EBITDA per Unit of Growth (x)</v>
          </cell>
          <cell r="B28">
            <v>0.53360480276504396</v>
          </cell>
          <cell r="C28">
            <v>3.459859825093857</v>
          </cell>
          <cell r="D28">
            <v>0.95881373120579361</v>
          </cell>
          <cell r="E28">
            <v>0.9306552753639612</v>
          </cell>
          <cell r="F28">
            <v>0.81962105123869455</v>
          </cell>
          <cell r="G28">
            <v>0.73926956888282358</v>
          </cell>
          <cell r="H28">
            <v>0.66098718039381055</v>
          </cell>
          <cell r="I28">
            <v>0.78750446521828699</v>
          </cell>
          <cell r="J28">
            <v>0.71904184801602633</v>
          </cell>
          <cell r="K28">
            <v>0.66467649552655916</v>
          </cell>
        </row>
        <row r="29">
          <cell r="A29" t="str">
            <v>EV/Sales (x)</v>
          </cell>
          <cell r="B29">
            <v>1.0534265977882371</v>
          </cell>
          <cell r="C29">
            <v>1.4359267520757408</v>
          </cell>
          <cell r="D29">
            <v>2.1700044241062306</v>
          </cell>
          <cell r="E29">
            <v>2.0418103921306012</v>
          </cell>
          <cell r="F29">
            <v>1.8377126670800639</v>
          </cell>
          <cell r="G29">
            <v>1.6929880740684289</v>
          </cell>
          <cell r="H29">
            <v>1.5537260375009814</v>
          </cell>
          <cell r="I29">
            <v>1.8965698118593959</v>
          </cell>
          <cell r="J29">
            <v>1.7559810339115907</v>
          </cell>
          <cell r="K29">
            <v>1.639090082582692</v>
          </cell>
        </row>
        <row r="30">
          <cell r="A30" t="str">
            <v>EV/Net Cash Flow (x)</v>
          </cell>
          <cell r="B30">
            <v>-339.86663308641977</v>
          </cell>
          <cell r="C30">
            <v>215.93255570621466</v>
          </cell>
          <cell r="D30">
            <v>2.9986369594429281</v>
          </cell>
          <cell r="E30">
            <v>110.66756644090181</v>
          </cell>
          <cell r="F30">
            <v>-85.029179671755799</v>
          </cell>
          <cell r="G30">
            <v>-139.25760317798159</v>
          </cell>
          <cell r="H30">
            <v>-718.08856132663595</v>
          </cell>
          <cell r="I30">
            <v>-4.1158480641528588</v>
          </cell>
          <cell r="J30">
            <v>2047.8646493288334</v>
          </cell>
          <cell r="K30">
            <v>-169.66049566240389</v>
          </cell>
        </row>
        <row r="32">
          <cell r="A32" t="str">
            <v>Key Financial Ratios</v>
          </cell>
          <cell r="B32" t="str">
            <v>2003A</v>
          </cell>
          <cell r="C32" t="str">
            <v>2004A</v>
          </cell>
          <cell r="D32" t="str">
            <v>2005E</v>
          </cell>
          <cell r="E32" t="str">
            <v>2006E</v>
          </cell>
          <cell r="F32" t="str">
            <v>2007E</v>
          </cell>
          <cell r="G32" t="str">
            <v>2008E</v>
          </cell>
          <cell r="H32" t="str">
            <v>2009E</v>
          </cell>
          <cell r="I32" t="str">
            <v>2010E</v>
          </cell>
          <cell r="J32" t="str">
            <v>2011E</v>
          </cell>
          <cell r="K32" t="str">
            <v>2012E</v>
          </cell>
        </row>
        <row r="33">
          <cell r="A33" t="str">
            <v>R&amp;D as % Sales</v>
          </cell>
          <cell r="B33">
            <v>1.9362491868518732</v>
          </cell>
          <cell r="C33">
            <v>1.9999999999999998</v>
          </cell>
          <cell r="D33">
            <v>2.0743071161048685</v>
          </cell>
          <cell r="E33">
            <v>2.297462618587423</v>
          </cell>
          <cell r="F33">
            <v>2.2885486144233873</v>
          </cell>
          <cell r="G33">
            <v>2.2290318964423155</v>
          </cell>
          <cell r="H33">
            <v>2.1757494356304434</v>
          </cell>
          <cell r="I33">
            <v>2.1312960497922742</v>
          </cell>
          <cell r="J33">
            <v>2.0915794503493559</v>
          </cell>
          <cell r="K33">
            <v>2.0555681025651933</v>
          </cell>
        </row>
        <row r="34">
          <cell r="A34" t="str">
            <v>EBIT margin (%)</v>
          </cell>
          <cell r="B34">
            <v>6.0498220640569391</v>
          </cell>
          <cell r="C34">
            <v>8.4344591802231648</v>
          </cell>
          <cell r="D34">
            <v>9.5062989445011912</v>
          </cell>
          <cell r="E34">
            <v>8.5682527071707106</v>
          </cell>
          <cell r="F34">
            <v>8.8783738091597897</v>
          </cell>
          <cell r="G34">
            <v>9.2923373184271725</v>
          </cell>
          <cell r="H34">
            <v>9.4782838654893098</v>
          </cell>
          <cell r="I34">
            <v>9.9852331039975404</v>
          </cell>
          <cell r="J34">
            <v>10.285164861726313</v>
          </cell>
          <cell r="K34">
            <v>10.500520181224742</v>
          </cell>
        </row>
        <row r="35">
          <cell r="A35" t="str">
            <v>Interest Cover (x)</v>
          </cell>
          <cell r="B35">
            <v>31</v>
          </cell>
          <cell r="C35">
            <v>21.58653846153846</v>
          </cell>
          <cell r="D35">
            <v>-11.442622950819672</v>
          </cell>
          <cell r="E35">
            <v>-4.7654801032207299</v>
          </cell>
          <cell r="F35">
            <v>-5.385356078321843</v>
          </cell>
          <cell r="G35">
            <v>-6.4032224507738063</v>
          </cell>
          <cell r="H35">
            <v>-7.2436269897679715</v>
          </cell>
          <cell r="I35">
            <v>-8.1868768529256695</v>
          </cell>
          <cell r="J35">
            <v>18.895620480366699</v>
          </cell>
          <cell r="K35">
            <v>20.367018205629698</v>
          </cell>
        </row>
        <row r="36">
          <cell r="A36" t="str">
            <v>Dividend Yield Ordinary (%)</v>
          </cell>
          <cell r="B36">
            <v>1.8333333333333333</v>
          </cell>
          <cell r="C36">
            <v>1.1578947368421053</v>
          </cell>
          <cell r="D36">
            <v>27.297297297297295</v>
          </cell>
          <cell r="E36">
            <v>1.3081327134848568</v>
          </cell>
          <cell r="F36">
            <v>1.4420766566250185</v>
          </cell>
          <cell r="G36">
            <v>1.6117554300077768</v>
          </cell>
          <cell r="H36">
            <v>1.7678534457021715</v>
          </cell>
          <cell r="I36">
            <v>1.9914120171583192</v>
          </cell>
          <cell r="J36">
            <v>1.8615665351262005</v>
          </cell>
          <cell r="K36">
            <v>2.0594536205583647</v>
          </cell>
        </row>
        <row r="37">
          <cell r="A37" t="str">
            <v>RNOA (aka ROIC)</v>
          </cell>
          <cell r="B37">
            <v>6.4</v>
          </cell>
          <cell r="C37">
            <v>8.4</v>
          </cell>
          <cell r="D37">
            <v>3.8601267707491385</v>
          </cell>
          <cell r="E37">
            <v>7.1687397724441615</v>
          </cell>
          <cell r="F37">
            <v>8.189707367403317</v>
          </cell>
          <cell r="G37">
            <v>8.7006899508246711</v>
          </cell>
          <cell r="H37">
            <v>9.0880751948217497</v>
          </cell>
          <cell r="I37">
            <v>9.8438627234108917</v>
          </cell>
          <cell r="J37">
            <v>10.456762730791771</v>
          </cell>
          <cell r="K37">
            <v>10.997334788756236</v>
          </cell>
        </row>
        <row r="38">
          <cell r="A38" t="str">
            <v>ROE (%)</v>
          </cell>
          <cell r="B38">
            <v>7.3</v>
          </cell>
          <cell r="C38">
            <v>9.1999999999999993</v>
          </cell>
          <cell r="D38">
            <v>5.065531161864735</v>
          </cell>
          <cell r="E38">
            <v>5.4228313088328415</v>
          </cell>
          <cell r="F38">
            <v>5.8202805626911438</v>
          </cell>
          <cell r="G38">
            <v>6.321156532445074</v>
          </cell>
          <cell r="H38">
            <v>6.7209380823543103</v>
          </cell>
          <cell r="I38">
            <v>7.3247075105968351</v>
          </cell>
          <cell r="J38">
            <v>12.873769671057152</v>
          </cell>
          <cell r="K38">
            <v>13.380952601093336</v>
          </cell>
        </row>
        <row r="39">
          <cell r="A39" t="str">
            <v>Capex as % Sales</v>
          </cell>
          <cell r="B39">
            <v>7.4809627673822376</v>
          </cell>
          <cell r="C39">
            <v>5.079460495172258</v>
          </cell>
          <cell r="D39">
            <v>10.07150153217569</v>
          </cell>
          <cell r="E39">
            <v>10.978578255542775</v>
          </cell>
          <cell r="F39">
            <v>10.978578255542775</v>
          </cell>
          <cell r="G39">
            <v>10.978578255542775</v>
          </cell>
          <cell r="H39">
            <v>10.978578255542775</v>
          </cell>
          <cell r="I39">
            <v>10.978578255542775</v>
          </cell>
          <cell r="J39">
            <v>10.978578255542775</v>
          </cell>
          <cell r="K39">
            <v>10.978578255542775</v>
          </cell>
        </row>
        <row r="40">
          <cell r="A40" t="str">
            <v>FCF as % Market Capitalisation</v>
          </cell>
          <cell r="B40">
            <v>9</v>
          </cell>
          <cell r="C40">
            <v>3.3</v>
          </cell>
          <cell r="D40" t="str">
            <v>NM</v>
          </cell>
          <cell r="E40">
            <v>1.9304211317533504</v>
          </cell>
          <cell r="F40">
            <v>0.36836186865990539</v>
          </cell>
          <cell r="G40">
            <v>0.90747574899470629</v>
          </cell>
          <cell r="H40">
            <v>1.542120292900111</v>
          </cell>
          <cell r="I40">
            <v>2.1140772662190601</v>
          </cell>
          <cell r="J40">
            <v>1.7857780502572671</v>
          </cell>
          <cell r="K40">
            <v>1.2507122448739167</v>
          </cell>
        </row>
        <row r="41">
          <cell r="A41" t="str">
            <v>Net Cash Inflow/(Outflow) for yr (SEK m)</v>
          </cell>
          <cell r="B41">
            <v>-81</v>
          </cell>
          <cell r="C41">
            <v>177</v>
          </cell>
          <cell r="D41">
            <v>10627</v>
          </cell>
          <cell r="E41">
            <v>285.6918618790163</v>
          </cell>
          <cell r="F41">
            <v>-376.66585857150289</v>
          </cell>
          <cell r="G41">
            <v>-231.92286158334798</v>
          </cell>
          <cell r="H41">
            <v>-45.096637389458579</v>
          </cell>
          <cell r="I41">
            <v>-10407.685450632544</v>
          </cell>
          <cell r="J41">
            <v>20.931776942096462</v>
          </cell>
          <cell r="K41">
            <v>-254.47787444112862</v>
          </cell>
        </row>
        <row r="42">
          <cell r="A42" t="str">
            <v>Net Debt/(Cash) on B/S (SEK m)</v>
          </cell>
          <cell r="B42">
            <v>6707</v>
          </cell>
          <cell r="C42">
            <v>5391</v>
          </cell>
          <cell r="D42">
            <v>-6416</v>
          </cell>
          <cell r="E42">
            <v>-6696.6918618790169</v>
          </cell>
          <cell r="F42">
            <v>-6320.0260033075137</v>
          </cell>
          <cell r="G42">
            <v>-6088.1031417241666</v>
          </cell>
          <cell r="H42">
            <v>-6043.0065043347076</v>
          </cell>
          <cell r="I42">
            <v>4364.6789462978359</v>
          </cell>
          <cell r="J42">
            <v>4343.7471693557391</v>
          </cell>
          <cell r="K42">
            <v>4598.2250437968678</v>
          </cell>
        </row>
        <row r="44">
          <cell r="A44" t="str">
            <v>NM = Not Meaningful</v>
          </cell>
        </row>
        <row r="45">
          <cell r="A45" t="str">
            <v>E = Morgan Stanley Research Estimate, Source: Company data, Morgan Stanley Research.</v>
          </cell>
        </row>
        <row r="48">
          <cell r="A48" t="str">
            <v>Other Information</v>
          </cell>
          <cell r="B48" t="str">
            <v>2003A</v>
          </cell>
          <cell r="C48" t="str">
            <v>2004A</v>
          </cell>
          <cell r="D48" t="str">
            <v>2005E</v>
          </cell>
          <cell r="E48" t="str">
            <v>2006E</v>
          </cell>
          <cell r="F48" t="str">
            <v>2007E</v>
          </cell>
          <cell r="G48" t="str">
            <v>2008E</v>
          </cell>
          <cell r="H48" t="str">
            <v>2009E</v>
          </cell>
          <cell r="I48" t="str">
            <v>2010E</v>
          </cell>
          <cell r="J48" t="str">
            <v>2011E</v>
          </cell>
          <cell r="K48" t="str">
            <v>2012E</v>
          </cell>
        </row>
        <row r="49">
          <cell r="A49" t="str">
            <v>No. of Ordinary Shares Outstanding (m)</v>
          </cell>
          <cell r="B49">
            <v>344.65328799999997</v>
          </cell>
          <cell r="C49">
            <v>344.65328800000003</v>
          </cell>
          <cell r="D49">
            <v>344.65328799999997</v>
          </cell>
          <cell r="E49">
            <v>344.65328799999997</v>
          </cell>
          <cell r="F49">
            <v>344.65328799999997</v>
          </cell>
          <cell r="G49">
            <v>344.65328799999997</v>
          </cell>
          <cell r="H49">
            <v>344.65328799999997</v>
          </cell>
          <cell r="I49">
            <v>344.65328799999997</v>
          </cell>
          <cell r="J49">
            <v>344.65328799999997</v>
          </cell>
          <cell r="K49">
            <v>344.65328799999997</v>
          </cell>
        </row>
        <row r="50">
          <cell r="A50" t="str">
            <v>Book Value per Share ($)</v>
          </cell>
          <cell r="B50">
            <v>57.321373936812698</v>
          </cell>
          <cell r="C50">
            <v>52.467220333032188</v>
          </cell>
          <cell r="D50">
            <v>53.552368837403925</v>
          </cell>
          <cell r="E50">
            <v>55.00439614937212</v>
          </cell>
          <cell r="F50">
            <v>56.605101238225892</v>
          </cell>
          <cell r="G50">
            <v>58.394149765534522</v>
          </cell>
          <cell r="H50">
            <v>60.356467090263926</v>
          </cell>
          <cell r="I50">
            <v>32.101535242402726</v>
          </cell>
          <cell r="J50">
            <v>34.167874096392808</v>
          </cell>
          <cell r="K50">
            <v>36.453867615212594</v>
          </cell>
        </row>
        <row r="51">
          <cell r="A51" t="str">
            <v>Capital Employed ($ m)</v>
          </cell>
          <cell r="B51">
            <v>26292</v>
          </cell>
          <cell r="C51">
            <v>24187</v>
          </cell>
          <cell r="D51">
            <v>23288</v>
          </cell>
          <cell r="E51">
            <v>23824.445987335639</v>
          </cell>
          <cell r="F51">
            <v>24410.234259327422</v>
          </cell>
          <cell r="G51">
            <v>25064.345716655898</v>
          </cell>
          <cell r="H51">
            <v>25781.925834723254</v>
          </cell>
          <cell r="I51">
            <v>16089.157771141978</v>
          </cell>
          <cell r="J51">
            <v>16851.254061291809</v>
          </cell>
          <cell r="K51">
            <v>17694.04763489974</v>
          </cell>
        </row>
        <row r="52">
          <cell r="A52" t="str">
            <v>Sales per Share ($)</v>
          </cell>
          <cell r="B52">
            <v>75.82402637632751</v>
          </cell>
          <cell r="C52">
            <v>77.228336205514452</v>
          </cell>
          <cell r="D52">
            <v>42.60803686283127</v>
          </cell>
          <cell r="E52">
            <v>44.928342148487367</v>
          </cell>
          <cell r="F52">
            <v>50.566653307273256</v>
          </cell>
          <cell r="G52">
            <v>55.351086753585108</v>
          </cell>
          <cell r="H52">
            <v>60.47352705196429</v>
          </cell>
          <cell r="I52">
            <v>65.53332945796177</v>
          </cell>
          <cell r="J52">
            <v>70.828019857230842</v>
          </cell>
          <cell r="K52">
            <v>76.426771046307479</v>
          </cell>
        </row>
        <row r="53">
          <cell r="A53" t="str">
            <v>RONA (%)</v>
          </cell>
          <cell r="C53">
            <v>9.6181188720632154</v>
          </cell>
          <cell r="D53">
            <v>5.0136836343732902</v>
          </cell>
          <cell r="E53">
            <v>5.3502969147802855</v>
          </cell>
          <cell r="F53">
            <v>5.7368060113910708</v>
          </cell>
          <cell r="G53">
            <v>6.2228180155717059</v>
          </cell>
          <cell r="H53">
            <v>6.6098766530612512</v>
          </cell>
          <cell r="I53">
            <v>9.5631196144273467</v>
          </cell>
          <cell r="J53">
            <v>12.472354135079962</v>
          </cell>
          <cell r="K53">
            <v>12.947817277885814</v>
          </cell>
        </row>
        <row r="54">
          <cell r="A54" t="str">
            <v>Price/Book</v>
          </cell>
          <cell r="B54">
            <v>1.0467299696294796</v>
          </cell>
          <cell r="C54">
            <v>1.8106543361167948</v>
          </cell>
          <cell r="D54">
            <v>2.0727374420545051</v>
          </cell>
          <cell r="E54">
            <v>2.018020517824866</v>
          </cell>
          <cell r="F54">
            <v>1.9609540054146355</v>
          </cell>
          <cell r="G54">
            <v>1.9008753521660928</v>
          </cell>
          <cell r="H54">
            <v>1.8390738449617665</v>
          </cell>
          <cell r="I54">
            <v>3.457778550521807</v>
          </cell>
          <cell r="J54">
            <v>3.2486656818873776</v>
          </cell>
          <cell r="K54">
            <v>3.044944398538346</v>
          </cell>
        </row>
        <row r="55">
          <cell r="A55" t="str">
            <v>No. of Ord Shares Outstanding, end of period, dil (m)</v>
          </cell>
          <cell r="B55">
            <v>344.65328799999997</v>
          </cell>
          <cell r="C55">
            <v>344.65328799999997</v>
          </cell>
          <cell r="D55">
            <v>344.65328799999997</v>
          </cell>
          <cell r="E55">
            <v>344.65328799999997</v>
          </cell>
          <cell r="F55">
            <v>344.65328799999997</v>
          </cell>
          <cell r="G55">
            <v>344.65328799999997</v>
          </cell>
          <cell r="H55">
            <v>344.65328799999997</v>
          </cell>
          <cell r="I55">
            <v>344.65328799999997</v>
          </cell>
          <cell r="J55">
            <v>344.65328799999997</v>
          </cell>
          <cell r="K55">
            <v>344.65328799999997</v>
          </cell>
        </row>
        <row r="56">
          <cell r="A56" t="str">
            <v>Price, ord, end of period (SEK)</v>
          </cell>
          <cell r="B56">
            <v>60</v>
          </cell>
          <cell r="C56">
            <v>95</v>
          </cell>
          <cell r="D56">
            <v>111</v>
          </cell>
          <cell r="E56">
            <v>111</v>
          </cell>
          <cell r="F56">
            <v>111</v>
          </cell>
          <cell r="G56">
            <v>111</v>
          </cell>
          <cell r="H56">
            <v>111</v>
          </cell>
          <cell r="I56">
            <v>111</v>
          </cell>
          <cell r="J56">
            <v>111</v>
          </cell>
          <cell r="K56">
            <v>111</v>
          </cell>
        </row>
        <row r="57">
          <cell r="A57" t="str">
            <v>Market Capitalisation (SEK m)</v>
          </cell>
          <cell r="B57">
            <v>20679.19728</v>
          </cell>
          <cell r="C57">
            <v>32742.062359999996</v>
          </cell>
          <cell r="D57">
            <v>38256.514967999996</v>
          </cell>
          <cell r="E57">
            <v>38256.514967999996</v>
          </cell>
          <cell r="F57">
            <v>38256.514967999996</v>
          </cell>
          <cell r="G57">
            <v>38256.514967999996</v>
          </cell>
          <cell r="H57">
            <v>38256.514967999996</v>
          </cell>
          <cell r="I57">
            <v>38256.514967999996</v>
          </cell>
          <cell r="J57">
            <v>38256.514967999996</v>
          </cell>
          <cell r="K57">
            <v>38256.514967999996</v>
          </cell>
        </row>
        <row r="58">
          <cell r="A58" t="str">
            <v>Enterprise Value (SEK m)</v>
          </cell>
          <cell r="B58">
            <v>27529.19728</v>
          </cell>
          <cell r="C58">
            <v>38220.062359999996</v>
          </cell>
          <cell r="D58">
            <v>31866.514967999996</v>
          </cell>
          <cell r="E58">
            <v>31616.823106120981</v>
          </cell>
          <cell r="F58">
            <v>32027.588964692481</v>
          </cell>
          <cell r="G58">
            <v>32297.021826275828</v>
          </cell>
          <cell r="H58">
            <v>32383.379463665289</v>
          </cell>
          <cell r="I58">
            <v>42836.452014297829</v>
          </cell>
          <cell r="J58">
            <v>42865.446047355734</v>
          </cell>
          <cell r="K58">
            <v>43174.842312796864</v>
          </cell>
        </row>
        <row r="62">
          <cell r="A62" t="str">
            <v>US$ million</v>
          </cell>
          <cell r="B62" t="str">
            <v>2004A</v>
          </cell>
          <cell r="C62" t="str">
            <v>2005E</v>
          </cell>
          <cell r="D62" t="str">
            <v>2006E</v>
          </cell>
          <cell r="E62" t="str">
            <v>2007E</v>
          </cell>
        </row>
        <row r="63">
          <cell r="A63" t="str">
            <v>ModelWare EPS (SEK)</v>
          </cell>
          <cell r="B63">
            <v>5.2797987524204322</v>
          </cell>
          <cell r="C63">
            <v>2.6577433957339762</v>
          </cell>
          <cell r="D63">
            <v>2.904054623936382</v>
          </cell>
          <cell r="E63">
            <v>3.2014101777075412</v>
          </cell>
        </row>
        <row r="64">
          <cell r="A64" t="str">
            <v>Revenue ($mn)</v>
          </cell>
          <cell r="B64">
            <v>26617</v>
          </cell>
          <cell r="C64">
            <v>14685</v>
          </cell>
          <cell r="D64">
            <v>15484.700845865154</v>
          </cell>
          <cell r="E64">
            <v>17427.963325507801</v>
          </cell>
        </row>
        <row r="65">
          <cell r="A65" t="str">
            <v>EBIT ($mn)</v>
          </cell>
          <cell r="B65">
            <v>2245</v>
          </cell>
          <cell r="C65">
            <v>1396</v>
          </cell>
          <cell r="D65">
            <v>1326.768299423127</v>
          </cell>
          <cell r="E65">
            <v>1547.319731361858</v>
          </cell>
        </row>
        <row r="66">
          <cell r="A66" t="str">
            <v>Net Income Pre-Except ($mn)</v>
          </cell>
          <cell r="B66">
            <v>984.7</v>
          </cell>
          <cell r="C66">
            <v>916</v>
          </cell>
          <cell r="D66">
            <v>1000.8919746712776</v>
          </cell>
          <cell r="E66">
            <v>1103.3765439835684</v>
          </cell>
        </row>
        <row r="67">
          <cell r="A67" t="str">
            <v>P/E</v>
          </cell>
          <cell r="B67">
            <v>17.993110051107326</v>
          </cell>
          <cell r="C67">
            <v>41.764754331877725</v>
          </cell>
          <cell r="D67">
            <v>38.222421536114894</v>
          </cell>
          <cell r="E67">
            <v>34.672220627312626</v>
          </cell>
        </row>
        <row r="68">
          <cell r="A68" t="str">
            <v>Price/Book</v>
          </cell>
          <cell r="B68">
            <v>1.8106543361167948</v>
          </cell>
          <cell r="C68">
            <v>2.0727374420545051</v>
          </cell>
          <cell r="D68">
            <v>2.018020517824866</v>
          </cell>
          <cell r="E68">
            <v>1.9609540054146355</v>
          </cell>
        </row>
        <row r="69">
          <cell r="A69" t="str">
            <v>EV/EBITDA</v>
          </cell>
          <cell r="B69">
            <v>41.185412025862064</v>
          </cell>
          <cell r="C69">
            <v>11.41350822636103</v>
          </cell>
          <cell r="D69">
            <v>11.078316147928646</v>
          </cell>
          <cell r="E69">
            <v>9.7565891125141508</v>
          </cell>
        </row>
        <row r="71">
          <cell r="A71" t="str">
            <v>Market Cap (US$m, SEK m)</v>
          </cell>
          <cell r="B71" t="str">
            <v>4923, 38257</v>
          </cell>
          <cell r="C71" t="str">
            <v>Debt/Cap (12/05) (%)</v>
          </cell>
          <cell r="E71">
            <v>-16.770999672517796</v>
          </cell>
        </row>
        <row r="72">
          <cell r="A72" t="str">
            <v>Enterprise Value (US$m)</v>
          </cell>
          <cell r="B72">
            <v>31866.514967999996</v>
          </cell>
          <cell r="C72" t="str">
            <v>Shares Outs Ord (m) (12/05)</v>
          </cell>
          <cell r="E72">
            <v>344.65328799999997</v>
          </cell>
        </row>
        <row r="73">
          <cell r="A73" t="str">
            <v>Book Value (US$m) (12/05)</v>
          </cell>
          <cell r="B73">
            <v>18457</v>
          </cell>
          <cell r="C73" t="str">
            <v>Return on Equity (12/05) (%)</v>
          </cell>
          <cell r="E73">
            <v>5.065531161864735</v>
          </cell>
        </row>
        <row r="74">
          <cell r="A74" t="str">
            <v>E = Morgan Stanley Estimates. Source: Company data, Morgan Stanley Research</v>
          </cell>
        </row>
        <row r="76">
          <cell r="B76" t="str">
            <v>e=Morgan Stanley Estimates.  All other values are actual.</v>
          </cell>
        </row>
        <row r="78">
          <cell r="B78" t="str">
            <v xml:space="preserve">From SEK to USD : @0.1284175110118 for Current (Last Close)  </v>
          </cell>
        </row>
        <row r="80">
          <cell r="B80" t="str">
            <v>ND = Not Disclosed, NA = Not Available, and NM = Non Meaningful</v>
          </cell>
        </row>
        <row r="82">
          <cell r="B82" t="str">
            <v>Consensus EPS provided by Thomson Financial/First Call</v>
          </cell>
        </row>
        <row r="84">
          <cell r="B84" t="str">
            <v>Ratios for companies are based on the currency reported by the companies unless explicitly noted.</v>
          </cell>
        </row>
        <row r="86">
          <cell r="B86" t="str">
            <v xml:space="preserve">Although the information provided to you on this site is obtained or compiled from sources we believe to be reliable, </v>
          </cell>
        </row>
        <row r="87">
          <cell r="B87" t="str">
            <v xml:space="preserve">Morgan Stanley cannot and does not guarantee the accuracy, validity, timeliness or completeness of any information or </v>
          </cell>
        </row>
        <row r="88">
          <cell r="B88" t="str">
            <v>data made available to you for any particular purpose.</v>
          </cell>
        </row>
      </sheetData>
      <sheetData sheetId="4"/>
      <sheetData sheetId="5" refreshError="1">
        <row r="1">
          <cell r="A1" t="str">
            <v>Gambro: Income Statement</v>
          </cell>
          <cell r="BA1" t="str">
            <v>Morgan Stanley Healthcare Research</v>
          </cell>
          <cell r="BG1" t="str">
            <v>ElementName</v>
          </cell>
          <cell r="BH1" t="str">
            <v>ScaleOverride</v>
          </cell>
          <cell r="BI1" t="str">
            <v>UnitOverride</v>
          </cell>
          <cell r="BJ1" t="str">
            <v>ReverseSign</v>
          </cell>
          <cell r="BK1" t="str">
            <v>IsDrivingAssumption</v>
          </cell>
          <cell r="BL1" t="str">
            <v>SegmentID</v>
          </cell>
        </row>
        <row r="3">
          <cell r="A3" t="str">
            <v>Year end 31 December</v>
          </cell>
          <cell r="B3" t="str">
            <v>1998A</v>
          </cell>
          <cell r="C3" t="str">
            <v>1999A</v>
          </cell>
          <cell r="D3" t="str">
            <v>1999A</v>
          </cell>
          <cell r="E3" t="str">
            <v>1999A</v>
          </cell>
          <cell r="F3" t="str">
            <v>1999A</v>
          </cell>
          <cell r="G3" t="str">
            <v>1999A</v>
          </cell>
          <cell r="H3" t="str">
            <v>2000A</v>
          </cell>
          <cell r="I3" t="str">
            <v>2000A</v>
          </cell>
          <cell r="J3" t="str">
            <v>2000A</v>
          </cell>
          <cell r="K3" t="str">
            <v>2000A</v>
          </cell>
          <cell r="L3" t="str">
            <v>2000A</v>
          </cell>
          <cell r="M3" t="str">
            <v>2001A</v>
          </cell>
          <cell r="N3" t="str">
            <v>2001A</v>
          </cell>
          <cell r="O3" t="str">
            <v>2001A</v>
          </cell>
          <cell r="P3" t="str">
            <v>2001A</v>
          </cell>
          <cell r="Q3" t="str">
            <v>2001A</v>
          </cell>
          <cell r="R3" t="str">
            <v>2002A</v>
          </cell>
          <cell r="S3" t="str">
            <v>2002A</v>
          </cell>
          <cell r="T3" t="str">
            <v>2002A</v>
          </cell>
          <cell r="U3" t="str">
            <v>2002A</v>
          </cell>
          <cell r="V3" t="str">
            <v>2002A</v>
          </cell>
          <cell r="W3" t="str">
            <v>2003A</v>
          </cell>
          <cell r="X3" t="str">
            <v>2003A</v>
          </cell>
          <cell r="Y3" t="str">
            <v>2003A</v>
          </cell>
          <cell r="Z3" t="str">
            <v>2003A</v>
          </cell>
          <cell r="AA3" t="str">
            <v>2003A</v>
          </cell>
          <cell r="AB3">
            <v>2004</v>
          </cell>
          <cell r="AC3">
            <v>2004</v>
          </cell>
          <cell r="AD3">
            <v>2004</v>
          </cell>
          <cell r="AE3">
            <v>2004</v>
          </cell>
          <cell r="AF3">
            <v>2004</v>
          </cell>
          <cell r="AG3" t="str">
            <v>2004 PF</v>
          </cell>
          <cell r="AH3" t="str">
            <v>2004 PF</v>
          </cell>
          <cell r="AI3" t="str">
            <v>2004 PF</v>
          </cell>
          <cell r="AJ3" t="str">
            <v>2004 PF</v>
          </cell>
          <cell r="AK3" t="str">
            <v>2004 PF</v>
          </cell>
          <cell r="AL3">
            <v>2005</v>
          </cell>
          <cell r="AM3">
            <v>2005</v>
          </cell>
          <cell r="AN3">
            <v>2005</v>
          </cell>
          <cell r="AO3">
            <v>2005</v>
          </cell>
          <cell r="AP3">
            <v>2005</v>
          </cell>
          <cell r="AQ3">
            <v>2006</v>
          </cell>
          <cell r="AR3" t="str">
            <v>2006e</v>
          </cell>
          <cell r="AS3" t="str">
            <v>2006e</v>
          </cell>
          <cell r="AT3" t="str">
            <v>2006e</v>
          </cell>
          <cell r="AU3" t="str">
            <v>2006e</v>
          </cell>
          <cell r="AV3" t="str">
            <v>2007e</v>
          </cell>
          <cell r="AW3" t="str">
            <v>2008e</v>
          </cell>
          <cell r="AX3" t="str">
            <v>2009e</v>
          </cell>
          <cell r="AY3" t="str">
            <v>2010e</v>
          </cell>
          <cell r="AZ3" t="str">
            <v>2011e</v>
          </cell>
          <cell r="BA3" t="str">
            <v>2012e</v>
          </cell>
        </row>
        <row r="4">
          <cell r="A4" t="str">
            <v>(SEK million)</v>
          </cell>
          <cell r="B4" t="str">
            <v>FY</v>
          </cell>
          <cell r="C4" t="str">
            <v>Q1</v>
          </cell>
          <cell r="D4" t="str">
            <v>Q2</v>
          </cell>
          <cell r="E4" t="str">
            <v>Q3</v>
          </cell>
          <cell r="F4" t="str">
            <v>Q4</v>
          </cell>
          <cell r="G4" t="str">
            <v>FY</v>
          </cell>
          <cell r="H4" t="str">
            <v>Q1</v>
          </cell>
          <cell r="I4" t="str">
            <v>Q2</v>
          </cell>
          <cell r="J4" t="str">
            <v>Q3</v>
          </cell>
          <cell r="K4" t="str">
            <v>Q4</v>
          </cell>
          <cell r="L4" t="str">
            <v>FY</v>
          </cell>
          <cell r="M4" t="str">
            <v>Q1</v>
          </cell>
          <cell r="N4" t="str">
            <v>Q2</v>
          </cell>
          <cell r="O4" t="str">
            <v>Q3</v>
          </cell>
          <cell r="P4" t="str">
            <v>Q4</v>
          </cell>
          <cell r="Q4" t="str">
            <v>FY</v>
          </cell>
          <cell r="R4" t="str">
            <v>Q1</v>
          </cell>
          <cell r="S4" t="str">
            <v>Q2</v>
          </cell>
          <cell r="T4" t="str">
            <v>Q3</v>
          </cell>
          <cell r="U4" t="str">
            <v>Q4</v>
          </cell>
          <cell r="V4" t="str">
            <v>FY</v>
          </cell>
          <cell r="W4" t="str">
            <v>Q1</v>
          </cell>
          <cell r="X4" t="str">
            <v>Q2</v>
          </cell>
          <cell r="Y4" t="str">
            <v>Q3</v>
          </cell>
          <cell r="Z4" t="str">
            <v>Q4</v>
          </cell>
          <cell r="AA4" t="str">
            <v>FY</v>
          </cell>
          <cell r="AB4" t="str">
            <v>Q1</v>
          </cell>
          <cell r="AC4" t="str">
            <v>Q2</v>
          </cell>
          <cell r="AD4" t="str">
            <v>Q3</v>
          </cell>
          <cell r="AE4" t="str">
            <v>Q4</v>
          </cell>
          <cell r="AF4" t="str">
            <v>FY</v>
          </cell>
          <cell r="AG4" t="str">
            <v>Q1</v>
          </cell>
          <cell r="AH4" t="str">
            <v>Q2</v>
          </cell>
          <cell r="AI4" t="str">
            <v>Q3</v>
          </cell>
          <cell r="AJ4" t="str">
            <v>Q4</v>
          </cell>
          <cell r="AK4" t="str">
            <v>FY</v>
          </cell>
          <cell r="AL4" t="str">
            <v>Q1</v>
          </cell>
          <cell r="AM4" t="str">
            <v>Q2</v>
          </cell>
          <cell r="AN4" t="str">
            <v>Q3</v>
          </cell>
          <cell r="AO4" t="str">
            <v>Q4</v>
          </cell>
          <cell r="AP4" t="str">
            <v>FY</v>
          </cell>
          <cell r="AQ4" t="str">
            <v>Q1</v>
          </cell>
          <cell r="AR4" t="str">
            <v>Q2</v>
          </cell>
          <cell r="AS4" t="str">
            <v>Q3</v>
          </cell>
          <cell r="AT4" t="str">
            <v>Q4</v>
          </cell>
          <cell r="AU4" t="str">
            <v>FY</v>
          </cell>
          <cell r="AV4" t="str">
            <v>FY</v>
          </cell>
          <cell r="AW4" t="str">
            <v>FY</v>
          </cell>
          <cell r="AX4" t="str">
            <v>FY</v>
          </cell>
          <cell r="AY4" t="str">
            <v>FY</v>
          </cell>
          <cell r="AZ4" t="str">
            <v>FY</v>
          </cell>
          <cell r="BA4" t="str">
            <v>FY</v>
          </cell>
        </row>
        <row r="6">
          <cell r="A6" t="str">
            <v>Sensitivity Analysis</v>
          </cell>
        </row>
        <row r="7">
          <cell r="A7" t="str">
            <v>MS Forecast Revenue</v>
          </cell>
          <cell r="AU7">
            <v>15484.700845865154</v>
          </cell>
          <cell r="AV7">
            <v>17427.963325507801</v>
          </cell>
          <cell r="AW7">
            <v>19076.934043996353</v>
          </cell>
          <cell r="AX7">
            <v>20842.399935416437</v>
          </cell>
          <cell r="AY7">
            <v>22586.277471273781</v>
          </cell>
          <cell r="AZ7">
            <v>24411.109926323898</v>
          </cell>
          <cell r="BA7">
            <v>26340.737932333072</v>
          </cell>
          <cell r="BB7">
            <v>9.5309719188932274E-2</v>
          </cell>
        </row>
        <row r="8">
          <cell r="A8" t="str">
            <v xml:space="preserve">     Year-on-Year Growth %</v>
          </cell>
          <cell r="AU8">
            <v>5.445698643957475E-2</v>
          </cell>
          <cell r="AV8">
            <v>0.12549564237539346</v>
          </cell>
          <cell r="AW8">
            <v>9.4616375286669108E-2</v>
          </cell>
          <cell r="AX8">
            <v>9.2544529815349996E-2</v>
          </cell>
          <cell r="AY8">
            <v>8.3669708923206132E-2</v>
          </cell>
          <cell r="AZ8">
            <v>8.0793856241738737E-2</v>
          </cell>
          <cell r="BA8">
            <v>7.9047122881059417E-2</v>
          </cell>
        </row>
        <row r="9">
          <cell r="A9" t="str">
            <v>Gambro management target</v>
          </cell>
          <cell r="AU9">
            <v>15484.700845865154</v>
          </cell>
          <cell r="AV9">
            <v>17033.17093045167</v>
          </cell>
          <cell r="AW9">
            <v>18736.488023496837</v>
          </cell>
          <cell r="AX9">
            <v>20610.136825846523</v>
          </cell>
          <cell r="AY9">
            <v>22671.150508431176</v>
          </cell>
          <cell r="AZ9">
            <v>24938.265559274296</v>
          </cell>
          <cell r="BA9">
            <v>27432.092115201729</v>
          </cell>
          <cell r="BB9">
            <v>0.10000000000000009</v>
          </cell>
        </row>
        <row r="10">
          <cell r="A10" t="str">
            <v xml:space="preserve">     Year-on-Year Growth %</v>
          </cell>
          <cell r="AU10">
            <v>5.445698643957475E-2</v>
          </cell>
          <cell r="AV10">
            <v>0.1</v>
          </cell>
          <cell r="AW10">
            <v>0.1</v>
          </cell>
          <cell r="AX10">
            <v>0.1</v>
          </cell>
          <cell r="AY10">
            <v>0.1</v>
          </cell>
          <cell r="AZ10">
            <v>0.1</v>
          </cell>
          <cell r="BA10">
            <v>0.1</v>
          </cell>
          <cell r="BC10">
            <v>527.15563295039829</v>
          </cell>
        </row>
        <row r="11">
          <cell r="A11" t="str">
            <v>Total Revenues</v>
          </cell>
          <cell r="B11">
            <v>18734.001</v>
          </cell>
          <cell r="C11">
            <v>4654</v>
          </cell>
          <cell r="D11">
            <v>4990</v>
          </cell>
          <cell r="E11">
            <v>4857.2</v>
          </cell>
          <cell r="F11">
            <v>5241.8</v>
          </cell>
          <cell r="G11">
            <v>19743</v>
          </cell>
          <cell r="H11">
            <v>5114</v>
          </cell>
          <cell r="I11">
            <v>5400</v>
          </cell>
          <cell r="J11">
            <v>5588</v>
          </cell>
          <cell r="K11">
            <v>6143</v>
          </cell>
          <cell r="L11">
            <v>22245</v>
          </cell>
          <cell r="M11">
            <v>6180</v>
          </cell>
          <cell r="N11">
            <v>6619</v>
          </cell>
          <cell r="O11">
            <v>6745</v>
          </cell>
          <cell r="P11">
            <v>7176</v>
          </cell>
          <cell r="Q11">
            <v>26720</v>
          </cell>
          <cell r="R11">
            <v>6909</v>
          </cell>
          <cell r="S11">
            <v>7053</v>
          </cell>
          <cell r="T11">
            <v>6739</v>
          </cell>
          <cell r="U11">
            <v>6873</v>
          </cell>
          <cell r="V11">
            <v>27574</v>
          </cell>
          <cell r="W11">
            <v>6509</v>
          </cell>
          <cell r="X11">
            <v>6527</v>
          </cell>
          <cell r="Y11">
            <v>6601</v>
          </cell>
          <cell r="Z11">
            <v>6496</v>
          </cell>
          <cell r="AA11">
            <v>26133</v>
          </cell>
          <cell r="AB11">
            <v>6365</v>
          </cell>
          <cell r="AC11">
            <v>6713</v>
          </cell>
          <cell r="AD11">
            <v>6697</v>
          </cell>
          <cell r="AE11">
            <v>6842</v>
          </cell>
          <cell r="AF11">
            <v>26617</v>
          </cell>
          <cell r="AG11">
            <v>3227</v>
          </cell>
          <cell r="AH11">
            <v>3381</v>
          </cell>
          <cell r="AI11">
            <v>3324</v>
          </cell>
          <cell r="AJ11">
            <v>3472</v>
          </cell>
          <cell r="AK11">
            <v>13404</v>
          </cell>
          <cell r="AL11">
            <v>3359</v>
          </cell>
          <cell r="AM11">
            <v>3608</v>
          </cell>
          <cell r="AN11">
            <v>3696</v>
          </cell>
          <cell r="AO11">
            <v>4022</v>
          </cell>
          <cell r="AP11">
            <v>14685</v>
          </cell>
          <cell r="AQ11">
            <v>3827</v>
          </cell>
          <cell r="AR11">
            <v>3838.4872711749922</v>
          </cell>
          <cell r="AS11">
            <v>3676.2690854356474</v>
          </cell>
          <cell r="AT11">
            <v>4142.9444892545143</v>
          </cell>
          <cell r="AU11">
            <v>15484.700845865154</v>
          </cell>
          <cell r="AV11">
            <v>17427.963325507801</v>
          </cell>
          <cell r="AW11">
            <v>19076.934043996353</v>
          </cell>
          <cell r="AX11">
            <v>20842.399935416437</v>
          </cell>
          <cell r="AY11">
            <v>22586.277471273781</v>
          </cell>
          <cell r="AZ11">
            <v>24411.109926323898</v>
          </cell>
          <cell r="BA11">
            <v>26340.737932333072</v>
          </cell>
          <cell r="BG11" t="str">
            <v>mstag:revenueNet</v>
          </cell>
          <cell r="BH11">
            <v>6</v>
          </cell>
          <cell r="BI11" t="str">
            <v>ISO4217:SEK</v>
          </cell>
          <cell r="BJ11" t="b">
            <v>0</v>
          </cell>
          <cell r="BK11" t="b">
            <v>0</v>
          </cell>
        </row>
        <row r="12">
          <cell r="A12" t="str">
            <v xml:space="preserve">     Year-on-Year Growth</v>
          </cell>
          <cell r="G12">
            <v>5.38592370097557E-2</v>
          </cell>
          <cell r="L12">
            <v>0.12672846072025523</v>
          </cell>
          <cell r="M12">
            <v>0.20844739929605005</v>
          </cell>
          <cell r="N12">
            <v>0.2257407407407408</v>
          </cell>
          <cell r="O12">
            <v>0.20705082319255541</v>
          </cell>
          <cell r="P12">
            <v>0.16815888002604584</v>
          </cell>
          <cell r="Q12">
            <v>0.20116880197797249</v>
          </cell>
          <cell r="R12">
            <v>0.1179611650485437</v>
          </cell>
          <cell r="S12">
            <v>6.5568817041849137E-2</v>
          </cell>
          <cell r="T12">
            <v>-8.8954781319494636E-4</v>
          </cell>
          <cell r="U12">
            <v>-4.2224080267558528E-2</v>
          </cell>
          <cell r="V12">
            <v>3.1961077844311347E-2</v>
          </cell>
          <cell r="W12">
            <v>-5.7895498624981889E-2</v>
          </cell>
          <cell r="X12">
            <v>-7.4578193676449689E-2</v>
          </cell>
          <cell r="Y12">
            <v>-2.0477815699658675E-2</v>
          </cell>
          <cell r="Z12">
            <v>-5.4852320675105481E-2</v>
          </cell>
          <cell r="AA12">
            <v>-5.2259374773337197E-2</v>
          </cell>
          <cell r="AB12">
            <v>-2.2123214011368852E-2</v>
          </cell>
          <cell r="AC12">
            <v>2.8497012409989253E-2</v>
          </cell>
          <cell r="AD12">
            <v>1.4543251022572257E-2</v>
          </cell>
          <cell r="AE12">
            <v>5.3263546798029582E-2</v>
          </cell>
          <cell r="AF12">
            <v>1.852064439597445E-2</v>
          </cell>
          <cell r="AG12">
            <v>-0.50422491934244884</v>
          </cell>
          <cell r="AH12">
            <v>-0.48199785506358206</v>
          </cell>
          <cell r="AI12">
            <v>-0.49643993334343284</v>
          </cell>
          <cell r="AL12">
            <v>4.0904865199876017E-2</v>
          </cell>
          <cell r="AM12">
            <v>-0.46253537911514975</v>
          </cell>
          <cell r="AN12">
            <v>-0.44811109451993425</v>
          </cell>
          <cell r="AO12">
            <v>-0.41216018707980118</v>
          </cell>
          <cell r="AP12">
            <v>-0.44828493068339781</v>
          </cell>
          <cell r="AQ12">
            <v>0.13932718070854411</v>
          </cell>
          <cell r="AR12">
            <v>6.3882281367791727E-2</v>
          </cell>
          <cell r="AS12">
            <v>-5.3384509102685218E-3</v>
          </cell>
          <cell r="AT12">
            <v>3.0070733280585404E-2</v>
          </cell>
          <cell r="AU12">
            <v>5.445698643957475E-2</v>
          </cell>
          <cell r="AV12">
            <v>0.12549564237539346</v>
          </cell>
          <cell r="AW12">
            <v>9.4616375286669108E-2</v>
          </cell>
          <cell r="AX12">
            <v>9.2544529815349996E-2</v>
          </cell>
          <cell r="AY12">
            <v>8.3669708923206132E-2</v>
          </cell>
          <cell r="AZ12">
            <v>8.0793856241738737E-2</v>
          </cell>
          <cell r="BA12">
            <v>7.9047122881059417E-2</v>
          </cell>
        </row>
        <row r="13">
          <cell r="A13" t="str">
            <v>Cost of Goods</v>
          </cell>
          <cell r="B13">
            <v>-13990</v>
          </cell>
          <cell r="G13">
            <v>-14448</v>
          </cell>
          <cell r="L13">
            <v>-16669</v>
          </cell>
          <cell r="M13">
            <v>-4649</v>
          </cell>
          <cell r="N13">
            <v>-4988</v>
          </cell>
          <cell r="O13">
            <v>-5066</v>
          </cell>
          <cell r="P13">
            <v>-5444</v>
          </cell>
          <cell r="Q13">
            <v>-20147</v>
          </cell>
          <cell r="R13">
            <v>-5176</v>
          </cell>
          <cell r="S13">
            <v>-5248</v>
          </cell>
          <cell r="T13">
            <v>-5049</v>
          </cell>
          <cell r="U13">
            <v>-5156</v>
          </cell>
          <cell r="V13">
            <v>-20629</v>
          </cell>
          <cell r="W13">
            <v>-4757</v>
          </cell>
          <cell r="X13">
            <v>-4765</v>
          </cell>
          <cell r="Y13">
            <v>-4911</v>
          </cell>
          <cell r="Z13">
            <v>-4863</v>
          </cell>
          <cell r="AA13">
            <v>-19296</v>
          </cell>
          <cell r="AB13">
            <v>-4659</v>
          </cell>
          <cell r="AC13">
            <v>-4931</v>
          </cell>
          <cell r="AD13">
            <v>-4887</v>
          </cell>
          <cell r="AE13">
            <v>-4833</v>
          </cell>
          <cell r="AF13">
            <v>-19310</v>
          </cell>
          <cell r="AG13">
            <v>-1988</v>
          </cell>
          <cell r="AH13">
            <v>-2144</v>
          </cell>
          <cell r="AI13">
            <v>-2096</v>
          </cell>
          <cell r="AL13">
            <v>-2067</v>
          </cell>
          <cell r="AM13">
            <v>-2176</v>
          </cell>
          <cell r="AN13">
            <v>-2347</v>
          </cell>
          <cell r="AO13">
            <v>-2592</v>
          </cell>
          <cell r="AP13">
            <v>-9182</v>
          </cell>
          <cell r="AQ13">
            <v>-2345</v>
          </cell>
          <cell r="AR13">
            <v>-2326.1232863320452</v>
          </cell>
          <cell r="AS13">
            <v>-2345.4596765079432</v>
          </cell>
          <cell r="AT13">
            <v>-2680.4850845476708</v>
          </cell>
          <cell r="AU13">
            <v>-9697.06804738766</v>
          </cell>
          <cell r="AV13">
            <v>-10962.188931744407</v>
          </cell>
          <cell r="AW13">
            <v>-11980.31457962971</v>
          </cell>
          <cell r="AX13">
            <v>-13068.184759506106</v>
          </cell>
          <cell r="AY13">
            <v>-14161.59597448866</v>
          </cell>
          <cell r="AZ13">
            <v>-15305.765923805084</v>
          </cell>
          <cell r="BA13">
            <v>-16515.642683572834</v>
          </cell>
          <cell r="BG13" t="str">
            <v>mstag:costOfSalesWithDepreciation</v>
          </cell>
          <cell r="BH13">
            <v>6</v>
          </cell>
          <cell r="BI13" t="str">
            <v>ISO4217:SEK</v>
          </cell>
          <cell r="BJ13" t="b">
            <v>1</v>
          </cell>
          <cell r="BK13" t="b">
            <v>0</v>
          </cell>
        </row>
        <row r="14">
          <cell r="A14" t="str">
            <v xml:space="preserve">     as percentage of Sales</v>
          </cell>
          <cell r="B14">
            <v>0.74677053769774004</v>
          </cell>
          <cell r="G14">
            <v>0.73180367725269713</v>
          </cell>
          <cell r="L14">
            <v>0.74933692964711174</v>
          </cell>
          <cell r="M14">
            <v>0.75226537216828482</v>
          </cell>
          <cell r="N14">
            <v>0.75358815531046985</v>
          </cell>
          <cell r="O14">
            <v>0.75107487027427722</v>
          </cell>
          <cell r="P14">
            <v>0.75863991081382387</v>
          </cell>
          <cell r="Q14">
            <v>0.75400449101796407</v>
          </cell>
          <cell r="R14">
            <v>0.74916775220726584</v>
          </cell>
          <cell r="S14">
            <v>0.74408053310647948</v>
          </cell>
          <cell r="T14">
            <v>0.74922095266359989</v>
          </cell>
          <cell r="U14">
            <v>0.75018187108977152</v>
          </cell>
          <cell r="V14">
            <v>0.74813229854210483</v>
          </cell>
          <cell r="W14">
            <v>0.73083422952834531</v>
          </cell>
          <cell r="X14">
            <v>0.73004443082580051</v>
          </cell>
          <cell r="Y14">
            <v>0.74397818512346614</v>
          </cell>
          <cell r="Z14">
            <v>0.7486145320197044</v>
          </cell>
          <cell r="AA14">
            <v>0.7383767650097578</v>
          </cell>
          <cell r="AB14">
            <v>0.73197172034564018</v>
          </cell>
          <cell r="AC14">
            <v>0.73454491285565326</v>
          </cell>
          <cell r="AD14">
            <v>0.72972972972972971</v>
          </cell>
          <cell r="AE14">
            <v>0.70637240572931892</v>
          </cell>
          <cell r="AF14">
            <v>0.72547619942142239</v>
          </cell>
          <cell r="AG14">
            <v>0.61605206073752716</v>
          </cell>
          <cell r="AH14">
            <v>0.6341319136350192</v>
          </cell>
          <cell r="AI14">
            <v>0.6305655836341757</v>
          </cell>
          <cell r="AL14">
            <v>0.61536171479607027</v>
          </cell>
          <cell r="AM14">
            <v>0.60310421286031046</v>
          </cell>
          <cell r="AN14">
            <v>0.63501082251082253</v>
          </cell>
          <cell r="AO14">
            <v>0.64445549477871711</v>
          </cell>
          <cell r="AP14">
            <v>0.62526387470207689</v>
          </cell>
          <cell r="AQ14">
            <v>0.61275150248236221</v>
          </cell>
          <cell r="AR14">
            <v>0.60599999999999998</v>
          </cell>
          <cell r="AS14">
            <v>0.63800000000000001</v>
          </cell>
          <cell r="AT14">
            <v>0.64700000000000002</v>
          </cell>
          <cell r="AU14">
            <v>0.62623541416216943</v>
          </cell>
          <cell r="AV14">
            <v>0.629</v>
          </cell>
          <cell r="AW14">
            <v>0.628</v>
          </cell>
          <cell r="AX14">
            <v>0.627</v>
          </cell>
          <cell r="AY14">
            <v>0.627</v>
          </cell>
          <cell r="AZ14">
            <v>0.627</v>
          </cell>
          <cell r="BA14">
            <v>0.62699999999999989</v>
          </cell>
        </row>
        <row r="15">
          <cell r="A15" t="str">
            <v>Gross Profit</v>
          </cell>
          <cell r="B15">
            <v>4744.0010000000002</v>
          </cell>
          <cell r="G15">
            <v>5295</v>
          </cell>
          <cell r="L15">
            <v>5576</v>
          </cell>
          <cell r="M15">
            <v>1531</v>
          </cell>
          <cell r="N15">
            <v>1631</v>
          </cell>
          <cell r="O15">
            <v>1679</v>
          </cell>
          <cell r="P15">
            <v>1732</v>
          </cell>
          <cell r="Q15">
            <v>6573</v>
          </cell>
          <cell r="R15">
            <v>1733</v>
          </cell>
          <cell r="S15">
            <v>1805</v>
          </cell>
          <cell r="T15">
            <v>1690</v>
          </cell>
          <cell r="U15">
            <v>1717</v>
          </cell>
          <cell r="V15">
            <v>6945</v>
          </cell>
          <cell r="W15">
            <v>1752</v>
          </cell>
          <cell r="X15">
            <v>1762</v>
          </cell>
          <cell r="Y15">
            <v>1690</v>
          </cell>
          <cell r="Z15">
            <v>1633</v>
          </cell>
          <cell r="AA15">
            <v>6837</v>
          </cell>
          <cell r="AB15">
            <v>1706</v>
          </cell>
          <cell r="AC15">
            <v>1782</v>
          </cell>
          <cell r="AD15">
            <v>1810</v>
          </cell>
          <cell r="AE15">
            <v>2009</v>
          </cell>
          <cell r="AF15">
            <v>7307</v>
          </cell>
          <cell r="AG15">
            <v>1239</v>
          </cell>
          <cell r="AH15">
            <v>1237</v>
          </cell>
          <cell r="AI15">
            <v>1228</v>
          </cell>
          <cell r="AL15">
            <v>1292</v>
          </cell>
          <cell r="AM15">
            <v>1432</v>
          </cell>
          <cell r="AN15">
            <v>1349</v>
          </cell>
          <cell r="AO15">
            <v>1430</v>
          </cell>
          <cell r="AP15">
            <v>5503</v>
          </cell>
          <cell r="AQ15">
            <v>1482</v>
          </cell>
          <cell r="AR15">
            <v>1512.363984842947</v>
          </cell>
          <cell r="AS15">
            <v>1330.8094089277042</v>
          </cell>
          <cell r="AT15">
            <v>1462.4594047068435</v>
          </cell>
          <cell r="AU15">
            <v>5787.6327984774944</v>
          </cell>
          <cell r="AV15">
            <v>6465.7743937633941</v>
          </cell>
          <cell r="AW15">
            <v>7096.6194643666431</v>
          </cell>
          <cell r="AX15">
            <v>7774.2151759103308</v>
          </cell>
          <cell r="AY15">
            <v>8424.6814967851205</v>
          </cell>
          <cell r="AZ15">
            <v>9105.3440025188138</v>
          </cell>
          <cell r="BA15">
            <v>9825.0952487602353</v>
          </cell>
        </row>
        <row r="16">
          <cell r="A16" t="str">
            <v xml:space="preserve">     Gross Margin (%)</v>
          </cell>
          <cell r="B16">
            <v>0.25322946230225996</v>
          </cell>
          <cell r="G16">
            <v>0.26819632274730282</v>
          </cell>
          <cell r="L16">
            <v>0.25066307035288826</v>
          </cell>
          <cell r="M16">
            <v>0.24773462783171521</v>
          </cell>
          <cell r="N16">
            <v>0.24641184468953015</v>
          </cell>
          <cell r="O16">
            <v>0.24892512972572275</v>
          </cell>
          <cell r="P16">
            <v>0.24136008918617613</v>
          </cell>
          <cell r="Q16">
            <v>0.24599550898203593</v>
          </cell>
          <cell r="R16">
            <v>0.25083224779273411</v>
          </cell>
          <cell r="S16">
            <v>0.25591946689352046</v>
          </cell>
          <cell r="T16">
            <v>0.25077904733640005</v>
          </cell>
          <cell r="U16">
            <v>0.24981812891022842</v>
          </cell>
          <cell r="V16">
            <v>0.25186770145789511</v>
          </cell>
          <cell r="W16">
            <v>0.26916577047165463</v>
          </cell>
          <cell r="X16">
            <v>0.26995556917419949</v>
          </cell>
          <cell r="Y16">
            <v>0.25602181487653386</v>
          </cell>
          <cell r="Z16">
            <v>0.25138546798029554</v>
          </cell>
          <cell r="AA16">
            <v>0.2616232349902422</v>
          </cell>
          <cell r="AB16">
            <v>0.26802827965435977</v>
          </cell>
          <cell r="AC16">
            <v>0.26545508714434679</v>
          </cell>
          <cell r="AD16">
            <v>0.27027027027027029</v>
          </cell>
          <cell r="AE16">
            <v>0.29362759427068108</v>
          </cell>
          <cell r="AF16">
            <v>0.27452380057857761</v>
          </cell>
          <cell r="AG16">
            <v>0.38394793926247289</v>
          </cell>
          <cell r="AH16">
            <v>0.36586808636498075</v>
          </cell>
          <cell r="AI16">
            <v>0.3694344163658243</v>
          </cell>
          <cell r="AL16">
            <v>0.38463828520392973</v>
          </cell>
          <cell r="AM16">
            <v>0.39689578713968959</v>
          </cell>
          <cell r="AN16">
            <v>0.36498917748917747</v>
          </cell>
          <cell r="AO16">
            <v>0.35554450522128295</v>
          </cell>
          <cell r="AP16">
            <v>0.37473612529792305</v>
          </cell>
          <cell r="AQ16">
            <v>0.38724849751763785</v>
          </cell>
          <cell r="AR16">
            <v>0.39400000000000002</v>
          </cell>
          <cell r="AS16">
            <v>0.36199999999999999</v>
          </cell>
          <cell r="AT16">
            <v>0.35299999999999998</v>
          </cell>
          <cell r="AU16">
            <v>0.37376458583783057</v>
          </cell>
          <cell r="AV16">
            <v>0.371</v>
          </cell>
          <cell r="AW16">
            <v>0.372</v>
          </cell>
          <cell r="AX16">
            <v>0.373</v>
          </cell>
          <cell r="AY16">
            <v>0.373</v>
          </cell>
          <cell r="AZ16">
            <v>0.373</v>
          </cell>
          <cell r="BA16">
            <v>0.373</v>
          </cell>
        </row>
        <row r="18">
          <cell r="A18" t="str">
            <v>Operating Expenses</v>
          </cell>
        </row>
        <row r="19">
          <cell r="A19" t="str">
            <v>SG&amp;A</v>
          </cell>
          <cell r="B19">
            <v>-3153</v>
          </cell>
          <cell r="G19">
            <v>-3107</v>
          </cell>
          <cell r="L19">
            <v>-3492</v>
          </cell>
          <cell r="M19">
            <v>-946</v>
          </cell>
          <cell r="O19">
            <v>-1151</v>
          </cell>
          <cell r="Q19">
            <v>-4520</v>
          </cell>
          <cell r="R19">
            <v>-1213.1998259229708</v>
          </cell>
          <cell r="S19">
            <v>-1258.4111119170234</v>
          </cell>
          <cell r="T19">
            <v>-1159.4920577355481</v>
          </cell>
          <cell r="U19">
            <v>-1185.8970044244579</v>
          </cell>
          <cell r="V19">
            <v>-4824</v>
          </cell>
          <cell r="W19">
            <v>-1205.9695404278116</v>
          </cell>
          <cell r="X19">
            <v>-1193.6210155741783</v>
          </cell>
          <cell r="Y19">
            <v>-1102.1881911759078</v>
          </cell>
          <cell r="Z19">
            <v>-1248.2212528221023</v>
          </cell>
          <cell r="AA19">
            <v>-4631</v>
          </cell>
          <cell r="AB19">
            <v>-1204.7</v>
          </cell>
          <cell r="AC19">
            <v>-1103.74</v>
          </cell>
          <cell r="AD19">
            <v>-1070.06</v>
          </cell>
          <cell r="AE19">
            <v>-1151.1600000000001</v>
          </cell>
          <cell r="AF19">
            <v>-4529.66</v>
          </cell>
          <cell r="AG19">
            <v>-980.46</v>
          </cell>
          <cell r="AH19">
            <v>-959.38</v>
          </cell>
          <cell r="AI19">
            <v>-1028.52</v>
          </cell>
          <cell r="AJ19">
            <v>69.44</v>
          </cell>
          <cell r="AL19">
            <v>-919.81999999999994</v>
          </cell>
          <cell r="AM19">
            <v>-959.84</v>
          </cell>
          <cell r="AN19">
            <v>-936.08</v>
          </cell>
          <cell r="AO19">
            <v>-986.64800000000002</v>
          </cell>
          <cell r="AP19">
            <v>-3802.3879999999999</v>
          </cell>
          <cell r="AQ19">
            <v>-1079.768</v>
          </cell>
          <cell r="AR19">
            <v>-1083.8597148264253</v>
          </cell>
          <cell r="AS19">
            <v>-908.1310319508998</v>
          </cell>
          <cell r="AT19">
            <v>-1033.3505387432001</v>
          </cell>
          <cell r="AU19">
            <v>-4105.1092855205252</v>
          </cell>
          <cell r="AV19">
            <v>-4519.6072491934119</v>
          </cell>
          <cell r="AW19">
            <v>-4898.6954582806902</v>
          </cell>
          <cell r="AX19">
            <v>-5345.234946684337</v>
          </cell>
          <cell r="AY19">
            <v>-5688.0086022223722</v>
          </cell>
          <cell r="AZ19">
            <v>-6084.0433431979818</v>
          </cell>
          <cell r="BA19">
            <v>-6517.7289393747515</v>
          </cell>
          <cell r="BG19" t="str">
            <v>mstag:sellingGeneralAndAdministrativeExpenses</v>
          </cell>
          <cell r="BH19">
            <v>6</v>
          </cell>
          <cell r="BI19" t="str">
            <v>ISO4217:SEK</v>
          </cell>
          <cell r="BJ19" t="b">
            <v>1</v>
          </cell>
          <cell r="BK19" t="b">
            <v>0</v>
          </cell>
        </row>
        <row r="20">
          <cell r="A20" t="str">
            <v xml:space="preserve">     as percentage of Sales</v>
          </cell>
          <cell r="B20">
            <v>0.1683036101044299</v>
          </cell>
          <cell r="G20">
            <v>0.15737223319657601</v>
          </cell>
          <cell r="L20">
            <v>0.15697909642616317</v>
          </cell>
          <cell r="M20">
            <v>0.15307443365695794</v>
          </cell>
          <cell r="N20">
            <v>0</v>
          </cell>
          <cell r="O20">
            <v>0.17064492216456634</v>
          </cell>
          <cell r="P20">
            <v>0</v>
          </cell>
          <cell r="Q20">
            <v>0.16916167664670659</v>
          </cell>
          <cell r="R20">
            <v>0.17559702213387912</v>
          </cell>
          <cell r="S20">
            <v>0.17842210575882936</v>
          </cell>
          <cell r="T20">
            <v>0.17205699031541002</v>
          </cell>
          <cell r="U20">
            <v>0.17254430444121313</v>
          </cell>
          <cell r="V20">
            <v>0.17494741423079713</v>
          </cell>
          <cell r="W20">
            <v>0.18527723773664334</v>
          </cell>
          <cell r="X20">
            <v>0.1828743703959213</v>
          </cell>
          <cell r="Y20">
            <v>0.16697291185818933</v>
          </cell>
          <cell r="Z20">
            <v>0.19215228645660443</v>
          </cell>
          <cell r="AA20">
            <v>0.1772088929705736</v>
          </cell>
          <cell r="AB20">
            <v>0.18926944226237236</v>
          </cell>
          <cell r="AC20">
            <v>0.16441829286459109</v>
          </cell>
          <cell r="AD20">
            <v>0.15978199193668807</v>
          </cell>
          <cell r="AE20">
            <v>0.1682490499853844</v>
          </cell>
          <cell r="AF20">
            <v>0.17017920877634593</v>
          </cell>
          <cell r="AG20">
            <v>0.30383018283235202</v>
          </cell>
          <cell r="AH20">
            <v>0.28375628512274476</v>
          </cell>
          <cell r="AI20">
            <v>0.30942238267148015</v>
          </cell>
          <cell r="AJ20">
            <v>-0.02</v>
          </cell>
          <cell r="AL20">
            <v>0.27383745162250667</v>
          </cell>
          <cell r="AM20">
            <v>0.26603104212860312</v>
          </cell>
          <cell r="AN20">
            <v>0.25326839826839825</v>
          </cell>
          <cell r="AO20">
            <v>0.24531277971158627</v>
          </cell>
          <cell r="AP20">
            <v>0.25893006469186242</v>
          </cell>
          <cell r="AQ20">
            <v>0.28214476090932844</v>
          </cell>
          <cell r="AR20">
            <v>0.28236636941996346</v>
          </cell>
          <cell r="AS20">
            <v>0.24702517983481176</v>
          </cell>
          <cell r="AT20">
            <v>0.24942418162333194</v>
          </cell>
          <cell r="AU20">
            <v>0.26510743258024927</v>
          </cell>
          <cell r="AV20">
            <v>0.2593307757641683</v>
          </cell>
          <cell r="AW20">
            <v>0.25678630785130513</v>
          </cell>
          <cell r="AX20">
            <v>0.25645966698880246</v>
          </cell>
          <cell r="AY20">
            <v>0.25183470846210187</v>
          </cell>
          <cell r="AZ20">
            <v>0.24923255687924331</v>
          </cell>
          <cell r="BA20">
            <v>0.24743911716210065</v>
          </cell>
        </row>
        <row r="21">
          <cell r="A21" t="str">
            <v xml:space="preserve">     Year-on-Year Growth %</v>
          </cell>
          <cell r="G21">
            <v>-1.4589280050745335E-2</v>
          </cell>
          <cell r="L21">
            <v>0.12391374316060499</v>
          </cell>
          <cell r="Q21">
            <v>0.29438717067583053</v>
          </cell>
          <cell r="R21">
            <v>0.28245224727586771</v>
          </cell>
          <cell r="S21" t="e">
            <v>#DIV/0!</v>
          </cell>
          <cell r="T21">
            <v>7.3779823940469669E-3</v>
          </cell>
          <cell r="U21" t="e">
            <v>#DIV/0!</v>
          </cell>
          <cell r="V21">
            <v>6.7256637168141564E-2</v>
          </cell>
          <cell r="W21">
            <v>-5.9596822721752485E-3</v>
          </cell>
          <cell r="X21">
            <v>-5.1485635917618344E-2</v>
          </cell>
          <cell r="Y21">
            <v>-4.9421525725284354E-2</v>
          </cell>
          <cell r="Z21">
            <v>5.2554520472789079E-2</v>
          </cell>
          <cell r="AA21">
            <v>-4.0008291873963486E-2</v>
          </cell>
          <cell r="AB21">
            <v>-1.0527135099623885E-3</v>
          </cell>
          <cell r="AC21">
            <v>-7.5301133610605864E-2</v>
          </cell>
          <cell r="AD21">
            <v>-2.9149460530538573E-2</v>
          </cell>
          <cell r="AE21">
            <v>-7.7759654069866624E-2</v>
          </cell>
          <cell r="AF21">
            <v>-2.1882962643057668E-2</v>
          </cell>
          <cell r="AP21">
            <v>-0.16055774605599538</v>
          </cell>
          <cell r="AU21">
            <v>7.9613465411874085E-2</v>
          </cell>
          <cell r="AV21">
            <v>0.10097123726642243</v>
          </cell>
          <cell r="AW21">
            <v>8.3876360972500841E-2</v>
          </cell>
          <cell r="AX21">
            <v>9.1154776247382774E-2</v>
          </cell>
          <cell r="AY21">
            <v>6.4126957740306301E-2</v>
          </cell>
          <cell r="AZ21">
            <v>6.9626255632045719E-2</v>
          </cell>
          <cell r="BA21">
            <v>7.1282463275287755E-2</v>
          </cell>
        </row>
        <row r="22">
          <cell r="A22" t="str">
            <v>Navigant R&amp;D</v>
          </cell>
          <cell r="M22">
            <v>-28</v>
          </cell>
          <cell r="N22">
            <v>-31</v>
          </cell>
          <cell r="O22">
            <v>-40</v>
          </cell>
          <cell r="P22">
            <v>-34</v>
          </cell>
          <cell r="Q22">
            <v>-133</v>
          </cell>
          <cell r="R22">
            <v>-30</v>
          </cell>
          <cell r="S22">
            <v>-45</v>
          </cell>
          <cell r="T22">
            <v>-50</v>
          </cell>
          <cell r="U22">
            <v>-62</v>
          </cell>
          <cell r="V22">
            <v>-187</v>
          </cell>
          <cell r="W22">
            <v>-38</v>
          </cell>
          <cell r="X22">
            <v>-39</v>
          </cell>
          <cell r="Y22">
            <v>-37</v>
          </cell>
          <cell r="Z22">
            <v>-41</v>
          </cell>
          <cell r="AA22">
            <v>-155</v>
          </cell>
          <cell r="AB22">
            <v>-12</v>
          </cell>
          <cell r="AC22">
            <v>-19</v>
          </cell>
          <cell r="AD22">
            <v>-18</v>
          </cell>
          <cell r="AE22">
            <v>-17</v>
          </cell>
          <cell r="AF22">
            <v>-66</v>
          </cell>
          <cell r="AG22">
            <v>-12</v>
          </cell>
          <cell r="AH22">
            <v>-19</v>
          </cell>
          <cell r="AI22">
            <v>-18</v>
          </cell>
          <cell r="AJ22">
            <v>-17</v>
          </cell>
          <cell r="AK22">
            <v>-66</v>
          </cell>
          <cell r="AL22">
            <v>-12</v>
          </cell>
          <cell r="AM22">
            <v>-15</v>
          </cell>
          <cell r="AN22">
            <v>-15</v>
          </cell>
          <cell r="AO22">
            <v>-27</v>
          </cell>
          <cell r="AP22">
            <v>-69</v>
          </cell>
          <cell r="AQ22">
            <v>-18</v>
          </cell>
          <cell r="AR22">
            <v>-30</v>
          </cell>
          <cell r="AS22">
            <v>-30</v>
          </cell>
          <cell r="AT22">
            <v>-30</v>
          </cell>
          <cell r="AU22">
            <v>-108</v>
          </cell>
          <cell r="AV22">
            <v>-120</v>
          </cell>
          <cell r="AW22">
            <v>-120</v>
          </cell>
          <cell r="AX22">
            <v>-120</v>
          </cell>
          <cell r="AY22">
            <v>-120</v>
          </cell>
          <cell r="AZ22">
            <v>-120</v>
          </cell>
          <cell r="BA22">
            <v>-120</v>
          </cell>
        </row>
        <row r="23">
          <cell r="A23" t="str">
            <v>R&amp;D Ex-Navigant</v>
          </cell>
          <cell r="Q23">
            <v>-290</v>
          </cell>
          <cell r="R23">
            <v>-103.80017407702908</v>
          </cell>
          <cell r="S23">
            <v>-91.588888082976695</v>
          </cell>
          <cell r="T23">
            <v>-80.507942264451998</v>
          </cell>
          <cell r="U23">
            <v>-71.102995575542167</v>
          </cell>
          <cell r="V23">
            <v>-347</v>
          </cell>
          <cell r="W23">
            <v>-88.03045957218842</v>
          </cell>
          <cell r="X23">
            <v>-87.378984425821756</v>
          </cell>
          <cell r="Y23">
            <v>-90.811808824092154</v>
          </cell>
          <cell r="Z23">
            <v>-84.778747177897685</v>
          </cell>
          <cell r="AA23">
            <v>-351</v>
          </cell>
          <cell r="AB23">
            <v>-115.3</v>
          </cell>
          <cell r="AC23">
            <v>-115.25999999999999</v>
          </cell>
          <cell r="AD23">
            <v>-115.94</v>
          </cell>
          <cell r="AE23">
            <v>-119.84</v>
          </cell>
          <cell r="AF23">
            <v>-466.34000000000003</v>
          </cell>
          <cell r="AG23">
            <v>-52.540000000000006</v>
          </cell>
          <cell r="AH23">
            <v>-48.620000000000005</v>
          </cell>
          <cell r="AI23">
            <v>-48.480000000000004</v>
          </cell>
          <cell r="AJ23">
            <v>-52.44</v>
          </cell>
          <cell r="AK23">
            <v>-202.08</v>
          </cell>
          <cell r="AL23">
            <v>-55.180000000000007</v>
          </cell>
          <cell r="AM23">
            <v>-57.16</v>
          </cell>
          <cell r="AN23">
            <v>-58.92</v>
          </cell>
          <cell r="AO23">
            <v>-64.352000000000004</v>
          </cell>
          <cell r="AP23">
            <v>-235.61199999999999</v>
          </cell>
          <cell r="AQ23">
            <v>-61.231999999999999</v>
          </cell>
          <cell r="AR23">
            <v>-61.415796338799879</v>
          </cell>
          <cell r="AS23">
            <v>-58.820305366970359</v>
          </cell>
          <cell r="AT23">
            <v>-66.287111828072227</v>
          </cell>
          <cell r="AU23">
            <v>-247.75521353384246</v>
          </cell>
          <cell r="AV23">
            <v>-278.84741320812481</v>
          </cell>
          <cell r="AW23">
            <v>-305.23094470394165</v>
          </cell>
          <cell r="AX23">
            <v>-333.47839896666301</v>
          </cell>
          <cell r="AY23">
            <v>-361.38043954038051</v>
          </cell>
          <cell r="AZ23">
            <v>-390.57775882118239</v>
          </cell>
          <cell r="BA23">
            <v>-421.45180691732918</v>
          </cell>
        </row>
        <row r="24">
          <cell r="A24" t="str">
            <v>LBO Sensitivity</v>
          </cell>
        </row>
        <row r="25">
          <cell r="A25">
            <v>1.6E-2</v>
          </cell>
          <cell r="AQ25">
            <v>1.6E-2</v>
          </cell>
          <cell r="AR25">
            <v>1.6E-2</v>
          </cell>
          <cell r="AS25">
            <v>1.6E-2</v>
          </cell>
          <cell r="AT25">
            <v>1.6E-2</v>
          </cell>
          <cell r="AV25">
            <v>1.6E-2</v>
          </cell>
          <cell r="AW25">
            <v>1.6E-2</v>
          </cell>
          <cell r="AX25">
            <v>1.6E-2</v>
          </cell>
          <cell r="AY25">
            <v>1.6E-2</v>
          </cell>
          <cell r="AZ25">
            <v>1.6E-2</v>
          </cell>
          <cell r="BA25">
            <v>1.6E-2</v>
          </cell>
        </row>
        <row r="26">
          <cell r="A26">
            <v>8.0000000000000002E-3</v>
          </cell>
          <cell r="AQ26">
            <v>8.0000000000000002E-3</v>
          </cell>
          <cell r="AR26">
            <v>8.0000000000000002E-3</v>
          </cell>
          <cell r="AS26">
            <v>8.0000000000000002E-3</v>
          </cell>
          <cell r="AT26">
            <v>8.0000000000000002E-3</v>
          </cell>
          <cell r="AV26">
            <v>8.0000000000000002E-3</v>
          </cell>
          <cell r="AW26">
            <v>8.0000000000000002E-3</v>
          </cell>
          <cell r="AX26">
            <v>8.0000000000000002E-3</v>
          </cell>
          <cell r="AY26">
            <v>8.0000000000000002E-3</v>
          </cell>
          <cell r="AZ26">
            <v>8.0000000000000002E-3</v>
          </cell>
          <cell r="BA26">
            <v>8.0000000000000002E-3</v>
          </cell>
        </row>
        <row r="27">
          <cell r="A27" t="str">
            <v xml:space="preserve">     as percentage of Sales</v>
          </cell>
          <cell r="Q27">
            <v>1.0853293413173653E-2</v>
          </cell>
          <cell r="R27">
            <v>1.50239070888738E-2</v>
          </cell>
          <cell r="S27">
            <v>1.2985805768180448E-2</v>
          </cell>
          <cell r="T27">
            <v>1.1946571043842114E-2</v>
          </cell>
          <cell r="U27">
            <v>1.0345263433077574E-2</v>
          </cell>
          <cell r="V27">
            <v>1.2584318560963226E-2</v>
          </cell>
          <cell r="W27">
            <v>1.35244215044075E-2</v>
          </cell>
          <cell r="X27">
            <v>1.3387311847069367E-2</v>
          </cell>
          <cell r="Y27">
            <v>1.3757280536902311E-2</v>
          </cell>
          <cell r="Z27">
            <v>1.3050915513838929E-2</v>
          </cell>
          <cell r="AA27">
            <v>1.3431293766502124E-2</v>
          </cell>
          <cell r="AB27">
            <v>1.8114689709347997E-2</v>
          </cell>
          <cell r="AC27">
            <v>1.7169670788023238E-2</v>
          </cell>
          <cell r="AD27">
            <v>1.731222935642825E-2</v>
          </cell>
          <cell r="AE27">
            <v>1.751534638994446E-2</v>
          </cell>
          <cell r="AF27">
            <v>1.752038171093662E-2</v>
          </cell>
          <cell r="AG27">
            <v>1.6281375890920362E-2</v>
          </cell>
          <cell r="AH27">
            <v>1.4380360839988171E-2</v>
          </cell>
          <cell r="AI27">
            <v>1.4584837545126355E-2</v>
          </cell>
          <cell r="AJ27">
            <v>1.51036866359447E-2</v>
          </cell>
          <cell r="AK27">
            <v>1.5076096687555954E-2</v>
          </cell>
          <cell r="AL27">
            <v>1.6427508186960406E-2</v>
          </cell>
          <cell r="AM27">
            <v>1.5842572062084257E-2</v>
          </cell>
          <cell r="AN27">
            <v>1.5941558441558441E-2</v>
          </cell>
          <cell r="AO27">
            <v>1.6E-2</v>
          </cell>
          <cell r="AP27">
            <v>1.6044399046646236E-2</v>
          </cell>
          <cell r="AQ27">
            <v>1.6E-2</v>
          </cell>
          <cell r="AR27">
            <v>1.6E-2</v>
          </cell>
          <cell r="AS27">
            <v>1.6E-2</v>
          </cell>
          <cell r="AT27">
            <v>1.6E-2</v>
          </cell>
          <cell r="AU27">
            <v>1.6E-2</v>
          </cell>
          <cell r="AV27">
            <v>1.6E-2</v>
          </cell>
          <cell r="AW27">
            <v>1.6E-2</v>
          </cell>
          <cell r="AX27">
            <v>1.6E-2</v>
          </cell>
          <cell r="AY27">
            <v>1.6E-2</v>
          </cell>
          <cell r="AZ27">
            <v>1.6E-2</v>
          </cell>
          <cell r="BA27">
            <v>1.6E-2</v>
          </cell>
        </row>
        <row r="28">
          <cell r="A28" t="str">
            <v>R&amp;D</v>
          </cell>
          <cell r="B28">
            <v>-637</v>
          </cell>
          <cell r="G28">
            <v>-456</v>
          </cell>
          <cell r="L28">
            <v>-533</v>
          </cell>
          <cell r="M28">
            <v>-120</v>
          </cell>
          <cell r="O28">
            <v>-180</v>
          </cell>
          <cell r="Q28">
            <v>-423</v>
          </cell>
          <cell r="R28">
            <v>-133.80017407702908</v>
          </cell>
          <cell r="S28">
            <v>-136.58888808297669</v>
          </cell>
          <cell r="T28">
            <v>-130.507942264452</v>
          </cell>
          <cell r="U28">
            <v>-133.10299557554217</v>
          </cell>
          <cell r="V28">
            <v>-534</v>
          </cell>
          <cell r="W28">
            <v>-126.03045957218842</v>
          </cell>
          <cell r="X28">
            <v>-126.37898442582176</v>
          </cell>
          <cell r="Y28">
            <v>-127.81180882409215</v>
          </cell>
          <cell r="Z28">
            <v>-125.77874717789769</v>
          </cell>
          <cell r="AA28">
            <v>-506</v>
          </cell>
          <cell r="AB28">
            <v>-127.3</v>
          </cell>
          <cell r="AC28">
            <v>-134.26</v>
          </cell>
          <cell r="AD28">
            <v>-133.94</v>
          </cell>
          <cell r="AE28">
            <v>-136.84</v>
          </cell>
          <cell r="AF28">
            <v>-532.33999999999992</v>
          </cell>
          <cell r="AG28">
            <v>-64.540000000000006</v>
          </cell>
          <cell r="AH28">
            <v>-67.62</v>
          </cell>
          <cell r="AI28">
            <v>-66.48</v>
          </cell>
          <cell r="AJ28">
            <v>-69.44</v>
          </cell>
          <cell r="AK28">
            <v>-268.08000000000004</v>
          </cell>
          <cell r="AL28">
            <v>-67.180000000000007</v>
          </cell>
          <cell r="AM28">
            <v>-72.16</v>
          </cell>
          <cell r="AN28">
            <v>-73.92</v>
          </cell>
          <cell r="AO28">
            <v>-91.352000000000004</v>
          </cell>
          <cell r="AP28">
            <v>-304.61199999999997</v>
          </cell>
          <cell r="AQ28">
            <v>-79.231999999999999</v>
          </cell>
          <cell r="AR28">
            <v>-91.415796338799879</v>
          </cell>
          <cell r="AS28">
            <v>-88.820305366970359</v>
          </cell>
          <cell r="AT28">
            <v>-96.287111828072227</v>
          </cell>
          <cell r="AU28">
            <v>-355.75521353384244</v>
          </cell>
          <cell r="AV28">
            <v>-398.84741320812481</v>
          </cell>
          <cell r="AW28">
            <v>-425.23094470394165</v>
          </cell>
          <cell r="AX28">
            <v>-453.47839896666301</v>
          </cell>
          <cell r="AY28">
            <v>-481.38043954038051</v>
          </cell>
          <cell r="AZ28">
            <v>-510.57775882118239</v>
          </cell>
          <cell r="BA28">
            <v>-541.45180691732912</v>
          </cell>
          <cell r="BG28" t="str">
            <v>mstag:researchAndDevelopment</v>
          </cell>
          <cell r="BH28">
            <v>6</v>
          </cell>
          <cell r="BI28" t="str">
            <v>ISO4217:SEK</v>
          </cell>
          <cell r="BJ28" t="b">
            <v>1</v>
          </cell>
          <cell r="BK28" t="b">
            <v>0</v>
          </cell>
        </row>
        <row r="29">
          <cell r="A29" t="str">
            <v xml:space="preserve">     as percentage of Sales</v>
          </cell>
          <cell r="B29">
            <v>3.4002346855858498E-2</v>
          </cell>
          <cell r="G29">
            <v>2.3096793800334296E-2</v>
          </cell>
          <cell r="L29">
            <v>2.396044054843785E-2</v>
          </cell>
          <cell r="M29">
            <v>1.9417475728155338E-2</v>
          </cell>
          <cell r="N29">
            <v>0</v>
          </cell>
          <cell r="O29">
            <v>2.6686434395848776E-2</v>
          </cell>
          <cell r="P29">
            <v>0</v>
          </cell>
          <cell r="Q29">
            <v>1.5830838323353292E-2</v>
          </cell>
          <cell r="R29">
            <v>1.9366069485747442E-2</v>
          </cell>
          <cell r="S29">
            <v>1.9366069485747442E-2</v>
          </cell>
          <cell r="T29">
            <v>1.9366069485747442E-2</v>
          </cell>
          <cell r="U29">
            <v>1.9366069485747442E-2</v>
          </cell>
          <cell r="V29">
            <v>1.9366069485747442E-2</v>
          </cell>
          <cell r="W29">
            <v>1.9362491868518732E-2</v>
          </cell>
          <cell r="X29">
            <v>1.9362491868518732E-2</v>
          </cell>
          <cell r="Y29">
            <v>1.9362491868518732E-2</v>
          </cell>
          <cell r="Z29">
            <v>1.9362491868518732E-2</v>
          </cell>
          <cell r="AA29">
            <v>1.9362491868518732E-2</v>
          </cell>
          <cell r="AB29">
            <v>0.02</v>
          </cell>
          <cell r="AC29">
            <v>0.02</v>
          </cell>
          <cell r="AD29">
            <v>0.02</v>
          </cell>
          <cell r="AE29">
            <v>0.02</v>
          </cell>
          <cell r="AF29">
            <v>1.9999999999999997E-2</v>
          </cell>
          <cell r="AG29">
            <v>0.02</v>
          </cell>
          <cell r="AH29">
            <v>0.02</v>
          </cell>
          <cell r="AI29">
            <v>0.02</v>
          </cell>
          <cell r="AJ29">
            <v>0.02</v>
          </cell>
          <cell r="AK29">
            <v>2.0000000000000004E-2</v>
          </cell>
          <cell r="AL29">
            <v>0.02</v>
          </cell>
          <cell r="AM29">
            <v>0.02</v>
          </cell>
          <cell r="AN29">
            <v>0.02</v>
          </cell>
          <cell r="AO29">
            <v>2.2713078070611636E-2</v>
          </cell>
          <cell r="AP29">
            <v>2.0743071161048687E-2</v>
          </cell>
          <cell r="AQ29">
            <v>2.0703423046772928E-2</v>
          </cell>
          <cell r="AR29">
            <v>2.3815578867561742E-2</v>
          </cell>
          <cell r="AS29">
            <v>2.4160447264007859E-2</v>
          </cell>
          <cell r="AT29">
            <v>2.3241226639123574E-2</v>
          </cell>
          <cell r="AU29">
            <v>2.2974626185874231E-2</v>
          </cell>
          <cell r="AV29">
            <v>2.2885486144233871E-2</v>
          </cell>
          <cell r="AW29">
            <v>2.2290318964423156E-2</v>
          </cell>
          <cell r="AX29">
            <v>2.1757494356304433E-2</v>
          </cell>
          <cell r="AY29">
            <v>2.1312960497922744E-2</v>
          </cell>
          <cell r="AZ29">
            <v>2.0915794503493557E-2</v>
          </cell>
          <cell r="BA29">
            <v>2.0555681025651935E-2</v>
          </cell>
        </row>
        <row r="30">
          <cell r="A30" t="str">
            <v xml:space="preserve">     Year-on-Year Growth %</v>
          </cell>
          <cell r="G30">
            <v>-0.28414442700156983</v>
          </cell>
          <cell r="L30">
            <v>0.16885964912280693</v>
          </cell>
          <cell r="Q30">
            <v>-0.20637898686679179</v>
          </cell>
          <cell r="R30">
            <v>0.11500145064190903</v>
          </cell>
          <cell r="T30">
            <v>-0.27495587630859997</v>
          </cell>
          <cell r="V30">
            <v>0.26241134751773054</v>
          </cell>
          <cell r="W30">
            <v>-5.8069539583465835E-2</v>
          </cell>
          <cell r="X30">
            <v>-7.4749152734536528E-2</v>
          </cell>
          <cell r="Y30">
            <v>-2.0658769064771487E-2</v>
          </cell>
          <cell r="Z30">
            <v>-5.5026923819213591E-2</v>
          </cell>
          <cell r="AA30">
            <v>-5.2434456928838968E-2</v>
          </cell>
          <cell r="AB30">
            <v>1.007328253916584E-2</v>
          </cell>
          <cell r="AC30">
            <v>6.2360174913448585E-2</v>
          </cell>
          <cell r="AD30">
            <v>4.7946987311181077E-2</v>
          </cell>
          <cell r="AE30">
            <v>8.794214499892905E-2</v>
          </cell>
          <cell r="AF30">
            <v>5.2055335968379302E-2</v>
          </cell>
          <cell r="AP30">
            <v>-0.42778675282714052</v>
          </cell>
          <cell r="AU30">
            <v>0.16789625337755076</v>
          </cell>
          <cell r="AV30">
            <v>0.12112879315592395</v>
          </cell>
          <cell r="AW30">
            <v>6.6149436155549246E-2</v>
          </cell>
          <cell r="AX30">
            <v>6.6428501064023093E-2</v>
          </cell>
          <cell r="AY30">
            <v>6.1528929795327869E-2</v>
          </cell>
          <cell r="AZ30">
            <v>6.0653314681168524E-2</v>
          </cell>
          <cell r="BA30">
            <v>6.0468846444522883E-2</v>
          </cell>
        </row>
        <row r="31">
          <cell r="A31" t="str">
            <v>Other</v>
          </cell>
          <cell r="B31">
            <v>241</v>
          </cell>
          <cell r="G31">
            <v>20</v>
          </cell>
          <cell r="L31">
            <v>18</v>
          </cell>
          <cell r="M31">
            <v>-45</v>
          </cell>
          <cell r="O31">
            <v>2</v>
          </cell>
          <cell r="P31">
            <v>-280</v>
          </cell>
          <cell r="Q31">
            <v>-159</v>
          </cell>
          <cell r="V31">
            <v>7</v>
          </cell>
          <cell r="AA31">
            <v>-119</v>
          </cell>
          <cell r="BG31" t="str">
            <v>mstag:otherOperatingExpense</v>
          </cell>
          <cell r="BH31">
            <v>6</v>
          </cell>
          <cell r="BI31" t="str">
            <v>ISO4217:SEK</v>
          </cell>
          <cell r="BJ31" t="b">
            <v>1</v>
          </cell>
          <cell r="BK31" t="b">
            <v>0</v>
          </cell>
        </row>
        <row r="32">
          <cell r="A32" t="str">
            <v>Exceptionals</v>
          </cell>
          <cell r="B32">
            <v>4179</v>
          </cell>
          <cell r="G32">
            <v>552</v>
          </cell>
          <cell r="L32">
            <v>-1365</v>
          </cell>
          <cell r="M32">
            <v>0</v>
          </cell>
          <cell r="N32">
            <v>-927.2</v>
          </cell>
          <cell r="O32">
            <v>0</v>
          </cell>
          <cell r="P32">
            <v>-262.39999999999986</v>
          </cell>
          <cell r="Q32">
            <v>-1189.5999999999999</v>
          </cell>
          <cell r="V32">
            <v>0</v>
          </cell>
          <cell r="W32">
            <v>0</v>
          </cell>
          <cell r="X32">
            <v>0</v>
          </cell>
          <cell r="Y32">
            <v>0</v>
          </cell>
          <cell r="Z32">
            <v>0</v>
          </cell>
          <cell r="AA32">
            <v>0</v>
          </cell>
          <cell r="AB32">
            <v>0</v>
          </cell>
          <cell r="AC32">
            <v>-2672</v>
          </cell>
          <cell r="AD32">
            <v>0</v>
          </cell>
          <cell r="AE32">
            <v>0</v>
          </cell>
          <cell r="AF32">
            <v>-2672</v>
          </cell>
          <cell r="AG32">
            <v>0</v>
          </cell>
          <cell r="AH32">
            <v>0</v>
          </cell>
          <cell r="AI32">
            <v>0</v>
          </cell>
          <cell r="AJ32">
            <v>0</v>
          </cell>
          <cell r="AL32">
            <v>0</v>
          </cell>
          <cell r="AM32">
            <v>0</v>
          </cell>
          <cell r="AN32">
            <v>-15</v>
          </cell>
          <cell r="AO32">
            <v>-20</v>
          </cell>
          <cell r="AP32">
            <v>-35</v>
          </cell>
          <cell r="AQ32">
            <v>0</v>
          </cell>
          <cell r="AR32">
            <v>0</v>
          </cell>
          <cell r="AS32">
            <v>0</v>
          </cell>
          <cell r="AT32">
            <v>0</v>
          </cell>
          <cell r="AU32">
            <v>0</v>
          </cell>
          <cell r="BG32" t="str">
            <v>mstag:incomeLossFromExtraordinaryItemsPretax</v>
          </cell>
          <cell r="BH32">
            <v>6</v>
          </cell>
          <cell r="BI32" t="str">
            <v>ISO4217:SEK</v>
          </cell>
          <cell r="BJ32" t="b">
            <v>0</v>
          </cell>
          <cell r="BK32" t="b">
            <v>0</v>
          </cell>
        </row>
        <row r="33">
          <cell r="A33" t="str">
            <v>Total Operating Expenses</v>
          </cell>
          <cell r="B33">
            <v>630</v>
          </cell>
          <cell r="G33">
            <v>-2991</v>
          </cell>
          <cell r="L33">
            <v>-5372</v>
          </cell>
          <cell r="M33">
            <v>-1111</v>
          </cell>
          <cell r="N33">
            <v>-927.2</v>
          </cell>
          <cell r="O33">
            <v>-1329</v>
          </cell>
          <cell r="P33">
            <v>-542.39999999999986</v>
          </cell>
          <cell r="Q33">
            <v>-6291.6</v>
          </cell>
          <cell r="R33">
            <v>-1347</v>
          </cell>
          <cell r="S33">
            <v>-1395</v>
          </cell>
          <cell r="T33">
            <v>-1290</v>
          </cell>
          <cell r="U33">
            <v>-1319</v>
          </cell>
          <cell r="V33">
            <v>-5351</v>
          </cell>
          <cell r="W33">
            <v>-1332</v>
          </cell>
          <cell r="X33">
            <v>-1320</v>
          </cell>
          <cell r="Y33">
            <v>-1230</v>
          </cell>
          <cell r="Z33">
            <v>-1374</v>
          </cell>
          <cell r="AA33">
            <v>-5256</v>
          </cell>
          <cell r="AB33">
            <v>-1332</v>
          </cell>
          <cell r="AC33">
            <v>-3910</v>
          </cell>
          <cell r="AD33">
            <v>-1204</v>
          </cell>
          <cell r="AE33">
            <v>-1288</v>
          </cell>
          <cell r="AF33">
            <v>-7734</v>
          </cell>
          <cell r="AG33">
            <v>-1045</v>
          </cell>
          <cell r="AH33">
            <v>-1027</v>
          </cell>
          <cell r="AI33">
            <v>-1095</v>
          </cell>
          <cell r="AL33">
            <v>-987</v>
          </cell>
          <cell r="AM33">
            <v>-1032</v>
          </cell>
          <cell r="AN33">
            <v>-1025</v>
          </cell>
          <cell r="AO33">
            <v>-1098</v>
          </cell>
          <cell r="AP33">
            <v>-4142</v>
          </cell>
          <cell r="AQ33">
            <v>-1159</v>
          </cell>
          <cell r="AR33">
            <v>-1175.2755111652252</v>
          </cell>
          <cell r="AS33">
            <v>-996.95133731787018</v>
          </cell>
          <cell r="AT33">
            <v>-1129.6376505712724</v>
          </cell>
          <cell r="AU33">
            <v>-4460.8644990543671</v>
          </cell>
          <cell r="AV33">
            <v>-4918.4546624015366</v>
          </cell>
          <cell r="AW33">
            <v>-5323.9264029846317</v>
          </cell>
          <cell r="AX33">
            <v>-5798.7133456510001</v>
          </cell>
          <cell r="AY33">
            <v>-6169.3890417627526</v>
          </cell>
          <cell r="AZ33">
            <v>-6594.621102019164</v>
          </cell>
          <cell r="BA33">
            <v>-7059.1807462920806</v>
          </cell>
        </row>
        <row r="34">
          <cell r="B34" t="str">
            <v>_____</v>
          </cell>
          <cell r="C34" t="str">
            <v>_____</v>
          </cell>
          <cell r="D34" t="str">
            <v>_____</v>
          </cell>
          <cell r="E34" t="str">
            <v>_____</v>
          </cell>
          <cell r="F34" t="str">
            <v>_____</v>
          </cell>
          <cell r="G34" t="str">
            <v>_____</v>
          </cell>
          <cell r="H34" t="str">
            <v>_____</v>
          </cell>
          <cell r="I34" t="str">
            <v>_____</v>
          </cell>
          <cell r="J34" t="str">
            <v>_____</v>
          </cell>
          <cell r="K34" t="str">
            <v>_____</v>
          </cell>
          <cell r="L34" t="str">
            <v>_____</v>
          </cell>
          <cell r="M34" t="str">
            <v>_____</v>
          </cell>
          <cell r="N34" t="str">
            <v>_____</v>
          </cell>
          <cell r="O34" t="str">
            <v>_____</v>
          </cell>
          <cell r="P34" t="str">
            <v>_____</v>
          </cell>
          <cell r="Q34" t="str">
            <v>_____</v>
          </cell>
          <cell r="R34" t="str">
            <v>_____</v>
          </cell>
          <cell r="S34" t="str">
            <v>_____</v>
          </cell>
          <cell r="T34" t="str">
            <v>_____</v>
          </cell>
          <cell r="U34" t="str">
            <v>_____</v>
          </cell>
          <cell r="V34" t="str">
            <v>_____</v>
          </cell>
          <cell r="W34" t="str">
            <v>_____</v>
          </cell>
          <cell r="X34" t="str">
            <v>_____</v>
          </cell>
          <cell r="Y34" t="str">
            <v>_____</v>
          </cell>
          <cell r="Z34" t="str">
            <v>_____</v>
          </cell>
          <cell r="AA34" t="str">
            <v>_____</v>
          </cell>
          <cell r="AB34" t="str">
            <v>_____</v>
          </cell>
          <cell r="AC34" t="str">
            <v>_____</v>
          </cell>
          <cell r="AD34" t="str">
            <v>_____</v>
          </cell>
          <cell r="AE34" t="str">
            <v>_____</v>
          </cell>
          <cell r="AF34" t="str">
            <v>_____</v>
          </cell>
          <cell r="AG34" t="str">
            <v>_____</v>
          </cell>
          <cell r="AH34" t="str">
            <v>_____</v>
          </cell>
          <cell r="AI34" t="str">
            <v>_____</v>
          </cell>
          <cell r="AJ34" t="str">
            <v>_____</v>
          </cell>
          <cell r="AL34" t="str">
            <v>_____</v>
          </cell>
          <cell r="AM34" t="str">
            <v>_____</v>
          </cell>
          <cell r="AN34" t="str">
            <v>_____</v>
          </cell>
          <cell r="AO34" t="str">
            <v>_____</v>
          </cell>
          <cell r="AP34" t="str">
            <v>_____</v>
          </cell>
          <cell r="AQ34" t="str">
            <v>_____</v>
          </cell>
          <cell r="AR34" t="str">
            <v>_____</v>
          </cell>
          <cell r="AS34" t="str">
            <v>_____</v>
          </cell>
          <cell r="AT34" t="str">
            <v>_____</v>
          </cell>
          <cell r="AU34" t="str">
            <v>_____</v>
          </cell>
          <cell r="AV34" t="str">
            <v>_____</v>
          </cell>
          <cell r="AW34" t="str">
            <v>_____</v>
          </cell>
          <cell r="AX34" t="str">
            <v>_____</v>
          </cell>
          <cell r="AY34" t="str">
            <v>_____</v>
          </cell>
          <cell r="AZ34" t="str">
            <v>_____</v>
          </cell>
          <cell r="BA34" t="str">
            <v>_____</v>
          </cell>
        </row>
        <row r="35">
          <cell r="A35" t="str">
            <v>EBIT</v>
          </cell>
          <cell r="B35">
            <v>5374.0010000000002</v>
          </cell>
          <cell r="C35">
            <v>406</v>
          </cell>
          <cell r="D35">
            <v>1409</v>
          </cell>
          <cell r="E35">
            <v>274</v>
          </cell>
          <cell r="F35">
            <v>215</v>
          </cell>
          <cell r="G35">
            <v>2304</v>
          </cell>
          <cell r="H35">
            <v>432</v>
          </cell>
          <cell r="I35">
            <v>567</v>
          </cell>
          <cell r="J35">
            <v>363</v>
          </cell>
          <cell r="K35">
            <v>-1158</v>
          </cell>
          <cell r="L35">
            <v>204</v>
          </cell>
          <cell r="M35">
            <v>420</v>
          </cell>
          <cell r="N35">
            <v>-538</v>
          </cell>
          <cell r="O35">
            <v>350</v>
          </cell>
          <cell r="P35">
            <v>49</v>
          </cell>
          <cell r="Q35">
            <v>281.39999999999964</v>
          </cell>
          <cell r="R35">
            <v>386</v>
          </cell>
          <cell r="S35">
            <v>410</v>
          </cell>
          <cell r="T35">
            <v>400</v>
          </cell>
          <cell r="U35">
            <v>398</v>
          </cell>
          <cell r="V35">
            <v>1594</v>
          </cell>
          <cell r="W35">
            <v>420</v>
          </cell>
          <cell r="X35">
            <v>442</v>
          </cell>
          <cell r="Y35">
            <v>460</v>
          </cell>
          <cell r="Z35">
            <v>259</v>
          </cell>
          <cell r="AA35">
            <v>1581</v>
          </cell>
          <cell r="AB35">
            <v>374</v>
          </cell>
          <cell r="AC35">
            <v>-2128</v>
          </cell>
          <cell r="AD35">
            <v>606</v>
          </cell>
          <cell r="AE35">
            <v>721</v>
          </cell>
          <cell r="AF35">
            <v>-427</v>
          </cell>
          <cell r="AG35">
            <v>194</v>
          </cell>
          <cell r="AH35">
            <v>210</v>
          </cell>
          <cell r="AI35">
            <v>133</v>
          </cell>
          <cell r="AJ35">
            <v>0</v>
          </cell>
          <cell r="AL35">
            <v>305</v>
          </cell>
          <cell r="AM35">
            <v>400</v>
          </cell>
          <cell r="AN35">
            <v>324</v>
          </cell>
          <cell r="AO35">
            <v>332</v>
          </cell>
          <cell r="AP35">
            <v>1361</v>
          </cell>
          <cell r="AQ35">
            <v>323</v>
          </cell>
          <cell r="AR35">
            <v>337.08847367772182</v>
          </cell>
          <cell r="AS35">
            <v>333.85807160983398</v>
          </cell>
          <cell r="AT35">
            <v>332.82175413557115</v>
          </cell>
          <cell r="AU35">
            <v>1326.768299423127</v>
          </cell>
          <cell r="AV35">
            <v>1547.319731361858</v>
          </cell>
          <cell r="AW35">
            <v>1772.6930613820111</v>
          </cell>
          <cell r="AX35">
            <v>1975.5018302593307</v>
          </cell>
          <cell r="AY35">
            <v>2255.2924550223679</v>
          </cell>
          <cell r="AZ35">
            <v>2510.7229004996498</v>
          </cell>
          <cell r="BA35">
            <v>2765.9145024681548</v>
          </cell>
        </row>
        <row r="36">
          <cell r="A36" t="str">
            <v>Sensitivity Analysis</v>
          </cell>
          <cell r="AV36">
            <v>0.1662320633034613</v>
          </cell>
          <cell r="AW36">
            <v>0.14565401413306678</v>
          </cell>
          <cell r="AX36">
            <v>0.1144071544563996</v>
          </cell>
          <cell r="AY36">
            <v>0.14163015213522132</v>
          </cell>
          <cell r="AZ36">
            <v>0.1132582361584447</v>
          </cell>
          <cell r="BA36">
            <v>0.10164068759548106</v>
          </cell>
        </row>
        <row r="37">
          <cell r="A37" t="str">
            <v>MS Forecast Revenue</v>
          </cell>
          <cell r="AV37">
            <v>1547.319731361858</v>
          </cell>
          <cell r="AW37">
            <v>1772.6930613820111</v>
          </cell>
          <cell r="AX37">
            <v>1975.5018302593307</v>
          </cell>
          <cell r="AY37">
            <v>2255.2924550223679</v>
          </cell>
          <cell r="AZ37">
            <v>2510.7229004996498</v>
          </cell>
          <cell r="BA37">
            <v>2765.9145024681548</v>
          </cell>
        </row>
        <row r="38">
          <cell r="A38" t="str">
            <v xml:space="preserve">     EBIT Margin (%)</v>
          </cell>
          <cell r="AV38">
            <v>8.8783738091597897E-2</v>
          </cell>
          <cell r="AW38">
            <v>9.2923373184271726E-2</v>
          </cell>
          <cell r="AX38">
            <v>9.4782838654893106E-2</v>
          </cell>
          <cell r="AY38">
            <v>9.98523310399754E-2</v>
          </cell>
          <cell r="AZ38">
            <v>0.10285164861726313</v>
          </cell>
          <cell r="BA38">
            <v>0.10500520181224741</v>
          </cell>
        </row>
        <row r="39">
          <cell r="A39" t="str">
            <v>Gambro management target</v>
          </cell>
          <cell r="AV39">
            <v>1618.1512383929087</v>
          </cell>
          <cell r="AW39">
            <v>1854.912314326187</v>
          </cell>
          <cell r="AX39">
            <v>2122.8440930621919</v>
          </cell>
          <cell r="AY39">
            <v>2425.8131044021357</v>
          </cell>
          <cell r="AZ39">
            <v>2768.1474770794471</v>
          </cell>
          <cell r="BA39">
            <v>3044.9622247873922</v>
          </cell>
        </row>
        <row r="40">
          <cell r="A40" t="str">
            <v xml:space="preserve">     EBIT Margin (%)</v>
          </cell>
          <cell r="AV40">
            <v>9.5000000000000001E-2</v>
          </cell>
          <cell r="AW40">
            <v>9.9000000000000005E-2</v>
          </cell>
          <cell r="AX40">
            <v>0.10299999999999999</v>
          </cell>
          <cell r="AY40">
            <v>0.107</v>
          </cell>
          <cell r="AZ40">
            <v>0.111</v>
          </cell>
          <cell r="BA40">
            <v>0.111</v>
          </cell>
        </row>
        <row r="41">
          <cell r="A41" t="str">
            <v>EBIT Pre-Exceptionals</v>
          </cell>
          <cell r="B41">
            <v>1195.0010000000002</v>
          </cell>
          <cell r="C41">
            <v>406</v>
          </cell>
          <cell r="D41">
            <v>443</v>
          </cell>
          <cell r="E41">
            <v>429</v>
          </cell>
          <cell r="F41">
            <v>474</v>
          </cell>
          <cell r="G41">
            <v>1752</v>
          </cell>
          <cell r="H41">
            <v>432</v>
          </cell>
          <cell r="I41">
            <v>502</v>
          </cell>
          <cell r="J41">
            <v>363</v>
          </cell>
          <cell r="K41">
            <v>272</v>
          </cell>
          <cell r="L41">
            <v>1569</v>
          </cell>
          <cell r="M41">
            <v>420</v>
          </cell>
          <cell r="N41">
            <v>389.20000000000005</v>
          </cell>
          <cell r="O41">
            <v>350</v>
          </cell>
          <cell r="P41">
            <v>311.39999999999986</v>
          </cell>
          <cell r="Q41">
            <v>1470.9999999999995</v>
          </cell>
          <cell r="R41">
            <v>386</v>
          </cell>
          <cell r="S41">
            <v>410</v>
          </cell>
          <cell r="T41">
            <v>400</v>
          </cell>
          <cell r="U41">
            <v>398</v>
          </cell>
          <cell r="V41">
            <v>1594</v>
          </cell>
          <cell r="W41">
            <v>420</v>
          </cell>
          <cell r="X41">
            <v>442</v>
          </cell>
          <cell r="Y41">
            <v>460</v>
          </cell>
          <cell r="Z41">
            <v>259</v>
          </cell>
          <cell r="AA41">
            <v>1581</v>
          </cell>
          <cell r="AB41">
            <v>374</v>
          </cell>
          <cell r="AC41">
            <v>544</v>
          </cell>
          <cell r="AD41">
            <v>606</v>
          </cell>
          <cell r="AE41">
            <v>721</v>
          </cell>
          <cell r="AF41">
            <v>2245</v>
          </cell>
          <cell r="AG41">
            <v>194</v>
          </cell>
          <cell r="AH41">
            <v>210</v>
          </cell>
          <cell r="AI41">
            <v>133</v>
          </cell>
          <cell r="AJ41">
            <v>0</v>
          </cell>
          <cell r="AL41">
            <v>305</v>
          </cell>
          <cell r="AM41">
            <v>400</v>
          </cell>
          <cell r="AN41">
            <v>339</v>
          </cell>
          <cell r="AO41">
            <v>352</v>
          </cell>
          <cell r="AP41">
            <v>1396</v>
          </cell>
          <cell r="AQ41">
            <v>323</v>
          </cell>
          <cell r="AR41">
            <v>337.08847367772182</v>
          </cell>
          <cell r="AS41">
            <v>333.85807160983398</v>
          </cell>
          <cell r="AT41">
            <v>332.82175413557115</v>
          </cell>
          <cell r="AU41">
            <v>1326.768299423127</v>
          </cell>
          <cell r="AV41">
            <v>1547.319731361858</v>
          </cell>
          <cell r="AW41">
            <v>1772.6930613820111</v>
          </cell>
          <cell r="AX41">
            <v>1975.5018302593307</v>
          </cell>
          <cell r="AY41">
            <v>2255.2924550223679</v>
          </cell>
          <cell r="AZ41">
            <v>2510.7229004996498</v>
          </cell>
          <cell r="BA41">
            <v>2765.9145024681548</v>
          </cell>
        </row>
        <row r="42">
          <cell r="A42" t="str">
            <v xml:space="preserve">     EBIT Margin (%)</v>
          </cell>
          <cell r="B42">
            <v>6.3787815533905445E-2</v>
          </cell>
          <cell r="G42">
            <v>8.8740313022337036E-2</v>
          </cell>
          <cell r="L42">
            <v>7.0532703978422123E-2</v>
          </cell>
          <cell r="M42">
            <v>6.7961165048543687E-2</v>
          </cell>
          <cell r="N42">
            <v>5.8800423024626083E-2</v>
          </cell>
          <cell r="O42">
            <v>5.1890289103039292E-2</v>
          </cell>
          <cell r="P42">
            <v>4.339464882943142E-2</v>
          </cell>
          <cell r="Q42">
            <v>5.5052395209580822E-2</v>
          </cell>
          <cell r="R42">
            <v>5.5869156173107538E-2</v>
          </cell>
          <cell r="S42">
            <v>5.8131291648943713E-2</v>
          </cell>
          <cell r="T42">
            <v>5.935598753524262E-2</v>
          </cell>
          <cell r="U42">
            <v>5.7907754983267862E-2</v>
          </cell>
          <cell r="V42">
            <v>5.780808007543338E-2</v>
          </cell>
          <cell r="W42">
            <v>6.4526040866492551E-2</v>
          </cell>
          <cell r="X42">
            <v>6.7718706909759466E-2</v>
          </cell>
          <cell r="Y42">
            <v>6.968641114982578E-2</v>
          </cell>
          <cell r="Z42">
            <v>3.9870689655172417E-2</v>
          </cell>
          <cell r="AA42">
            <v>6.0498220640569395E-2</v>
          </cell>
          <cell r="AB42">
            <v>5.875883739198743E-2</v>
          </cell>
          <cell r="AC42">
            <v>8.10367942797557E-2</v>
          </cell>
          <cell r="AD42">
            <v>9.0488278333582195E-2</v>
          </cell>
          <cell r="AE42">
            <v>0.10537854428529669</v>
          </cell>
          <cell r="AF42">
            <v>8.4344591802231653E-2</v>
          </cell>
          <cell r="AG42">
            <v>6.0117756430120857E-2</v>
          </cell>
          <cell r="AH42">
            <v>6.2111801242236024E-2</v>
          </cell>
          <cell r="AI42">
            <v>4.0012033694344161E-2</v>
          </cell>
          <cell r="AJ42">
            <v>0</v>
          </cell>
          <cell r="AL42">
            <v>9.0800833581423046E-2</v>
          </cell>
          <cell r="AM42">
            <v>0.11086474501108648</v>
          </cell>
          <cell r="AN42">
            <v>9.1720779220779217E-2</v>
          </cell>
          <cell r="AO42">
            <v>8.7518647439085037E-2</v>
          </cell>
          <cell r="AP42">
            <v>9.5062989445011917E-2</v>
          </cell>
          <cell r="AQ42">
            <v>8.4400313561536447E-2</v>
          </cell>
          <cell r="AR42">
            <v>8.7818051712474823E-2</v>
          </cell>
          <cell r="AS42">
            <v>9.0814372901180315E-2</v>
          </cell>
          <cell r="AT42">
            <v>8.0334591737544481E-2</v>
          </cell>
          <cell r="AU42">
            <v>8.5682527071707107E-2</v>
          </cell>
          <cell r="AV42">
            <v>8.8783738091597897E-2</v>
          </cell>
          <cell r="AW42">
            <v>9.2923373184271726E-2</v>
          </cell>
          <cell r="AX42">
            <v>9.4782838654893106E-2</v>
          </cell>
          <cell r="AY42">
            <v>9.98523310399754E-2</v>
          </cell>
          <cell r="AZ42">
            <v>0.10285164861726313</v>
          </cell>
          <cell r="BA42">
            <v>0.10500520181224741</v>
          </cell>
          <cell r="BD42">
            <v>1</v>
          </cell>
          <cell r="BE42" t="str">
            <v>toggle</v>
          </cell>
        </row>
        <row r="44">
          <cell r="A44" t="str">
            <v>EBITDA</v>
          </cell>
          <cell r="AF44">
            <v>928</v>
          </cell>
          <cell r="AG44">
            <v>525</v>
          </cell>
          <cell r="AH44">
            <v>541</v>
          </cell>
          <cell r="AI44">
            <v>0</v>
          </cell>
          <cell r="AJ44">
            <v>0</v>
          </cell>
          <cell r="AK44">
            <v>0</v>
          </cell>
          <cell r="AL44">
            <v>638</v>
          </cell>
          <cell r="AM44">
            <v>756</v>
          </cell>
          <cell r="AN44">
            <v>701</v>
          </cell>
          <cell r="AO44">
            <v>697</v>
          </cell>
          <cell r="AP44">
            <v>2792</v>
          </cell>
          <cell r="AQ44">
            <v>692</v>
          </cell>
          <cell r="AR44">
            <v>718.51465601875111</v>
          </cell>
          <cell r="AS44">
            <v>698.02305133946265</v>
          </cell>
          <cell r="AT44">
            <v>745.3999022876792</v>
          </cell>
          <cell r="AU44">
            <v>2853.9376096458932</v>
          </cell>
          <cell r="AV44">
            <v>3282.6624751074887</v>
          </cell>
          <cell r="AW44">
            <v>3670.0732846936767</v>
          </cell>
          <cell r="AX44">
            <v>4115.7048354596982</v>
          </cell>
          <cell r="AY44">
            <v>4569.5723348249867</v>
          </cell>
          <cell r="AZ44">
            <v>5008.0455363108395</v>
          </cell>
          <cell r="BA44">
            <v>5456.7684741355051</v>
          </cell>
        </row>
        <row r="45">
          <cell r="A45" t="str">
            <v xml:space="preserve">     EBITDA Margin (%)</v>
          </cell>
          <cell r="AF45">
            <v>3.4864935943194196E-2</v>
          </cell>
          <cell r="AG45">
            <v>0.16268980477223427</v>
          </cell>
          <cell r="AH45">
            <v>0.16001183081928425</v>
          </cell>
          <cell r="AI45">
            <v>0</v>
          </cell>
          <cell r="AJ45">
            <v>0</v>
          </cell>
          <cell r="AK45">
            <v>0</v>
          </cell>
          <cell r="AL45">
            <v>0.1899374813932718</v>
          </cell>
          <cell r="AM45">
            <v>0.20953436807095344</v>
          </cell>
          <cell r="AN45">
            <v>0.18966450216450217</v>
          </cell>
          <cell r="AO45">
            <v>0.17329686723023371</v>
          </cell>
          <cell r="AP45">
            <v>0.19012597889002383</v>
          </cell>
          <cell r="AQ45">
            <v>0.1808204860203815</v>
          </cell>
          <cell r="AR45">
            <v>0.18718693205378481</v>
          </cell>
          <cell r="AS45">
            <v>0.18987267665058449</v>
          </cell>
          <cell r="AT45">
            <v>0.17992032097485505</v>
          </cell>
          <cell r="AU45">
            <v>0.1843069257878478</v>
          </cell>
          <cell r="AV45">
            <v>0.18835605823790896</v>
          </cell>
          <cell r="AW45">
            <v>0.19238276319609518</v>
          </cell>
          <cell r="AX45">
            <v>0.19746789468645062</v>
          </cell>
          <cell r="AY45">
            <v>0.20231631089438132</v>
          </cell>
          <cell r="AZ45">
            <v>0.20515435600535217</v>
          </cell>
          <cell r="BA45">
            <v>0.20716080499162326</v>
          </cell>
        </row>
        <row r="46">
          <cell r="AU46">
            <v>-4.9592908722688379E-2</v>
          </cell>
        </row>
        <row r="47">
          <cell r="A47" t="str">
            <v xml:space="preserve">     Financial income</v>
          </cell>
          <cell r="Q47">
            <v>127</v>
          </cell>
          <cell r="V47">
            <v>201</v>
          </cell>
          <cell r="AA47">
            <v>284</v>
          </cell>
          <cell r="AF47">
            <v>254</v>
          </cell>
          <cell r="AL47">
            <v>25</v>
          </cell>
          <cell r="AM47">
            <v>10</v>
          </cell>
          <cell r="AN47">
            <v>12</v>
          </cell>
          <cell r="AO47">
            <v>71</v>
          </cell>
          <cell r="AP47">
            <v>118</v>
          </cell>
          <cell r="AQ47">
            <v>105.63437500000001</v>
          </cell>
          <cell r="AR47">
            <v>114.43847662846176</v>
          </cell>
          <cell r="AS47">
            <v>114.43847662846176</v>
          </cell>
          <cell r="AT47">
            <v>114.43847662846176</v>
          </cell>
          <cell r="AU47">
            <v>448.94980488538533</v>
          </cell>
          <cell r="AV47">
            <v>457.94485570841323</v>
          </cell>
          <cell r="AW47">
            <v>447.4688977421107</v>
          </cell>
          <cell r="AX47">
            <v>443.34774415149178</v>
          </cell>
          <cell r="AY47">
            <v>446.10153342512592</v>
          </cell>
          <cell r="AZ47">
            <v>37.751729015943667</v>
          </cell>
          <cell r="BA47">
            <v>34.821394654195331</v>
          </cell>
          <cell r="BG47" t="str">
            <v>mstag:interestAndDividendIncome</v>
          </cell>
          <cell r="BH47">
            <v>6</v>
          </cell>
          <cell r="BI47" t="str">
            <v>ISO4217:SEK</v>
          </cell>
          <cell r="BJ47" t="b">
            <v>0</v>
          </cell>
          <cell r="BK47" t="b">
            <v>0</v>
          </cell>
        </row>
        <row r="48">
          <cell r="A48" t="str">
            <v xml:space="preserve">     Financial expense</v>
          </cell>
          <cell r="Q48">
            <v>-886</v>
          </cell>
          <cell r="V48">
            <v>-755</v>
          </cell>
          <cell r="AA48">
            <v>-496</v>
          </cell>
          <cell r="AF48">
            <v>-398</v>
          </cell>
          <cell r="AP48">
            <v>0</v>
          </cell>
          <cell r="AQ48">
            <v>-42.634375000000006</v>
          </cell>
          <cell r="AR48">
            <v>-42.634375000000006</v>
          </cell>
          <cell r="AS48">
            <v>-42.634375000000006</v>
          </cell>
          <cell r="AT48">
            <v>-42.634375000000006</v>
          </cell>
          <cell r="AU48">
            <v>-170.53750000000002</v>
          </cell>
          <cell r="AV48">
            <v>-170.62500000000003</v>
          </cell>
          <cell r="AW48">
            <v>-170.62500000000003</v>
          </cell>
          <cell r="AX48">
            <v>-170.62500000000003</v>
          </cell>
          <cell r="AY48">
            <v>-170.62500000000003</v>
          </cell>
          <cell r="AZ48">
            <v>-170.62500000000003</v>
          </cell>
          <cell r="BA48">
            <v>-170.62500000000003</v>
          </cell>
          <cell r="BG48" t="str">
            <v>mstag:interestExpense</v>
          </cell>
          <cell r="BH48">
            <v>6</v>
          </cell>
          <cell r="BI48" t="str">
            <v>ISO4217:SEK</v>
          </cell>
          <cell r="BJ48" t="b">
            <v>1</v>
          </cell>
          <cell r="BK48" t="b">
            <v>0</v>
          </cell>
        </row>
        <row r="49">
          <cell r="A49" t="str">
            <v xml:space="preserve">     Income from derivatives, currency, write-downs</v>
          </cell>
          <cell r="AA49">
            <v>145</v>
          </cell>
          <cell r="AF49">
            <v>-52</v>
          </cell>
          <cell r="AQ49">
            <v>0</v>
          </cell>
          <cell r="AR49">
            <v>0</v>
          </cell>
          <cell r="AS49">
            <v>0</v>
          </cell>
          <cell r="AT49">
            <v>0</v>
          </cell>
          <cell r="AU49">
            <v>0</v>
          </cell>
          <cell r="AV49">
            <v>0</v>
          </cell>
          <cell r="AW49">
            <v>0</v>
          </cell>
          <cell r="AX49">
            <v>0</v>
          </cell>
          <cell r="AY49">
            <v>0</v>
          </cell>
          <cell r="AZ49">
            <v>0</v>
          </cell>
          <cell r="BA49">
            <v>0</v>
          </cell>
          <cell r="BG49" t="str">
            <v>mstag:otherInterestIncomeExpense</v>
          </cell>
          <cell r="BH49">
            <v>6</v>
          </cell>
          <cell r="BI49" t="str">
            <v>ISO4217:SEK</v>
          </cell>
          <cell r="BJ49" t="b">
            <v>0</v>
          </cell>
          <cell r="BK49" t="b">
            <v>0</v>
          </cell>
        </row>
        <row r="50">
          <cell r="A50" t="str">
            <v xml:space="preserve">     Other</v>
          </cell>
          <cell r="Q50">
            <v>285</v>
          </cell>
          <cell r="V50">
            <v>23</v>
          </cell>
          <cell r="AA50">
            <v>16</v>
          </cell>
          <cell r="AF50">
            <v>92</v>
          </cell>
          <cell r="AL50">
            <v>-2</v>
          </cell>
          <cell r="AM50">
            <v>-2</v>
          </cell>
          <cell r="AN50">
            <v>-2</v>
          </cell>
          <cell r="AO50">
            <v>10</v>
          </cell>
          <cell r="AP50">
            <v>4</v>
          </cell>
          <cell r="AQ50">
            <v>0</v>
          </cell>
          <cell r="AR50">
            <v>0</v>
          </cell>
          <cell r="AS50">
            <v>0</v>
          </cell>
          <cell r="AT50">
            <v>0</v>
          </cell>
          <cell r="AU50">
            <v>0</v>
          </cell>
          <cell r="AV50">
            <v>0</v>
          </cell>
          <cell r="AW50">
            <v>0</v>
          </cell>
          <cell r="AX50">
            <v>0</v>
          </cell>
          <cell r="AY50">
            <v>0</v>
          </cell>
          <cell r="AZ50">
            <v>0</v>
          </cell>
          <cell r="BA50">
            <v>0</v>
          </cell>
          <cell r="BG50" t="str">
            <v>mstag:otherNonOperatingIncomeExpense</v>
          </cell>
          <cell r="BH50">
            <v>6</v>
          </cell>
          <cell r="BI50" t="str">
            <v>ISO4217:SEK</v>
          </cell>
          <cell r="BJ50" t="b">
            <v>0</v>
          </cell>
          <cell r="BK50" t="b">
            <v>0</v>
          </cell>
        </row>
        <row r="51">
          <cell r="A51" t="str">
            <v xml:space="preserve">     Exceptional non-operating income</v>
          </cell>
          <cell r="AL51">
            <v>408</v>
          </cell>
          <cell r="AP51">
            <v>408</v>
          </cell>
          <cell r="AQ51">
            <v>0</v>
          </cell>
          <cell r="AR51">
            <v>0</v>
          </cell>
          <cell r="AS51">
            <v>0</v>
          </cell>
          <cell r="AT51">
            <v>0</v>
          </cell>
          <cell r="AU51">
            <v>0</v>
          </cell>
          <cell r="AV51">
            <v>0</v>
          </cell>
          <cell r="AW51">
            <v>0</v>
          </cell>
          <cell r="AX51">
            <v>0</v>
          </cell>
          <cell r="AY51">
            <v>0</v>
          </cell>
          <cell r="AZ51">
            <v>0</v>
          </cell>
          <cell r="BA51">
            <v>0</v>
          </cell>
          <cell r="BG51" t="str">
            <v>mstag:gainsLossesFromSaleOfOperatingAssetsOneTimeIncomeStatement</v>
          </cell>
          <cell r="BH51">
            <v>6</v>
          </cell>
          <cell r="BI51" t="str">
            <v>ISO4217:SEK</v>
          </cell>
          <cell r="BJ51" t="b">
            <v>0</v>
          </cell>
          <cell r="BK51" t="b">
            <v>0</v>
          </cell>
        </row>
        <row r="52">
          <cell r="A52" t="str">
            <v>Net Financial Income/(Expense)</v>
          </cell>
          <cell r="B52">
            <v>-383</v>
          </cell>
          <cell r="C52">
            <v>-143</v>
          </cell>
          <cell r="D52">
            <v>-95</v>
          </cell>
          <cell r="E52">
            <v>-90</v>
          </cell>
          <cell r="F52">
            <v>-83</v>
          </cell>
          <cell r="G52">
            <v>-411</v>
          </cell>
          <cell r="H52">
            <v>-111</v>
          </cell>
          <cell r="I52">
            <v>-142</v>
          </cell>
          <cell r="J52">
            <v>-191</v>
          </cell>
          <cell r="K52">
            <v>-287</v>
          </cell>
          <cell r="L52">
            <v>-731</v>
          </cell>
          <cell r="M52">
            <v>-157</v>
          </cell>
          <cell r="N52">
            <v>-181</v>
          </cell>
          <cell r="O52">
            <v>-211</v>
          </cell>
          <cell r="P52">
            <v>75</v>
          </cell>
          <cell r="Q52">
            <v>-474</v>
          </cell>
          <cell r="R52">
            <v>-138</v>
          </cell>
          <cell r="S52">
            <v>-172</v>
          </cell>
          <cell r="T52">
            <v>-113</v>
          </cell>
          <cell r="U52">
            <v>-108</v>
          </cell>
          <cell r="V52">
            <v>-531</v>
          </cell>
          <cell r="W52">
            <v>-57</v>
          </cell>
          <cell r="X52">
            <v>51</v>
          </cell>
          <cell r="Y52">
            <v>-8</v>
          </cell>
          <cell r="Z52">
            <v>-37</v>
          </cell>
          <cell r="AA52">
            <v>-51</v>
          </cell>
          <cell r="AB52">
            <v>-48</v>
          </cell>
          <cell r="AC52">
            <v>2</v>
          </cell>
          <cell r="AD52">
            <v>-54</v>
          </cell>
          <cell r="AE52">
            <v>-4</v>
          </cell>
          <cell r="AF52">
            <v>-104</v>
          </cell>
          <cell r="AG52">
            <v>12</v>
          </cell>
          <cell r="AH52">
            <v>61</v>
          </cell>
          <cell r="AI52">
            <v>4</v>
          </cell>
          <cell r="AL52">
            <v>431</v>
          </cell>
          <cell r="AM52">
            <v>8</v>
          </cell>
          <cell r="AN52">
            <v>10</v>
          </cell>
          <cell r="AO52">
            <v>81</v>
          </cell>
          <cell r="AP52">
            <v>530</v>
          </cell>
          <cell r="AQ52">
            <v>63</v>
          </cell>
          <cell r="AR52">
            <v>71.804101628461751</v>
          </cell>
          <cell r="AS52">
            <v>71.804101628461751</v>
          </cell>
          <cell r="AT52">
            <v>71.804101628461751</v>
          </cell>
          <cell r="AU52">
            <v>278.41230488538525</v>
          </cell>
          <cell r="AV52">
            <v>287.31985570841323</v>
          </cell>
          <cell r="AW52">
            <v>276.8438977421107</v>
          </cell>
          <cell r="AX52">
            <v>272.72274415149172</v>
          </cell>
          <cell r="AY52">
            <v>275.47653342512592</v>
          </cell>
          <cell r="AZ52">
            <v>-132.87327098405638</v>
          </cell>
          <cell r="BA52">
            <v>-135.8036053458047</v>
          </cell>
        </row>
        <row r="53">
          <cell r="A53" t="str">
            <v>PBT before Minority Interests</v>
          </cell>
          <cell r="B53">
            <v>4991.0010000000002</v>
          </cell>
          <cell r="C53">
            <v>263</v>
          </cell>
          <cell r="D53">
            <v>1314</v>
          </cell>
          <cell r="E53">
            <v>184</v>
          </cell>
          <cell r="F53">
            <v>132</v>
          </cell>
          <cell r="G53">
            <v>1893</v>
          </cell>
          <cell r="H53">
            <v>321</v>
          </cell>
          <cell r="I53">
            <v>425</v>
          </cell>
          <cell r="J53">
            <v>172</v>
          </cell>
          <cell r="K53">
            <v>-1445</v>
          </cell>
          <cell r="L53">
            <v>-527</v>
          </cell>
          <cell r="M53">
            <v>263</v>
          </cell>
          <cell r="N53">
            <v>-719</v>
          </cell>
          <cell r="O53">
            <v>139</v>
          </cell>
          <cell r="P53">
            <v>124</v>
          </cell>
          <cell r="Q53">
            <v>-192.60000000000036</v>
          </cell>
          <cell r="R53">
            <v>248</v>
          </cell>
          <cell r="S53">
            <v>238</v>
          </cell>
          <cell r="T53">
            <v>287</v>
          </cell>
          <cell r="U53">
            <v>290</v>
          </cell>
          <cell r="V53">
            <v>1063</v>
          </cell>
          <cell r="W53">
            <v>363</v>
          </cell>
          <cell r="X53">
            <v>493</v>
          </cell>
          <cell r="Y53">
            <v>452</v>
          </cell>
          <cell r="Z53">
            <v>222</v>
          </cell>
          <cell r="AA53">
            <v>1530</v>
          </cell>
          <cell r="AB53">
            <v>326</v>
          </cell>
          <cell r="AC53">
            <v>-2126</v>
          </cell>
          <cell r="AD53">
            <v>552</v>
          </cell>
          <cell r="AE53">
            <v>717</v>
          </cell>
          <cell r="AF53">
            <v>-531</v>
          </cell>
          <cell r="AG53">
            <v>206</v>
          </cell>
          <cell r="AH53">
            <v>271</v>
          </cell>
          <cell r="AI53">
            <v>137</v>
          </cell>
          <cell r="AJ53">
            <v>0</v>
          </cell>
          <cell r="AL53">
            <v>736</v>
          </cell>
          <cell r="AM53">
            <v>408</v>
          </cell>
          <cell r="AN53">
            <v>334</v>
          </cell>
          <cell r="AO53">
            <v>413</v>
          </cell>
          <cell r="AP53">
            <v>1891</v>
          </cell>
          <cell r="AQ53">
            <v>386</v>
          </cell>
          <cell r="AR53">
            <v>408.89257530618357</v>
          </cell>
          <cell r="AS53">
            <v>405.66217323829574</v>
          </cell>
          <cell r="AT53">
            <v>404.62585576403291</v>
          </cell>
          <cell r="AU53">
            <v>1605.1806043085121</v>
          </cell>
          <cell r="AV53">
            <v>1834.6395870702713</v>
          </cell>
          <cell r="AW53">
            <v>2049.5369591241219</v>
          </cell>
          <cell r="AX53">
            <v>2248.2245744108222</v>
          </cell>
          <cell r="AY53">
            <v>2530.7689884474939</v>
          </cell>
          <cell r="AZ53">
            <v>2377.8496295155933</v>
          </cell>
          <cell r="BA53">
            <v>2630.1108971223503</v>
          </cell>
        </row>
        <row r="54">
          <cell r="A54" t="str">
            <v xml:space="preserve">     PBT Margin (%)</v>
          </cell>
          <cell r="B54">
            <v>0.26641404577698058</v>
          </cell>
          <cell r="G54">
            <v>9.5882084789545657E-2</v>
          </cell>
          <cell r="L54">
            <v>-2.3690717015059565E-2</v>
          </cell>
          <cell r="M54">
            <v>4.2556634304207121E-2</v>
          </cell>
          <cell r="N54">
            <v>-0.10862668076748754</v>
          </cell>
          <cell r="O54">
            <v>2.0607857672349888E-2</v>
          </cell>
          <cell r="P54">
            <v>1.7279821627647716E-2</v>
          </cell>
          <cell r="Q54">
            <v>-7.2080838323353427E-3</v>
          </cell>
          <cell r="R54">
            <v>3.5895209147488782E-2</v>
          </cell>
          <cell r="S54">
            <v>3.3744505884020982E-2</v>
          </cell>
          <cell r="T54">
            <v>4.2587921056536575E-2</v>
          </cell>
          <cell r="U54">
            <v>4.2194092827004218E-2</v>
          </cell>
          <cell r="V54">
            <v>3.8550808732864289E-2</v>
          </cell>
          <cell r="W54">
            <v>5.5768935320325702E-2</v>
          </cell>
          <cell r="X54">
            <v>7.5532403860885555E-2</v>
          </cell>
          <cell r="Y54">
            <v>6.8474473564611421E-2</v>
          </cell>
          <cell r="Z54">
            <v>3.417487684729064E-2</v>
          </cell>
          <cell r="AA54">
            <v>5.8546665136034896E-2</v>
          </cell>
          <cell r="AB54">
            <v>5.1217596229379415E-2</v>
          </cell>
          <cell r="AC54">
            <v>-0.31669894235066287</v>
          </cell>
          <cell r="AD54">
            <v>8.242496640286695E-2</v>
          </cell>
          <cell r="AE54">
            <v>0.1047939199064601</v>
          </cell>
          <cell r="AF54">
            <v>-1.9949656234737198E-2</v>
          </cell>
          <cell r="AG54">
            <v>6.3836380539200502E-2</v>
          </cell>
          <cell r="AH54">
            <v>8.0153800650695065E-2</v>
          </cell>
          <cell r="AI54">
            <v>4.1215403128760528E-2</v>
          </cell>
          <cell r="AJ54">
            <v>0</v>
          </cell>
          <cell r="AL54">
            <v>0.21911283119976183</v>
          </cell>
          <cell r="AM54">
            <v>0.1130820399113082</v>
          </cell>
          <cell r="AN54">
            <v>9.0367965367965361E-2</v>
          </cell>
          <cell r="AO54">
            <v>0.10268523122824466</v>
          </cell>
          <cell r="AP54">
            <v>0.12877085461355126</v>
          </cell>
          <cell r="AQ54">
            <v>0.10086229422524171</v>
          </cell>
          <cell r="AR54">
            <v>0.10652440568886352</v>
          </cell>
          <cell r="AS54">
            <v>0.11034615905713108</v>
          </cell>
          <cell r="AT54">
            <v>9.7666250854556269E-2</v>
          </cell>
          <cell r="AU54">
            <v>0.10366235810988496</v>
          </cell>
          <cell r="AV54">
            <v>0.10526987880362751</v>
          </cell>
          <cell r="AW54">
            <v>0.10743534335220527</v>
          </cell>
          <cell r="AX54">
            <v>0.10786783582396035</v>
          </cell>
          <cell r="AY54">
            <v>0.11204896387491196</v>
          </cell>
          <cell r="AZ54">
            <v>9.740850115755785E-2</v>
          </cell>
          <cell r="BA54">
            <v>9.9849552578172365E-2</v>
          </cell>
        </row>
        <row r="55">
          <cell r="A55" t="str">
            <v>Tax on exceptionals</v>
          </cell>
          <cell r="U55">
            <v>250</v>
          </cell>
          <cell r="Z55">
            <v>894</v>
          </cell>
          <cell r="AA55">
            <v>894</v>
          </cell>
          <cell r="AC55">
            <v>491</v>
          </cell>
          <cell r="AF55">
            <v>491</v>
          </cell>
          <cell r="BG55" t="str">
            <v>mstag:taxOnIncomeLossFromExtraordinaryItems</v>
          </cell>
          <cell r="BH55">
            <v>6</v>
          </cell>
          <cell r="BI55" t="str">
            <v>ISO4217:SEK</v>
          </cell>
          <cell r="BJ55" t="b">
            <v>1</v>
          </cell>
          <cell r="BK55" t="b">
            <v>0</v>
          </cell>
        </row>
        <row r="56">
          <cell r="A56" t="str">
            <v>Taxes</v>
          </cell>
          <cell r="B56">
            <v>-2635</v>
          </cell>
          <cell r="C56">
            <v>-180</v>
          </cell>
          <cell r="D56">
            <v>-565</v>
          </cell>
          <cell r="E56">
            <v>-154</v>
          </cell>
          <cell r="F56">
            <v>683</v>
          </cell>
          <cell r="G56">
            <v>-216</v>
          </cell>
          <cell r="H56">
            <v>-203</v>
          </cell>
          <cell r="I56">
            <v>729</v>
          </cell>
          <cell r="J56">
            <v>-139</v>
          </cell>
          <cell r="K56">
            <v>1186</v>
          </cell>
          <cell r="L56">
            <v>1573</v>
          </cell>
          <cell r="M56">
            <v>-142</v>
          </cell>
          <cell r="N56">
            <v>211</v>
          </cell>
          <cell r="O56">
            <v>-120.2</v>
          </cell>
          <cell r="P56">
            <v>-118.8</v>
          </cell>
          <cell r="Q56">
            <v>-170</v>
          </cell>
          <cell r="R56">
            <v>-145</v>
          </cell>
          <cell r="S56">
            <v>-177</v>
          </cell>
          <cell r="T56">
            <v>-183</v>
          </cell>
          <cell r="U56">
            <v>-138</v>
          </cell>
          <cell r="V56">
            <v>-643</v>
          </cell>
          <cell r="W56">
            <v>-209</v>
          </cell>
          <cell r="X56">
            <v>-277</v>
          </cell>
          <cell r="Y56">
            <v>-227</v>
          </cell>
          <cell r="Z56">
            <v>-222</v>
          </cell>
          <cell r="AA56">
            <v>-935</v>
          </cell>
          <cell r="AB56">
            <v>-221</v>
          </cell>
          <cell r="AC56">
            <v>-259</v>
          </cell>
          <cell r="AD56">
            <v>-275</v>
          </cell>
          <cell r="AE56">
            <v>-327</v>
          </cell>
          <cell r="AF56">
            <v>-1082</v>
          </cell>
          <cell r="AG56">
            <v>-122</v>
          </cell>
          <cell r="AH56">
            <v>-136</v>
          </cell>
          <cell r="AI56">
            <v>-130</v>
          </cell>
          <cell r="AL56">
            <v>-134</v>
          </cell>
          <cell r="AM56">
            <v>-160</v>
          </cell>
          <cell r="AN56">
            <v>-115</v>
          </cell>
          <cell r="AO56">
            <v>-156</v>
          </cell>
          <cell r="AP56">
            <v>-565</v>
          </cell>
          <cell r="AQ56">
            <v>-110</v>
          </cell>
          <cell r="AR56">
            <v>-155.37917861634975</v>
          </cell>
          <cell r="AS56">
            <v>-154.15162583055238</v>
          </cell>
          <cell r="AT56">
            <v>-153.75782519033251</v>
          </cell>
          <cell r="AU56">
            <v>-573.28862963723464</v>
          </cell>
          <cell r="AV56">
            <v>-697.16304308670306</v>
          </cell>
          <cell r="AW56">
            <v>-778.82404446716635</v>
          </cell>
          <cell r="AX56">
            <v>-854.32533827611246</v>
          </cell>
          <cell r="AY56">
            <v>-961.6922156100477</v>
          </cell>
          <cell r="AZ56">
            <v>-903.58285921592551</v>
          </cell>
          <cell r="BA56">
            <v>-999.44214090649314</v>
          </cell>
          <cell r="BG56" t="str">
            <v>mstag:taxExpenseIncome</v>
          </cell>
          <cell r="BH56">
            <v>6</v>
          </cell>
          <cell r="BI56" t="str">
            <v>ISO4217:SEK</v>
          </cell>
          <cell r="BJ56" t="b">
            <v>1</v>
          </cell>
          <cell r="BK56" t="b">
            <v>0</v>
          </cell>
        </row>
        <row r="57">
          <cell r="A57" t="str">
            <v xml:space="preserve">     Tax Rate (%)</v>
          </cell>
          <cell r="B57">
            <v>0.52795020477856047</v>
          </cell>
          <cell r="G57">
            <v>0.11410459587955626</v>
          </cell>
          <cell r="L57">
            <v>2.9848197343453511</v>
          </cell>
          <cell r="M57">
            <v>0.53992395437262353</v>
          </cell>
          <cell r="N57">
            <v>0.29346314325452016</v>
          </cell>
          <cell r="O57">
            <v>0.8647482014388489</v>
          </cell>
          <cell r="P57">
            <v>0.95806451612903221</v>
          </cell>
          <cell r="Q57">
            <v>0.17051153460381152</v>
          </cell>
          <cell r="R57">
            <v>0.58467741935483875</v>
          </cell>
          <cell r="S57">
            <v>0.74369747899159666</v>
          </cell>
          <cell r="T57">
            <v>0.6376306620209059</v>
          </cell>
          <cell r="U57">
            <v>0.47586206896551725</v>
          </cell>
          <cell r="V57">
            <v>0.60489181561618066</v>
          </cell>
          <cell r="W57">
            <v>0.5757575757575758</v>
          </cell>
          <cell r="X57">
            <v>0.56186612576064909</v>
          </cell>
          <cell r="Y57">
            <v>0.50221238938053092</v>
          </cell>
          <cell r="Z57">
            <v>1</v>
          </cell>
          <cell r="AA57">
            <v>0.61111111111111116</v>
          </cell>
          <cell r="AB57">
            <v>0.67791411042944782</v>
          </cell>
          <cell r="AC57">
            <v>0.47435897435897434</v>
          </cell>
          <cell r="AD57">
            <v>0.49818840579710144</v>
          </cell>
          <cell r="AE57">
            <v>0.45606694560669458</v>
          </cell>
          <cell r="AF57">
            <v>-2.0376647834274952</v>
          </cell>
          <cell r="AG57">
            <v>0.59223300970873782</v>
          </cell>
          <cell r="AH57">
            <v>0.50184501845018448</v>
          </cell>
          <cell r="AI57">
            <v>0.94890510948905105</v>
          </cell>
          <cell r="AJ57" t="e">
            <v>#DIV/0!</v>
          </cell>
          <cell r="AL57">
            <v>0.18206521739130435</v>
          </cell>
          <cell r="AM57">
            <v>0.39215686274509803</v>
          </cell>
          <cell r="AN57">
            <v>0.32951289398280803</v>
          </cell>
          <cell r="AO57">
            <v>0.36027713625866054</v>
          </cell>
          <cell r="AP57">
            <v>0.29878371232152301</v>
          </cell>
          <cell r="AQ57">
            <v>0.28497409326424872</v>
          </cell>
          <cell r="AR57">
            <v>0.38</v>
          </cell>
          <cell r="AS57">
            <v>0.38</v>
          </cell>
          <cell r="AT57">
            <v>0.38</v>
          </cell>
          <cell r="AU57">
            <v>0.35714898877948931</v>
          </cell>
          <cell r="AV57">
            <v>0.38</v>
          </cell>
          <cell r="AW57">
            <v>0.38</v>
          </cell>
          <cell r="AX57">
            <v>0.38</v>
          </cell>
          <cell r="AY57">
            <v>0.38</v>
          </cell>
          <cell r="AZ57">
            <v>0.38</v>
          </cell>
          <cell r="BA57">
            <v>0.38</v>
          </cell>
        </row>
        <row r="58">
          <cell r="B58" t="str">
            <v>_____</v>
          </cell>
          <cell r="C58" t="str">
            <v>_____</v>
          </cell>
          <cell r="D58" t="str">
            <v>_____</v>
          </cell>
          <cell r="E58" t="str">
            <v>_____</v>
          </cell>
          <cell r="F58" t="str">
            <v>_____</v>
          </cell>
          <cell r="G58" t="str">
            <v>_____</v>
          </cell>
          <cell r="H58" t="str">
            <v>_____</v>
          </cell>
          <cell r="I58" t="str">
            <v>_____</v>
          </cell>
          <cell r="J58" t="str">
            <v>_____</v>
          </cell>
          <cell r="K58" t="str">
            <v>_____</v>
          </cell>
          <cell r="L58" t="str">
            <v>_____</v>
          </cell>
          <cell r="M58" t="str">
            <v>_____</v>
          </cell>
          <cell r="N58" t="str">
            <v>_____</v>
          </cell>
          <cell r="O58" t="str">
            <v>_____</v>
          </cell>
          <cell r="P58" t="str">
            <v>_____</v>
          </cell>
          <cell r="Q58" t="str">
            <v>_____</v>
          </cell>
          <cell r="R58" t="str">
            <v>_____</v>
          </cell>
          <cell r="S58" t="str">
            <v>_____</v>
          </cell>
          <cell r="T58" t="str">
            <v>_____</v>
          </cell>
          <cell r="U58" t="str">
            <v>_____</v>
          </cell>
          <cell r="V58" t="str">
            <v>_____</v>
          </cell>
          <cell r="W58" t="str">
            <v>_____</v>
          </cell>
          <cell r="X58" t="str">
            <v>_____</v>
          </cell>
          <cell r="Y58" t="str">
            <v>_____</v>
          </cell>
          <cell r="Z58" t="str">
            <v>_____</v>
          </cell>
          <cell r="AA58" t="str">
            <v>_____</v>
          </cell>
          <cell r="AB58" t="str">
            <v>_____</v>
          </cell>
          <cell r="AC58" t="str">
            <v>_____</v>
          </cell>
          <cell r="AD58" t="str">
            <v>_____</v>
          </cell>
          <cell r="AE58" t="str">
            <v>_____</v>
          </cell>
          <cell r="AF58" t="str">
            <v>_____</v>
          </cell>
          <cell r="AG58" t="str">
            <v>_____</v>
          </cell>
          <cell r="AH58" t="str">
            <v>_____</v>
          </cell>
          <cell r="AI58" t="str">
            <v>_____</v>
          </cell>
          <cell r="AJ58" t="str">
            <v>_____</v>
          </cell>
          <cell r="AL58" t="str">
            <v>_____</v>
          </cell>
          <cell r="AM58" t="str">
            <v>_____</v>
          </cell>
          <cell r="AN58" t="str">
            <v>_____</v>
          </cell>
          <cell r="AO58" t="str">
            <v>_____</v>
          </cell>
          <cell r="AP58" t="str">
            <v>_____</v>
          </cell>
          <cell r="AQ58" t="str">
            <v>_____</v>
          </cell>
          <cell r="AR58" t="str">
            <v>_____</v>
          </cell>
          <cell r="AS58" t="str">
            <v>_____</v>
          </cell>
          <cell r="AT58" t="str">
            <v>_____</v>
          </cell>
          <cell r="AU58" t="str">
            <v>_____</v>
          </cell>
          <cell r="AV58" t="str">
            <v>_____</v>
          </cell>
          <cell r="AW58" t="str">
            <v>_____</v>
          </cell>
          <cell r="AX58" t="str">
            <v>_____</v>
          </cell>
          <cell r="AY58" t="str">
            <v>_____</v>
          </cell>
          <cell r="AZ58" t="str">
            <v>_____</v>
          </cell>
          <cell r="BA58" t="str">
            <v>_____</v>
          </cell>
        </row>
        <row r="59">
          <cell r="A59" t="str">
            <v>Income before Minority Interests</v>
          </cell>
          <cell r="B59">
            <v>2356.0010000000002</v>
          </cell>
          <cell r="C59">
            <v>83</v>
          </cell>
          <cell r="D59">
            <v>749</v>
          </cell>
          <cell r="E59">
            <v>30</v>
          </cell>
          <cell r="F59">
            <v>815</v>
          </cell>
          <cell r="G59">
            <v>1677</v>
          </cell>
          <cell r="H59">
            <v>118</v>
          </cell>
          <cell r="I59">
            <v>1154</v>
          </cell>
          <cell r="J59">
            <v>33</v>
          </cell>
          <cell r="K59">
            <v>-259</v>
          </cell>
          <cell r="L59">
            <v>1046</v>
          </cell>
          <cell r="M59">
            <v>121</v>
          </cell>
          <cell r="N59">
            <v>-508</v>
          </cell>
          <cell r="O59">
            <v>18.799999999999997</v>
          </cell>
          <cell r="P59">
            <v>5.2000000000000028</v>
          </cell>
          <cell r="Q59">
            <v>-362.60000000000036</v>
          </cell>
          <cell r="R59">
            <v>103</v>
          </cell>
          <cell r="S59">
            <v>61</v>
          </cell>
          <cell r="T59">
            <v>104</v>
          </cell>
          <cell r="U59">
            <v>402</v>
          </cell>
          <cell r="V59">
            <v>420</v>
          </cell>
          <cell r="W59">
            <v>154</v>
          </cell>
          <cell r="X59">
            <v>216</v>
          </cell>
          <cell r="Y59">
            <v>225</v>
          </cell>
          <cell r="Z59">
            <v>894</v>
          </cell>
          <cell r="AA59">
            <v>1489</v>
          </cell>
          <cell r="AB59">
            <v>105</v>
          </cell>
          <cell r="AC59">
            <v>-1894</v>
          </cell>
          <cell r="AD59">
            <v>277</v>
          </cell>
          <cell r="AE59">
            <v>390</v>
          </cell>
          <cell r="AF59">
            <v>-1122</v>
          </cell>
          <cell r="AG59">
            <v>84</v>
          </cell>
          <cell r="AH59">
            <v>135</v>
          </cell>
          <cell r="AI59">
            <v>7</v>
          </cell>
          <cell r="AJ59">
            <v>0</v>
          </cell>
          <cell r="AL59">
            <v>602</v>
          </cell>
          <cell r="AM59">
            <v>248</v>
          </cell>
          <cell r="AN59">
            <v>219</v>
          </cell>
          <cell r="AO59">
            <v>257</v>
          </cell>
          <cell r="AP59">
            <v>1326</v>
          </cell>
          <cell r="AQ59">
            <v>276</v>
          </cell>
          <cell r="AR59">
            <v>253.51339668983383</v>
          </cell>
          <cell r="AS59">
            <v>251.51054740774336</v>
          </cell>
          <cell r="AT59">
            <v>250.86803057370039</v>
          </cell>
          <cell r="AU59">
            <v>1031.8919746712777</v>
          </cell>
          <cell r="AV59">
            <v>1137.4765439835683</v>
          </cell>
          <cell r="AW59">
            <v>1270.7129146569555</v>
          </cell>
          <cell r="AX59">
            <v>1393.8992361347098</v>
          </cell>
          <cell r="AY59">
            <v>1569.0767728374462</v>
          </cell>
          <cell r="AZ59">
            <v>1474.2667702996678</v>
          </cell>
          <cell r="BA59">
            <v>1630.6687562158572</v>
          </cell>
        </row>
        <row r="60">
          <cell r="A60" t="str">
            <v>Sensitivity Analysis</v>
          </cell>
        </row>
        <row r="61">
          <cell r="A61" t="str">
            <v>New acquisition</v>
          </cell>
          <cell r="AV61">
            <v>0</v>
          </cell>
          <cell r="AW61">
            <v>0</v>
          </cell>
          <cell r="AX61">
            <v>0</v>
          </cell>
          <cell r="AY61">
            <v>0</v>
          </cell>
          <cell r="AZ61">
            <v>0</v>
          </cell>
          <cell r="BA61">
            <v>0</v>
          </cell>
        </row>
        <row r="62">
          <cell r="A62" t="str">
            <v>New acquisition growth rate</v>
          </cell>
          <cell r="AW62">
            <v>-1</v>
          </cell>
          <cell r="AX62">
            <v>0</v>
          </cell>
          <cell r="AY62">
            <v>0</v>
          </cell>
          <cell r="AZ62">
            <v>0</v>
          </cell>
          <cell r="BA62">
            <v>0</v>
          </cell>
        </row>
        <row r="63">
          <cell r="A63" t="str">
            <v>Existing acquisition growth</v>
          </cell>
          <cell r="AW63">
            <v>0</v>
          </cell>
          <cell r="AX63">
            <v>0</v>
          </cell>
          <cell r="AY63">
            <v>0</v>
          </cell>
          <cell r="AZ63">
            <v>0</v>
          </cell>
          <cell r="BA63">
            <v>0</v>
          </cell>
        </row>
        <row r="64">
          <cell r="A64">
            <v>0</v>
          </cell>
          <cell r="AV64">
            <v>0</v>
          </cell>
          <cell r="AW64">
            <v>0</v>
          </cell>
          <cell r="AX64">
            <v>0</v>
          </cell>
          <cell r="AY64">
            <v>0</v>
          </cell>
          <cell r="AZ64">
            <v>0</v>
          </cell>
          <cell r="BA64">
            <v>0</v>
          </cell>
        </row>
        <row r="65">
          <cell r="A65" t="str">
            <v>New acquisition</v>
          </cell>
          <cell r="AV65">
            <v>25</v>
          </cell>
          <cell r="AW65">
            <v>0</v>
          </cell>
          <cell r="AX65">
            <v>0</v>
          </cell>
          <cell r="AY65">
            <v>0</v>
          </cell>
          <cell r="AZ65">
            <v>0</v>
          </cell>
          <cell r="BA65">
            <v>0</v>
          </cell>
        </row>
        <row r="66">
          <cell r="A66" t="str">
            <v>New acquisition growth rate</v>
          </cell>
          <cell r="AW66">
            <v>-1</v>
          </cell>
          <cell r="AX66">
            <v>0</v>
          </cell>
          <cell r="AY66">
            <v>0</v>
          </cell>
          <cell r="AZ66">
            <v>0</v>
          </cell>
          <cell r="BA66">
            <v>0</v>
          </cell>
        </row>
        <row r="67">
          <cell r="A67" t="str">
            <v>Existing acquisition growth</v>
          </cell>
          <cell r="AW67">
            <v>28.749999999999996</v>
          </cell>
          <cell r="AX67">
            <v>33.062499999999993</v>
          </cell>
          <cell r="AY67">
            <v>38.021874999999987</v>
          </cell>
          <cell r="AZ67">
            <v>43.725156249999984</v>
          </cell>
          <cell r="BA67">
            <v>50.283929687499977</v>
          </cell>
        </row>
        <row r="68">
          <cell r="A68">
            <v>25</v>
          </cell>
          <cell r="AV68">
            <v>25</v>
          </cell>
          <cell r="AW68">
            <v>28.749999999999996</v>
          </cell>
          <cell r="AX68">
            <v>33.062499999999993</v>
          </cell>
          <cell r="AY68">
            <v>38.021874999999987</v>
          </cell>
          <cell r="AZ68">
            <v>43.725156249999984</v>
          </cell>
          <cell r="BA68">
            <v>50.283929687499977</v>
          </cell>
          <cell r="BD68">
            <v>0.15</v>
          </cell>
          <cell r="BE68" t="str">
            <v>growth rate</v>
          </cell>
        </row>
        <row r="69">
          <cell r="A69" t="str">
            <v>New acquisition</v>
          </cell>
          <cell r="AV69">
            <v>75</v>
          </cell>
          <cell r="AW69">
            <v>0</v>
          </cell>
          <cell r="AX69">
            <v>0</v>
          </cell>
          <cell r="AY69">
            <v>0</v>
          </cell>
          <cell r="AZ69">
            <v>0</v>
          </cell>
          <cell r="BA69">
            <v>0</v>
          </cell>
        </row>
        <row r="70">
          <cell r="A70" t="str">
            <v>New acquisition growth rate</v>
          </cell>
          <cell r="AW70">
            <v>-1</v>
          </cell>
          <cell r="AX70">
            <v>0</v>
          </cell>
          <cell r="AY70">
            <v>0</v>
          </cell>
          <cell r="AZ70">
            <v>0</v>
          </cell>
          <cell r="BA70">
            <v>0</v>
          </cell>
        </row>
        <row r="71">
          <cell r="A71" t="str">
            <v>Existing acquisition growth</v>
          </cell>
          <cell r="AW71">
            <v>86.25</v>
          </cell>
          <cell r="AX71">
            <v>99.187499999999986</v>
          </cell>
          <cell r="AY71">
            <v>114.06562499999997</v>
          </cell>
          <cell r="AZ71">
            <v>131.17546874999996</v>
          </cell>
          <cell r="BA71">
            <v>150.85178906249996</v>
          </cell>
        </row>
        <row r="72">
          <cell r="A72">
            <v>75</v>
          </cell>
          <cell r="AV72">
            <v>75</v>
          </cell>
          <cell r="AW72">
            <v>86.25</v>
          </cell>
          <cell r="AX72">
            <v>99.187499999999986</v>
          </cell>
          <cell r="AY72">
            <v>114.06562499999997</v>
          </cell>
          <cell r="AZ72">
            <v>131.17546874999996</v>
          </cell>
          <cell r="BA72">
            <v>150.85178906249996</v>
          </cell>
          <cell r="BD72">
            <v>20</v>
          </cell>
          <cell r="BE72" t="str">
            <v>2007 P/E</v>
          </cell>
        </row>
        <row r="73">
          <cell r="A73" t="str">
            <v>New acquisition</v>
          </cell>
          <cell r="AV73">
            <v>550</v>
          </cell>
          <cell r="AW73">
            <v>0</v>
          </cell>
          <cell r="AX73">
            <v>0</v>
          </cell>
          <cell r="AY73">
            <v>0</v>
          </cell>
          <cell r="AZ73">
            <v>0</v>
          </cell>
          <cell r="BA73">
            <v>0</v>
          </cell>
        </row>
        <row r="74">
          <cell r="A74" t="str">
            <v>New acquisition growth rate</v>
          </cell>
          <cell r="AW74">
            <v>-1</v>
          </cell>
          <cell r="AX74">
            <v>0</v>
          </cell>
          <cell r="AY74">
            <v>0</v>
          </cell>
          <cell r="AZ74">
            <v>0</v>
          </cell>
          <cell r="BA74">
            <v>0</v>
          </cell>
        </row>
        <row r="75">
          <cell r="A75" t="str">
            <v>Existing acquisition growth</v>
          </cell>
          <cell r="AW75">
            <v>632.5</v>
          </cell>
          <cell r="AX75">
            <v>727.375</v>
          </cell>
          <cell r="AY75">
            <v>836.48124999999993</v>
          </cell>
          <cell r="AZ75">
            <v>961.95343749999984</v>
          </cell>
          <cell r="BA75">
            <v>1106.2464531249998</v>
          </cell>
        </row>
        <row r="76">
          <cell r="A76">
            <v>550</v>
          </cell>
          <cell r="AV76">
            <v>550</v>
          </cell>
          <cell r="AW76">
            <v>632.5</v>
          </cell>
          <cell r="AX76">
            <v>727.375</v>
          </cell>
          <cell r="AY76">
            <v>836.48124999999993</v>
          </cell>
          <cell r="AZ76">
            <v>961.95343749999984</v>
          </cell>
          <cell r="BA76">
            <v>1106.2464531249998</v>
          </cell>
          <cell r="BD76">
            <v>1</v>
          </cell>
          <cell r="BE76" t="str">
            <v>toggle</v>
          </cell>
        </row>
        <row r="77">
          <cell r="A77" t="str">
            <v>New acquisition</v>
          </cell>
          <cell r="AV77">
            <v>25</v>
          </cell>
          <cell r="AW77">
            <v>27.500000000000004</v>
          </cell>
          <cell r="AX77">
            <v>30.250000000000007</v>
          </cell>
          <cell r="AY77">
            <v>33.275000000000013</v>
          </cell>
          <cell r="AZ77">
            <v>36.60250000000002</v>
          </cell>
          <cell r="BA77">
            <v>40.262750000000025</v>
          </cell>
        </row>
        <row r="78">
          <cell r="A78" t="str">
            <v>New acquisition growth rate</v>
          </cell>
          <cell r="AW78">
            <v>0.1</v>
          </cell>
          <cell r="AX78">
            <v>0.1</v>
          </cell>
          <cell r="AY78">
            <v>0.1</v>
          </cell>
          <cell r="AZ78">
            <v>0.1</v>
          </cell>
          <cell r="BA78">
            <v>0.1</v>
          </cell>
          <cell r="BD78">
            <v>0.1</v>
          </cell>
          <cell r="BE78" t="str">
            <v>Increase / yr in acqns</v>
          </cell>
        </row>
        <row r="79">
          <cell r="A79" t="str">
            <v>Existing acquisition growth</v>
          </cell>
          <cell r="AW79">
            <v>28.749999999999996</v>
          </cell>
          <cell r="AX79">
            <v>64.6875</v>
          </cell>
          <cell r="AY79">
            <v>109.17812499999999</v>
          </cell>
          <cell r="AZ79">
            <v>163.82109374999999</v>
          </cell>
          <cell r="BA79">
            <v>230.48713281249999</v>
          </cell>
        </row>
        <row r="80">
          <cell r="A80">
            <v>25</v>
          </cell>
          <cell r="AV80">
            <v>25</v>
          </cell>
          <cell r="AW80">
            <v>56.25</v>
          </cell>
          <cell r="AX80">
            <v>94.9375</v>
          </cell>
          <cell r="AY80">
            <v>142.453125</v>
          </cell>
          <cell r="AZ80">
            <v>200.42359375000001</v>
          </cell>
          <cell r="BA80">
            <v>270.7498828125</v>
          </cell>
        </row>
        <row r="81">
          <cell r="A81" t="str">
            <v>New acquisition</v>
          </cell>
          <cell r="AV81">
            <v>75</v>
          </cell>
          <cell r="AW81">
            <v>82.5</v>
          </cell>
          <cell r="AX81">
            <v>90.750000000000014</v>
          </cell>
          <cell r="AY81">
            <v>99.825000000000017</v>
          </cell>
          <cell r="AZ81">
            <v>109.80750000000003</v>
          </cell>
          <cell r="BA81">
            <v>120.78825000000005</v>
          </cell>
        </row>
        <row r="82">
          <cell r="A82" t="str">
            <v>New acquisition growth rate</v>
          </cell>
          <cell r="AW82">
            <v>0.1</v>
          </cell>
          <cell r="AX82">
            <v>0.1</v>
          </cell>
          <cell r="AY82">
            <v>0.1</v>
          </cell>
          <cell r="AZ82">
            <v>0.1</v>
          </cell>
          <cell r="BA82">
            <v>0.1</v>
          </cell>
        </row>
        <row r="83">
          <cell r="A83" t="str">
            <v>Existing acquisition growth</v>
          </cell>
          <cell r="AW83">
            <v>86.25</v>
          </cell>
          <cell r="AX83">
            <v>194.06249999999997</v>
          </cell>
          <cell r="AY83">
            <v>327.53437499999995</v>
          </cell>
          <cell r="AZ83">
            <v>491.46328124999997</v>
          </cell>
          <cell r="BA83">
            <v>691.46139843749995</v>
          </cell>
        </row>
        <row r="84">
          <cell r="A84">
            <v>75</v>
          </cell>
          <cell r="AV84">
            <v>75</v>
          </cell>
          <cell r="AW84">
            <v>168.75</v>
          </cell>
          <cell r="AX84">
            <v>284.8125</v>
          </cell>
          <cell r="AY84">
            <v>427.359375</v>
          </cell>
          <cell r="AZ84">
            <v>601.27078125000003</v>
          </cell>
          <cell r="BA84">
            <v>812.24964843750001</v>
          </cell>
        </row>
        <row r="85">
          <cell r="A85" t="str">
            <v>New acquisition</v>
          </cell>
          <cell r="AV85">
            <v>131.25</v>
          </cell>
          <cell r="AW85">
            <v>131.25</v>
          </cell>
          <cell r="AX85">
            <v>131.25</v>
          </cell>
          <cell r="AY85">
            <v>131.25</v>
          </cell>
          <cell r="AZ85">
            <v>0</v>
          </cell>
          <cell r="BA85">
            <v>0</v>
          </cell>
        </row>
        <row r="86">
          <cell r="A86" t="str">
            <v>New acquisition growth rate</v>
          </cell>
          <cell r="AW86">
            <v>0</v>
          </cell>
          <cell r="AX86">
            <v>0</v>
          </cell>
          <cell r="AY86">
            <v>0</v>
          </cell>
          <cell r="AZ86">
            <v>0</v>
          </cell>
          <cell r="BA86">
            <v>0</v>
          </cell>
        </row>
        <row r="87">
          <cell r="A87" t="str">
            <v>Existing acquisition growth</v>
          </cell>
          <cell r="AW87">
            <v>150.9375</v>
          </cell>
          <cell r="AX87">
            <v>324.515625</v>
          </cell>
          <cell r="AY87">
            <v>524.13046874999998</v>
          </cell>
          <cell r="AZ87">
            <v>753.68753906249992</v>
          </cell>
          <cell r="BA87">
            <v>866.74066992187488</v>
          </cell>
        </row>
        <row r="88">
          <cell r="A88">
            <v>131.25</v>
          </cell>
          <cell r="AV88">
            <v>131.25</v>
          </cell>
          <cell r="AW88">
            <v>282.1875</v>
          </cell>
          <cell r="AX88">
            <v>455.765625</v>
          </cell>
          <cell r="AY88">
            <v>655.38046874999998</v>
          </cell>
          <cell r="AZ88">
            <v>753.68753906249992</v>
          </cell>
          <cell r="BA88">
            <v>866.74066992187488</v>
          </cell>
        </row>
        <row r="89">
          <cell r="A89" t="str">
            <v>Net income from discontinued operations</v>
          </cell>
          <cell r="V89">
            <v>0</v>
          </cell>
          <cell r="AA89">
            <v>0</v>
          </cell>
          <cell r="AE89">
            <v>0</v>
          </cell>
          <cell r="AF89">
            <v>0</v>
          </cell>
          <cell r="AG89">
            <v>194</v>
          </cell>
          <cell r="AH89">
            <v>242</v>
          </cell>
          <cell r="AI89">
            <v>279</v>
          </cell>
          <cell r="AL89">
            <v>280</v>
          </cell>
          <cell r="AM89">
            <v>314</v>
          </cell>
          <cell r="AN89">
            <v>394</v>
          </cell>
          <cell r="AO89">
            <v>0</v>
          </cell>
          <cell r="AP89">
            <v>988</v>
          </cell>
          <cell r="AQ89">
            <v>0</v>
          </cell>
          <cell r="AR89">
            <v>0</v>
          </cell>
          <cell r="AS89">
            <v>0</v>
          </cell>
          <cell r="AT89">
            <v>0</v>
          </cell>
          <cell r="AU89">
            <v>0</v>
          </cell>
          <cell r="AV89">
            <v>0</v>
          </cell>
          <cell r="AW89">
            <v>0</v>
          </cell>
          <cell r="AX89">
            <v>0</v>
          </cell>
          <cell r="AY89">
            <v>0</v>
          </cell>
          <cell r="AZ89">
            <v>0</v>
          </cell>
          <cell r="BA89">
            <v>0</v>
          </cell>
          <cell r="BG89" t="str">
            <v>mstag:incomeLossFromDiscontinuedOperationsNetOfTax</v>
          </cell>
          <cell r="BH89">
            <v>6</v>
          </cell>
          <cell r="BI89" t="str">
            <v>ISO4217:SEK</v>
          </cell>
          <cell r="BJ89" t="b">
            <v>0</v>
          </cell>
          <cell r="BK89" t="b">
            <v>0</v>
          </cell>
        </row>
        <row r="90">
          <cell r="A90" t="str">
            <v>Gain on sale of discontinued operations</v>
          </cell>
          <cell r="AH90">
            <v>-2181</v>
          </cell>
          <cell r="AO90">
            <v>7211</v>
          </cell>
          <cell r="AP90">
            <v>7211</v>
          </cell>
          <cell r="AQ90">
            <v>0</v>
          </cell>
          <cell r="AR90">
            <v>0</v>
          </cell>
          <cell r="AS90">
            <v>0</v>
          </cell>
          <cell r="AT90">
            <v>0</v>
          </cell>
          <cell r="AU90">
            <v>0</v>
          </cell>
          <cell r="AV90">
            <v>0</v>
          </cell>
          <cell r="AW90">
            <v>0</v>
          </cell>
          <cell r="AX90">
            <v>0</v>
          </cell>
          <cell r="AY90">
            <v>0</v>
          </cell>
          <cell r="AZ90">
            <v>0</v>
          </cell>
          <cell r="BA90">
            <v>0</v>
          </cell>
          <cell r="BG90" t="str">
            <v>mstag:gainsLossesFromSaleOfOperatingAssetsOneTimeIncomeStatement</v>
          </cell>
          <cell r="BH90">
            <v>6</v>
          </cell>
          <cell r="BI90" t="str">
            <v>ISO4217:SEK</v>
          </cell>
          <cell r="BJ90" t="b">
            <v>0</v>
          </cell>
          <cell r="BK90" t="b">
            <v>0</v>
          </cell>
        </row>
        <row r="91">
          <cell r="A91" t="str">
            <v>Minority payments</v>
          </cell>
          <cell r="B91">
            <v>-48</v>
          </cell>
          <cell r="C91">
            <v>-14</v>
          </cell>
          <cell r="D91">
            <v>-10</v>
          </cell>
          <cell r="E91">
            <v>-28</v>
          </cell>
          <cell r="F91">
            <v>-20</v>
          </cell>
          <cell r="G91">
            <v>-72</v>
          </cell>
          <cell r="H91">
            <v>-20</v>
          </cell>
          <cell r="I91">
            <v>-15</v>
          </cell>
          <cell r="J91">
            <v>-10</v>
          </cell>
          <cell r="K91">
            <v>-19</v>
          </cell>
          <cell r="L91">
            <v>-64</v>
          </cell>
          <cell r="M91">
            <v>-9</v>
          </cell>
          <cell r="N91">
            <v>-15.4</v>
          </cell>
          <cell r="O91">
            <v>-18</v>
          </cell>
          <cell r="P91">
            <v>-16.600000000000001</v>
          </cell>
          <cell r="Q91">
            <v>-59</v>
          </cell>
          <cell r="R91">
            <v>-14</v>
          </cell>
          <cell r="S91">
            <v>-15</v>
          </cell>
          <cell r="T91">
            <v>-12.6</v>
          </cell>
          <cell r="U91">
            <v>-16</v>
          </cell>
          <cell r="V91">
            <v>-57.6</v>
          </cell>
          <cell r="W91">
            <v>-16</v>
          </cell>
          <cell r="X91">
            <v>-17</v>
          </cell>
          <cell r="Y91">
            <v>-19</v>
          </cell>
          <cell r="Z91">
            <v>-15</v>
          </cell>
          <cell r="AA91">
            <v>-67</v>
          </cell>
          <cell r="AB91">
            <v>-17</v>
          </cell>
          <cell r="AC91">
            <v>-22</v>
          </cell>
          <cell r="AD91">
            <v>-20.3</v>
          </cell>
          <cell r="AE91">
            <v>-15</v>
          </cell>
          <cell r="AF91">
            <v>-74.3</v>
          </cell>
          <cell r="AG91">
            <v>-16.501000000000001</v>
          </cell>
          <cell r="AH91">
            <v>-22</v>
          </cell>
          <cell r="AI91">
            <v>-20</v>
          </cell>
          <cell r="AL91">
            <v>-8</v>
          </cell>
          <cell r="AM91">
            <v>-10</v>
          </cell>
          <cell r="AN91">
            <v>-14</v>
          </cell>
          <cell r="AO91">
            <v>-5</v>
          </cell>
          <cell r="AP91">
            <v>-37</v>
          </cell>
          <cell r="AQ91">
            <v>-1</v>
          </cell>
          <cell r="AR91">
            <v>-10</v>
          </cell>
          <cell r="AS91">
            <v>-10</v>
          </cell>
          <cell r="AT91">
            <v>-10</v>
          </cell>
          <cell r="AU91">
            <v>-31</v>
          </cell>
          <cell r="AV91">
            <v>-34.1</v>
          </cell>
          <cell r="AW91">
            <v>-37.510000000000005</v>
          </cell>
          <cell r="AX91">
            <v>-41.26100000000001</v>
          </cell>
          <cell r="AY91">
            <v>-45.387100000000018</v>
          </cell>
          <cell r="AZ91">
            <v>-49.925810000000027</v>
          </cell>
          <cell r="BA91">
            <v>-54.918391000000035</v>
          </cell>
          <cell r="BG91" t="str">
            <v>mstag:minorityInterestsInNetIncome</v>
          </cell>
          <cell r="BH91">
            <v>6</v>
          </cell>
          <cell r="BI91" t="str">
            <v>ISO4217:SEK</v>
          </cell>
          <cell r="BJ91" t="b">
            <v>1</v>
          </cell>
          <cell r="BK91" t="b">
            <v>0</v>
          </cell>
        </row>
        <row r="92">
          <cell r="A92" t="str">
            <v>Accounting changes</v>
          </cell>
          <cell r="V92">
            <v>0</v>
          </cell>
          <cell r="AA92">
            <v>0</v>
          </cell>
          <cell r="AE92">
            <v>0</v>
          </cell>
          <cell r="AF92">
            <v>0</v>
          </cell>
          <cell r="AP92">
            <v>0</v>
          </cell>
          <cell r="AU92">
            <v>0</v>
          </cell>
          <cell r="AV92">
            <v>0</v>
          </cell>
          <cell r="AW92">
            <v>0</v>
          </cell>
          <cell r="AX92">
            <v>0</v>
          </cell>
          <cell r="AY92">
            <v>0</v>
          </cell>
          <cell r="AZ92">
            <v>0</v>
          </cell>
          <cell r="BA92">
            <v>0</v>
          </cell>
        </row>
        <row r="93">
          <cell r="B93" t="str">
            <v>_____</v>
          </cell>
          <cell r="C93" t="str">
            <v>_____</v>
          </cell>
          <cell r="D93" t="str">
            <v>_____</v>
          </cell>
          <cell r="E93" t="str">
            <v>_____</v>
          </cell>
          <cell r="F93" t="str">
            <v>_____</v>
          </cell>
          <cell r="G93" t="str">
            <v>_____</v>
          </cell>
          <cell r="H93" t="str">
            <v>_____</v>
          </cell>
          <cell r="I93" t="str">
            <v>_____</v>
          </cell>
          <cell r="J93" t="str">
            <v>_____</v>
          </cell>
          <cell r="K93" t="str">
            <v>_____</v>
          </cell>
          <cell r="L93" t="str">
            <v>_____</v>
          </cell>
          <cell r="M93" t="str">
            <v>_____</v>
          </cell>
          <cell r="N93" t="str">
            <v>_____</v>
          </cell>
          <cell r="O93" t="str">
            <v>_____</v>
          </cell>
          <cell r="P93" t="str">
            <v>_____</v>
          </cell>
          <cell r="Q93" t="str">
            <v>_____</v>
          </cell>
          <cell r="R93" t="str">
            <v>_____</v>
          </cell>
          <cell r="S93" t="str">
            <v>_____</v>
          </cell>
          <cell r="T93" t="str">
            <v>_____</v>
          </cell>
          <cell r="U93" t="str">
            <v>_____</v>
          </cell>
          <cell r="V93" t="str">
            <v>_____</v>
          </cell>
          <cell r="W93" t="str">
            <v>_____</v>
          </cell>
          <cell r="X93" t="str">
            <v>_____</v>
          </cell>
          <cell r="Y93" t="str">
            <v>_____</v>
          </cell>
          <cell r="Z93" t="str">
            <v>_____</v>
          </cell>
          <cell r="AA93" t="str">
            <v>_____</v>
          </cell>
          <cell r="AB93" t="str">
            <v>_____</v>
          </cell>
          <cell r="AC93" t="str">
            <v>_____</v>
          </cell>
          <cell r="AD93" t="str">
            <v>_____</v>
          </cell>
          <cell r="AE93" t="str">
            <v>_____</v>
          </cell>
          <cell r="AF93" t="str">
            <v>_____</v>
          </cell>
          <cell r="AG93" t="str">
            <v>_____</v>
          </cell>
          <cell r="AH93" t="str">
            <v>_____</v>
          </cell>
          <cell r="AI93" t="str">
            <v>_____</v>
          </cell>
          <cell r="AJ93" t="str">
            <v>_____</v>
          </cell>
          <cell r="AL93" t="str">
            <v>_____</v>
          </cell>
          <cell r="AM93" t="str">
            <v>_____</v>
          </cell>
          <cell r="AN93" t="str">
            <v>_____</v>
          </cell>
          <cell r="AO93" t="str">
            <v>_____</v>
          </cell>
          <cell r="AP93" t="str">
            <v>_____</v>
          </cell>
          <cell r="AQ93" t="str">
            <v>_____</v>
          </cell>
          <cell r="AR93" t="str">
            <v>_____</v>
          </cell>
          <cell r="AS93" t="str">
            <v>_____</v>
          </cell>
          <cell r="AT93" t="str">
            <v>_____</v>
          </cell>
          <cell r="AU93" t="str">
            <v>_____</v>
          </cell>
          <cell r="AV93" t="str">
            <v>_____</v>
          </cell>
          <cell r="AW93" t="str">
            <v>_____</v>
          </cell>
          <cell r="AX93" t="str">
            <v>_____</v>
          </cell>
          <cell r="AY93" t="str">
            <v>_____</v>
          </cell>
          <cell r="AZ93" t="str">
            <v>_____</v>
          </cell>
          <cell r="BA93" t="str">
            <v>_____</v>
          </cell>
        </row>
        <row r="94">
          <cell r="A94" t="str">
            <v>Net Income</v>
          </cell>
          <cell r="B94">
            <v>2308.0010000000002</v>
          </cell>
          <cell r="C94">
            <v>69</v>
          </cell>
          <cell r="D94">
            <v>739</v>
          </cell>
          <cell r="E94">
            <v>2</v>
          </cell>
          <cell r="F94">
            <v>795</v>
          </cell>
          <cell r="G94">
            <v>1605</v>
          </cell>
          <cell r="L94">
            <v>982</v>
          </cell>
          <cell r="M94">
            <v>112</v>
          </cell>
          <cell r="N94">
            <v>-523.4</v>
          </cell>
          <cell r="O94">
            <v>0.79999999999999716</v>
          </cell>
          <cell r="P94">
            <v>-11.399999999999999</v>
          </cell>
          <cell r="Q94">
            <v>-421.60000000000036</v>
          </cell>
          <cell r="R94">
            <v>89</v>
          </cell>
          <cell r="S94">
            <v>46</v>
          </cell>
          <cell r="T94">
            <v>91.4</v>
          </cell>
          <cell r="U94">
            <v>386</v>
          </cell>
          <cell r="V94">
            <v>362.4</v>
          </cell>
          <cell r="W94">
            <v>138</v>
          </cell>
          <cell r="X94">
            <v>199</v>
          </cell>
          <cell r="Y94">
            <v>206</v>
          </cell>
          <cell r="Z94">
            <v>879</v>
          </cell>
          <cell r="AA94">
            <v>1422</v>
          </cell>
          <cell r="AB94">
            <v>88</v>
          </cell>
          <cell r="AC94">
            <v>-1916</v>
          </cell>
          <cell r="AD94">
            <v>256.7</v>
          </cell>
          <cell r="AE94">
            <v>375</v>
          </cell>
          <cell r="AF94">
            <v>-1196.3</v>
          </cell>
          <cell r="AG94">
            <v>261.49900000000002</v>
          </cell>
          <cell r="AH94">
            <v>-1826</v>
          </cell>
          <cell r="AI94">
            <v>266</v>
          </cell>
          <cell r="AJ94">
            <v>0</v>
          </cell>
          <cell r="AL94">
            <v>874</v>
          </cell>
          <cell r="AM94">
            <v>552</v>
          </cell>
          <cell r="AN94">
            <v>599</v>
          </cell>
          <cell r="AO94">
            <v>7463</v>
          </cell>
          <cell r="AP94">
            <v>9488</v>
          </cell>
          <cell r="AQ94">
            <v>275</v>
          </cell>
          <cell r="AR94">
            <v>243.51339668983383</v>
          </cell>
          <cell r="AS94">
            <v>241.51054740774336</v>
          </cell>
          <cell r="AT94">
            <v>240.86803057370039</v>
          </cell>
          <cell r="AU94">
            <v>1000.8919746712776</v>
          </cell>
          <cell r="AV94">
            <v>1103.3765439835684</v>
          </cell>
          <cell r="AW94">
            <v>1233.2029146569555</v>
          </cell>
          <cell r="AX94">
            <v>1352.6382361347098</v>
          </cell>
          <cell r="AY94">
            <v>1523.6896728374463</v>
          </cell>
          <cell r="AZ94">
            <v>1424.3409602996678</v>
          </cell>
          <cell r="BA94">
            <v>1575.7503652158573</v>
          </cell>
        </row>
        <row r="95">
          <cell r="A95" t="str">
            <v>Exceptionals post-tax</v>
          </cell>
          <cell r="V95">
            <v>250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row>
        <row r="96">
          <cell r="A96" t="str">
            <v>Net Income pre-exceptionals</v>
          </cell>
          <cell r="B96">
            <v>155.0149925373135</v>
          </cell>
          <cell r="G96">
            <v>482.51460319999995</v>
          </cell>
          <cell r="L96">
            <v>330.60528568000001</v>
          </cell>
          <cell r="M96">
            <v>112</v>
          </cell>
          <cell r="N96">
            <v>-523.4</v>
          </cell>
          <cell r="O96">
            <v>0.79999999999999716</v>
          </cell>
          <cell r="P96">
            <v>-11.399999999999999</v>
          </cell>
          <cell r="Q96">
            <v>-421.60000000000036</v>
          </cell>
          <cell r="R96">
            <v>89</v>
          </cell>
          <cell r="S96">
            <v>46</v>
          </cell>
          <cell r="T96">
            <v>91.4</v>
          </cell>
          <cell r="U96">
            <v>386</v>
          </cell>
          <cell r="V96">
            <v>112.39999999999998</v>
          </cell>
          <cell r="W96">
            <v>138</v>
          </cell>
          <cell r="X96">
            <v>199</v>
          </cell>
          <cell r="Y96">
            <v>206</v>
          </cell>
          <cell r="Z96">
            <v>-15</v>
          </cell>
          <cell r="AA96">
            <v>528</v>
          </cell>
          <cell r="AB96">
            <v>88</v>
          </cell>
          <cell r="AC96">
            <v>265</v>
          </cell>
          <cell r="AD96">
            <v>256.7</v>
          </cell>
          <cell r="AE96">
            <v>375</v>
          </cell>
          <cell r="AF96">
            <v>984.7</v>
          </cell>
          <cell r="AG96">
            <v>261.49900000000002</v>
          </cell>
          <cell r="AH96">
            <v>355</v>
          </cell>
          <cell r="AI96">
            <v>266</v>
          </cell>
          <cell r="AJ96">
            <v>0</v>
          </cell>
          <cell r="AL96">
            <v>186</v>
          </cell>
          <cell r="AM96">
            <v>238</v>
          </cell>
          <cell r="AN96">
            <v>220</v>
          </cell>
          <cell r="AO96">
            <v>272</v>
          </cell>
          <cell r="AP96">
            <v>916</v>
          </cell>
          <cell r="AQ96">
            <v>275</v>
          </cell>
          <cell r="AR96">
            <v>243.51339668983383</v>
          </cell>
          <cell r="AS96">
            <v>241.51054740774336</v>
          </cell>
          <cell r="AT96">
            <v>240.86803057370039</v>
          </cell>
          <cell r="AU96">
            <v>1000.8919746712776</v>
          </cell>
          <cell r="AV96">
            <v>1103.3765439835684</v>
          </cell>
          <cell r="AW96">
            <v>1233.2029146569555</v>
          </cell>
          <cell r="AX96">
            <v>1352.6382361347098</v>
          </cell>
          <cell r="AY96">
            <v>1523.6896728374463</v>
          </cell>
          <cell r="AZ96">
            <v>1424.3409602996678</v>
          </cell>
          <cell r="BA96">
            <v>1575.7503652158573</v>
          </cell>
          <cell r="BN96">
            <v>929.73682382192987</v>
          </cell>
          <cell r="BO96">
            <v>1079.259135095667</v>
          </cell>
          <cell r="BP96">
            <v>1185.8213921390386</v>
          </cell>
          <cell r="BQ96">
            <v>1352.7696034294875</v>
          </cell>
          <cell r="BR96">
            <v>1507.264768738368</v>
          </cell>
        </row>
        <row r="97">
          <cell r="A97" t="str">
            <v xml:space="preserve">     Net Income Margin (%)</v>
          </cell>
          <cell r="B97">
            <v>8.274526756847804E-3</v>
          </cell>
          <cell r="G97">
            <v>2.4439781350352022E-2</v>
          </cell>
          <cell r="L97">
            <v>1.486200430119128E-2</v>
          </cell>
          <cell r="M97">
            <v>1.8122977346278317E-2</v>
          </cell>
          <cell r="N97">
            <v>-7.9075389031575766E-2</v>
          </cell>
          <cell r="O97">
            <v>1.1860637509266081E-4</v>
          </cell>
          <cell r="P97">
            <v>-1.5886287625418059E-3</v>
          </cell>
          <cell r="Q97">
            <v>-1.577844311377247E-2</v>
          </cell>
          <cell r="R97">
            <v>1.2881748444058474E-2</v>
          </cell>
          <cell r="S97">
            <v>6.5220473557351484E-3</v>
          </cell>
          <cell r="T97">
            <v>1.356284315180294E-2</v>
          </cell>
          <cell r="U97">
            <v>5.6161792521460786E-2</v>
          </cell>
          <cell r="V97">
            <v>4.0763037644157528E-3</v>
          </cell>
          <cell r="W97">
            <v>2.1201413427561839E-2</v>
          </cell>
          <cell r="X97">
            <v>3.0488739083805731E-2</v>
          </cell>
          <cell r="Y97">
            <v>3.1207392819269809E-2</v>
          </cell>
          <cell r="Z97">
            <v>-2.3091133004926111E-3</v>
          </cell>
          <cell r="AA97">
            <v>2.0204339341063023E-2</v>
          </cell>
          <cell r="AB97">
            <v>1.382560879811469E-2</v>
          </cell>
          <cell r="AC97">
            <v>3.9475644272307465E-2</v>
          </cell>
          <cell r="AD97">
            <v>3.8330595789159323E-2</v>
          </cell>
          <cell r="AE97">
            <v>5.4808535515931012E-2</v>
          </cell>
          <cell r="AF97">
            <v>3.6995153473344103E-2</v>
          </cell>
          <cell r="AG97">
            <v>8.1034707158351413E-2</v>
          </cell>
          <cell r="AH97">
            <v>0.10499852114758947</v>
          </cell>
          <cell r="AI97">
            <v>8.0024067388688322E-2</v>
          </cell>
          <cell r="AJ97">
            <v>0</v>
          </cell>
          <cell r="AL97">
            <v>5.5373623102113724E-2</v>
          </cell>
          <cell r="AM97">
            <v>6.5964523281596452E-2</v>
          </cell>
          <cell r="AN97">
            <v>5.9523809523809521E-2</v>
          </cell>
          <cell r="AO97">
            <v>6.7628045748383894E-2</v>
          </cell>
          <cell r="AP97">
            <v>6.2376574736125297E-2</v>
          </cell>
          <cell r="AQ97">
            <v>7.1857852103475311E-2</v>
          </cell>
          <cell r="AR97">
            <v>6.3439938571241472E-2</v>
          </cell>
          <cell r="AS97">
            <v>6.5694469527418642E-2</v>
          </cell>
          <cell r="AT97">
            <v>5.8139333316783698E-2</v>
          </cell>
          <cell r="AU97">
            <v>6.4637475701607994E-2</v>
          </cell>
          <cell r="AV97">
            <v>6.3310699212262608E-2</v>
          </cell>
          <cell r="AW97">
            <v>6.4643664008737986E-2</v>
          </cell>
          <cell r="AX97">
            <v>6.4898391755559781E-2</v>
          </cell>
          <cell r="AY97">
            <v>6.7460858690651507E-2</v>
          </cell>
          <cell r="AZ97">
            <v>5.8348062197848667E-2</v>
          </cell>
          <cell r="BA97">
            <v>5.9821800333149919E-2</v>
          </cell>
          <cell r="BN97">
            <v>950.4442599706814</v>
          </cell>
          <cell r="BO97">
            <v>1126.3345852552179</v>
          </cell>
          <cell r="BP97">
            <v>1327.4605862058006</v>
          </cell>
          <cell r="BQ97">
            <v>1555.6472186976255</v>
          </cell>
          <cell r="BR97">
            <v>1812.961888328188</v>
          </cell>
        </row>
        <row r="98">
          <cell r="A98" t="str">
            <v xml:space="preserve"> </v>
          </cell>
          <cell r="BN98">
            <v>20.707436148751526</v>
          </cell>
          <cell r="BO98">
            <v>47.075450159550883</v>
          </cell>
          <cell r="BP98">
            <v>141.639194066762</v>
          </cell>
          <cell r="BQ98">
            <v>202.87761526813802</v>
          </cell>
          <cell r="BR98">
            <v>305.69711958981998</v>
          </cell>
        </row>
        <row r="99">
          <cell r="A99" t="str">
            <v>Reported EPS (SEK)</v>
          </cell>
          <cell r="B99">
            <v>6.7</v>
          </cell>
          <cell r="G99">
            <v>4.6568538757129172</v>
          </cell>
          <cell r="L99">
            <v>2.8492401906231053</v>
          </cell>
          <cell r="M99">
            <v>0.32496425799367396</v>
          </cell>
          <cell r="O99">
            <v>2.3211732713833769E-3</v>
          </cell>
          <cell r="Q99">
            <v>-1.22</v>
          </cell>
          <cell r="R99">
            <v>0.2582305264414016</v>
          </cell>
          <cell r="S99">
            <v>0.13346746310454466</v>
          </cell>
          <cell r="T99">
            <v>0.26519404625555176</v>
          </cell>
          <cell r="U99">
            <v>1.1199661034424835</v>
          </cell>
          <cell r="V99">
            <v>1.0514914919366736</v>
          </cell>
          <cell r="W99">
            <v>0.40040238931363398</v>
          </cell>
          <cell r="X99">
            <v>0.57739185125661707</v>
          </cell>
          <cell r="Y99">
            <v>0.5977021173812217</v>
          </cell>
          <cell r="Z99">
            <v>2.5503891319324947</v>
          </cell>
          <cell r="AA99">
            <v>4.1258854898839674</v>
          </cell>
          <cell r="AB99">
            <v>0.25532905985217236</v>
          </cell>
          <cell r="AC99">
            <v>-5.559209984963208</v>
          </cell>
          <cell r="AD99">
            <v>0.74480647345514372</v>
          </cell>
          <cell r="AE99">
            <v>1.0880499709609619</v>
          </cell>
          <cell r="AF99">
            <v>-3.4710244806949291</v>
          </cell>
          <cell r="AG99">
            <v>0.75873061161685496</v>
          </cell>
          <cell r="AH99">
            <v>-5.2980779919325771</v>
          </cell>
          <cell r="AI99">
            <v>0.77179011273497566</v>
          </cell>
          <cell r="AJ99">
            <v>0</v>
          </cell>
          <cell r="AL99">
            <v>2.5358817989863485</v>
          </cell>
          <cell r="AM99">
            <v>1.6016095572545359</v>
          </cell>
          <cell r="AN99">
            <v>1.7379784869483097</v>
          </cell>
          <cell r="AO99">
            <v>21.653645155417756</v>
          </cell>
          <cell r="AP99">
            <v>27.52911499860695</v>
          </cell>
          <cell r="AQ99">
            <v>0.79790331203803866</v>
          </cell>
          <cell r="AR99">
            <v>0.70654598452527706</v>
          </cell>
          <cell r="AS99">
            <v>0.70073478425002977</v>
          </cell>
          <cell r="AT99">
            <v>0.69887054312303676</v>
          </cell>
          <cell r="AU99">
            <v>2.904054623936382</v>
          </cell>
          <cell r="AV99">
            <v>3.2014101777075412</v>
          </cell>
          <cell r="AW99">
            <v>3.5780970546172641</v>
          </cell>
          <cell r="AX99">
            <v>3.9246346494588207</v>
          </cell>
          <cell r="AY99">
            <v>4.4209346780914691</v>
          </cell>
          <cell r="AZ99">
            <v>4.1326777079801653</v>
          </cell>
          <cell r="BA99">
            <v>4.5719870376395697</v>
          </cell>
        </row>
        <row r="100">
          <cell r="A100" t="str">
            <v>EPS Pre-Except. (SEK)</v>
          </cell>
          <cell r="B100">
            <v>0.45000000000000018</v>
          </cell>
          <cell r="G100">
            <v>1.4</v>
          </cell>
          <cell r="L100">
            <v>0.95924019062310539</v>
          </cell>
          <cell r="M100">
            <v>0.32496425799367396</v>
          </cell>
          <cell r="N100">
            <v>0.13</v>
          </cell>
          <cell r="O100">
            <v>2.3211732713833769E-3</v>
          </cell>
          <cell r="Q100">
            <v>0.39000000000000012</v>
          </cell>
          <cell r="R100">
            <v>0.2582305264414016</v>
          </cell>
          <cell r="S100">
            <v>0.13346746310454466</v>
          </cell>
          <cell r="T100">
            <v>0.26519404625555176</v>
          </cell>
          <cell r="U100">
            <v>1.1199661034424835</v>
          </cell>
          <cell r="V100">
            <v>0.32612484462936558</v>
          </cell>
          <cell r="W100">
            <v>0.40040238931363398</v>
          </cell>
          <cell r="X100">
            <v>0.57739185125661707</v>
          </cell>
          <cell r="Y100">
            <v>0.5977021173812217</v>
          </cell>
          <cell r="Z100">
            <v>-4.3521998838438478E-2</v>
          </cell>
          <cell r="AA100">
            <v>1.5319743591130344</v>
          </cell>
          <cell r="AB100">
            <v>0.25532905985217236</v>
          </cell>
          <cell r="AC100">
            <v>0.76888864614574637</v>
          </cell>
          <cell r="AD100">
            <v>0.74480647345514372</v>
          </cell>
          <cell r="AE100">
            <v>1.0880499709609619</v>
          </cell>
          <cell r="AF100">
            <v>2.8570741504140242</v>
          </cell>
          <cell r="AG100">
            <v>0.75873061161685496</v>
          </cell>
          <cell r="AH100">
            <v>1.0300206391763773</v>
          </cell>
          <cell r="AI100">
            <v>0.77179011273497566</v>
          </cell>
          <cell r="AJ100">
            <v>0</v>
          </cell>
          <cell r="AL100">
            <v>0.53967278559663712</v>
          </cell>
          <cell r="AM100">
            <v>0.69054904823655716</v>
          </cell>
          <cell r="AN100">
            <v>0.63832264963043095</v>
          </cell>
          <cell r="AO100">
            <v>0.78919891227035099</v>
          </cell>
          <cell r="AP100">
            <v>2.6577433957339762</v>
          </cell>
          <cell r="AQ100">
            <v>0.79790331203803866</v>
          </cell>
          <cell r="AR100">
            <v>0.70654598452527706</v>
          </cell>
          <cell r="AS100">
            <v>0.70073478425002977</v>
          </cell>
          <cell r="AT100">
            <v>0.69887054312303676</v>
          </cell>
          <cell r="AU100">
            <v>2.904054623936382</v>
          </cell>
          <cell r="AV100">
            <v>3.2014101777075412</v>
          </cell>
          <cell r="AW100">
            <v>3.5780970546172641</v>
          </cell>
          <cell r="AX100">
            <v>3.9246346494588207</v>
          </cell>
          <cell r="AY100">
            <v>4.4209346780914691</v>
          </cell>
          <cell r="AZ100">
            <v>4.1326777079801653</v>
          </cell>
          <cell r="BA100">
            <v>4.5719870376395697</v>
          </cell>
        </row>
        <row r="101">
          <cell r="A101" t="str">
            <v xml:space="preserve">     Year-on-Year Growth</v>
          </cell>
          <cell r="R101" t="str">
            <v>NA</v>
          </cell>
          <cell r="S101" t="str">
            <v>NA</v>
          </cell>
          <cell r="T101" t="str">
            <v>NA</v>
          </cell>
          <cell r="U101" t="str">
            <v>NA</v>
          </cell>
          <cell r="V101" t="str">
            <v>NA</v>
          </cell>
          <cell r="W101" t="str">
            <v>NA</v>
          </cell>
          <cell r="X101" t="str">
            <v>NA</v>
          </cell>
          <cell r="Y101" t="str">
            <v>NA</v>
          </cell>
          <cell r="Z101" t="str">
            <v>NA</v>
          </cell>
          <cell r="AA101">
            <v>3.6975088967971539</v>
          </cell>
          <cell r="AB101">
            <v>-0.3623188405797102</v>
          </cell>
          <cell r="AC101">
            <v>0.33165829145728654</v>
          </cell>
          <cell r="AD101">
            <v>0.24611650485436898</v>
          </cell>
          <cell r="AE101">
            <v>-26</v>
          </cell>
          <cell r="AF101">
            <v>0.86496212121212102</v>
          </cell>
          <cell r="AP101">
            <v>-6.9767441860465046E-2</v>
          </cell>
          <cell r="AU101">
            <v>9.2676828243752715E-2</v>
          </cell>
          <cell r="AV101">
            <v>0.10239323713825338</v>
          </cell>
          <cell r="AW101">
            <v>0.11766279732997539</v>
          </cell>
          <cell r="AX101">
            <v>9.6849691205099078E-2</v>
          </cell>
          <cell r="AY101">
            <v>0.12645763821635847</v>
          </cell>
          <cell r="AZ101">
            <v>-6.5202720940392908E-2</v>
          </cell>
          <cell r="BA101">
            <v>0.10630137666218245</v>
          </cell>
        </row>
        <row r="103">
          <cell r="A103" t="str">
            <v>EPS from discontinuing operations</v>
          </cell>
          <cell r="AG103">
            <v>0.51500741812159934</v>
          </cell>
          <cell r="AH103">
            <v>-5.6897759814785234</v>
          </cell>
          <cell r="AI103">
            <v>0.75147984661037104</v>
          </cell>
          <cell r="AL103">
            <v>0.81241064498418492</v>
          </cell>
          <cell r="AM103">
            <v>0.91106050901797875</v>
          </cell>
          <cell r="AN103">
            <v>1.1431778361563172</v>
          </cell>
          <cell r="AO103">
            <v>0</v>
          </cell>
          <cell r="AP103">
            <v>2.8666489901584811</v>
          </cell>
          <cell r="AQ103">
            <v>0</v>
          </cell>
          <cell r="AR103">
            <v>0</v>
          </cell>
          <cell r="AS103">
            <v>0</v>
          </cell>
          <cell r="AT103">
            <v>0</v>
          </cell>
          <cell r="AU103">
            <v>0</v>
          </cell>
          <cell r="AV103">
            <v>0</v>
          </cell>
          <cell r="AW103">
            <v>0</v>
          </cell>
          <cell r="AX103">
            <v>0</v>
          </cell>
          <cell r="AY103">
            <v>0</v>
          </cell>
          <cell r="AZ103">
            <v>0</v>
          </cell>
          <cell r="BA103">
            <v>0</v>
          </cell>
        </row>
        <row r="105">
          <cell r="A105" t="str">
            <v>EPS from continuing operations (SEK)</v>
          </cell>
          <cell r="AF105">
            <v>1.6</v>
          </cell>
          <cell r="AG105">
            <v>0.24372319349525562</v>
          </cell>
          <cell r="AH105">
            <v>0.39169798954594626</v>
          </cell>
          <cell r="AI105">
            <v>2.0310266124604626E-2</v>
          </cell>
          <cell r="AL105">
            <v>1.7234711540021634</v>
          </cell>
          <cell r="AM105">
            <v>0.69054904823655716</v>
          </cell>
          <cell r="AN105">
            <v>0.59480065079199251</v>
          </cell>
          <cell r="AO105">
            <v>21.653645155417756</v>
          </cell>
          <cell r="AP105">
            <v>24.662466008448469</v>
          </cell>
          <cell r="AQ105">
            <v>0.79790331203803866</v>
          </cell>
          <cell r="AR105">
            <v>0.70654598452527706</v>
          </cell>
          <cell r="AS105">
            <v>0.70073478425002977</v>
          </cell>
          <cell r="AT105">
            <v>0.69887054312303676</v>
          </cell>
          <cell r="AU105">
            <v>2.904054623936382</v>
          </cell>
          <cell r="AV105">
            <v>3.2014101777075412</v>
          </cell>
          <cell r="AW105">
            <v>3.5780970546172641</v>
          </cell>
          <cell r="AX105">
            <v>3.9246346494588207</v>
          </cell>
          <cell r="AY105">
            <v>4.4209346780914691</v>
          </cell>
          <cell r="AZ105">
            <v>4.1326777079801653</v>
          </cell>
          <cell r="BA105">
            <v>4.5719870376395697</v>
          </cell>
        </row>
        <row r="106">
          <cell r="A106" t="str">
            <v>EPS from continuing operations, pre-excepts (SEK)</v>
          </cell>
        </row>
        <row r="108">
          <cell r="A108" t="str">
            <v>ModelWare EPS (SEK)</v>
          </cell>
          <cell r="R108">
            <v>1.0677397048363573</v>
          </cell>
          <cell r="S108">
            <v>0.91396197560720793</v>
          </cell>
          <cell r="T108">
            <v>1.007969493098235</v>
          </cell>
          <cell r="U108">
            <v>1.88885474958823</v>
          </cell>
          <cell r="W108">
            <v>1.1083602370855665</v>
          </cell>
          <cell r="X108">
            <v>1.215714500887048</v>
          </cell>
          <cell r="Y108">
            <v>1.2795467658500912</v>
          </cell>
          <cell r="Z108">
            <v>0.5715889180781587</v>
          </cell>
          <cell r="AA108">
            <v>4.1752104219008643</v>
          </cell>
          <cell r="AB108">
            <v>0.85883411041185254</v>
          </cell>
          <cell r="AC108">
            <v>1.3956054294192604</v>
          </cell>
          <cell r="AD108">
            <v>1.3570159237825115</v>
          </cell>
          <cell r="AE108">
            <v>1.6683432888068084</v>
          </cell>
          <cell r="AF108">
            <v>5.2797987524204322</v>
          </cell>
          <cell r="AG108">
            <v>0.75873061161685496</v>
          </cell>
          <cell r="AH108">
            <v>1.0300206391763773</v>
          </cell>
          <cell r="AI108">
            <v>0.77179011273497566</v>
          </cell>
          <cell r="AJ108">
            <v>0</v>
          </cell>
          <cell r="AL108">
            <v>0.53967278559663712</v>
          </cell>
          <cell r="AM108">
            <v>0.69054904823655716</v>
          </cell>
          <cell r="AN108">
            <v>0.63832264963043095</v>
          </cell>
          <cell r="AO108">
            <v>0.78919891227035099</v>
          </cell>
          <cell r="AP108">
            <v>2.6577433957339762</v>
          </cell>
          <cell r="AQ108">
            <v>0.79790331203803866</v>
          </cell>
          <cell r="AR108">
            <v>0.70654598452527706</v>
          </cell>
          <cell r="AS108">
            <v>0.70073478425002977</v>
          </cell>
          <cell r="AT108">
            <v>0.69887054312303676</v>
          </cell>
          <cell r="AU108">
            <v>2.904054623936382</v>
          </cell>
          <cell r="AV108">
            <v>3.2014101777075412</v>
          </cell>
          <cell r="AW108">
            <v>3.5780970546172641</v>
          </cell>
          <cell r="AX108">
            <v>3.9246346494588207</v>
          </cell>
          <cell r="AY108">
            <v>4.4209346780914691</v>
          </cell>
          <cell r="AZ108">
            <v>4.1326777079801653</v>
          </cell>
          <cell r="BA108">
            <v>4.5719870376395697</v>
          </cell>
          <cell r="BB108">
            <v>7.3112741182666863E-2</v>
          </cell>
        </row>
        <row r="111">
          <cell r="A111" t="str">
            <v>Shares outstanding</v>
          </cell>
          <cell r="B111">
            <v>344.47776119402988</v>
          </cell>
          <cell r="G111">
            <v>344.65328799999997</v>
          </cell>
          <cell r="L111">
            <v>344.65328799999997</v>
          </cell>
          <cell r="M111">
            <v>344.65328799999997</v>
          </cell>
          <cell r="N111">
            <v>344.65328799999997</v>
          </cell>
          <cell r="O111">
            <v>344.65328799999997</v>
          </cell>
          <cell r="P111">
            <v>344.65328799999997</v>
          </cell>
          <cell r="Q111">
            <v>344.65328799999997</v>
          </cell>
          <cell r="R111">
            <v>344.65328799999997</v>
          </cell>
          <cell r="S111">
            <v>344.65328799999997</v>
          </cell>
          <cell r="T111">
            <v>344.65328799999997</v>
          </cell>
          <cell r="U111">
            <v>344.65328799999997</v>
          </cell>
          <cell r="V111">
            <v>344.65328799999997</v>
          </cell>
          <cell r="W111">
            <v>344.65328799999997</v>
          </cell>
          <cell r="X111">
            <v>344.65328799999997</v>
          </cell>
          <cell r="Y111">
            <v>344.65328799999997</v>
          </cell>
          <cell r="Z111">
            <v>344.65328799999997</v>
          </cell>
          <cell r="AA111">
            <v>344.65328799999997</v>
          </cell>
          <cell r="AB111">
            <v>344.65328799999997</v>
          </cell>
          <cell r="AC111">
            <v>344.65328799999997</v>
          </cell>
          <cell r="AD111">
            <v>344.65328799999997</v>
          </cell>
          <cell r="AE111">
            <v>344.65328799999997</v>
          </cell>
          <cell r="AF111">
            <v>344.65328800000003</v>
          </cell>
          <cell r="AG111">
            <v>344.65328799999997</v>
          </cell>
          <cell r="AH111">
            <v>344.65328799999997</v>
          </cell>
          <cell r="AI111">
            <v>344.65328799999997</v>
          </cell>
          <cell r="AJ111">
            <v>344.65328799999997</v>
          </cell>
          <cell r="AL111">
            <v>344.65328799999997</v>
          </cell>
          <cell r="AM111">
            <v>344.65328799999997</v>
          </cell>
          <cell r="AN111">
            <v>344.65328799999997</v>
          </cell>
          <cell r="AO111">
            <v>344.65328799999997</v>
          </cell>
          <cell r="AP111">
            <v>344.65328799999997</v>
          </cell>
          <cell r="AQ111">
            <v>344.65328799999997</v>
          </cell>
          <cell r="AR111">
            <v>344.65328799999997</v>
          </cell>
          <cell r="AS111">
            <v>344.65328799999997</v>
          </cell>
          <cell r="AT111">
            <v>344.65328799999997</v>
          </cell>
          <cell r="AU111">
            <v>344.65328799999997</v>
          </cell>
          <cell r="AV111">
            <v>344.65328799999997</v>
          </cell>
          <cell r="AW111">
            <v>344.65328799999997</v>
          </cell>
          <cell r="AX111">
            <v>344.65328799999997</v>
          </cell>
          <cell r="AY111">
            <v>344.65328799999997</v>
          </cell>
          <cell r="AZ111">
            <v>344.65328799999997</v>
          </cell>
          <cell r="BA111">
            <v>344.65328799999997</v>
          </cell>
          <cell r="BG111" t="str">
            <v>mstag:averageDilutedSharesOutstanding</v>
          </cell>
          <cell r="BH111">
            <v>6</v>
          </cell>
          <cell r="BI111" t="str">
            <v>ms_eqr_gcim_Decimal:ms_eqr_gcim_decimal</v>
          </cell>
          <cell r="BJ111" t="b">
            <v>0</v>
          </cell>
          <cell r="BK111" t="b">
            <v>0</v>
          </cell>
        </row>
        <row r="113">
          <cell r="A113" t="str">
            <v>Dividend Per Share (SEK)</v>
          </cell>
          <cell r="B113">
            <v>1</v>
          </cell>
          <cell r="G113">
            <v>1.1000000000000001</v>
          </cell>
          <cell r="L113">
            <v>1.1000000000000001</v>
          </cell>
          <cell r="Q113">
            <v>1.1000000000000001</v>
          </cell>
          <cell r="V113">
            <v>1.1000000000000001</v>
          </cell>
          <cell r="AA113">
            <v>1.1000000000000001</v>
          </cell>
          <cell r="AF113">
            <v>1.1000000000000001</v>
          </cell>
          <cell r="AP113">
            <v>30.3</v>
          </cell>
          <cell r="AU113">
            <v>1.452027311968191</v>
          </cell>
          <cell r="AV113">
            <v>1.6007050888537706</v>
          </cell>
          <cell r="AW113">
            <v>1.7890485273086321</v>
          </cell>
          <cell r="AX113">
            <v>1.9623173247294103</v>
          </cell>
          <cell r="AY113">
            <v>2.2104673390457346</v>
          </cell>
          <cell r="AZ113">
            <v>2.0663388539900827</v>
          </cell>
          <cell r="BA113">
            <v>2.2859935188197849</v>
          </cell>
        </row>
        <row r="114">
          <cell r="A114" t="str">
            <v>Payout Ratio</v>
          </cell>
          <cell r="B114">
            <v>2.2222222222222214</v>
          </cell>
          <cell r="G114">
            <v>0.78571428571428581</v>
          </cell>
          <cell r="L114">
            <v>1.1467409422091246</v>
          </cell>
          <cell r="Q114">
            <v>2.8205128205128198</v>
          </cell>
          <cell r="V114">
            <v>3.3729414306049827</v>
          </cell>
          <cell r="AA114">
            <v>0.71802768333333333</v>
          </cell>
          <cell r="AF114">
            <v>0.20834127427597959</v>
          </cell>
          <cell r="AN114">
            <v>-1066</v>
          </cell>
          <cell r="AP114">
            <v>11.400649155458515</v>
          </cell>
          <cell r="AU114">
            <v>0.5</v>
          </cell>
          <cell r="AV114">
            <v>0.5</v>
          </cell>
          <cell r="AW114">
            <v>0.5</v>
          </cell>
          <cell r="AX114">
            <v>0.5</v>
          </cell>
          <cell r="AY114">
            <v>0.5</v>
          </cell>
          <cell r="AZ114">
            <v>0.5</v>
          </cell>
          <cell r="BA114">
            <v>0.5</v>
          </cell>
        </row>
        <row r="115">
          <cell r="Q115" t="str">
            <v xml:space="preserve"> </v>
          </cell>
          <cell r="AL115">
            <v>-333</v>
          </cell>
          <cell r="AM115">
            <v>-356</v>
          </cell>
          <cell r="AN115">
            <v>-377</v>
          </cell>
        </row>
        <row r="116">
          <cell r="A116" t="str">
            <v>Depreciation</v>
          </cell>
          <cell r="B116">
            <v>-1001</v>
          </cell>
          <cell r="G116">
            <v>-1118</v>
          </cell>
          <cell r="M116">
            <v>-626</v>
          </cell>
          <cell r="N116">
            <v>-686</v>
          </cell>
          <cell r="O116">
            <v>-720</v>
          </cell>
          <cell r="Q116">
            <v>-1734</v>
          </cell>
          <cell r="R116">
            <v>-398.75</v>
          </cell>
          <cell r="S116">
            <v>-404.75</v>
          </cell>
          <cell r="T116">
            <v>-445.75</v>
          </cell>
          <cell r="U116">
            <v>-419.75</v>
          </cell>
          <cell r="V116">
            <v>-1669</v>
          </cell>
          <cell r="W116">
            <v>-394.75</v>
          </cell>
          <cell r="X116">
            <v>-390.75</v>
          </cell>
          <cell r="Y116">
            <v>-405.75</v>
          </cell>
          <cell r="Z116">
            <v>-409.75</v>
          </cell>
          <cell r="AA116">
            <v>-1653</v>
          </cell>
          <cell r="AB116">
            <v>-407.5</v>
          </cell>
          <cell r="AC116">
            <v>-409.5</v>
          </cell>
          <cell r="AD116">
            <v>-410.5</v>
          </cell>
          <cell r="AE116">
            <v>-402.5</v>
          </cell>
          <cell r="AF116">
            <v>-1630</v>
          </cell>
          <cell r="AG116">
            <v>-286</v>
          </cell>
          <cell r="AH116">
            <v>-286</v>
          </cell>
          <cell r="AL116">
            <v>-288</v>
          </cell>
          <cell r="AM116">
            <v>-311</v>
          </cell>
          <cell r="AN116">
            <v>-332</v>
          </cell>
          <cell r="AO116">
            <v>-320</v>
          </cell>
          <cell r="AP116">
            <v>-1251</v>
          </cell>
          <cell r="AQ116">
            <v>-315.7</v>
          </cell>
          <cell r="AR116">
            <v>-328.12618234102933</v>
          </cell>
          <cell r="AS116">
            <v>-310.86497972962871</v>
          </cell>
          <cell r="AT116">
            <v>-359.27814815210809</v>
          </cell>
          <cell r="AU116">
            <v>-1313.9693102227661</v>
          </cell>
          <cell r="AV116">
            <v>-1462.1427437456312</v>
          </cell>
          <cell r="AW116">
            <v>-1594.1802233116657</v>
          </cell>
          <cell r="AX116">
            <v>-1807.0030052003674</v>
          </cell>
          <cell r="AY116">
            <v>-1951.0798798026192</v>
          </cell>
          <cell r="AZ116">
            <v>-2104.1226358111899</v>
          </cell>
          <cell r="BA116">
            <v>-2267.653971667351</v>
          </cell>
        </row>
        <row r="117">
          <cell r="A117" t="str">
            <v>Amortisation of Other Intangibles</v>
          </cell>
          <cell r="Q117">
            <v>-154</v>
          </cell>
          <cell r="R117">
            <v>-42.25</v>
          </cell>
          <cell r="S117">
            <v>-42.25</v>
          </cell>
          <cell r="T117">
            <v>-42.25</v>
          </cell>
          <cell r="U117">
            <v>-42.25</v>
          </cell>
          <cell r="V117">
            <v>-169</v>
          </cell>
          <cell r="W117">
            <v>-47.25</v>
          </cell>
          <cell r="X117">
            <v>-47.25</v>
          </cell>
          <cell r="Y117">
            <v>-47.25</v>
          </cell>
          <cell r="Z117">
            <v>-47.25</v>
          </cell>
          <cell r="AA117">
            <v>-189</v>
          </cell>
          <cell r="AB117">
            <v>-47.5</v>
          </cell>
          <cell r="AC117">
            <v>-47.5</v>
          </cell>
          <cell r="AD117">
            <v>-47.5</v>
          </cell>
          <cell r="AE117">
            <v>-47.5</v>
          </cell>
          <cell r="AF117">
            <v>-190</v>
          </cell>
          <cell r="AG117">
            <v>-45</v>
          </cell>
          <cell r="AH117">
            <v>-45</v>
          </cell>
          <cell r="AI117">
            <v>-45</v>
          </cell>
          <cell r="AJ117">
            <v>-45</v>
          </cell>
          <cell r="AL117">
            <v>-45</v>
          </cell>
          <cell r="AM117">
            <v>-45</v>
          </cell>
          <cell r="AN117">
            <v>-45</v>
          </cell>
          <cell r="AO117">
            <v>-45</v>
          </cell>
          <cell r="AP117">
            <v>-180</v>
          </cell>
          <cell r="AQ117">
            <v>-53.3</v>
          </cell>
          <cell r="AR117">
            <v>-53.3</v>
          </cell>
          <cell r="AS117">
            <v>-53.3</v>
          </cell>
          <cell r="AT117">
            <v>-53.299999999999983</v>
          </cell>
          <cell r="AU117">
            <v>-213.2</v>
          </cell>
          <cell r="AV117">
            <v>-273.2</v>
          </cell>
          <cell r="AW117">
            <v>-303.2</v>
          </cell>
          <cell r="AX117">
            <v>-333.2</v>
          </cell>
          <cell r="AY117">
            <v>-363.2</v>
          </cell>
          <cell r="AZ117">
            <v>-393.2</v>
          </cell>
          <cell r="BA117">
            <v>-423.2</v>
          </cell>
        </row>
        <row r="118">
          <cell r="A118" t="str">
            <v>Amortisation of Goodwill</v>
          </cell>
          <cell r="B118">
            <v>-1077</v>
          </cell>
          <cell r="G118">
            <v>-891</v>
          </cell>
          <cell r="Q118">
            <v>-1136</v>
          </cell>
          <cell r="R118">
            <v>-279</v>
          </cell>
          <cell r="S118">
            <v>-269</v>
          </cell>
          <cell r="T118">
            <v>-256</v>
          </cell>
          <cell r="U118">
            <v>-265</v>
          </cell>
          <cell r="V118">
            <v>-1069</v>
          </cell>
          <cell r="W118">
            <v>-244</v>
          </cell>
          <cell r="X118">
            <v>-220</v>
          </cell>
          <cell r="Y118">
            <v>-235</v>
          </cell>
          <cell r="Z118">
            <v>-212</v>
          </cell>
          <cell r="AA118">
            <v>-911</v>
          </cell>
          <cell r="AB118">
            <v>-208</v>
          </cell>
          <cell r="AC118">
            <v>-216</v>
          </cell>
          <cell r="AD118">
            <v>-211</v>
          </cell>
          <cell r="AE118">
            <v>-200</v>
          </cell>
          <cell r="AF118">
            <v>-835</v>
          </cell>
          <cell r="AP118">
            <v>0</v>
          </cell>
          <cell r="AU118">
            <v>0</v>
          </cell>
          <cell r="AV118">
            <v>0</v>
          </cell>
          <cell r="AW118">
            <v>0</v>
          </cell>
          <cell r="AX118">
            <v>0</v>
          </cell>
          <cell r="AY118">
            <v>0</v>
          </cell>
          <cell r="AZ118">
            <v>0</v>
          </cell>
          <cell r="BA118">
            <v>0</v>
          </cell>
        </row>
        <row r="119">
          <cell r="A119" t="str">
            <v>EBITDA</v>
          </cell>
          <cell r="C119">
            <v>878</v>
          </cell>
          <cell r="D119">
            <v>1914</v>
          </cell>
          <cell r="E119">
            <v>766</v>
          </cell>
          <cell r="F119">
            <v>755</v>
          </cell>
          <cell r="H119">
            <v>985</v>
          </cell>
          <cell r="I119">
            <v>1139</v>
          </cell>
          <cell r="J119">
            <v>985</v>
          </cell>
          <cell r="K119">
            <v>874</v>
          </cell>
          <cell r="L119">
            <v>3983</v>
          </cell>
          <cell r="M119">
            <v>1046</v>
          </cell>
          <cell r="N119">
            <v>148</v>
          </cell>
          <cell r="O119">
            <v>1070</v>
          </cell>
          <cell r="P119">
            <v>1041</v>
          </cell>
          <cell r="Q119">
            <v>3305</v>
          </cell>
          <cell r="R119">
            <v>1106</v>
          </cell>
          <cell r="S119">
            <v>1126</v>
          </cell>
          <cell r="T119">
            <v>1144</v>
          </cell>
          <cell r="U119">
            <v>1125</v>
          </cell>
          <cell r="V119">
            <v>4501</v>
          </cell>
          <cell r="W119">
            <v>1106</v>
          </cell>
          <cell r="X119">
            <v>1100</v>
          </cell>
          <cell r="Y119">
            <v>1148</v>
          </cell>
          <cell r="Z119">
            <v>980</v>
          </cell>
          <cell r="AA119">
            <v>4334</v>
          </cell>
          <cell r="AB119">
            <v>1037</v>
          </cell>
          <cell r="AC119">
            <v>-1455</v>
          </cell>
          <cell r="AD119">
            <v>1275</v>
          </cell>
          <cell r="AE119">
            <v>71</v>
          </cell>
          <cell r="AF119">
            <v>928</v>
          </cell>
          <cell r="AG119">
            <v>525</v>
          </cell>
          <cell r="AH119">
            <v>541</v>
          </cell>
          <cell r="AL119">
            <v>638</v>
          </cell>
          <cell r="AM119">
            <v>756</v>
          </cell>
          <cell r="AN119">
            <v>701</v>
          </cell>
          <cell r="AO119">
            <v>697</v>
          </cell>
          <cell r="AP119">
            <v>2792</v>
          </cell>
          <cell r="AQ119">
            <v>692</v>
          </cell>
          <cell r="AR119">
            <v>718.51465601875111</v>
          </cell>
          <cell r="AS119">
            <v>698.02305133946265</v>
          </cell>
          <cell r="AT119">
            <v>745.3999022876792</v>
          </cell>
          <cell r="AU119">
            <v>2853.9376096458932</v>
          </cell>
          <cell r="AV119">
            <v>3282.6624751074887</v>
          </cell>
          <cell r="AW119">
            <v>3670.0732846936767</v>
          </cell>
          <cell r="AX119">
            <v>4115.7048354596982</v>
          </cell>
          <cell r="AY119">
            <v>4569.5723348249867</v>
          </cell>
          <cell r="AZ119">
            <v>5008.0455363108395</v>
          </cell>
          <cell r="BA119">
            <v>5456.7684741355051</v>
          </cell>
        </row>
        <row r="120">
          <cell r="A120" t="str">
            <v xml:space="preserve">     EBITDA Margin (%)</v>
          </cell>
          <cell r="B120">
            <v>0</v>
          </cell>
          <cell r="C120">
            <v>0.18865492049849591</v>
          </cell>
          <cell r="D120">
            <v>0.38356713426853706</v>
          </cell>
          <cell r="E120">
            <v>0.15770402701144692</v>
          </cell>
          <cell r="F120">
            <v>0.14403449196840779</v>
          </cell>
          <cell r="G120">
            <v>0</v>
          </cell>
          <cell r="H120">
            <v>0.19260852561595621</v>
          </cell>
          <cell r="I120">
            <v>0.21092592592592593</v>
          </cell>
          <cell r="J120">
            <v>0.17627057981388691</v>
          </cell>
          <cell r="K120">
            <v>0.14227576102881329</v>
          </cell>
          <cell r="L120">
            <v>0.17905147224095302</v>
          </cell>
          <cell r="M120">
            <v>0.1692556634304207</v>
          </cell>
          <cell r="N120">
            <v>2.2359873092612177E-2</v>
          </cell>
          <cell r="O120">
            <v>0.15863602668643439</v>
          </cell>
          <cell r="P120">
            <v>0.14506688963210701</v>
          </cell>
          <cell r="Q120">
            <v>0.12369011976047904</v>
          </cell>
          <cell r="R120">
            <v>0.16008105369807499</v>
          </cell>
          <cell r="S120">
            <v>0.15964837657734299</v>
          </cell>
          <cell r="T120">
            <v>0.16975812435079388</v>
          </cell>
          <cell r="U120">
            <v>0.16368398079441293</v>
          </cell>
          <cell r="V120">
            <v>0.16323348081526076</v>
          </cell>
          <cell r="W120">
            <v>0.16991857428176371</v>
          </cell>
          <cell r="X120">
            <v>0.16853071855370003</v>
          </cell>
          <cell r="Y120">
            <v>0.17391304347826086</v>
          </cell>
          <cell r="Z120">
            <v>0.15086206896551724</v>
          </cell>
          <cell r="AA120">
            <v>0.16584395209122565</v>
          </cell>
          <cell r="AB120">
            <v>0.16292223095051062</v>
          </cell>
          <cell r="AC120">
            <v>-0.21674363175927305</v>
          </cell>
          <cell r="AD120">
            <v>0.19038375391966553</v>
          </cell>
          <cell r="AE120">
            <v>1.0377082724349606E-2</v>
          </cell>
          <cell r="AF120">
            <v>3.4864935943194196E-2</v>
          </cell>
          <cell r="AG120">
            <v>0.16268980477223427</v>
          </cell>
          <cell r="AH120">
            <v>0.16001183081928425</v>
          </cell>
          <cell r="AI120">
            <v>0</v>
          </cell>
          <cell r="AJ120">
            <v>0</v>
          </cell>
          <cell r="AL120">
            <v>0.1899374813932718</v>
          </cell>
          <cell r="AM120">
            <v>0.20953436807095344</v>
          </cell>
          <cell r="AN120">
            <v>0.18966450216450217</v>
          </cell>
          <cell r="AO120">
            <v>0.17329686723023371</v>
          </cell>
          <cell r="AP120">
            <v>0.19012597889002383</v>
          </cell>
          <cell r="AQ120">
            <v>0.1808204860203815</v>
          </cell>
          <cell r="AR120">
            <v>0.18718693205378481</v>
          </cell>
          <cell r="AS120">
            <v>0.18987267665058449</v>
          </cell>
          <cell r="AT120">
            <v>0.17992032097485505</v>
          </cell>
          <cell r="AU120">
            <v>0.1843069257878478</v>
          </cell>
          <cell r="AV120">
            <v>0.18835605823790896</v>
          </cell>
          <cell r="AW120">
            <v>0.19238276319609518</v>
          </cell>
          <cell r="AX120">
            <v>0.19746789468645062</v>
          </cell>
          <cell r="AY120">
            <v>0.20231631089438132</v>
          </cell>
          <cell r="AZ120">
            <v>0.20515435600535217</v>
          </cell>
          <cell r="BA120">
            <v>0.20716080499162326</v>
          </cell>
        </row>
        <row r="121">
          <cell r="A121" t="str">
            <v>EBITA</v>
          </cell>
          <cell r="L121" t="e">
            <v>#NULL!</v>
          </cell>
          <cell r="Q121">
            <v>1571</v>
          </cell>
          <cell r="R121">
            <v>688.75</v>
          </cell>
          <cell r="S121">
            <v>708.75</v>
          </cell>
          <cell r="T121">
            <v>726.75</v>
          </cell>
          <cell r="U121">
            <v>707.75</v>
          </cell>
          <cell r="V121">
            <v>2832</v>
          </cell>
          <cell r="W121">
            <v>692.75</v>
          </cell>
          <cell r="X121">
            <v>686.75</v>
          </cell>
          <cell r="Y121">
            <v>734.75</v>
          </cell>
          <cell r="Z121">
            <v>566.75</v>
          </cell>
          <cell r="AA121">
            <v>2681</v>
          </cell>
          <cell r="AF121">
            <v>-702</v>
          </cell>
          <cell r="AP121">
            <v>1564.2</v>
          </cell>
          <cell r="AU121">
            <v>902.857729843274</v>
          </cell>
        </row>
        <row r="122">
          <cell r="A122" t="str">
            <v xml:space="preserve">     EBITA Margin (%)</v>
          </cell>
          <cell r="B122">
            <v>0</v>
          </cell>
          <cell r="G122">
            <v>0</v>
          </cell>
          <cell r="L122" t="e">
            <v>#NULL!</v>
          </cell>
          <cell r="Q122">
            <v>5.8794910179640718E-2</v>
          </cell>
          <cell r="R122">
            <v>9.9688811694890717E-2</v>
          </cell>
          <cell r="S122">
            <v>0.10048915355168013</v>
          </cell>
          <cell r="T122">
            <v>0.10784240985309393</v>
          </cell>
          <cell r="U122">
            <v>0.10297541102866288</v>
          </cell>
          <cell r="V122">
            <v>0.10270544716036846</v>
          </cell>
          <cell r="W122">
            <v>0.10642955907205408</v>
          </cell>
          <cell r="X122">
            <v>0.10521679178795772</v>
          </cell>
          <cell r="Y122">
            <v>0.11130889259203151</v>
          </cell>
          <cell r="Z122">
            <v>8.7245997536945813E-2</v>
          </cell>
          <cell r="AA122">
            <v>0.10259059426778402</v>
          </cell>
          <cell r="AB122">
            <v>0</v>
          </cell>
          <cell r="AC122">
            <v>0</v>
          </cell>
          <cell r="AD122">
            <v>0</v>
          </cell>
          <cell r="AE122">
            <v>0</v>
          </cell>
          <cell r="AF122">
            <v>-2.6374121801855957E-2</v>
          </cell>
          <cell r="AG122">
            <v>0</v>
          </cell>
          <cell r="AH122">
            <v>0</v>
          </cell>
          <cell r="AI122">
            <v>0</v>
          </cell>
          <cell r="AJ122">
            <v>0</v>
          </cell>
          <cell r="AL122">
            <v>0</v>
          </cell>
          <cell r="AM122">
            <v>0</v>
          </cell>
          <cell r="AN122">
            <v>0</v>
          </cell>
          <cell r="AO122">
            <v>0</v>
          </cell>
          <cell r="AP122">
            <v>0.10651685393258427</v>
          </cell>
          <cell r="AQ122">
            <v>0</v>
          </cell>
          <cell r="AR122">
            <v>0</v>
          </cell>
          <cell r="AS122">
            <v>0</v>
          </cell>
          <cell r="AT122">
            <v>0</v>
          </cell>
          <cell r="AU122">
            <v>5.8306436710035769E-2</v>
          </cell>
          <cell r="AV122">
            <v>0</v>
          </cell>
          <cell r="AW122">
            <v>0</v>
          </cell>
          <cell r="AX122">
            <v>0</v>
          </cell>
          <cell r="AY122">
            <v>0</v>
          </cell>
          <cell r="AZ122">
            <v>0</v>
          </cell>
          <cell r="BA122">
            <v>0</v>
          </cell>
        </row>
        <row r="123">
          <cell r="A123" t="str">
            <v>NOPAT</v>
          </cell>
          <cell r="Q123">
            <v>1059.1199999999997</v>
          </cell>
          <cell r="V123">
            <v>1147.68</v>
          </cell>
          <cell r="AA123">
            <v>1138.32</v>
          </cell>
          <cell r="AF123">
            <v>1015.1999999999999</v>
          </cell>
          <cell r="AP123">
            <v>907.4</v>
          </cell>
          <cell r="AU123">
            <v>862.39939462503264</v>
          </cell>
          <cell r="AV123">
            <v>1005.7578253852078</v>
          </cell>
          <cell r="AW123">
            <v>1152.2504898983073</v>
          </cell>
          <cell r="AX123">
            <v>1284.0761896685651</v>
          </cell>
          <cell r="AY123">
            <v>1465.9400957645391</v>
          </cell>
          <cell r="AZ123">
            <v>1631.9698853247723</v>
          </cell>
          <cell r="BA123">
            <v>1797.8444266043007</v>
          </cell>
        </row>
        <row r="124">
          <cell r="A124" t="str">
            <v xml:space="preserve">     NOPAT Margin (%)</v>
          </cell>
          <cell r="G124">
            <v>0</v>
          </cell>
          <cell r="L124">
            <v>0</v>
          </cell>
          <cell r="Q124">
            <v>3.9637724550898194E-2</v>
          </cell>
          <cell r="V124">
            <v>4.1621817654312034E-2</v>
          </cell>
          <cell r="AA124">
            <v>4.3558718861209961E-2</v>
          </cell>
          <cell r="AF124">
            <v>3.8141037682683995E-2</v>
          </cell>
          <cell r="AP124">
            <v>6.1790943139257745E-2</v>
          </cell>
          <cell r="AU124">
            <v>5.5693642596609624E-2</v>
          </cell>
          <cell r="AV124">
            <v>5.7709429759538633E-2</v>
          </cell>
          <cell r="AW124">
            <v>6.0400192569776627E-2</v>
          </cell>
          <cell r="AX124">
            <v>6.1608845125680531E-2</v>
          </cell>
          <cell r="AY124">
            <v>6.4904015175984001E-2</v>
          </cell>
          <cell r="AZ124">
            <v>6.6853571601221046E-2</v>
          </cell>
          <cell r="BA124">
            <v>6.8253381177960815E-2</v>
          </cell>
        </row>
        <row r="126">
          <cell r="A126" t="str">
            <v>Profit before tax, amortisation and exceptionals</v>
          </cell>
          <cell r="B126">
            <v>1889.0010000000002</v>
          </cell>
          <cell r="G126">
            <v>2232</v>
          </cell>
          <cell r="L126">
            <v>838</v>
          </cell>
          <cell r="Q126">
            <v>2132.9999999999995</v>
          </cell>
          <cell r="V126">
            <v>2132</v>
          </cell>
          <cell r="AA126">
            <v>2441</v>
          </cell>
          <cell r="AF126">
            <v>2976</v>
          </cell>
          <cell r="AN126">
            <v>349</v>
          </cell>
          <cell r="AO126">
            <v>433</v>
          </cell>
          <cell r="AP126">
            <v>1926</v>
          </cell>
          <cell r="AQ126">
            <v>386</v>
          </cell>
          <cell r="AR126">
            <v>408.89257530618357</v>
          </cell>
          <cell r="AS126">
            <v>405.66217323829574</v>
          </cell>
          <cell r="AT126">
            <v>404.62585576403291</v>
          </cell>
          <cell r="AU126">
            <v>1605.1806043085121</v>
          </cell>
          <cell r="AV126">
            <v>1834.6395870702713</v>
          </cell>
          <cell r="AW126">
            <v>2049.5369591241219</v>
          </cell>
          <cell r="AX126">
            <v>2248.2245744108222</v>
          </cell>
          <cell r="AY126">
            <v>2530.7689884474939</v>
          </cell>
          <cell r="AZ126">
            <v>2377.8496295155933</v>
          </cell>
          <cell r="BA126">
            <v>2630.1108971223503</v>
          </cell>
        </row>
        <row r="127">
          <cell r="A127" t="str">
            <v>Tax paid</v>
          </cell>
          <cell r="B127">
            <v>-2635</v>
          </cell>
          <cell r="G127">
            <v>-216</v>
          </cell>
          <cell r="L127">
            <v>1573</v>
          </cell>
          <cell r="Q127">
            <v>-170</v>
          </cell>
          <cell r="V127">
            <v>-643</v>
          </cell>
          <cell r="AA127">
            <v>-935</v>
          </cell>
          <cell r="AF127">
            <v>-1082</v>
          </cell>
          <cell r="AQ127">
            <v>-135.1</v>
          </cell>
          <cell r="AR127">
            <v>-143.11240135716423</v>
          </cell>
          <cell r="AS127">
            <v>-141.9817606334035</v>
          </cell>
          <cell r="AT127">
            <v>-141.6190495174115</v>
          </cell>
          <cell r="AU127">
            <v>-561.81321150797919</v>
          </cell>
          <cell r="AV127">
            <v>-642.12385547459496</v>
          </cell>
          <cell r="AW127">
            <v>-717.33793569344266</v>
          </cell>
          <cell r="AX127">
            <v>-786.87860104378774</v>
          </cell>
          <cell r="AY127">
            <v>-885.76914595662288</v>
          </cell>
          <cell r="AZ127">
            <v>-832.24737033045756</v>
          </cell>
          <cell r="BA127">
            <v>-920.5388139928225</v>
          </cell>
        </row>
        <row r="128">
          <cell r="A128" t="str">
            <v>Tax rate applied</v>
          </cell>
          <cell r="B128">
            <v>1.3949172075610334</v>
          </cell>
          <cell r="G128">
            <v>9.6774193548387094E-2</v>
          </cell>
          <cell r="L128">
            <v>-1.8770883054892602</v>
          </cell>
          <cell r="Q128">
            <v>7.9699953117674652E-2</v>
          </cell>
          <cell r="V128">
            <v>0.30159474671669795</v>
          </cell>
          <cell r="AA128">
            <v>0.38303973781237199</v>
          </cell>
          <cell r="AF128">
            <v>0.36357526881720431</v>
          </cell>
          <cell r="AQ128">
            <v>0.35</v>
          </cell>
          <cell r="AR128">
            <v>0.35</v>
          </cell>
          <cell r="AS128">
            <v>0.35</v>
          </cell>
          <cell r="AT128">
            <v>0.35</v>
          </cell>
          <cell r="AU128">
            <v>0.35</v>
          </cell>
          <cell r="AV128">
            <v>0.35</v>
          </cell>
          <cell r="AW128">
            <v>0.35</v>
          </cell>
          <cell r="AX128">
            <v>0.35</v>
          </cell>
          <cell r="AY128">
            <v>0.35</v>
          </cell>
          <cell r="AZ128">
            <v>0.35</v>
          </cell>
          <cell r="BA128">
            <v>0.35</v>
          </cell>
        </row>
        <row r="130">
          <cell r="A130" t="str">
            <v>Statutory tax rate</v>
          </cell>
          <cell r="G130">
            <v>0.4</v>
          </cell>
          <cell r="L130">
            <v>0.4</v>
          </cell>
          <cell r="Q130">
            <v>0.28000000000000003</v>
          </cell>
          <cell r="V130">
            <v>0.28000000000000003</v>
          </cell>
          <cell r="AA130">
            <v>0.28000000000000003</v>
          </cell>
          <cell r="AF130">
            <v>0.28000000000000003</v>
          </cell>
          <cell r="AK130">
            <v>0.28000000000000003</v>
          </cell>
          <cell r="AP130">
            <v>0.35</v>
          </cell>
          <cell r="AU130">
            <v>0.35</v>
          </cell>
          <cell r="AV130">
            <v>0.35</v>
          </cell>
          <cell r="AW130">
            <v>0.35</v>
          </cell>
          <cell r="AX130">
            <v>0.35</v>
          </cell>
          <cell r="AY130">
            <v>0.35</v>
          </cell>
          <cell r="AZ130">
            <v>0.35</v>
          </cell>
          <cell r="BA130">
            <v>0.35</v>
          </cell>
          <cell r="BG130" t="str">
            <v>mstag:statutoryTaxRate</v>
          </cell>
          <cell r="BH130">
            <v>0</v>
          </cell>
          <cell r="BI130" t="str">
            <v>ms_eqr_gcim_Decimal:ms_eqr_gcim_decimal</v>
          </cell>
          <cell r="BJ130" t="b">
            <v>0</v>
          </cell>
          <cell r="BK130" t="b">
            <v>0</v>
          </cell>
        </row>
        <row r="132">
          <cell r="A132" t="str">
            <v>Financial Income/(Expense), Net</v>
          </cell>
          <cell r="G132">
            <v>-411</v>
          </cell>
          <cell r="L132">
            <v>-731</v>
          </cell>
          <cell r="Q132">
            <v>-474</v>
          </cell>
          <cell r="V132">
            <v>-531</v>
          </cell>
          <cell r="AA132">
            <v>-51</v>
          </cell>
          <cell r="AF132">
            <v>-104</v>
          </cell>
          <cell r="AP132">
            <v>118</v>
          </cell>
          <cell r="AU132">
            <v>278.41230488538531</v>
          </cell>
          <cell r="AV132">
            <v>287.31985570841323</v>
          </cell>
          <cell r="AW132">
            <v>276.8438977421107</v>
          </cell>
          <cell r="AX132">
            <v>272.72274415149172</v>
          </cell>
          <cell r="AY132">
            <v>275.47653342512592</v>
          </cell>
          <cell r="AZ132">
            <v>-132.87327098405638</v>
          </cell>
          <cell r="BA132">
            <v>-135.8036053458047</v>
          </cell>
        </row>
        <row r="133">
          <cell r="A133" t="str">
            <v>Tax benefit from financing</v>
          </cell>
          <cell r="G133">
            <v>164.4</v>
          </cell>
          <cell r="L133">
            <v>292.40000000000003</v>
          </cell>
          <cell r="Q133">
            <v>132.72</v>
          </cell>
          <cell r="V133">
            <v>148.68</v>
          </cell>
          <cell r="AA133">
            <v>14.280000000000001</v>
          </cell>
          <cell r="AF133">
            <v>29.120000000000005</v>
          </cell>
          <cell r="AP133">
            <v>-41.3</v>
          </cell>
          <cell r="AU133">
            <v>-97.444306709884856</v>
          </cell>
          <cell r="AV133">
            <v>-100.56194949794462</v>
          </cell>
          <cell r="AW133">
            <v>-96.895364209738744</v>
          </cell>
          <cell r="AX133">
            <v>-95.452960453022101</v>
          </cell>
          <cell r="AY133">
            <v>-96.41678669879407</v>
          </cell>
          <cell r="AZ133">
            <v>46.505644844419727</v>
          </cell>
          <cell r="BA133">
            <v>47.531261871031639</v>
          </cell>
        </row>
        <row r="134">
          <cell r="A134" t="str">
            <v>Net financial income</v>
          </cell>
          <cell r="G134">
            <v>-246.6</v>
          </cell>
          <cell r="L134">
            <v>-438.59999999999997</v>
          </cell>
          <cell r="Q134">
            <v>-341.28</v>
          </cell>
          <cell r="V134">
            <v>-382.32</v>
          </cell>
          <cell r="AA134">
            <v>-36.72</v>
          </cell>
          <cell r="AF134">
            <v>-74.88</v>
          </cell>
          <cell r="AP134">
            <v>76.7</v>
          </cell>
          <cell r="AU134">
            <v>180.96799817550044</v>
          </cell>
          <cell r="AV134">
            <v>186.7579062104686</v>
          </cell>
          <cell r="AW134">
            <v>179.94853353237195</v>
          </cell>
          <cell r="AX134">
            <v>177.26978369846961</v>
          </cell>
          <cell r="AY134">
            <v>179.05974672633187</v>
          </cell>
          <cell r="AZ134">
            <v>-86.367626139636656</v>
          </cell>
          <cell r="BA134">
            <v>-88.272343474773066</v>
          </cell>
        </row>
        <row r="136">
          <cell r="A136" t="str">
            <v>Minority interests in net income</v>
          </cell>
          <cell r="AP136">
            <v>-37</v>
          </cell>
          <cell r="AU136">
            <v>-31</v>
          </cell>
          <cell r="AV136">
            <v>-34.1</v>
          </cell>
          <cell r="AW136">
            <v>-37.510000000000005</v>
          </cell>
          <cell r="AX136">
            <v>-41.26100000000001</v>
          </cell>
          <cell r="AY136">
            <v>-45.387100000000018</v>
          </cell>
          <cell r="AZ136">
            <v>-49.925810000000027</v>
          </cell>
          <cell r="BA136">
            <v>-54.918391000000035</v>
          </cell>
        </row>
        <row r="137">
          <cell r="A137" t="str">
            <v>Miscellaneous other income</v>
          </cell>
          <cell r="AP137">
            <v>4</v>
          </cell>
          <cell r="AU137">
            <v>0</v>
          </cell>
          <cell r="AV137">
            <v>0</v>
          </cell>
          <cell r="AW137">
            <v>0</v>
          </cell>
          <cell r="AX137">
            <v>0</v>
          </cell>
          <cell r="AY137">
            <v>0</v>
          </cell>
          <cell r="AZ137">
            <v>0</v>
          </cell>
          <cell r="BA137">
            <v>0</v>
          </cell>
        </row>
        <row r="138">
          <cell r="A138" t="str">
            <v>Tax expense from operations</v>
          </cell>
          <cell r="G138">
            <v>1752</v>
          </cell>
          <cell r="L138">
            <v>1569</v>
          </cell>
          <cell r="Q138">
            <v>411.87999999999988</v>
          </cell>
          <cell r="V138">
            <v>446.31999999999994</v>
          </cell>
          <cell r="AA138">
            <v>442.68000000000006</v>
          </cell>
          <cell r="AF138">
            <v>1229.8000000000002</v>
          </cell>
          <cell r="AP138">
            <v>488.6</v>
          </cell>
          <cell r="AU138">
            <v>464.36890479809438</v>
          </cell>
          <cell r="AV138">
            <v>541.56190597665022</v>
          </cell>
          <cell r="AW138">
            <v>620.44257148370389</v>
          </cell>
          <cell r="AX138">
            <v>691.42564059076562</v>
          </cell>
          <cell r="AY138">
            <v>789.35235925782877</v>
          </cell>
          <cell r="AZ138">
            <v>878.75301517487742</v>
          </cell>
          <cell r="BA138">
            <v>968.07007586385407</v>
          </cell>
        </row>
        <row r="139">
          <cell r="A139" t="str">
            <v>Tax reported</v>
          </cell>
          <cell r="G139">
            <v>216</v>
          </cell>
          <cell r="L139">
            <v>-1573</v>
          </cell>
          <cell r="Q139">
            <v>170</v>
          </cell>
          <cell r="V139">
            <v>643</v>
          </cell>
          <cell r="AA139">
            <v>935</v>
          </cell>
          <cell r="AF139">
            <v>1082</v>
          </cell>
          <cell r="AP139">
            <v>565</v>
          </cell>
          <cell r="AU139">
            <v>573.28862963723464</v>
          </cell>
          <cell r="AV139">
            <v>697.16304308670306</v>
          </cell>
          <cell r="AW139">
            <v>778.82404446716635</v>
          </cell>
          <cell r="AX139">
            <v>854.32533827611246</v>
          </cell>
          <cell r="AY139">
            <v>961.6922156100477</v>
          </cell>
          <cell r="AZ139">
            <v>903.58285921592551</v>
          </cell>
          <cell r="BA139">
            <v>999.44214090649314</v>
          </cell>
        </row>
        <row r="140">
          <cell r="A140" t="str">
            <v>Tax benefit from financing</v>
          </cell>
          <cell r="G140">
            <v>164.4</v>
          </cell>
          <cell r="L140">
            <v>292.40000000000003</v>
          </cell>
          <cell r="Q140">
            <v>132.72</v>
          </cell>
          <cell r="V140">
            <v>148.68</v>
          </cell>
          <cell r="AA140">
            <v>14.280000000000001</v>
          </cell>
          <cell r="AF140">
            <v>29.120000000000005</v>
          </cell>
          <cell r="AP140">
            <v>-41.3</v>
          </cell>
          <cell r="AU140">
            <v>-97.444306709884856</v>
          </cell>
          <cell r="AV140">
            <v>-100.56194949794462</v>
          </cell>
          <cell r="AW140">
            <v>-96.895364209738744</v>
          </cell>
          <cell r="AX140">
            <v>-95.452960453022101</v>
          </cell>
          <cell r="AY140">
            <v>-96.41678669879407</v>
          </cell>
          <cell r="AZ140">
            <v>46.505644844419727</v>
          </cell>
          <cell r="BA140">
            <v>47.531261871031639</v>
          </cell>
        </row>
        <row r="141">
          <cell r="A141" t="str">
            <v>Tax adjustment</v>
          </cell>
          <cell r="G141">
            <v>1371.6</v>
          </cell>
          <cell r="L141">
            <v>2849.6</v>
          </cell>
          <cell r="Q141">
            <v>109.15999999999988</v>
          </cell>
          <cell r="V141">
            <v>-345.36000000000007</v>
          </cell>
          <cell r="AA141">
            <v>-506.59999999999991</v>
          </cell>
          <cell r="AF141">
            <v>118.68000000000018</v>
          </cell>
          <cell r="AP141">
            <v>-35.09999999999998</v>
          </cell>
          <cell r="AU141">
            <v>-11.475418129255402</v>
          </cell>
          <cell r="AV141">
            <v>-55.039187612108208</v>
          </cell>
          <cell r="AW141">
            <v>-61.486108773723714</v>
          </cell>
          <cell r="AX141">
            <v>-67.446737232324736</v>
          </cell>
          <cell r="AY141">
            <v>-75.923069653424861</v>
          </cell>
          <cell r="AZ141">
            <v>-71.335488885467811</v>
          </cell>
          <cell r="BA141">
            <v>-78.903326913670696</v>
          </cell>
        </row>
        <row r="142">
          <cell r="A142" t="str">
            <v>Other income</v>
          </cell>
          <cell r="AP142">
            <v>-68.09999999999998</v>
          </cell>
          <cell r="AU142">
            <v>-42.475418129255402</v>
          </cell>
          <cell r="AV142">
            <v>-89.139187612108202</v>
          </cell>
          <cell r="AW142">
            <v>-98.996108773723719</v>
          </cell>
          <cell r="AX142">
            <v>-108.70773723232475</v>
          </cell>
          <cell r="AY142">
            <v>-121.31016965342488</v>
          </cell>
          <cell r="AZ142">
            <v>-121.26129888546784</v>
          </cell>
          <cell r="BA142">
            <v>-133.82171791367074</v>
          </cell>
        </row>
        <row r="144">
          <cell r="A144" t="str">
            <v>ModelWare Net Income</v>
          </cell>
          <cell r="AP144">
            <v>916</v>
          </cell>
          <cell r="AU144">
            <v>1000.8919746712776</v>
          </cell>
          <cell r="AV144">
            <v>1103.3765439835681</v>
          </cell>
          <cell r="AW144">
            <v>1233.2029146569555</v>
          </cell>
          <cell r="AX144">
            <v>1352.63823613471</v>
          </cell>
          <cell r="AY144">
            <v>1523.6896728374461</v>
          </cell>
          <cell r="AZ144">
            <v>1424.3409602996678</v>
          </cell>
          <cell r="BA144">
            <v>1575.7503652158568</v>
          </cell>
        </row>
        <row r="145">
          <cell r="A145" t="str">
            <v>ModelWare EPS</v>
          </cell>
          <cell r="AP145">
            <v>2.6577433957339762</v>
          </cell>
          <cell r="AU145">
            <v>2.9040546239363825</v>
          </cell>
          <cell r="AV145">
            <v>3.2014101777075408</v>
          </cell>
          <cell r="AW145">
            <v>3.5780970546172641</v>
          </cell>
          <cell r="AX145">
            <v>3.9246346494588211</v>
          </cell>
          <cell r="AY145">
            <v>4.4209346780914682</v>
          </cell>
          <cell r="AZ145">
            <v>4.1326777079801653</v>
          </cell>
          <cell r="BA145">
            <v>4.5719870376395679</v>
          </cell>
        </row>
        <row r="147">
          <cell r="A147" t="str">
            <v>Dividend payment</v>
          </cell>
          <cell r="B147">
            <v>344.47776119402988</v>
          </cell>
          <cell r="G147">
            <v>379.11861679999998</v>
          </cell>
          <cell r="L147">
            <v>379.11861679999998</v>
          </cell>
          <cell r="Q147">
            <v>379.11861679999998</v>
          </cell>
          <cell r="V147">
            <v>379.11861679999998</v>
          </cell>
          <cell r="AA147">
            <v>379.11861679999998</v>
          </cell>
          <cell r="AF147">
            <v>379.11861680000004</v>
          </cell>
          <cell r="AP147">
            <v>10442.994626399999</v>
          </cell>
          <cell r="AU147">
            <v>500.44598733563873</v>
          </cell>
          <cell r="AV147">
            <v>551.68827199178418</v>
          </cell>
          <cell r="AW147">
            <v>616.60145732847775</v>
          </cell>
          <cell r="AX147">
            <v>676.31911806735491</v>
          </cell>
          <cell r="AY147">
            <v>761.84483641872316</v>
          </cell>
          <cell r="AZ147">
            <v>712.17048014983391</v>
          </cell>
          <cell r="BA147">
            <v>787.87518260792865</v>
          </cell>
        </row>
        <row r="148">
          <cell r="A148" t="str">
            <v>Scenario Analysis</v>
          </cell>
        </row>
        <row r="149">
          <cell r="A149" t="str">
            <v>None</v>
          </cell>
          <cell r="AU149">
            <v>0</v>
          </cell>
          <cell r="AV149">
            <v>0</v>
          </cell>
          <cell r="AW149">
            <v>0</v>
          </cell>
          <cell r="AX149">
            <v>0</v>
          </cell>
          <cell r="AY149">
            <v>0</v>
          </cell>
          <cell r="AZ149">
            <v>0</v>
          </cell>
          <cell r="BA149">
            <v>0</v>
          </cell>
        </row>
        <row r="150">
          <cell r="A150" t="str">
            <v>All cash in 2006</v>
          </cell>
          <cell r="AU150">
            <v>10500</v>
          </cell>
          <cell r="AV150">
            <v>0</v>
          </cell>
          <cell r="AW150">
            <v>0</v>
          </cell>
          <cell r="AX150">
            <v>0</v>
          </cell>
          <cell r="AY150">
            <v>0</v>
          </cell>
          <cell r="AZ150">
            <v>0</v>
          </cell>
          <cell r="BA150">
            <v>0</v>
          </cell>
        </row>
        <row r="151">
          <cell r="A151" t="str">
            <v>Cash payout in 2010</v>
          </cell>
          <cell r="AU151">
            <v>0</v>
          </cell>
          <cell r="AV151">
            <v>0</v>
          </cell>
          <cell r="AW151">
            <v>0</v>
          </cell>
          <cell r="AX151">
            <v>0</v>
          </cell>
          <cell r="AY151">
            <v>10500</v>
          </cell>
          <cell r="AZ151">
            <v>0</v>
          </cell>
          <cell r="BA151">
            <v>0</v>
          </cell>
        </row>
        <row r="152">
          <cell r="A152" t="str">
            <v>All cash as dividends</v>
          </cell>
          <cell r="AU152">
            <v>10500</v>
          </cell>
          <cell r="AV152">
            <v>10737.081147599099</v>
          </cell>
          <cell r="AW152">
            <v>10515.634243982055</v>
          </cell>
          <cell r="AX152">
            <v>10474.658760183216</v>
          </cell>
          <cell r="AY152">
            <v>10564.21952027704</v>
          </cell>
          <cell r="AZ152">
            <v>493.50110162831709</v>
          </cell>
          <cell r="BA152">
            <v>0</v>
          </cell>
        </row>
        <row r="153">
          <cell r="A153" t="str">
            <v>Special dividend (for scenario analysis)</v>
          </cell>
          <cell r="AU153">
            <v>0</v>
          </cell>
          <cell r="AV153">
            <v>0</v>
          </cell>
          <cell r="AW153">
            <v>0</v>
          </cell>
          <cell r="AX153">
            <v>0</v>
          </cell>
          <cell r="AY153">
            <v>10500</v>
          </cell>
          <cell r="AZ153">
            <v>0</v>
          </cell>
          <cell r="BA153">
            <v>0</v>
          </cell>
        </row>
        <row r="154">
          <cell r="A154" t="str">
            <v>e = Morgan Stanley estimates; Source: Company data, Morgan Stanley Research.</v>
          </cell>
        </row>
        <row r="155">
          <cell r="AY155">
            <v>0</v>
          </cell>
        </row>
        <row r="156">
          <cell r="AU156">
            <v>30.465399186906932</v>
          </cell>
        </row>
        <row r="176">
          <cell r="R176" t="str">
            <v>2002-Q1</v>
          </cell>
          <cell r="S176" t="str">
            <v>2002-Q2</v>
          </cell>
          <cell r="T176" t="str">
            <v>2002-Q3</v>
          </cell>
          <cell r="U176" t="str">
            <v>2002-Q4</v>
          </cell>
          <cell r="V176" t="str">
            <v>2002-FY</v>
          </cell>
          <cell r="W176" t="str">
            <v>2003-Q1</v>
          </cell>
          <cell r="X176" t="str">
            <v>2003-Q2</v>
          </cell>
          <cell r="Y176" t="str">
            <v>2003-Q3</v>
          </cell>
          <cell r="Z176" t="str">
            <v>2003-Q4</v>
          </cell>
          <cell r="AA176" t="str">
            <v>2003-FY</v>
          </cell>
          <cell r="AB176" t="str">
            <v>2004-Q1</v>
          </cell>
          <cell r="AC176" t="str">
            <v>2004-Q2</v>
          </cell>
          <cell r="AD176" t="str">
            <v>2004-Q3</v>
          </cell>
          <cell r="AE176" t="str">
            <v>2004-Q4</v>
          </cell>
          <cell r="AF176" t="str">
            <v>2004-FY</v>
          </cell>
          <cell r="AL176" t="str">
            <v>2005-Q1</v>
          </cell>
          <cell r="AM176" t="str">
            <v>2005-Q2</v>
          </cell>
          <cell r="AN176" t="str">
            <v>2005-Q3</v>
          </cell>
          <cell r="AO176" t="str">
            <v>2005-Q4</v>
          </cell>
          <cell r="AP176" t="str">
            <v>2005-FY</v>
          </cell>
          <cell r="AQ176" t="str">
            <v>2006-Q1</v>
          </cell>
          <cell r="AR176" t="str">
            <v>2006-Q2</v>
          </cell>
          <cell r="AS176" t="str">
            <v>2006-Q3</v>
          </cell>
          <cell r="AT176" t="str">
            <v>2006-Q4</v>
          </cell>
          <cell r="AU176" t="str">
            <v>2006-FY</v>
          </cell>
          <cell r="AV176" t="str">
            <v>2007-FY</v>
          </cell>
          <cell r="AW176" t="str">
            <v>2008-FY</v>
          </cell>
          <cell r="AX176" t="str">
            <v>2009-FY</v>
          </cell>
          <cell r="AY176" t="str">
            <v>2010-FY</v>
          </cell>
          <cell r="AZ176" t="str">
            <v>2011-FY</v>
          </cell>
          <cell r="BA176" t="str">
            <v>2012-FY</v>
          </cell>
        </row>
      </sheetData>
      <sheetData sheetId="6" refreshError="1">
        <row r="1">
          <cell r="A1" t="str">
            <v>Gambro: Balance Sheet</v>
          </cell>
          <cell r="L1" t="str">
            <v>Morgan Stanley Healthcare Research</v>
          </cell>
          <cell r="M1" t="str">
            <v>Morgan Stanley Healthcare Research</v>
          </cell>
          <cell r="P1" t="str">
            <v>ElementName</v>
          </cell>
          <cell r="Q1" t="str">
            <v>ScaleOverride</v>
          </cell>
          <cell r="R1" t="str">
            <v>UnitOverride</v>
          </cell>
          <cell r="S1" t="str">
            <v>ReverseSign</v>
          </cell>
          <cell r="T1" t="str">
            <v>IsDrivingAssumption</v>
          </cell>
          <cell r="U1" t="str">
            <v>SegmentID</v>
          </cell>
        </row>
        <row r="3">
          <cell r="A3" t="str">
            <v>Year end 31 December</v>
          </cell>
          <cell r="B3" t="str">
            <v>2001A</v>
          </cell>
          <cell r="C3" t="str">
            <v>2002A</v>
          </cell>
          <cell r="D3" t="str">
            <v>2003A</v>
          </cell>
          <cell r="E3" t="str">
            <v>2004A</v>
          </cell>
          <cell r="F3">
            <v>2005</v>
          </cell>
          <cell r="G3" t="str">
            <v>2006e</v>
          </cell>
          <cell r="H3" t="str">
            <v>2007e</v>
          </cell>
          <cell r="I3" t="str">
            <v>2008e</v>
          </cell>
          <cell r="J3" t="str">
            <v>2009e</v>
          </cell>
          <cell r="K3" t="str">
            <v>2010e</v>
          </cell>
          <cell r="L3" t="str">
            <v>2011e</v>
          </cell>
          <cell r="M3" t="str">
            <v>2012e</v>
          </cell>
        </row>
        <row r="4">
          <cell r="A4" t="str">
            <v>(SEK million)</v>
          </cell>
          <cell r="D4" t="str">
            <v xml:space="preserve"> </v>
          </cell>
        </row>
        <row r="6">
          <cell r="A6" t="str">
            <v>ASSETS</v>
          </cell>
          <cell r="D6" t="str">
            <v xml:space="preserve"> </v>
          </cell>
          <cell r="E6" t="str">
            <v xml:space="preserve"> </v>
          </cell>
        </row>
        <row r="7">
          <cell r="A7" t="str">
            <v>Current Assets</v>
          </cell>
          <cell r="C7" t="str">
            <v xml:space="preserve"> </v>
          </cell>
          <cell r="D7" t="str">
            <v xml:space="preserve"> </v>
          </cell>
          <cell r="G7">
            <v>-209.25863760412994</v>
          </cell>
          <cell r="H7">
            <v>373.52155762017901</v>
          </cell>
          <cell r="I7">
            <v>235.62221592810693</v>
          </cell>
          <cell r="J7">
            <v>222.36142170418225</v>
          </cell>
          <cell r="K7">
            <v>168.37360610785072</v>
          </cell>
          <cell r="L7">
            <v>140.55762629627861</v>
          </cell>
          <cell r="M7">
            <v>475.79868641322082</v>
          </cell>
        </row>
        <row r="8">
          <cell r="A8" t="str">
            <v>Cash and Cash Equivalents</v>
          </cell>
          <cell r="B8">
            <v>899</v>
          </cell>
          <cell r="C8">
            <v>563</v>
          </cell>
          <cell r="D8">
            <v>482</v>
          </cell>
          <cell r="E8">
            <v>659</v>
          </cell>
          <cell r="F8">
            <v>11286</v>
          </cell>
          <cell r="G8">
            <v>11571.691861879017</v>
          </cell>
          <cell r="H8">
            <v>11195.026003307514</v>
          </cell>
          <cell r="I8">
            <v>10963.103141724167</v>
          </cell>
          <cell r="J8">
            <v>10918.006504334708</v>
          </cell>
          <cell r="K8">
            <v>510.32105370216414</v>
          </cell>
          <cell r="L8">
            <v>531.2528306442606</v>
          </cell>
          <cell r="M8">
            <v>276.77495620313198</v>
          </cell>
          <cell r="P8" t="str">
            <v>mstag:cashAndCashEquivalents</v>
          </cell>
          <cell r="Q8">
            <v>6</v>
          </cell>
          <cell r="R8" t="str">
            <v>ISO4217:SEK</v>
          </cell>
          <cell r="S8" t="b">
            <v>0</v>
          </cell>
          <cell r="T8" t="b">
            <v>0</v>
          </cell>
        </row>
        <row r="9">
          <cell r="A9" t="str">
            <v xml:space="preserve">     Trade Accounts Receivable</v>
          </cell>
          <cell r="B9">
            <v>6335</v>
          </cell>
          <cell r="C9">
            <v>5891</v>
          </cell>
          <cell r="D9">
            <v>6096</v>
          </cell>
          <cell r="E9">
            <v>6858</v>
          </cell>
          <cell r="F9">
            <v>5088</v>
          </cell>
          <cell r="G9">
            <v>4878.7413623958701</v>
          </cell>
          <cell r="H9">
            <v>5252.2629200160491</v>
          </cell>
          <cell r="I9">
            <v>5487.885135944156</v>
          </cell>
          <cell r="J9">
            <v>5710.2465576483382</v>
          </cell>
          <cell r="K9">
            <v>5878.620163756189</v>
          </cell>
          <cell r="L9">
            <v>6019.1777900524676</v>
          </cell>
          <cell r="M9">
            <v>6494.9764764656884</v>
          </cell>
          <cell r="P9" t="str">
            <v>mstag:tradeReceivables</v>
          </cell>
          <cell r="Q9">
            <v>6</v>
          </cell>
          <cell r="R9" t="str">
            <v>ISO4217:SEK</v>
          </cell>
          <cell r="S9" t="b">
            <v>0</v>
          </cell>
          <cell r="T9" t="b">
            <v>0</v>
          </cell>
        </row>
        <row r="10">
          <cell r="A10" t="str">
            <v xml:space="preserve">     Other Accounts Receivable</v>
          </cell>
          <cell r="B10">
            <v>1692</v>
          </cell>
          <cell r="C10">
            <v>1585</v>
          </cell>
          <cell r="D10">
            <v>2503</v>
          </cell>
          <cell r="E10">
            <v>2186</v>
          </cell>
          <cell r="F10">
            <v>1567</v>
          </cell>
          <cell r="G10">
            <v>1567</v>
          </cell>
          <cell r="H10">
            <v>1567</v>
          </cell>
          <cell r="I10">
            <v>1567</v>
          </cell>
          <cell r="J10">
            <v>1567</v>
          </cell>
          <cell r="K10">
            <v>1567</v>
          </cell>
          <cell r="L10">
            <v>1567</v>
          </cell>
          <cell r="M10">
            <v>1567</v>
          </cell>
          <cell r="P10" t="str">
            <v>mstag:otherReceivablesCurrent</v>
          </cell>
          <cell r="Q10">
            <v>6</v>
          </cell>
          <cell r="R10" t="str">
            <v>ISO4217:SEK</v>
          </cell>
          <cell r="S10" t="b">
            <v>0</v>
          </cell>
          <cell r="T10" t="b">
            <v>0</v>
          </cell>
          <cell r="V10">
            <v>115.11884634510194</v>
          </cell>
        </row>
        <row r="11">
          <cell r="A11" t="str">
            <v>Accounts Receivables</v>
          </cell>
          <cell r="B11">
            <v>8027</v>
          </cell>
          <cell r="C11">
            <v>7476</v>
          </cell>
          <cell r="D11">
            <v>8599</v>
          </cell>
          <cell r="E11">
            <v>9044</v>
          </cell>
          <cell r="F11">
            <v>6655</v>
          </cell>
          <cell r="G11">
            <v>6445.7413623958701</v>
          </cell>
          <cell r="H11">
            <v>6819.2629200160491</v>
          </cell>
          <cell r="I11">
            <v>7054.885135944156</v>
          </cell>
          <cell r="J11">
            <v>7277.2465576483382</v>
          </cell>
          <cell r="K11">
            <v>7445.620163756189</v>
          </cell>
          <cell r="L11">
            <v>7586.1777900524676</v>
          </cell>
          <cell r="M11">
            <v>8061.9764764656884</v>
          </cell>
        </row>
        <row r="12">
          <cell r="A12" t="str">
            <v>Inventories</v>
          </cell>
          <cell r="B12">
            <v>2743</v>
          </cell>
          <cell r="C12">
            <v>2549</v>
          </cell>
          <cell r="D12">
            <v>2349</v>
          </cell>
          <cell r="E12">
            <v>2255</v>
          </cell>
          <cell r="F12">
            <v>2171</v>
          </cell>
          <cell r="G12">
            <v>2205.0867066662349</v>
          </cell>
          <cell r="H12">
            <v>2402.6715466837054</v>
          </cell>
          <cell r="I12">
            <v>2625.8223736174705</v>
          </cell>
          <cell r="J12">
            <v>2792.6531814834966</v>
          </cell>
          <cell r="K12">
            <v>2948.7158741401049</v>
          </cell>
          <cell r="L12">
            <v>3145.0203953024143</v>
          </cell>
          <cell r="M12">
            <v>3348.3768728339446</v>
          </cell>
          <cell r="P12" t="str">
            <v>mstag:inventories</v>
          </cell>
          <cell r="Q12">
            <v>6</v>
          </cell>
          <cell r="R12" t="str">
            <v>ISO4217:SEK</v>
          </cell>
          <cell r="S12" t="b">
            <v>0</v>
          </cell>
          <cell r="T12" t="b">
            <v>0</v>
          </cell>
        </row>
        <row r="13">
          <cell r="A13" t="str">
            <v>Total Current Assets</v>
          </cell>
          <cell r="B13">
            <v>11669</v>
          </cell>
          <cell r="C13">
            <v>10588</v>
          </cell>
          <cell r="D13">
            <v>11430</v>
          </cell>
          <cell r="E13">
            <v>11958</v>
          </cell>
          <cell r="F13">
            <v>20112</v>
          </cell>
          <cell r="G13">
            <v>20222.519930941122</v>
          </cell>
          <cell r="H13">
            <v>20416.960470007267</v>
          </cell>
          <cell r="I13">
            <v>20643.810651285792</v>
          </cell>
          <cell r="J13">
            <v>20987.906243466543</v>
          </cell>
          <cell r="K13">
            <v>10904.657091598458</v>
          </cell>
          <cell r="L13">
            <v>11262.451015999142</v>
          </cell>
          <cell r="M13">
            <v>11687.128305502763</v>
          </cell>
        </row>
        <row r="15">
          <cell r="A15" t="str">
            <v>Property, Plant &amp; Equipment</v>
          </cell>
          <cell r="B15">
            <v>7865</v>
          </cell>
          <cell r="C15">
            <v>8146</v>
          </cell>
          <cell r="D15">
            <v>7868</v>
          </cell>
          <cell r="E15">
            <v>7480</v>
          </cell>
          <cell r="F15">
            <v>6350</v>
          </cell>
          <cell r="G15">
            <v>6724.4046897772332</v>
          </cell>
          <cell r="H15">
            <v>7175.6045380697706</v>
          </cell>
          <cell r="I15">
            <v>7675.800447536526</v>
          </cell>
          <cell r="J15">
            <v>8156.9966295790491</v>
          </cell>
          <cell r="K15">
            <v>8685.5688969742496</v>
          </cell>
          <cell r="L15">
            <v>9261.4390674710994</v>
          </cell>
          <cell r="M15">
            <v>9885.6236227923746</v>
          </cell>
          <cell r="P15" t="str">
            <v>mstag:propertyPlantAndEquipmentNet</v>
          </cell>
          <cell r="Q15">
            <v>6</v>
          </cell>
          <cell r="R15" t="str">
            <v>ISO4217:SEK</v>
          </cell>
          <cell r="S15" t="b">
            <v>0</v>
          </cell>
          <cell r="T15" t="b">
            <v>0</v>
          </cell>
        </row>
        <row r="16">
          <cell r="A16" t="str">
            <v>Goodwill</v>
          </cell>
          <cell r="B16">
            <v>17166</v>
          </cell>
          <cell r="C16">
            <v>13685</v>
          </cell>
          <cell r="D16">
            <v>10702</v>
          </cell>
          <cell r="E16">
            <v>9297</v>
          </cell>
          <cell r="F16">
            <v>1179</v>
          </cell>
          <cell r="G16">
            <v>1179</v>
          </cell>
          <cell r="H16">
            <v>1179</v>
          </cell>
          <cell r="I16">
            <v>1179</v>
          </cell>
          <cell r="J16">
            <v>1179</v>
          </cell>
          <cell r="K16">
            <v>1179</v>
          </cell>
          <cell r="L16">
            <v>1179</v>
          </cell>
          <cell r="M16">
            <v>1179</v>
          </cell>
          <cell r="N16" t="str">
            <v xml:space="preserve"> </v>
          </cell>
          <cell r="P16" t="str">
            <v>mstag:goodwill</v>
          </cell>
          <cell r="Q16">
            <v>6</v>
          </cell>
          <cell r="R16" t="str">
            <v>ISO4217:SEK</v>
          </cell>
          <cell r="S16" t="b">
            <v>0</v>
          </cell>
          <cell r="T16" t="b">
            <v>0</v>
          </cell>
        </row>
        <row r="17">
          <cell r="A17" t="str">
            <v>Intangible Assets</v>
          </cell>
          <cell r="B17">
            <v>941</v>
          </cell>
          <cell r="C17">
            <v>985</v>
          </cell>
          <cell r="D17">
            <v>971</v>
          </cell>
          <cell r="E17">
            <v>1040</v>
          </cell>
          <cell r="F17">
            <v>1179</v>
          </cell>
          <cell r="G17">
            <v>1265.8</v>
          </cell>
          <cell r="H17">
            <v>1292.5999999999999</v>
          </cell>
          <cell r="I17">
            <v>1289.3999999999999</v>
          </cell>
          <cell r="J17">
            <v>1256.1999999999998</v>
          </cell>
          <cell r="K17">
            <v>1192.9999999999998</v>
          </cell>
          <cell r="L17">
            <v>1099.7999999999997</v>
          </cell>
          <cell r="M17">
            <v>976.59999999999968</v>
          </cell>
          <cell r="P17" t="str">
            <v>mstag:otherIntangibleAssets</v>
          </cell>
          <cell r="Q17">
            <v>6</v>
          </cell>
          <cell r="R17" t="str">
            <v>ISO4217:SEK</v>
          </cell>
          <cell r="S17" t="b">
            <v>0</v>
          </cell>
          <cell r="T17" t="b">
            <v>0</v>
          </cell>
        </row>
        <row r="18">
          <cell r="A18" t="str">
            <v xml:space="preserve">     Participations in group and assoc. cos. &amp; JVs</v>
          </cell>
          <cell r="B18">
            <v>192</v>
          </cell>
          <cell r="C18">
            <v>58</v>
          </cell>
          <cell r="D18">
            <v>50</v>
          </cell>
          <cell r="E18">
            <v>49</v>
          </cell>
          <cell r="F18">
            <v>106</v>
          </cell>
          <cell r="G18">
            <v>106</v>
          </cell>
          <cell r="H18">
            <v>106</v>
          </cell>
          <cell r="I18">
            <v>106</v>
          </cell>
          <cell r="J18">
            <v>106</v>
          </cell>
          <cell r="K18">
            <v>106</v>
          </cell>
          <cell r="L18">
            <v>106</v>
          </cell>
          <cell r="M18">
            <v>106</v>
          </cell>
          <cell r="P18" t="str">
            <v>mstag:otherAssetsNonOperatingNonCurrent</v>
          </cell>
          <cell r="Q18">
            <v>6</v>
          </cell>
          <cell r="R18" t="str">
            <v>ISO4217:SEK</v>
          </cell>
          <cell r="S18" t="b">
            <v>0</v>
          </cell>
          <cell r="T18" t="b">
            <v>0</v>
          </cell>
        </row>
        <row r="19">
          <cell r="A19" t="str">
            <v xml:space="preserve">     Other securities held as fixed assets</v>
          </cell>
          <cell r="B19">
            <v>44</v>
          </cell>
          <cell r="C19">
            <v>54</v>
          </cell>
          <cell r="D19">
            <v>77</v>
          </cell>
          <cell r="E19">
            <v>74</v>
          </cell>
          <cell r="G19">
            <v>0</v>
          </cell>
          <cell r="H19">
            <v>0</v>
          </cell>
          <cell r="I19">
            <v>0</v>
          </cell>
          <cell r="J19">
            <v>0</v>
          </cell>
          <cell r="K19">
            <v>0</v>
          </cell>
          <cell r="L19">
            <v>0</v>
          </cell>
          <cell r="M19">
            <v>0</v>
          </cell>
          <cell r="P19" t="str">
            <v>mstag:otherAssetsNonOperatingNonCurrent</v>
          </cell>
          <cell r="Q19">
            <v>6</v>
          </cell>
          <cell r="R19" t="str">
            <v>ISO4217:SEK</v>
          </cell>
          <cell r="S19" t="b">
            <v>0</v>
          </cell>
          <cell r="T19" t="b">
            <v>0</v>
          </cell>
        </row>
        <row r="20">
          <cell r="A20" t="str">
            <v xml:space="preserve">     Other long-term receivables</v>
          </cell>
          <cell r="B20">
            <v>744</v>
          </cell>
          <cell r="C20">
            <v>1226</v>
          </cell>
          <cell r="D20">
            <v>1979</v>
          </cell>
          <cell r="E20">
            <v>703</v>
          </cell>
          <cell r="F20">
            <v>456</v>
          </cell>
          <cell r="G20">
            <v>456</v>
          </cell>
          <cell r="H20">
            <v>456</v>
          </cell>
          <cell r="I20">
            <v>456</v>
          </cell>
          <cell r="J20">
            <v>456</v>
          </cell>
          <cell r="K20">
            <v>456</v>
          </cell>
          <cell r="L20">
            <v>456</v>
          </cell>
          <cell r="M20">
            <v>456</v>
          </cell>
          <cell r="P20" t="str">
            <v>mstag:otherReceivablesNonCurrent</v>
          </cell>
          <cell r="Q20">
            <v>6</v>
          </cell>
          <cell r="R20" t="str">
            <v>ISO4217:SEK</v>
          </cell>
          <cell r="S20" t="b">
            <v>0</v>
          </cell>
          <cell r="T20" t="b">
            <v>0</v>
          </cell>
        </row>
        <row r="21">
          <cell r="A21" t="str">
            <v xml:space="preserve">     Deferred Tax receivables</v>
          </cell>
          <cell r="B21">
            <v>1530</v>
          </cell>
          <cell r="C21">
            <v>1277</v>
          </cell>
          <cell r="D21">
            <v>1035</v>
          </cell>
          <cell r="E21">
            <v>954</v>
          </cell>
          <cell r="F21">
            <v>396</v>
          </cell>
          <cell r="G21">
            <v>396</v>
          </cell>
          <cell r="H21">
            <v>396</v>
          </cell>
          <cell r="I21">
            <v>396</v>
          </cell>
          <cell r="J21">
            <v>396</v>
          </cell>
          <cell r="K21">
            <v>396</v>
          </cell>
          <cell r="L21">
            <v>396</v>
          </cell>
          <cell r="M21">
            <v>396</v>
          </cell>
          <cell r="P21" t="str">
            <v>mstag:deferredTaxAssetsNonCurrent</v>
          </cell>
          <cell r="Q21">
            <v>6</v>
          </cell>
          <cell r="R21" t="str">
            <v>ISO4217:SEK</v>
          </cell>
          <cell r="S21" t="b">
            <v>0</v>
          </cell>
          <cell r="T21" t="b">
            <v>0</v>
          </cell>
        </row>
        <row r="22">
          <cell r="A22" t="str">
            <v>Other Long-term Assets</v>
          </cell>
          <cell r="B22">
            <v>2510</v>
          </cell>
          <cell r="C22">
            <v>2615</v>
          </cell>
          <cell r="D22">
            <v>3141</v>
          </cell>
          <cell r="E22">
            <v>1780</v>
          </cell>
          <cell r="F22">
            <v>958</v>
          </cell>
          <cell r="G22">
            <v>958</v>
          </cell>
          <cell r="H22">
            <v>958</v>
          </cell>
          <cell r="I22">
            <v>958</v>
          </cell>
          <cell r="J22">
            <v>958</v>
          </cell>
          <cell r="K22">
            <v>958</v>
          </cell>
          <cell r="L22">
            <v>958</v>
          </cell>
          <cell r="M22">
            <v>958</v>
          </cell>
        </row>
        <row r="23">
          <cell r="A23" t="str">
            <v>Total Fixed Assets</v>
          </cell>
          <cell r="B23">
            <v>28482</v>
          </cell>
          <cell r="C23">
            <v>25431</v>
          </cell>
          <cell r="D23">
            <v>22682</v>
          </cell>
          <cell r="E23">
            <v>19597</v>
          </cell>
          <cell r="F23">
            <v>9666</v>
          </cell>
          <cell r="G23">
            <v>10127.204689777232</v>
          </cell>
          <cell r="H23">
            <v>10605.204538069771</v>
          </cell>
          <cell r="I23">
            <v>11102.200447536527</v>
          </cell>
          <cell r="J23">
            <v>11550.196629579048</v>
          </cell>
          <cell r="K23">
            <v>12015.56889697425</v>
          </cell>
          <cell r="L23">
            <v>12498.239067471099</v>
          </cell>
          <cell r="M23">
            <v>12999.223622792375</v>
          </cell>
        </row>
        <row r="24">
          <cell r="B24" t="str">
            <v>_____</v>
          </cell>
          <cell r="C24" t="str">
            <v>_____</v>
          </cell>
          <cell r="D24" t="str">
            <v>_____</v>
          </cell>
          <cell r="E24" t="str">
            <v>_____</v>
          </cell>
          <cell r="F24" t="str">
            <v>_____</v>
          </cell>
          <cell r="G24" t="str">
            <v>_____</v>
          </cell>
          <cell r="H24" t="str">
            <v>_____</v>
          </cell>
          <cell r="I24" t="str">
            <v>_____</v>
          </cell>
          <cell r="J24" t="str">
            <v>_____</v>
          </cell>
          <cell r="K24" t="str">
            <v>_____</v>
          </cell>
          <cell r="L24" t="str">
            <v>_____</v>
          </cell>
          <cell r="M24" t="str">
            <v>_____</v>
          </cell>
        </row>
        <row r="25">
          <cell r="A25" t="str">
            <v>Total Assets</v>
          </cell>
          <cell r="B25">
            <v>40151</v>
          </cell>
          <cell r="C25">
            <v>36019</v>
          </cell>
          <cell r="D25">
            <v>34112</v>
          </cell>
          <cell r="E25">
            <v>31555</v>
          </cell>
          <cell r="F25">
            <v>29778</v>
          </cell>
          <cell r="G25">
            <v>30349.724620718356</v>
          </cell>
          <cell r="H25">
            <v>31022.165008077038</v>
          </cell>
          <cell r="I25">
            <v>31746.011098822317</v>
          </cell>
          <cell r="J25">
            <v>32538.102873045591</v>
          </cell>
          <cell r="K25">
            <v>22920.225988572707</v>
          </cell>
          <cell r="L25">
            <v>23760.690083470239</v>
          </cell>
          <cell r="M25">
            <v>24686.351928295138</v>
          </cell>
        </row>
        <row r="27">
          <cell r="A27" t="str">
            <v>EQUITY AND LIABILITIES</v>
          </cell>
        </row>
        <row r="28">
          <cell r="A28" t="str">
            <v>Liabilities</v>
          </cell>
        </row>
        <row r="29">
          <cell r="A29" t="str">
            <v>Accounts Payable</v>
          </cell>
          <cell r="B29">
            <v>1658</v>
          </cell>
          <cell r="C29">
            <v>1548</v>
          </cell>
          <cell r="D29">
            <v>1309</v>
          </cell>
          <cell r="E29">
            <v>1355</v>
          </cell>
          <cell r="F29">
            <v>628.90410958904101</v>
          </cell>
          <cell r="G29">
            <v>664.18274297175753</v>
          </cell>
          <cell r="H29">
            <v>750.83485833865802</v>
          </cell>
          <cell r="I29">
            <v>820.56949175545958</v>
          </cell>
          <cell r="J29">
            <v>895.08114791137712</v>
          </cell>
          <cell r="K29">
            <v>969.97232701977123</v>
          </cell>
          <cell r="L29">
            <v>1048.3401317674713</v>
          </cell>
          <cell r="M29">
            <v>1131.2084029844407</v>
          </cell>
          <cell r="P29" t="str">
            <v>mstag:tradePayablesCurrent</v>
          </cell>
          <cell r="Q29">
            <v>6</v>
          </cell>
          <cell r="R29" t="str">
            <v>ISO4217:SEK</v>
          </cell>
          <cell r="S29" t="b">
            <v>0</v>
          </cell>
          <cell r="T29" t="b">
            <v>0</v>
          </cell>
        </row>
        <row r="30">
          <cell r="A30" t="str">
            <v xml:space="preserve">     Short Term Borrowings</v>
          </cell>
          <cell r="B30">
            <v>1273</v>
          </cell>
          <cell r="C30">
            <v>1193</v>
          </cell>
          <cell r="D30">
            <v>2890</v>
          </cell>
          <cell r="E30">
            <v>2241</v>
          </cell>
          <cell r="F30">
            <v>1875</v>
          </cell>
          <cell r="G30">
            <v>1875</v>
          </cell>
          <cell r="H30">
            <v>1875</v>
          </cell>
          <cell r="I30">
            <v>1875</v>
          </cell>
          <cell r="J30">
            <v>1875</v>
          </cell>
          <cell r="K30">
            <v>1875</v>
          </cell>
          <cell r="L30">
            <v>1875</v>
          </cell>
          <cell r="M30">
            <v>1875</v>
          </cell>
          <cell r="P30" t="str">
            <v>mstag:shortTermBorrowings</v>
          </cell>
          <cell r="Q30">
            <v>6</v>
          </cell>
          <cell r="R30" t="str">
            <v>ISO4217:SEK</v>
          </cell>
          <cell r="S30" t="b">
            <v>0</v>
          </cell>
          <cell r="T30" t="b">
            <v>0</v>
          </cell>
        </row>
        <row r="31">
          <cell r="A31" t="str">
            <v xml:space="preserve">     Advances from customers</v>
          </cell>
          <cell r="B31">
            <v>96</v>
          </cell>
          <cell r="C31">
            <v>89</v>
          </cell>
          <cell r="D31">
            <v>78</v>
          </cell>
          <cell r="E31">
            <v>69</v>
          </cell>
          <cell r="F31">
            <v>69</v>
          </cell>
          <cell r="G31">
            <v>69</v>
          </cell>
          <cell r="H31">
            <v>69</v>
          </cell>
          <cell r="I31">
            <v>69</v>
          </cell>
          <cell r="J31">
            <v>69</v>
          </cell>
          <cell r="K31">
            <v>69</v>
          </cell>
          <cell r="L31">
            <v>69</v>
          </cell>
          <cell r="M31">
            <v>69</v>
          </cell>
          <cell r="P31" t="str">
            <v>mstag:shortTermBorrowings</v>
          </cell>
          <cell r="Q31">
            <v>6</v>
          </cell>
          <cell r="R31" t="str">
            <v>ISO4217:SEK</v>
          </cell>
          <cell r="S31" t="b">
            <v>0</v>
          </cell>
          <cell r="T31" t="b">
            <v>0</v>
          </cell>
        </row>
        <row r="32">
          <cell r="A32" t="str">
            <v xml:space="preserve">     Income tax Payable</v>
          </cell>
          <cell r="B32">
            <v>244</v>
          </cell>
          <cell r="C32">
            <v>257</v>
          </cell>
          <cell r="D32">
            <v>377</v>
          </cell>
          <cell r="E32">
            <v>309</v>
          </cell>
          <cell r="F32">
            <v>586</v>
          </cell>
          <cell r="G32">
            <v>586</v>
          </cell>
          <cell r="H32">
            <v>586</v>
          </cell>
          <cell r="I32">
            <v>586.00000000000011</v>
          </cell>
          <cell r="J32">
            <v>586.00000000000023</v>
          </cell>
          <cell r="K32">
            <v>586.00000000000023</v>
          </cell>
          <cell r="L32">
            <v>586.00000000000023</v>
          </cell>
          <cell r="M32">
            <v>586.00000000000034</v>
          </cell>
          <cell r="P32" t="str">
            <v>mstag:incomeTaxPayable</v>
          </cell>
          <cell r="Q32">
            <v>6</v>
          </cell>
          <cell r="R32" t="str">
            <v>ISO4217:SEK</v>
          </cell>
          <cell r="S32" t="b">
            <v>0</v>
          </cell>
          <cell r="T32" t="b">
            <v>0</v>
          </cell>
        </row>
        <row r="33">
          <cell r="A33" t="str">
            <v xml:space="preserve">     Other liabilities (incl VAT)</v>
          </cell>
          <cell r="B33">
            <v>495</v>
          </cell>
          <cell r="C33">
            <v>453</v>
          </cell>
          <cell r="D33">
            <v>484</v>
          </cell>
          <cell r="E33">
            <v>905</v>
          </cell>
          <cell r="F33">
            <v>905</v>
          </cell>
          <cell r="G33">
            <v>905</v>
          </cell>
          <cell r="H33">
            <v>905</v>
          </cell>
          <cell r="I33">
            <v>905</v>
          </cell>
          <cell r="J33">
            <v>905</v>
          </cell>
          <cell r="K33">
            <v>905</v>
          </cell>
          <cell r="L33">
            <v>905</v>
          </cell>
          <cell r="M33">
            <v>905</v>
          </cell>
          <cell r="P33" t="str">
            <v>mstag:otherLiabilitiesOperatingCurrent</v>
          </cell>
          <cell r="Q33">
            <v>6</v>
          </cell>
          <cell r="R33" t="str">
            <v>ISO4217:SEK</v>
          </cell>
          <cell r="S33" t="b">
            <v>0</v>
          </cell>
          <cell r="T33" t="b">
            <v>0</v>
          </cell>
        </row>
        <row r="34">
          <cell r="A34" t="str">
            <v xml:space="preserve">     Accrued Expenses and prepaid income</v>
          </cell>
          <cell r="B34">
            <v>2492</v>
          </cell>
          <cell r="C34">
            <v>2136</v>
          </cell>
          <cell r="D34">
            <v>2682</v>
          </cell>
          <cell r="E34">
            <v>2489</v>
          </cell>
          <cell r="F34">
            <v>2426.0958904109593</v>
          </cell>
          <cell r="G34">
            <v>2426.0958904109593</v>
          </cell>
          <cell r="H34">
            <v>2426.0958904109593</v>
          </cell>
          <cell r="I34">
            <v>2426.0958904109593</v>
          </cell>
          <cell r="J34">
            <v>2426.0958904109593</v>
          </cell>
          <cell r="K34">
            <v>2426.0958904109593</v>
          </cell>
          <cell r="L34">
            <v>2426.0958904109593</v>
          </cell>
          <cell r="M34">
            <v>2426.0958904109593</v>
          </cell>
          <cell r="P34" t="str">
            <v>mstag:accruedExpenses</v>
          </cell>
          <cell r="Q34">
            <v>6</v>
          </cell>
          <cell r="R34" t="str">
            <v>ISO4217:SEK</v>
          </cell>
          <cell r="S34" t="b">
            <v>0</v>
          </cell>
          <cell r="T34" t="b">
            <v>0</v>
          </cell>
        </row>
        <row r="35">
          <cell r="A35" t="str">
            <v>Other Current Liabilities</v>
          </cell>
          <cell r="B35">
            <v>4600</v>
          </cell>
          <cell r="C35">
            <v>4128</v>
          </cell>
          <cell r="D35">
            <v>6511</v>
          </cell>
          <cell r="E35">
            <v>6013</v>
          </cell>
          <cell r="F35">
            <v>5861.0958904109593</v>
          </cell>
          <cell r="G35">
            <v>5861.0958904109593</v>
          </cell>
          <cell r="H35">
            <v>5861.0958904109593</v>
          </cell>
          <cell r="I35">
            <v>5861.0958904109593</v>
          </cell>
          <cell r="J35">
            <v>5861.0958904109593</v>
          </cell>
          <cell r="K35">
            <v>5861.0958904109593</v>
          </cell>
          <cell r="L35">
            <v>5861.0958904109593</v>
          </cell>
          <cell r="M35">
            <v>5861.0958904109593</v>
          </cell>
        </row>
        <row r="36">
          <cell r="A36" t="str">
            <v>Total Current Liabilities</v>
          </cell>
          <cell r="B36">
            <v>6258</v>
          </cell>
          <cell r="C36">
            <v>5676</v>
          </cell>
          <cell r="D36">
            <v>7820</v>
          </cell>
          <cell r="E36">
            <v>7368</v>
          </cell>
          <cell r="F36">
            <v>6490</v>
          </cell>
          <cell r="G36">
            <v>6525.2786333827171</v>
          </cell>
          <cell r="H36">
            <v>6611.9307487496171</v>
          </cell>
          <cell r="I36">
            <v>6681.6653821664186</v>
          </cell>
          <cell r="J36">
            <v>6756.1770383223366</v>
          </cell>
          <cell r="K36">
            <v>6831.0682174307303</v>
          </cell>
          <cell r="L36">
            <v>6909.4360221784309</v>
          </cell>
          <cell r="M36">
            <v>6992.3042933954002</v>
          </cell>
        </row>
        <row r="38">
          <cell r="A38" t="str">
            <v>Scenario Analysis</v>
          </cell>
        </row>
        <row r="39">
          <cell r="A39" t="str">
            <v>No change in debt</v>
          </cell>
          <cell r="G39">
            <v>3000</v>
          </cell>
          <cell r="H39">
            <v>3000</v>
          </cell>
          <cell r="I39">
            <v>3000</v>
          </cell>
          <cell r="J39">
            <v>3000</v>
          </cell>
          <cell r="K39">
            <v>3000</v>
          </cell>
          <cell r="L39">
            <v>3000</v>
          </cell>
          <cell r="M39">
            <v>3000</v>
          </cell>
        </row>
        <row r="40">
          <cell r="A40">
            <v>3</v>
          </cell>
          <cell r="G40">
            <v>6686.81282893768</v>
          </cell>
          <cell r="H40">
            <v>7972.9874253224662</v>
          </cell>
          <cell r="I40">
            <v>9135.2198540810296</v>
          </cell>
          <cell r="J40">
            <v>10472.114506379094</v>
          </cell>
          <cell r="K40">
            <v>11833.71700447496</v>
          </cell>
          <cell r="L40">
            <v>13149.136608932518</v>
          </cell>
          <cell r="M40">
            <v>14495.305422406516</v>
          </cell>
        </row>
        <row r="41">
          <cell r="A41" t="str">
            <v>Long Term Liabilities</v>
          </cell>
          <cell r="B41">
            <v>8650</v>
          </cell>
          <cell r="C41">
            <v>7735</v>
          </cell>
          <cell r="D41">
            <v>4299</v>
          </cell>
          <cell r="E41">
            <v>3809</v>
          </cell>
          <cell r="F41">
            <v>2995</v>
          </cell>
          <cell r="G41">
            <v>3000</v>
          </cell>
          <cell r="H41">
            <v>3000</v>
          </cell>
          <cell r="I41">
            <v>3000</v>
          </cell>
          <cell r="J41">
            <v>3000</v>
          </cell>
          <cell r="K41">
            <v>3000</v>
          </cell>
          <cell r="L41">
            <v>3000</v>
          </cell>
          <cell r="M41">
            <v>3000</v>
          </cell>
          <cell r="P41" t="str">
            <v>mstag:longTermDebt</v>
          </cell>
          <cell r="Q41">
            <v>6</v>
          </cell>
          <cell r="R41" t="str">
            <v>ISO4217:SEK</v>
          </cell>
          <cell r="S41" t="b">
            <v>0</v>
          </cell>
          <cell r="T41" t="b">
            <v>0</v>
          </cell>
        </row>
        <row r="42">
          <cell r="A42" t="str">
            <v>Provisions</v>
          </cell>
          <cell r="B42">
            <v>2503</v>
          </cell>
          <cell r="C42">
            <v>2809</v>
          </cell>
          <cell r="D42">
            <v>2094</v>
          </cell>
          <cell r="E42">
            <v>2208</v>
          </cell>
          <cell r="F42">
            <v>1810</v>
          </cell>
          <cell r="G42">
            <v>1810</v>
          </cell>
          <cell r="H42">
            <v>1810</v>
          </cell>
          <cell r="I42">
            <v>1810</v>
          </cell>
          <cell r="J42">
            <v>1810</v>
          </cell>
          <cell r="K42">
            <v>1810</v>
          </cell>
          <cell r="L42">
            <v>1810</v>
          </cell>
          <cell r="M42">
            <v>1810</v>
          </cell>
          <cell r="P42" t="str">
            <v>mstag:provisionsAndReserves</v>
          </cell>
          <cell r="Q42">
            <v>6</v>
          </cell>
          <cell r="R42" t="str">
            <v>ISO4217:SEK</v>
          </cell>
          <cell r="S42" t="b">
            <v>0</v>
          </cell>
          <cell r="T42" t="b">
            <v>0</v>
          </cell>
        </row>
        <row r="43">
          <cell r="A43" t="str">
            <v>Total Long Term Liabilties</v>
          </cell>
          <cell r="B43">
            <v>11153</v>
          </cell>
          <cell r="C43">
            <v>10544</v>
          </cell>
          <cell r="D43">
            <v>6393</v>
          </cell>
          <cell r="E43">
            <v>6017</v>
          </cell>
          <cell r="F43">
            <v>4805</v>
          </cell>
          <cell r="G43">
            <v>4810</v>
          </cell>
          <cell r="H43">
            <v>4810</v>
          </cell>
          <cell r="I43">
            <v>4810</v>
          </cell>
          <cell r="J43">
            <v>4810</v>
          </cell>
          <cell r="K43">
            <v>4810</v>
          </cell>
          <cell r="L43">
            <v>4810</v>
          </cell>
          <cell r="M43">
            <v>4810</v>
          </cell>
        </row>
        <row r="45">
          <cell r="A45" t="str">
            <v>Total Liabilties</v>
          </cell>
          <cell r="B45">
            <v>17411</v>
          </cell>
          <cell r="C45">
            <v>16220</v>
          </cell>
          <cell r="D45">
            <v>14213</v>
          </cell>
          <cell r="E45">
            <v>13385</v>
          </cell>
          <cell r="F45">
            <v>11295</v>
          </cell>
          <cell r="G45">
            <v>11335.278633382717</v>
          </cell>
          <cell r="H45">
            <v>11421.930748749617</v>
          </cell>
          <cell r="I45">
            <v>11491.665382166419</v>
          </cell>
          <cell r="J45">
            <v>11566.177038322337</v>
          </cell>
          <cell r="K45">
            <v>11641.068217430729</v>
          </cell>
          <cell r="L45">
            <v>11719.43602217843</v>
          </cell>
          <cell r="M45">
            <v>11802.3042933954</v>
          </cell>
        </row>
        <row r="46">
          <cell r="A46" t="str">
            <v>Minority Interests</v>
          </cell>
          <cell r="B46">
            <v>182</v>
          </cell>
          <cell r="C46">
            <v>165</v>
          </cell>
          <cell r="D46">
            <v>143</v>
          </cell>
          <cell r="E46">
            <v>87</v>
          </cell>
          <cell r="F46">
            <v>26</v>
          </cell>
          <cell r="G46">
            <v>57</v>
          </cell>
          <cell r="H46">
            <v>91.1</v>
          </cell>
          <cell r="I46">
            <v>128.61000000000001</v>
          </cell>
          <cell r="J46">
            <v>169.87100000000004</v>
          </cell>
          <cell r="K46">
            <v>215.25810000000007</v>
          </cell>
          <cell r="L46">
            <v>265.18391000000008</v>
          </cell>
          <cell r="M46">
            <v>320.10230100000012</v>
          </cell>
          <cell r="P46" t="str">
            <v>mstag:minorityInterestsInShareholdersEquity</v>
          </cell>
          <cell r="Q46">
            <v>6</v>
          </cell>
          <cell r="R46" t="str">
            <v>ISO4217:SEK</v>
          </cell>
          <cell r="S46" t="b">
            <v>0</v>
          </cell>
          <cell r="T46" t="b">
            <v>0</v>
          </cell>
        </row>
        <row r="48">
          <cell r="A48" t="str">
            <v>Shareholders' Equity</v>
          </cell>
          <cell r="E48" t="str">
            <v xml:space="preserve"> </v>
          </cell>
        </row>
        <row r="49">
          <cell r="A49" t="str">
            <v>Share capital</v>
          </cell>
          <cell r="B49">
            <v>689</v>
          </cell>
          <cell r="C49">
            <v>689</v>
          </cell>
          <cell r="D49">
            <v>689</v>
          </cell>
          <cell r="E49">
            <v>689</v>
          </cell>
          <cell r="F49">
            <v>689</v>
          </cell>
          <cell r="G49">
            <v>689</v>
          </cell>
          <cell r="H49">
            <v>689</v>
          </cell>
          <cell r="I49">
            <v>689</v>
          </cell>
          <cell r="J49">
            <v>689</v>
          </cell>
          <cell r="K49">
            <v>689</v>
          </cell>
          <cell r="L49">
            <v>689</v>
          </cell>
          <cell r="M49">
            <v>689</v>
          </cell>
          <cell r="P49" t="str">
            <v>mstag:commonStock</v>
          </cell>
          <cell r="Q49">
            <v>6</v>
          </cell>
          <cell r="R49" t="str">
            <v>ISO4217:SEK</v>
          </cell>
          <cell r="S49" t="b">
            <v>0</v>
          </cell>
          <cell r="T49" t="b">
            <v>0</v>
          </cell>
        </row>
        <row r="50">
          <cell r="A50" t="str">
            <v>Additional Paid In Capital</v>
          </cell>
          <cell r="B50">
            <v>2648</v>
          </cell>
          <cell r="C50">
            <v>3832</v>
          </cell>
          <cell r="D50">
            <v>2027</v>
          </cell>
          <cell r="E50">
            <v>2007</v>
          </cell>
          <cell r="F50">
            <v>2007</v>
          </cell>
          <cell r="G50">
            <v>2007</v>
          </cell>
          <cell r="H50">
            <v>2007</v>
          </cell>
          <cell r="I50">
            <v>2007</v>
          </cell>
          <cell r="J50">
            <v>2007</v>
          </cell>
          <cell r="K50">
            <v>2007</v>
          </cell>
          <cell r="L50">
            <v>2007</v>
          </cell>
          <cell r="M50">
            <v>2007</v>
          </cell>
          <cell r="P50" t="str">
            <v>mstag:additionalPaidInCapital</v>
          </cell>
          <cell r="Q50">
            <v>6</v>
          </cell>
          <cell r="R50" t="str">
            <v>ISO4217:SEK</v>
          </cell>
          <cell r="S50" t="b">
            <v>0</v>
          </cell>
          <cell r="T50" t="b">
            <v>0</v>
          </cell>
        </row>
        <row r="51">
          <cell r="A51" t="str">
            <v>Retained earnings</v>
          </cell>
          <cell r="B51">
            <v>19221</v>
          </cell>
          <cell r="C51">
            <v>15113</v>
          </cell>
          <cell r="D51">
            <v>17961</v>
          </cell>
          <cell r="E51">
            <v>15466</v>
          </cell>
          <cell r="F51">
            <v>15840</v>
          </cell>
          <cell r="G51">
            <v>16340.445987335639</v>
          </cell>
          <cell r="H51">
            <v>16892.134259327424</v>
          </cell>
          <cell r="I51">
            <v>17508.735716655901</v>
          </cell>
          <cell r="J51">
            <v>18185.054834723254</v>
          </cell>
          <cell r="K51">
            <v>8446.8996711419768</v>
          </cell>
          <cell r="L51">
            <v>9159.0701512918095</v>
          </cell>
          <cell r="M51">
            <v>9946.9453338997391</v>
          </cell>
          <cell r="P51" t="str">
            <v>mstag:retainedEarnings</v>
          </cell>
          <cell r="Q51">
            <v>6</v>
          </cell>
          <cell r="R51" t="str">
            <v>ISO4217:SEK</v>
          </cell>
          <cell r="S51" t="b">
            <v>0</v>
          </cell>
          <cell r="T51" t="b">
            <v>0</v>
          </cell>
        </row>
        <row r="52">
          <cell r="A52" t="str">
            <v>Other comprehensive income</v>
          </cell>
          <cell r="C52">
            <v>0</v>
          </cell>
          <cell r="D52">
            <v>-921</v>
          </cell>
          <cell r="E52">
            <v>-79</v>
          </cell>
          <cell r="F52">
            <v>-79</v>
          </cell>
          <cell r="G52">
            <v>-79</v>
          </cell>
          <cell r="H52">
            <v>-79</v>
          </cell>
          <cell r="I52">
            <v>-79</v>
          </cell>
          <cell r="J52">
            <v>-79</v>
          </cell>
          <cell r="K52">
            <v>-79</v>
          </cell>
          <cell r="L52">
            <v>-79</v>
          </cell>
          <cell r="M52">
            <v>-79</v>
          </cell>
          <cell r="P52" t="str">
            <v>mstag:accumulatedOtherComprehensiveIncomeLossAndReserves</v>
          </cell>
          <cell r="Q52">
            <v>6</v>
          </cell>
          <cell r="R52" t="str">
            <v>ISO4217:SEK</v>
          </cell>
          <cell r="S52" t="b">
            <v>0</v>
          </cell>
          <cell r="T52" t="b">
            <v>0</v>
          </cell>
        </row>
        <row r="53">
          <cell r="A53" t="str">
            <v>Total Shareholders' Equity</v>
          </cell>
          <cell r="B53">
            <v>22558</v>
          </cell>
          <cell r="C53">
            <v>19634</v>
          </cell>
          <cell r="D53">
            <v>19756</v>
          </cell>
          <cell r="E53">
            <v>18083</v>
          </cell>
          <cell r="F53">
            <v>18457</v>
          </cell>
          <cell r="G53">
            <v>18957.445987335639</v>
          </cell>
          <cell r="H53">
            <v>19509.134259327424</v>
          </cell>
          <cell r="I53">
            <v>20125.735716655901</v>
          </cell>
          <cell r="J53">
            <v>20802.054834723254</v>
          </cell>
          <cell r="K53">
            <v>11063.899671141977</v>
          </cell>
          <cell r="L53">
            <v>11776.070151291809</v>
          </cell>
          <cell r="M53">
            <v>12563.945333899739</v>
          </cell>
        </row>
        <row r="54">
          <cell r="B54" t="str">
            <v>_____</v>
          </cell>
          <cell r="C54" t="str">
            <v>_____</v>
          </cell>
          <cell r="D54" t="str">
            <v>_____</v>
          </cell>
          <cell r="E54" t="str">
            <v>_____</v>
          </cell>
          <cell r="F54" t="str">
            <v>_____</v>
          </cell>
          <cell r="G54" t="str">
            <v>_____</v>
          </cell>
          <cell r="H54" t="str">
            <v>_____</v>
          </cell>
          <cell r="I54" t="str">
            <v>_____</v>
          </cell>
          <cell r="J54" t="str">
            <v>_____</v>
          </cell>
          <cell r="K54" t="str">
            <v>_____</v>
          </cell>
          <cell r="L54" t="str">
            <v>_____</v>
          </cell>
          <cell r="M54" t="str">
            <v>_____</v>
          </cell>
        </row>
        <row r="55">
          <cell r="A55" t="str">
            <v>Total Liabilities, Minorities and Shareholders' Equity</v>
          </cell>
          <cell r="B55">
            <v>40151</v>
          </cell>
          <cell r="C55">
            <v>36019</v>
          </cell>
          <cell r="D55">
            <v>34112</v>
          </cell>
          <cell r="E55">
            <v>31555</v>
          </cell>
          <cell r="F55">
            <v>29778</v>
          </cell>
          <cell r="G55">
            <v>30349.724620718356</v>
          </cell>
          <cell r="H55">
            <v>31022.165008077041</v>
          </cell>
          <cell r="I55">
            <v>31746.01109882232</v>
          </cell>
          <cell r="J55">
            <v>32538.102873045591</v>
          </cell>
          <cell r="K55">
            <v>22920.225988572707</v>
          </cell>
          <cell r="L55">
            <v>23760.690083470239</v>
          </cell>
          <cell r="M55">
            <v>24686.351928295138</v>
          </cell>
        </row>
        <row r="57">
          <cell r="A57" t="str">
            <v>balancing check</v>
          </cell>
          <cell r="B57">
            <v>0</v>
          </cell>
          <cell r="C57">
            <v>0</v>
          </cell>
          <cell r="D57">
            <v>0</v>
          </cell>
          <cell r="E57">
            <v>0</v>
          </cell>
          <cell r="F57">
            <v>0</v>
          </cell>
          <cell r="G57">
            <v>0</v>
          </cell>
          <cell r="H57">
            <v>0</v>
          </cell>
          <cell r="I57">
            <v>0</v>
          </cell>
          <cell r="J57">
            <v>0</v>
          </cell>
          <cell r="K57">
            <v>0</v>
          </cell>
          <cell r="L57">
            <v>0</v>
          </cell>
          <cell r="M57">
            <v>0</v>
          </cell>
        </row>
        <row r="60">
          <cell r="A60" t="str">
            <v>Book Value</v>
          </cell>
          <cell r="B60">
            <v>22558</v>
          </cell>
          <cell r="C60">
            <v>19634</v>
          </cell>
          <cell r="D60">
            <v>19756</v>
          </cell>
          <cell r="E60">
            <v>18083</v>
          </cell>
          <cell r="F60">
            <v>18457</v>
          </cell>
          <cell r="G60">
            <v>18957.445987335639</v>
          </cell>
          <cell r="H60">
            <v>19509.134259327424</v>
          </cell>
          <cell r="I60">
            <v>20125.735716655898</v>
          </cell>
          <cell r="J60">
            <v>20802.054834723254</v>
          </cell>
          <cell r="K60">
            <v>11063.899671141977</v>
          </cell>
          <cell r="L60">
            <v>11776.070151291809</v>
          </cell>
          <cell r="M60">
            <v>12563.945333899737</v>
          </cell>
        </row>
        <row r="61">
          <cell r="A61" t="str">
            <v>Book Value per Share ($)</v>
          </cell>
          <cell r="B61">
            <v>65.45128331983301</v>
          </cell>
          <cell r="C61">
            <v>56.967395012926737</v>
          </cell>
          <cell r="D61">
            <v>57.321373936812698</v>
          </cell>
          <cell r="E61">
            <v>52.467220333032188</v>
          </cell>
          <cell r="F61">
            <v>53.552368837403925</v>
          </cell>
          <cell r="G61">
            <v>55.00439614937212</v>
          </cell>
          <cell r="H61">
            <v>56.605101238225892</v>
          </cell>
          <cell r="I61">
            <v>58.394149765534515</v>
          </cell>
          <cell r="J61">
            <v>60.356467090263926</v>
          </cell>
          <cell r="K61">
            <v>32.101535242402726</v>
          </cell>
          <cell r="L61">
            <v>34.167874096392808</v>
          </cell>
          <cell r="M61">
            <v>36.453867615212587</v>
          </cell>
        </row>
        <row r="62">
          <cell r="A62" t="str">
            <v>Net Debt (B/S)</v>
          </cell>
          <cell r="B62">
            <v>9024</v>
          </cell>
          <cell r="C62">
            <v>8365</v>
          </cell>
          <cell r="D62">
            <v>6707</v>
          </cell>
          <cell r="E62">
            <v>5391</v>
          </cell>
          <cell r="F62">
            <v>-6416</v>
          </cell>
          <cell r="G62">
            <v>-6696.6918618790169</v>
          </cell>
          <cell r="H62">
            <v>-6320.0260033075137</v>
          </cell>
          <cell r="I62">
            <v>-6088.1031417241666</v>
          </cell>
          <cell r="J62">
            <v>-6043.0065043347076</v>
          </cell>
          <cell r="K62">
            <v>4364.6789462978359</v>
          </cell>
          <cell r="L62">
            <v>4343.7471693557391</v>
          </cell>
          <cell r="M62">
            <v>4598.2250437968678</v>
          </cell>
        </row>
        <row r="63">
          <cell r="A63" t="str">
            <v>Debt / EBITDA</v>
          </cell>
          <cell r="E63">
            <v>5.8092672413793105</v>
          </cell>
          <cell r="F63">
            <v>-2.2979942693409741</v>
          </cell>
          <cell r="G63">
            <v>-2.3464745127031419</v>
          </cell>
          <cell r="H63">
            <v>-1.9252743927322495</v>
          </cell>
          <cell r="I63">
            <v>-1.6588505649505882</v>
          </cell>
          <cell r="J63">
            <v>-1.468279856288514</v>
          </cell>
          <cell r="K63">
            <v>0.95516136445293887</v>
          </cell>
          <cell r="L63">
            <v>0.86735376862318758</v>
          </cell>
          <cell r="M63">
            <v>0.84266449375522512</v>
          </cell>
        </row>
        <row r="64">
          <cell r="A64" t="str">
            <v>Capital Employed</v>
          </cell>
          <cell r="B64">
            <v>33893</v>
          </cell>
          <cell r="C64">
            <v>30343</v>
          </cell>
          <cell r="D64">
            <v>26292</v>
          </cell>
          <cell r="E64">
            <v>24187</v>
          </cell>
          <cell r="F64">
            <v>23288</v>
          </cell>
          <cell r="G64">
            <v>23824.445987335639</v>
          </cell>
          <cell r="H64">
            <v>24410.234259327422</v>
          </cell>
          <cell r="I64">
            <v>25064.345716655898</v>
          </cell>
          <cell r="J64">
            <v>25781.925834723254</v>
          </cell>
          <cell r="K64">
            <v>16089.157771141978</v>
          </cell>
          <cell r="L64">
            <v>16851.254061291809</v>
          </cell>
          <cell r="M64">
            <v>17694.04763489974</v>
          </cell>
        </row>
        <row r="65">
          <cell r="A65" t="str">
            <v>Total Interest Bearing Debt</v>
          </cell>
          <cell r="B65">
            <v>9923</v>
          </cell>
          <cell r="C65">
            <v>8928</v>
          </cell>
          <cell r="D65">
            <v>7189</v>
          </cell>
          <cell r="E65">
            <v>6050</v>
          </cell>
          <cell r="F65">
            <v>4870</v>
          </cell>
          <cell r="G65">
            <v>4875</v>
          </cell>
          <cell r="H65">
            <v>4875</v>
          </cell>
          <cell r="I65">
            <v>4875</v>
          </cell>
          <cell r="J65">
            <v>4875</v>
          </cell>
          <cell r="K65">
            <v>4875</v>
          </cell>
          <cell r="L65">
            <v>4875</v>
          </cell>
          <cell r="M65">
            <v>4875</v>
          </cell>
        </row>
        <row r="67">
          <cell r="A67" t="str">
            <v>Days Receivable Outstanding</v>
          </cell>
          <cell r="B67">
            <v>86.537238023952099</v>
          </cell>
          <cell r="C67">
            <v>77.979799811416555</v>
          </cell>
          <cell r="D67">
            <v>85.142922741361502</v>
          </cell>
          <cell r="E67">
            <v>94.044032009617908</v>
          </cell>
          <cell r="F67">
            <v>126.46373850868233</v>
          </cell>
          <cell r="G67">
            <v>115</v>
          </cell>
          <cell r="H67">
            <v>110</v>
          </cell>
          <cell r="I67">
            <v>105</v>
          </cell>
          <cell r="J67">
            <v>100</v>
          </cell>
          <cell r="K67">
            <v>95</v>
          </cell>
          <cell r="L67">
            <v>90</v>
          </cell>
          <cell r="M67">
            <v>90</v>
          </cell>
        </row>
        <row r="68">
          <cell r="A68" t="str">
            <v>Inventory Turnover</v>
          </cell>
          <cell r="B68">
            <v>49.694495458380899</v>
          </cell>
          <cell r="C68">
            <v>45.100828930146882</v>
          </cell>
          <cell r="D68">
            <v>44.433302238805972</v>
          </cell>
          <cell r="E68">
            <v>42.624287933713106</v>
          </cell>
          <cell r="F68">
            <v>86.300914833369632</v>
          </cell>
          <cell r="G68">
            <v>83</v>
          </cell>
          <cell r="H68">
            <v>80</v>
          </cell>
          <cell r="I68">
            <v>80</v>
          </cell>
          <cell r="J68">
            <v>78</v>
          </cell>
          <cell r="K68">
            <v>76</v>
          </cell>
          <cell r="L68">
            <v>75</v>
          </cell>
          <cell r="M68">
            <v>74</v>
          </cell>
        </row>
        <row r="69">
          <cell r="A69" t="str">
            <v>Days Payables Outstanding</v>
          </cell>
          <cell r="B69">
            <v>30.037722737876607</v>
          </cell>
          <cell r="C69">
            <v>27.389597169033884</v>
          </cell>
          <cell r="D69">
            <v>24.760831260364846</v>
          </cell>
          <cell r="E69">
            <v>25.612377006732263</v>
          </cell>
          <cell r="F69">
            <v>25</v>
          </cell>
          <cell r="G69">
            <v>25</v>
          </cell>
          <cell r="H69">
            <v>25</v>
          </cell>
          <cell r="I69">
            <v>25</v>
          </cell>
          <cell r="J69">
            <v>25</v>
          </cell>
          <cell r="K69">
            <v>25</v>
          </cell>
          <cell r="L69">
            <v>25</v>
          </cell>
          <cell r="M69">
            <v>25</v>
          </cell>
        </row>
        <row r="70">
          <cell r="A70" t="str">
            <v>Prepaid Expenses Outstanding</v>
          </cell>
        </row>
        <row r="72">
          <cell r="A72" t="str">
            <v>Interest Calculation</v>
          </cell>
        </row>
        <row r="73">
          <cell r="A73" t="str">
            <v>Average interest rate on debt</v>
          </cell>
          <cell r="C73">
            <v>8.0101851360670523E-2</v>
          </cell>
          <cell r="D73">
            <v>6.1549916237513186E-2</v>
          </cell>
          <cell r="E73">
            <v>6.012538711383035E-2</v>
          </cell>
          <cell r="F73">
            <v>0.06</v>
          </cell>
          <cell r="G73">
            <v>3.5000000000000003E-2</v>
          </cell>
          <cell r="H73">
            <v>3.5000000000000003E-2</v>
          </cell>
          <cell r="I73">
            <v>3.5000000000000003E-2</v>
          </cell>
          <cell r="J73">
            <v>3.5000000000000003E-2</v>
          </cell>
          <cell r="K73">
            <v>3.5000000000000003E-2</v>
          </cell>
          <cell r="L73">
            <v>3.5000000000000003E-2</v>
          </cell>
          <cell r="M73">
            <v>3.5000000000000003E-2</v>
          </cell>
        </row>
        <row r="74">
          <cell r="A74" t="str">
            <v>Average interest rate on cash &amp; cash equivalents</v>
          </cell>
          <cell r="C74">
            <v>0.27496580027359779</v>
          </cell>
          <cell r="D74">
            <v>0.54354066985645932</v>
          </cell>
          <cell r="E74">
            <v>0.44522348816827345</v>
          </cell>
          <cell r="F74">
            <v>0.03</v>
          </cell>
          <cell r="G74">
            <v>3.9E-2</v>
          </cell>
          <cell r="H74">
            <v>3.9E-2</v>
          </cell>
          <cell r="I74">
            <v>3.9E-2</v>
          </cell>
          <cell r="J74">
            <v>3.9E-2</v>
          </cell>
          <cell r="K74">
            <v>3.9E-2</v>
          </cell>
          <cell r="L74">
            <v>3.9E-2</v>
          </cell>
          <cell r="M74">
            <v>3.9E-2</v>
          </cell>
        </row>
        <row r="75">
          <cell r="A75" t="str">
            <v>Interest expense</v>
          </cell>
          <cell r="B75">
            <v>886</v>
          </cell>
          <cell r="C75">
            <v>755</v>
          </cell>
          <cell r="D75">
            <v>496</v>
          </cell>
          <cell r="E75">
            <v>398</v>
          </cell>
          <cell r="F75">
            <v>363</v>
          </cell>
          <cell r="G75">
            <v>170.53750000000002</v>
          </cell>
          <cell r="H75">
            <v>170.62500000000003</v>
          </cell>
          <cell r="I75">
            <v>170.62500000000003</v>
          </cell>
          <cell r="J75">
            <v>170.62500000000003</v>
          </cell>
          <cell r="K75">
            <v>170.62500000000003</v>
          </cell>
          <cell r="L75">
            <v>170.62500000000003</v>
          </cell>
          <cell r="M75">
            <v>170.62500000000003</v>
          </cell>
        </row>
        <row r="76">
          <cell r="A76" t="str">
            <v>Interest income</v>
          </cell>
          <cell r="B76">
            <v>127</v>
          </cell>
          <cell r="C76">
            <v>201</v>
          </cell>
          <cell r="D76">
            <v>284</v>
          </cell>
          <cell r="E76">
            <v>254</v>
          </cell>
          <cell r="F76">
            <v>7.3716233274425669</v>
          </cell>
          <cell r="G76">
            <v>457.75390651384703</v>
          </cell>
          <cell r="H76">
            <v>457.94485570841323</v>
          </cell>
          <cell r="I76">
            <v>447.4688977421107</v>
          </cell>
          <cell r="J76">
            <v>443.34774415149178</v>
          </cell>
          <cell r="K76">
            <v>446.10153342512592</v>
          </cell>
          <cell r="L76">
            <v>37.751729015943667</v>
          </cell>
          <cell r="M76">
            <v>34.821394654195331</v>
          </cell>
        </row>
        <row r="77">
          <cell r="A77" t="str">
            <v>Income from derivatives, currency, write-downs</v>
          </cell>
          <cell r="D77">
            <v>145</v>
          </cell>
          <cell r="E77">
            <v>-52</v>
          </cell>
        </row>
        <row r="78">
          <cell r="A78" t="str">
            <v>Other</v>
          </cell>
          <cell r="B78">
            <v>285</v>
          </cell>
          <cell r="C78">
            <v>23</v>
          </cell>
          <cell r="D78">
            <v>16</v>
          </cell>
          <cell r="E78">
            <v>92</v>
          </cell>
          <cell r="F78">
            <v>4</v>
          </cell>
          <cell r="G78">
            <v>0</v>
          </cell>
          <cell r="H78">
            <v>0</v>
          </cell>
          <cell r="I78">
            <v>0</v>
          </cell>
          <cell r="J78">
            <v>0</v>
          </cell>
          <cell r="K78">
            <v>0</v>
          </cell>
          <cell r="L78">
            <v>0</v>
          </cell>
          <cell r="M78">
            <v>0</v>
          </cell>
        </row>
        <row r="79">
          <cell r="A79" t="str">
            <v>Exceptional non-operating income</v>
          </cell>
          <cell r="B79">
            <v>0</v>
          </cell>
          <cell r="C79">
            <v>0</v>
          </cell>
          <cell r="D79">
            <v>0</v>
          </cell>
          <cell r="E79">
            <v>0</v>
          </cell>
          <cell r="F79">
            <v>408</v>
          </cell>
          <cell r="G79">
            <v>0</v>
          </cell>
          <cell r="H79">
            <v>0</v>
          </cell>
          <cell r="I79">
            <v>0</v>
          </cell>
          <cell r="J79">
            <v>0</v>
          </cell>
          <cell r="K79">
            <v>0</v>
          </cell>
          <cell r="L79">
            <v>0</v>
          </cell>
          <cell r="M79">
            <v>0</v>
          </cell>
        </row>
        <row r="80">
          <cell r="A80" t="str">
            <v>Net interest expense (income)</v>
          </cell>
          <cell r="B80">
            <v>474</v>
          </cell>
          <cell r="C80">
            <v>531</v>
          </cell>
          <cell r="D80">
            <v>51</v>
          </cell>
          <cell r="E80">
            <v>104</v>
          </cell>
          <cell r="F80">
            <v>-56.371623327442592</v>
          </cell>
          <cell r="G80">
            <v>-287.21640651384701</v>
          </cell>
          <cell r="H80">
            <v>-287.31985570841323</v>
          </cell>
          <cell r="I80">
            <v>-276.8438977421107</v>
          </cell>
          <cell r="J80">
            <v>-272.72274415149172</v>
          </cell>
          <cell r="K80">
            <v>-275.47653342512592</v>
          </cell>
          <cell r="L80">
            <v>132.87327098405638</v>
          </cell>
          <cell r="M80">
            <v>135.8036053458047</v>
          </cell>
        </row>
        <row r="86">
          <cell r="A86" t="str">
            <v>TANGIBLE FIXED ASSETS</v>
          </cell>
        </row>
        <row r="87">
          <cell r="A87" t="str">
            <v>Cost</v>
          </cell>
        </row>
        <row r="88">
          <cell r="A88" t="str">
            <v>Cost at start of year</v>
          </cell>
          <cell r="D88">
            <v>15850</v>
          </cell>
          <cell r="E88">
            <v>16034</v>
          </cell>
          <cell r="F88">
            <v>16047</v>
          </cell>
          <cell r="G88">
            <v>13447</v>
          </cell>
          <cell r="H88">
            <v>15147</v>
          </cell>
          <cell r="I88">
            <v>17060.342592038171</v>
          </cell>
          <cell r="J88">
            <v>19154.71872481659</v>
          </cell>
          <cell r="K88">
            <v>21442.917912059482</v>
          </cell>
          <cell r="L88">
            <v>23922.570059257301</v>
          </cell>
          <cell r="M88">
            <v>26602.562865565342</v>
          </cell>
        </row>
        <row r="89">
          <cell r="A89" t="str">
            <v>Exchange adjustments</v>
          </cell>
          <cell r="D89">
            <v>-1368</v>
          </cell>
          <cell r="E89">
            <v>-725</v>
          </cell>
          <cell r="F89">
            <v>0</v>
          </cell>
          <cell r="G89">
            <v>0</v>
          </cell>
          <cell r="H89">
            <v>0</v>
          </cell>
          <cell r="I89">
            <v>0</v>
          </cell>
          <cell r="J89">
            <v>0</v>
          </cell>
          <cell r="K89">
            <v>0</v>
          </cell>
          <cell r="L89">
            <v>0</v>
          </cell>
          <cell r="M89">
            <v>0</v>
          </cell>
        </row>
        <row r="90">
          <cell r="A90" t="str">
            <v>Additions on Acquisitions</v>
          </cell>
          <cell r="D90">
            <v>-18</v>
          </cell>
          <cell r="E90">
            <v>30</v>
          </cell>
          <cell r="F90">
            <v>0</v>
          </cell>
          <cell r="G90">
            <v>0</v>
          </cell>
          <cell r="H90">
            <v>0</v>
          </cell>
          <cell r="I90">
            <v>0</v>
          </cell>
          <cell r="J90">
            <v>0</v>
          </cell>
          <cell r="K90">
            <v>0</v>
          </cell>
          <cell r="L90">
            <v>0</v>
          </cell>
          <cell r="M90">
            <v>0</v>
          </cell>
        </row>
        <row r="91">
          <cell r="A91" t="str">
            <v>LBO Sensitivity</v>
          </cell>
        </row>
        <row r="92">
          <cell r="A92" t="str">
            <v>Base</v>
          </cell>
          <cell r="G92">
            <v>1700</v>
          </cell>
          <cell r="H92">
            <v>1913.342592038169</v>
          </cell>
          <cell r="I92">
            <v>2094.3761327784205</v>
          </cell>
          <cell r="J92">
            <v>2288.1991872428903</v>
          </cell>
          <cell r="K92">
            <v>2479.6521471978199</v>
          </cell>
          <cell r="L92">
            <v>2679.9928063080392</v>
          </cell>
          <cell r="M92">
            <v>2891.8385269886262</v>
          </cell>
        </row>
        <row r="93">
          <cell r="A93" t="str">
            <v>Mainenance only</v>
          </cell>
          <cell r="G93">
            <v>850</v>
          </cell>
          <cell r="H93">
            <v>956.67129601908448</v>
          </cell>
          <cell r="I93">
            <v>1047.1880663892102</v>
          </cell>
          <cell r="J93">
            <v>1144.0995936214451</v>
          </cell>
          <cell r="K93">
            <v>1239.8260735989099</v>
          </cell>
          <cell r="L93">
            <v>1339.9964031540196</v>
          </cell>
          <cell r="M93">
            <v>1445.9192634943131</v>
          </cell>
        </row>
        <row r="94">
          <cell r="A94" t="str">
            <v>CAPEX</v>
          </cell>
          <cell r="D94">
            <v>2055</v>
          </cell>
          <cell r="E94">
            <v>1456</v>
          </cell>
          <cell r="F94">
            <v>1400</v>
          </cell>
          <cell r="G94">
            <v>1700</v>
          </cell>
          <cell r="H94">
            <v>1913.342592038169</v>
          </cell>
          <cell r="I94">
            <v>2094.3761327784205</v>
          </cell>
          <cell r="J94">
            <v>2288.1991872428903</v>
          </cell>
          <cell r="K94">
            <v>2479.6521471978199</v>
          </cell>
          <cell r="L94">
            <v>2679.9928063080392</v>
          </cell>
          <cell r="M94">
            <v>2891.8385269886262</v>
          </cell>
        </row>
        <row r="95">
          <cell r="A95" t="str">
            <v>Disposals</v>
          </cell>
          <cell r="D95">
            <v>-485</v>
          </cell>
          <cell r="E95">
            <v>-748</v>
          </cell>
          <cell r="F95">
            <v>-4000</v>
          </cell>
          <cell r="G95">
            <v>0</v>
          </cell>
          <cell r="H95">
            <v>0</v>
          </cell>
          <cell r="I95">
            <v>0</v>
          </cell>
          <cell r="J95">
            <v>0</v>
          </cell>
          <cell r="K95">
            <v>0</v>
          </cell>
          <cell r="L95">
            <v>0</v>
          </cell>
          <cell r="M95">
            <v>0</v>
          </cell>
        </row>
        <row r="96">
          <cell r="A96" t="str">
            <v>Cost at end of year</v>
          </cell>
          <cell r="D96">
            <v>16034</v>
          </cell>
          <cell r="E96">
            <v>16047</v>
          </cell>
          <cell r="F96">
            <v>13447</v>
          </cell>
          <cell r="G96">
            <v>15147</v>
          </cell>
          <cell r="H96">
            <v>17060.342592038171</v>
          </cell>
          <cell r="I96">
            <v>19154.71872481659</v>
          </cell>
          <cell r="J96">
            <v>21442.917912059482</v>
          </cell>
          <cell r="K96">
            <v>23922.570059257301</v>
          </cell>
          <cell r="L96">
            <v>26602.562865565342</v>
          </cell>
          <cell r="M96">
            <v>29494.401392553969</v>
          </cell>
        </row>
        <row r="97">
          <cell r="A97" t="str">
            <v>Depreciation</v>
          </cell>
        </row>
        <row r="98">
          <cell r="A98" t="str">
            <v>At start of year</v>
          </cell>
          <cell r="D98">
            <v>-7704</v>
          </cell>
          <cell r="E98">
            <v>-8166</v>
          </cell>
          <cell r="F98">
            <v>-8567</v>
          </cell>
          <cell r="G98">
            <v>-6794.7999999999993</v>
          </cell>
          <cell r="H98">
            <v>-8120.3953102227661</v>
          </cell>
          <cell r="I98">
            <v>-9582.5380539683974</v>
          </cell>
          <cell r="J98">
            <v>-11176.718277280062</v>
          </cell>
          <cell r="K98">
            <v>-12983.72128248043</v>
          </cell>
          <cell r="L98">
            <v>-14934.801162283049</v>
          </cell>
          <cell r="M98">
            <v>-17038.923798094238</v>
          </cell>
        </row>
        <row r="99">
          <cell r="A99" t="str">
            <v>Exchange adjustments</v>
          </cell>
          <cell r="D99">
            <v>790</v>
          </cell>
          <cell r="E99">
            <v>546</v>
          </cell>
          <cell r="F99">
            <v>0</v>
          </cell>
          <cell r="G99">
            <v>0</v>
          </cell>
          <cell r="H99">
            <v>0</v>
          </cell>
          <cell r="I99">
            <v>0</v>
          </cell>
          <cell r="J99">
            <v>0</v>
          </cell>
          <cell r="K99">
            <v>0</v>
          </cell>
          <cell r="L99">
            <v>0</v>
          </cell>
          <cell r="M99">
            <v>0</v>
          </cell>
        </row>
        <row r="100">
          <cell r="A100" t="str">
            <v>Depreciation charge (P&amp;L)</v>
          </cell>
          <cell r="D100">
            <v>-1598</v>
          </cell>
          <cell r="E100">
            <v>-1627</v>
          </cell>
          <cell r="F100">
            <v>-1227.8</v>
          </cell>
          <cell r="G100">
            <v>-1325.5953102227663</v>
          </cell>
          <cell r="H100">
            <v>-1462.1427437456312</v>
          </cell>
          <cell r="I100">
            <v>-1594.1802233116657</v>
          </cell>
          <cell r="J100">
            <v>-1807.0030052003674</v>
          </cell>
          <cell r="K100">
            <v>-1951.0798798026192</v>
          </cell>
          <cell r="L100">
            <v>-2104.1226358111899</v>
          </cell>
          <cell r="M100">
            <v>-2267.653971667351</v>
          </cell>
        </row>
        <row r="101">
          <cell r="A101" t="str">
            <v>Depreciation (exceptional) / Impairment</v>
          </cell>
          <cell r="D101">
            <v>-55</v>
          </cell>
          <cell r="E101">
            <v>137</v>
          </cell>
          <cell r="F101">
            <v>0</v>
          </cell>
          <cell r="G101">
            <v>0</v>
          </cell>
          <cell r="H101">
            <v>0</v>
          </cell>
          <cell r="I101">
            <v>0</v>
          </cell>
          <cell r="J101">
            <v>0</v>
          </cell>
          <cell r="K101">
            <v>0</v>
          </cell>
          <cell r="L101">
            <v>0</v>
          </cell>
          <cell r="M101">
            <v>0</v>
          </cell>
        </row>
        <row r="102">
          <cell r="A102" t="str">
            <v>Disposals</v>
          </cell>
          <cell r="D102">
            <v>401</v>
          </cell>
          <cell r="E102">
            <v>543</v>
          </cell>
          <cell r="F102">
            <v>3000</v>
          </cell>
          <cell r="G102">
            <v>0</v>
          </cell>
          <cell r="H102">
            <v>0</v>
          </cell>
          <cell r="I102">
            <v>0</v>
          </cell>
          <cell r="J102">
            <v>0</v>
          </cell>
          <cell r="K102">
            <v>0</v>
          </cell>
          <cell r="L102">
            <v>0</v>
          </cell>
          <cell r="M102">
            <v>0</v>
          </cell>
        </row>
        <row r="103">
          <cell r="A103" t="str">
            <v>At end of year</v>
          </cell>
          <cell r="D103">
            <v>-8166</v>
          </cell>
          <cell r="E103">
            <v>-8567</v>
          </cell>
          <cell r="F103">
            <v>-6794.7999999999993</v>
          </cell>
          <cell r="G103">
            <v>-8120.3953102227661</v>
          </cell>
          <cell r="H103">
            <v>-9582.5380539683974</v>
          </cell>
          <cell r="I103">
            <v>-11176.718277280062</v>
          </cell>
          <cell r="J103">
            <v>-12983.72128248043</v>
          </cell>
          <cell r="K103">
            <v>-14934.801162283049</v>
          </cell>
          <cell r="L103">
            <v>-17038.923798094238</v>
          </cell>
          <cell r="M103">
            <v>-19306.577769761589</v>
          </cell>
        </row>
        <row r="105">
          <cell r="A105" t="str">
            <v>Net book value (at start)</v>
          </cell>
          <cell r="D105">
            <v>8146</v>
          </cell>
          <cell r="E105">
            <v>7868</v>
          </cell>
          <cell r="F105">
            <v>7480</v>
          </cell>
          <cell r="G105">
            <v>6652.2000000000007</v>
          </cell>
          <cell r="H105">
            <v>7026.6046897772339</v>
          </cell>
          <cell r="I105">
            <v>7477.8045380697731</v>
          </cell>
          <cell r="J105">
            <v>7978.0004475365276</v>
          </cell>
          <cell r="K105">
            <v>8459.1966295790517</v>
          </cell>
          <cell r="L105">
            <v>8987.7688969742521</v>
          </cell>
          <cell r="M105">
            <v>9563.6390674711038</v>
          </cell>
        </row>
        <row r="106">
          <cell r="A106" t="str">
            <v>Net book value (at end)</v>
          </cell>
          <cell r="D106">
            <v>7868</v>
          </cell>
          <cell r="E106">
            <v>7480</v>
          </cell>
          <cell r="F106">
            <v>6652.2000000000007</v>
          </cell>
          <cell r="G106">
            <v>7026.6046897772339</v>
          </cell>
          <cell r="H106">
            <v>7477.8045380697731</v>
          </cell>
          <cell r="I106">
            <v>7978.0004475365276</v>
          </cell>
          <cell r="J106">
            <v>8459.1966295790517</v>
          </cell>
          <cell r="K106">
            <v>8987.7688969742521</v>
          </cell>
          <cell r="L106">
            <v>9563.6390674711038</v>
          </cell>
          <cell r="M106">
            <v>10187.823622792381</v>
          </cell>
        </row>
        <row r="108">
          <cell r="A108" t="str">
            <v>CAPEX / Depreciation (Tangible Fixed)</v>
          </cell>
          <cell r="D108">
            <v>1.2859824780976221</v>
          </cell>
          <cell r="E108">
            <v>0.8948985863552551</v>
          </cell>
          <cell r="F108">
            <v>1.1402508551881414</v>
          </cell>
          <cell r="G108">
            <v>1.2824426783120673</v>
          </cell>
          <cell r="H108">
            <v>1.3085880979969717</v>
          </cell>
          <cell r="I108">
            <v>1.3137637151386021</v>
          </cell>
          <cell r="J108">
            <v>1.2662951753028027</v>
          </cell>
          <cell r="K108">
            <v>1.2709126739847647</v>
          </cell>
          <cell r="L108">
            <v>1.2736866001514391</v>
          </cell>
          <cell r="M108">
            <v>1.2752556444325267</v>
          </cell>
        </row>
        <row r="109">
          <cell r="A109" t="str">
            <v>Average Useful Life</v>
          </cell>
          <cell r="D109">
            <v>9.9186483103879848</v>
          </cell>
          <cell r="E109">
            <v>9.8549477566072525</v>
          </cell>
          <cell r="F109">
            <v>13.069718195145789</v>
          </cell>
          <cell r="G109">
            <v>10.144121585448451</v>
          </cell>
          <cell r="H109">
            <v>10.35945366127339</v>
          </cell>
          <cell r="I109">
            <v>10.701639841321025</v>
          </cell>
          <cell r="J109">
            <v>10.600269434910343</v>
          </cell>
          <cell r="K109">
            <v>10.990281912101288</v>
          </cell>
          <cell r="L109">
            <v>11.369380116969548</v>
          </cell>
          <cell r="M109">
            <v>11.731314917507067</v>
          </cell>
        </row>
        <row r="110">
          <cell r="A110" t="str">
            <v>Sales / Net Book value</v>
          </cell>
          <cell r="D110">
            <v>3.2637692019482953</v>
          </cell>
          <cell r="E110">
            <v>3.4684649465728432</v>
          </cell>
          <cell r="F110">
            <v>2.078232688470302</v>
          </cell>
          <cell r="G110">
            <v>2.2640429770062505</v>
          </cell>
          <cell r="H110">
            <v>2.4031262565383034</v>
          </cell>
          <cell r="I110">
            <v>2.468578512961614</v>
          </cell>
          <cell r="J110">
            <v>2.536004142024181</v>
          </cell>
          <cell r="K110">
            <v>2.589135335528546</v>
          </cell>
          <cell r="L110">
            <v>2.6317258477748897</v>
          </cell>
          <cell r="M110">
            <v>2.6672189645294249</v>
          </cell>
        </row>
        <row r="111">
          <cell r="G111">
            <v>0.21428571428571419</v>
          </cell>
          <cell r="H111">
            <v>0.12549564237539346</v>
          </cell>
          <cell r="I111">
            <v>9.4616375286669108E-2</v>
          </cell>
          <cell r="J111">
            <v>9.2544529815349996E-2</v>
          </cell>
          <cell r="K111">
            <v>8.3669708923206132E-2</v>
          </cell>
          <cell r="L111">
            <v>8.0793856241738737E-2</v>
          </cell>
          <cell r="M111">
            <v>7.9047122881059417E-2</v>
          </cell>
        </row>
        <row r="112">
          <cell r="A112" t="str">
            <v>3) GOODWILL</v>
          </cell>
          <cell r="G112">
            <v>7.9650847224927768E-2</v>
          </cell>
          <cell r="H112">
            <v>0.10300838609629515</v>
          </cell>
          <cell r="I112">
            <v>9.030409659441907E-2</v>
          </cell>
          <cell r="J112">
            <v>0.13349982566374763</v>
          </cell>
          <cell r="K112">
            <v>7.9732504145047622E-2</v>
          </cell>
          <cell r="L112">
            <v>7.8440025748229836E-2</v>
          </cell>
          <cell r="M112">
            <v>7.7719488908552181E-2</v>
          </cell>
        </row>
        <row r="113">
          <cell r="A113" t="str">
            <v>Cost</v>
          </cell>
        </row>
        <row r="114">
          <cell r="A114" t="str">
            <v>Cost at start of year</v>
          </cell>
          <cell r="D114">
            <v>20336</v>
          </cell>
          <cell r="E114">
            <v>17050</v>
          </cell>
          <cell r="F114">
            <v>15863</v>
          </cell>
          <cell r="G114">
            <v>2363</v>
          </cell>
          <cell r="H114">
            <v>2363</v>
          </cell>
          <cell r="I114">
            <v>2363</v>
          </cell>
          <cell r="J114">
            <v>2363</v>
          </cell>
          <cell r="K114">
            <v>2363</v>
          </cell>
          <cell r="L114">
            <v>2363</v>
          </cell>
          <cell r="M114">
            <v>2363</v>
          </cell>
        </row>
        <row r="115">
          <cell r="A115" t="str">
            <v>Exchange Adjustments</v>
          </cell>
          <cell r="D115">
            <v>-3232</v>
          </cell>
          <cell r="E115">
            <v>-1386</v>
          </cell>
          <cell r="F115">
            <v>0</v>
          </cell>
          <cell r="G115">
            <v>0</v>
          </cell>
          <cell r="H115">
            <v>0</v>
          </cell>
          <cell r="I115">
            <v>0</v>
          </cell>
          <cell r="J115">
            <v>0</v>
          </cell>
          <cell r="K115">
            <v>0</v>
          </cell>
          <cell r="L115">
            <v>0</v>
          </cell>
          <cell r="M115">
            <v>0</v>
          </cell>
        </row>
        <row r="116">
          <cell r="A116" t="str">
            <v>Additions</v>
          </cell>
          <cell r="D116">
            <v>43</v>
          </cell>
          <cell r="E116">
            <v>233</v>
          </cell>
          <cell r="F116">
            <v>0</v>
          </cell>
          <cell r="G116">
            <v>0</v>
          </cell>
          <cell r="H116">
            <v>0</v>
          </cell>
          <cell r="I116">
            <v>0</v>
          </cell>
          <cell r="J116">
            <v>0</v>
          </cell>
          <cell r="K116">
            <v>0</v>
          </cell>
          <cell r="L116">
            <v>0</v>
          </cell>
          <cell r="M116">
            <v>0</v>
          </cell>
        </row>
        <row r="117">
          <cell r="A117" t="str">
            <v>Disposals/ Other movements</v>
          </cell>
          <cell r="D117">
            <v>-97</v>
          </cell>
          <cell r="E117">
            <v>-34</v>
          </cell>
          <cell r="F117">
            <v>-13500</v>
          </cell>
          <cell r="G117">
            <v>0</v>
          </cell>
          <cell r="H117">
            <v>0</v>
          </cell>
          <cell r="I117">
            <v>0</v>
          </cell>
          <cell r="J117">
            <v>0</v>
          </cell>
          <cell r="K117">
            <v>0</v>
          </cell>
          <cell r="L117">
            <v>0</v>
          </cell>
          <cell r="M117">
            <v>0</v>
          </cell>
        </row>
        <row r="118">
          <cell r="A118" t="str">
            <v>Cost at end of year</v>
          </cell>
          <cell r="D118">
            <v>17050</v>
          </cell>
          <cell r="E118">
            <v>15863</v>
          </cell>
          <cell r="F118">
            <v>2363</v>
          </cell>
          <cell r="G118">
            <v>2363</v>
          </cell>
          <cell r="H118">
            <v>2363</v>
          </cell>
          <cell r="I118">
            <v>2363</v>
          </cell>
          <cell r="J118">
            <v>2363</v>
          </cell>
          <cell r="K118">
            <v>2363</v>
          </cell>
          <cell r="L118">
            <v>2363</v>
          </cell>
          <cell r="M118">
            <v>2363</v>
          </cell>
        </row>
        <row r="119">
          <cell r="A119" t="str">
            <v>Amortization / Impairment</v>
          </cell>
        </row>
        <row r="120">
          <cell r="A120" t="str">
            <v>At start of year</v>
          </cell>
          <cell r="D120">
            <v>-6651</v>
          </cell>
          <cell r="E120">
            <v>-6348</v>
          </cell>
          <cell r="F120">
            <v>-6566</v>
          </cell>
          <cell r="G120">
            <v>-1066</v>
          </cell>
          <cell r="H120">
            <v>-1066</v>
          </cell>
          <cell r="I120">
            <v>-1066</v>
          </cell>
          <cell r="J120">
            <v>-1066</v>
          </cell>
          <cell r="K120">
            <v>-1066</v>
          </cell>
          <cell r="L120">
            <v>-1066</v>
          </cell>
          <cell r="M120">
            <v>-1066</v>
          </cell>
        </row>
        <row r="121">
          <cell r="A121" t="str">
            <v>Exchange adjustment</v>
          </cell>
          <cell r="D121">
            <v>1154</v>
          </cell>
          <cell r="E121">
            <v>602</v>
          </cell>
          <cell r="F121">
            <v>0</v>
          </cell>
          <cell r="G121">
            <v>0</v>
          </cell>
          <cell r="H121">
            <v>0</v>
          </cell>
          <cell r="I121">
            <v>0</v>
          </cell>
          <cell r="J121">
            <v>0</v>
          </cell>
          <cell r="K121">
            <v>0</v>
          </cell>
          <cell r="L121">
            <v>0</v>
          </cell>
          <cell r="M121">
            <v>0</v>
          </cell>
        </row>
        <row r="122">
          <cell r="A122" t="str">
            <v>Impairment charge</v>
          </cell>
          <cell r="D122">
            <v>-911</v>
          </cell>
          <cell r="E122">
            <v>-835</v>
          </cell>
          <cell r="F122">
            <v>0</v>
          </cell>
          <cell r="G122">
            <v>0</v>
          </cell>
          <cell r="H122">
            <v>0</v>
          </cell>
          <cell r="I122">
            <v>0</v>
          </cell>
          <cell r="J122">
            <v>0</v>
          </cell>
          <cell r="K122">
            <v>0</v>
          </cell>
          <cell r="L122">
            <v>0</v>
          </cell>
          <cell r="M122">
            <v>0</v>
          </cell>
        </row>
        <row r="123">
          <cell r="A123" t="str">
            <v>Disposals / Other</v>
          </cell>
          <cell r="D123">
            <v>60</v>
          </cell>
          <cell r="E123">
            <v>15</v>
          </cell>
          <cell r="F123">
            <v>5500</v>
          </cell>
          <cell r="G123">
            <v>0</v>
          </cell>
          <cell r="H123">
            <v>0</v>
          </cell>
          <cell r="I123">
            <v>0</v>
          </cell>
          <cell r="J123">
            <v>0</v>
          </cell>
          <cell r="K123">
            <v>0</v>
          </cell>
          <cell r="L123">
            <v>0</v>
          </cell>
          <cell r="M123">
            <v>0</v>
          </cell>
        </row>
        <row r="124">
          <cell r="A124" t="str">
            <v>At end of Year</v>
          </cell>
          <cell r="D124">
            <v>-6348</v>
          </cell>
          <cell r="E124">
            <v>-6566</v>
          </cell>
          <cell r="F124">
            <v>-1066</v>
          </cell>
          <cell r="G124">
            <v>-1066</v>
          </cell>
          <cell r="H124">
            <v>-1066</v>
          </cell>
          <cell r="I124">
            <v>-1066</v>
          </cell>
          <cell r="J124">
            <v>-1066</v>
          </cell>
          <cell r="K124">
            <v>-1066</v>
          </cell>
          <cell r="L124">
            <v>-1066</v>
          </cell>
          <cell r="M124">
            <v>-1066</v>
          </cell>
        </row>
        <row r="126">
          <cell r="A126" t="str">
            <v>Net book value (at start)</v>
          </cell>
          <cell r="D126">
            <v>13685</v>
          </cell>
          <cell r="E126">
            <v>10702</v>
          </cell>
          <cell r="F126">
            <v>9297</v>
          </cell>
          <cell r="G126">
            <v>1297</v>
          </cell>
          <cell r="H126">
            <v>1297</v>
          </cell>
          <cell r="I126">
            <v>1297</v>
          </cell>
          <cell r="J126">
            <v>1297</v>
          </cell>
          <cell r="K126">
            <v>1297</v>
          </cell>
          <cell r="L126">
            <v>1297</v>
          </cell>
          <cell r="M126">
            <v>1297</v>
          </cell>
        </row>
        <row r="127">
          <cell r="A127" t="str">
            <v>Net book value of Goodwill (at end)</v>
          </cell>
          <cell r="D127">
            <v>10702</v>
          </cell>
          <cell r="E127">
            <v>9297</v>
          </cell>
          <cell r="F127">
            <v>1297</v>
          </cell>
          <cell r="G127">
            <v>1297</v>
          </cell>
          <cell r="H127">
            <v>1297</v>
          </cell>
          <cell r="I127">
            <v>1297</v>
          </cell>
          <cell r="J127">
            <v>1297</v>
          </cell>
          <cell r="K127">
            <v>1297</v>
          </cell>
          <cell r="L127">
            <v>1297</v>
          </cell>
          <cell r="M127">
            <v>1297</v>
          </cell>
        </row>
        <row r="129">
          <cell r="A129" t="str">
            <v>4) OTHER INTANGIBLE ASSETS</v>
          </cell>
        </row>
        <row r="130">
          <cell r="A130" t="str">
            <v>Cost</v>
          </cell>
        </row>
        <row r="131">
          <cell r="A131" t="str">
            <v>Cost at start of year</v>
          </cell>
          <cell r="D131">
            <v>1676</v>
          </cell>
          <cell r="E131">
            <v>1734</v>
          </cell>
          <cell r="F131">
            <v>1882</v>
          </cell>
          <cell r="G131">
            <v>1982</v>
          </cell>
          <cell r="H131">
            <v>2582</v>
          </cell>
          <cell r="I131">
            <v>2882</v>
          </cell>
          <cell r="J131">
            <v>3182</v>
          </cell>
          <cell r="K131">
            <v>3482</v>
          </cell>
          <cell r="L131">
            <v>3782</v>
          </cell>
          <cell r="M131">
            <v>4082</v>
          </cell>
        </row>
        <row r="132">
          <cell r="A132" t="str">
            <v>Exchange Adjustments</v>
          </cell>
          <cell r="D132">
            <v>-227</v>
          </cell>
          <cell r="E132">
            <v>-74</v>
          </cell>
          <cell r="F132">
            <v>0</v>
          </cell>
          <cell r="G132">
            <v>0</v>
          </cell>
          <cell r="H132">
            <v>0</v>
          </cell>
          <cell r="I132">
            <v>0</v>
          </cell>
          <cell r="J132">
            <v>0</v>
          </cell>
          <cell r="K132">
            <v>0</v>
          </cell>
          <cell r="L132">
            <v>0</v>
          </cell>
          <cell r="M132">
            <v>0</v>
          </cell>
        </row>
        <row r="133">
          <cell r="A133" t="str">
            <v>LBO Sensitivity</v>
          </cell>
        </row>
        <row r="134">
          <cell r="A134" t="str">
            <v>Base</v>
          </cell>
          <cell r="G134">
            <v>300</v>
          </cell>
          <cell r="H134">
            <v>300</v>
          </cell>
          <cell r="I134">
            <v>300</v>
          </cell>
          <cell r="J134">
            <v>300</v>
          </cell>
          <cell r="K134">
            <v>300</v>
          </cell>
          <cell r="L134">
            <v>300</v>
          </cell>
          <cell r="M134">
            <v>300</v>
          </cell>
        </row>
        <row r="135">
          <cell r="A135" t="str">
            <v>None</v>
          </cell>
          <cell r="G135">
            <v>0</v>
          </cell>
          <cell r="H135">
            <v>0</v>
          </cell>
          <cell r="I135">
            <v>0</v>
          </cell>
          <cell r="J135">
            <v>0</v>
          </cell>
          <cell r="K135">
            <v>0</v>
          </cell>
          <cell r="L135">
            <v>0</v>
          </cell>
          <cell r="M135">
            <v>0</v>
          </cell>
        </row>
        <row r="136">
          <cell r="A136" t="str">
            <v>Additions</v>
          </cell>
          <cell r="D136">
            <v>316</v>
          </cell>
          <cell r="E136">
            <v>294</v>
          </cell>
          <cell r="F136">
            <v>300</v>
          </cell>
          <cell r="G136">
            <v>300</v>
          </cell>
          <cell r="H136">
            <v>300</v>
          </cell>
          <cell r="I136">
            <v>300</v>
          </cell>
          <cell r="J136">
            <v>300</v>
          </cell>
          <cell r="K136">
            <v>300</v>
          </cell>
          <cell r="L136">
            <v>300</v>
          </cell>
          <cell r="M136">
            <v>300</v>
          </cell>
        </row>
        <row r="137">
          <cell r="A137" t="str">
            <v>Disposals/ Other movements</v>
          </cell>
          <cell r="D137">
            <v>-31</v>
          </cell>
          <cell r="E137">
            <v>-72</v>
          </cell>
          <cell r="F137">
            <v>-200</v>
          </cell>
          <cell r="G137">
            <v>0</v>
          </cell>
          <cell r="H137">
            <v>0</v>
          </cell>
          <cell r="I137">
            <v>0</v>
          </cell>
          <cell r="J137">
            <v>0</v>
          </cell>
          <cell r="K137">
            <v>0</v>
          </cell>
          <cell r="L137">
            <v>0</v>
          </cell>
          <cell r="M137">
            <v>0</v>
          </cell>
        </row>
        <row r="138">
          <cell r="A138" t="str">
            <v>Cost at end of year</v>
          </cell>
          <cell r="D138">
            <v>1734</v>
          </cell>
          <cell r="E138">
            <v>1882</v>
          </cell>
          <cell r="F138">
            <v>1982</v>
          </cell>
          <cell r="G138">
            <v>2582</v>
          </cell>
          <cell r="H138">
            <v>2882</v>
          </cell>
          <cell r="I138">
            <v>3182</v>
          </cell>
          <cell r="J138">
            <v>3482</v>
          </cell>
          <cell r="K138">
            <v>3782</v>
          </cell>
          <cell r="L138">
            <v>4082</v>
          </cell>
          <cell r="M138">
            <v>4382</v>
          </cell>
        </row>
        <row r="139">
          <cell r="A139" t="str">
            <v>Amortization / Impairment</v>
          </cell>
        </row>
        <row r="140">
          <cell r="A140" t="str">
            <v>At start of year</v>
          </cell>
          <cell r="D140">
            <v>-691</v>
          </cell>
          <cell r="E140">
            <v>-763</v>
          </cell>
          <cell r="F140">
            <v>-842</v>
          </cell>
          <cell r="G140">
            <v>-945.2</v>
          </cell>
          <cell r="H140">
            <v>-1158.4000000000001</v>
          </cell>
          <cell r="I140">
            <v>-1431.6000000000001</v>
          </cell>
          <cell r="J140">
            <v>-1734.8000000000002</v>
          </cell>
          <cell r="K140">
            <v>-2068</v>
          </cell>
          <cell r="L140">
            <v>-2431.1999999999998</v>
          </cell>
          <cell r="M140">
            <v>-2824.3999999999996</v>
          </cell>
        </row>
        <row r="141">
          <cell r="A141" t="str">
            <v>Exchange adjustment</v>
          </cell>
          <cell r="D141">
            <v>94</v>
          </cell>
          <cell r="E141">
            <v>42</v>
          </cell>
          <cell r="F141">
            <v>0</v>
          </cell>
          <cell r="G141">
            <v>0</v>
          </cell>
          <cell r="H141">
            <v>0</v>
          </cell>
          <cell r="I141">
            <v>0</v>
          </cell>
          <cell r="J141">
            <v>0</v>
          </cell>
          <cell r="K141">
            <v>0</v>
          </cell>
          <cell r="L141">
            <v>0</v>
          </cell>
          <cell r="M141">
            <v>0</v>
          </cell>
        </row>
        <row r="142">
          <cell r="A142" t="str">
            <v>Impairment / Amortisation charge</v>
          </cell>
          <cell r="D142">
            <v>-189</v>
          </cell>
          <cell r="E142">
            <v>-193</v>
          </cell>
          <cell r="F142">
            <v>-203.2</v>
          </cell>
          <cell r="G142">
            <v>-213.2</v>
          </cell>
          <cell r="H142">
            <v>-273.2</v>
          </cell>
          <cell r="I142">
            <v>-303.2</v>
          </cell>
          <cell r="J142">
            <v>-333.2</v>
          </cell>
          <cell r="K142">
            <v>-363.2</v>
          </cell>
          <cell r="L142">
            <v>-393.2</v>
          </cell>
          <cell r="M142">
            <v>-423.2</v>
          </cell>
        </row>
        <row r="143">
          <cell r="A143" t="str">
            <v>Disposals / Other</v>
          </cell>
          <cell r="D143">
            <v>23</v>
          </cell>
          <cell r="E143">
            <v>72</v>
          </cell>
          <cell r="F143">
            <v>100</v>
          </cell>
          <cell r="G143">
            <v>0</v>
          </cell>
          <cell r="H143">
            <v>0</v>
          </cell>
          <cell r="I143">
            <v>0</v>
          </cell>
          <cell r="J143">
            <v>0</v>
          </cell>
          <cell r="K143">
            <v>0</v>
          </cell>
          <cell r="L143">
            <v>0</v>
          </cell>
          <cell r="M143">
            <v>0</v>
          </cell>
        </row>
        <row r="145">
          <cell r="A145" t="str">
            <v>At end of Year</v>
          </cell>
          <cell r="D145">
            <v>-763</v>
          </cell>
          <cell r="E145">
            <v>-842</v>
          </cell>
          <cell r="F145">
            <v>-945.2</v>
          </cell>
          <cell r="G145">
            <v>-1158.4000000000001</v>
          </cell>
          <cell r="H145">
            <v>-1431.6000000000001</v>
          </cell>
          <cell r="I145">
            <v>-1734.8000000000002</v>
          </cell>
          <cell r="J145">
            <v>-2068</v>
          </cell>
          <cell r="K145">
            <v>-2431.1999999999998</v>
          </cell>
          <cell r="L145">
            <v>-2824.3999999999996</v>
          </cell>
          <cell r="M145">
            <v>-3247.5999999999995</v>
          </cell>
        </row>
        <row r="147">
          <cell r="A147" t="str">
            <v>Net book value (at start)</v>
          </cell>
          <cell r="D147">
            <v>985</v>
          </cell>
          <cell r="E147">
            <v>971</v>
          </cell>
          <cell r="F147">
            <v>1040</v>
          </cell>
          <cell r="G147">
            <v>1036.8</v>
          </cell>
          <cell r="H147">
            <v>1423.6</v>
          </cell>
          <cell r="I147">
            <v>1450.3999999999999</v>
          </cell>
          <cell r="J147">
            <v>1447.1999999999998</v>
          </cell>
          <cell r="K147">
            <v>1414</v>
          </cell>
          <cell r="L147">
            <v>1350.8000000000002</v>
          </cell>
          <cell r="M147">
            <v>1257.6000000000004</v>
          </cell>
        </row>
        <row r="148">
          <cell r="A148" t="str">
            <v>Net book value of Intangibles (at end)</v>
          </cell>
          <cell r="D148">
            <v>971</v>
          </cell>
          <cell r="E148">
            <v>1040</v>
          </cell>
          <cell r="F148">
            <v>1036.8</v>
          </cell>
          <cell r="G148">
            <v>1423.6</v>
          </cell>
          <cell r="H148">
            <v>1450.3999999999999</v>
          </cell>
          <cell r="I148">
            <v>1447.1999999999998</v>
          </cell>
          <cell r="J148">
            <v>1414</v>
          </cell>
          <cell r="K148">
            <v>1350.8000000000002</v>
          </cell>
          <cell r="L148">
            <v>1257.6000000000004</v>
          </cell>
          <cell r="M148">
            <v>1134.4000000000005</v>
          </cell>
        </row>
        <row r="150">
          <cell r="A150" t="str">
            <v>Goodwill &amp; Intangibles</v>
          </cell>
          <cell r="D150">
            <v>11673</v>
          </cell>
          <cell r="E150">
            <v>10337</v>
          </cell>
          <cell r="F150">
            <v>2333.8000000000002</v>
          </cell>
          <cell r="G150">
            <v>2720.6</v>
          </cell>
          <cell r="H150">
            <v>2747.3999999999996</v>
          </cell>
          <cell r="I150">
            <v>2744.2</v>
          </cell>
          <cell r="J150">
            <v>2711</v>
          </cell>
          <cell r="K150">
            <v>2647.8</v>
          </cell>
          <cell r="L150">
            <v>2554.6000000000004</v>
          </cell>
          <cell r="M150">
            <v>2431.4000000000005</v>
          </cell>
        </row>
        <row r="152">
          <cell r="A152" t="str">
            <v>CAPEX/ Amortization Charge</v>
          </cell>
          <cell r="D152">
            <v>1.6719576719576719</v>
          </cell>
          <cell r="E152">
            <v>1.5233160621761659</v>
          </cell>
          <cell r="F152">
            <v>1.4763779527559056</v>
          </cell>
          <cell r="G152">
            <v>1.4071294559099439</v>
          </cell>
          <cell r="H152">
            <v>1.0980966325036603</v>
          </cell>
          <cell r="I152">
            <v>0.98944591029023754</v>
          </cell>
          <cell r="J152">
            <v>0.9003601440576231</v>
          </cell>
          <cell r="K152">
            <v>0.82599118942731276</v>
          </cell>
          <cell r="L152">
            <v>0.76297049847405907</v>
          </cell>
          <cell r="M152">
            <v>0.70888468809073724</v>
          </cell>
        </row>
        <row r="153">
          <cell r="A153" t="str">
            <v>Average Useful Life</v>
          </cell>
          <cell r="D153">
            <v>9.174603174603174</v>
          </cell>
          <cell r="E153">
            <v>9.7512953367875639</v>
          </cell>
          <cell r="F153">
            <v>10</v>
          </cell>
          <cell r="G153">
            <v>10</v>
          </cell>
          <cell r="H153">
            <v>10</v>
          </cell>
          <cell r="I153">
            <v>10</v>
          </cell>
          <cell r="J153">
            <v>10</v>
          </cell>
          <cell r="K153">
            <v>10</v>
          </cell>
          <cell r="L153">
            <v>10</v>
          </cell>
          <cell r="M153">
            <v>10</v>
          </cell>
        </row>
        <row r="161">
          <cell r="A161" t="str">
            <v>Prior Yr Depreciation</v>
          </cell>
          <cell r="D161">
            <v>1669</v>
          </cell>
          <cell r="E161">
            <v>1653</v>
          </cell>
          <cell r="F161">
            <v>1630</v>
          </cell>
          <cell r="G161">
            <v>1227.8</v>
          </cell>
          <cell r="H161">
            <v>1325.5953102227663</v>
          </cell>
          <cell r="I161">
            <v>1462.1427437456312</v>
          </cell>
          <cell r="J161">
            <v>1594.1802233116657</v>
          </cell>
          <cell r="K161">
            <v>1807.0030052003674</v>
          </cell>
          <cell r="L161">
            <v>1951.0798798026192</v>
          </cell>
          <cell r="M161">
            <v>2104.1226358111899</v>
          </cell>
        </row>
        <row r="162">
          <cell r="A162" t="str">
            <v>New Capital Expenditure</v>
          </cell>
          <cell r="D162">
            <v>1955</v>
          </cell>
          <cell r="E162">
            <v>1352</v>
          </cell>
          <cell r="F162">
            <v>1479</v>
          </cell>
          <cell r="G162">
            <v>1700</v>
          </cell>
          <cell r="H162">
            <v>1913.342592038169</v>
          </cell>
          <cell r="I162">
            <v>2094.3761327784205</v>
          </cell>
          <cell r="J162">
            <v>2288.1991872428903</v>
          </cell>
          <cell r="K162">
            <v>2479.6521471978199</v>
          </cell>
          <cell r="L162">
            <v>2679.9928063080392</v>
          </cell>
          <cell r="M162">
            <v>2891.8385269886262</v>
          </cell>
        </row>
        <row r="163">
          <cell r="A163" t="str">
            <v>Average Life of Depreciable Assets</v>
          </cell>
          <cell r="D163">
            <v>8</v>
          </cell>
          <cell r="E163">
            <v>8</v>
          </cell>
          <cell r="F163">
            <v>8</v>
          </cell>
          <cell r="G163">
            <v>8</v>
          </cell>
          <cell r="H163">
            <v>8</v>
          </cell>
          <cell r="I163">
            <v>8</v>
          </cell>
          <cell r="J163">
            <v>8</v>
          </cell>
          <cell r="K163">
            <v>8</v>
          </cell>
          <cell r="L163">
            <v>9</v>
          </cell>
          <cell r="M163">
            <v>9</v>
          </cell>
        </row>
        <row r="164">
          <cell r="A164" t="str">
            <v>Historical Growth Rate in CAPEX</v>
          </cell>
          <cell r="D164">
            <v>0.05</v>
          </cell>
          <cell r="E164">
            <v>0.05</v>
          </cell>
          <cell r="F164">
            <v>0.05</v>
          </cell>
          <cell r="G164">
            <v>0.05</v>
          </cell>
          <cell r="H164">
            <v>0.05</v>
          </cell>
          <cell r="I164">
            <v>0.05</v>
          </cell>
          <cell r="J164">
            <v>0.05</v>
          </cell>
          <cell r="K164">
            <v>0.05</v>
          </cell>
          <cell r="L164">
            <v>1.05</v>
          </cell>
          <cell r="M164">
            <v>1.05</v>
          </cell>
        </row>
        <row r="165">
          <cell r="A165" t="str">
            <v>Depreciation related to retired PPE</v>
          </cell>
          <cell r="D165">
            <v>165.40261909576043</v>
          </cell>
          <cell r="E165">
            <v>114.38585218284813</v>
          </cell>
          <cell r="F165">
            <v>125.13067705505354</v>
          </cell>
          <cell r="G165">
            <v>143.82836443109602</v>
          </cell>
          <cell r="H165">
            <v>161.87819741717863</v>
          </cell>
          <cell r="I165">
            <v>177.19452569473188</v>
          </cell>
          <cell r="J165">
            <v>193.59290976100479</v>
          </cell>
          <cell r="K165">
            <v>209.79077217030459</v>
          </cell>
          <cell r="L165">
            <v>0.46570014091740308</v>
          </cell>
          <cell r="M165">
            <v>0.50251239718222773</v>
          </cell>
        </row>
        <row r="166">
          <cell r="A166" t="str">
            <v xml:space="preserve">Depreciation </v>
          </cell>
          <cell r="B166">
            <v>1734</v>
          </cell>
          <cell r="C166">
            <v>1669</v>
          </cell>
          <cell r="D166">
            <v>1747.9723809042396</v>
          </cell>
          <cell r="E166">
            <v>203</v>
          </cell>
          <cell r="F166">
            <v>1689.7443229449464</v>
          </cell>
          <cell r="G166">
            <v>1296.4716355689038</v>
          </cell>
          <cell r="H166">
            <v>1402.8849368103588</v>
          </cell>
          <cell r="I166">
            <v>1546.7452346482019</v>
          </cell>
          <cell r="J166">
            <v>1686.6122119560221</v>
          </cell>
          <cell r="K166">
            <v>1907.1687514297905</v>
          </cell>
          <cell r="L166">
            <v>2248.3911581403731</v>
          </cell>
          <cell r="M166">
            <v>2424.9355153016327</v>
          </cell>
        </row>
        <row r="168">
          <cell r="A168" t="str">
            <v>Share Count</v>
          </cell>
        </row>
        <row r="169">
          <cell r="A169" t="str">
            <v>Purchase of Ord Shares (SEK million)</v>
          </cell>
          <cell r="D169">
            <v>0</v>
          </cell>
          <cell r="E169">
            <v>0</v>
          </cell>
          <cell r="F169">
            <v>0</v>
          </cell>
          <cell r="G169">
            <v>0</v>
          </cell>
          <cell r="H169">
            <v>0</v>
          </cell>
          <cell r="I169">
            <v>0</v>
          </cell>
          <cell r="J169">
            <v>0</v>
          </cell>
          <cell r="K169">
            <v>0</v>
          </cell>
          <cell r="L169">
            <v>0</v>
          </cell>
          <cell r="M169">
            <v>0</v>
          </cell>
        </row>
        <row r="170">
          <cell r="A170" t="str">
            <v>Proceeds from Sale of Ord Treasury Shares (SEK million)</v>
          </cell>
          <cell r="D170">
            <v>0</v>
          </cell>
          <cell r="E170">
            <v>0</v>
          </cell>
          <cell r="F170">
            <v>0</v>
          </cell>
          <cell r="G170">
            <v>0</v>
          </cell>
          <cell r="H170">
            <v>0</v>
          </cell>
          <cell r="I170">
            <v>0</v>
          </cell>
          <cell r="J170">
            <v>0</v>
          </cell>
          <cell r="K170">
            <v>0</v>
          </cell>
          <cell r="L170">
            <v>0</v>
          </cell>
          <cell r="M170">
            <v>0</v>
          </cell>
        </row>
        <row r="171">
          <cell r="A171" t="str">
            <v>Average Ord Stock Issuance/Repurchase Price (SEK)</v>
          </cell>
          <cell r="F171">
            <v>110</v>
          </cell>
          <cell r="G171">
            <v>117.80999999999999</v>
          </cell>
          <cell r="H171">
            <v>126.17450999999998</v>
          </cell>
          <cell r="I171">
            <v>135.13290020999997</v>
          </cell>
          <cell r="J171">
            <v>144.72733612490995</v>
          </cell>
          <cell r="K171">
            <v>155.00297698977855</v>
          </cell>
          <cell r="L171">
            <v>166.00818835605281</v>
          </cell>
          <cell r="M171">
            <v>177.79476972933256</v>
          </cell>
        </row>
        <row r="172">
          <cell r="A172" t="str">
            <v>Theoretical Cost of equity (%)</v>
          </cell>
          <cell r="F172">
            <v>7.0999999999999994E-2</v>
          </cell>
          <cell r="G172">
            <v>7.0999999999999994E-2</v>
          </cell>
          <cell r="H172">
            <v>7.0999999999999994E-2</v>
          </cell>
          <cell r="I172">
            <v>7.0999999999999994E-2</v>
          </cell>
          <cell r="J172">
            <v>7.0999999999999994E-2</v>
          </cell>
          <cell r="K172">
            <v>7.0999999999999994E-2</v>
          </cell>
          <cell r="L172">
            <v>7.0999999999999994E-2</v>
          </cell>
          <cell r="M172">
            <v>7.0999999999999994E-2</v>
          </cell>
        </row>
        <row r="173">
          <cell r="A173" t="str">
            <v>No. Ord Shares Repurchased (m)</v>
          </cell>
          <cell r="F173">
            <v>0</v>
          </cell>
          <cell r="G173">
            <v>0</v>
          </cell>
          <cell r="H173">
            <v>0</v>
          </cell>
          <cell r="I173">
            <v>0</v>
          </cell>
          <cell r="J173">
            <v>0</v>
          </cell>
          <cell r="K173">
            <v>0</v>
          </cell>
          <cell r="L173">
            <v>0</v>
          </cell>
          <cell r="M173">
            <v>0</v>
          </cell>
        </row>
        <row r="174">
          <cell r="A174" t="str">
            <v>No. Ord Shares Issued (m)</v>
          </cell>
          <cell r="F174">
            <v>0</v>
          </cell>
          <cell r="G174">
            <v>0</v>
          </cell>
          <cell r="H174">
            <v>0</v>
          </cell>
          <cell r="I174">
            <v>0</v>
          </cell>
          <cell r="J174">
            <v>0</v>
          </cell>
          <cell r="K174">
            <v>0</v>
          </cell>
          <cell r="L174">
            <v>0</v>
          </cell>
          <cell r="M174">
            <v>0</v>
          </cell>
        </row>
        <row r="176">
          <cell r="A176" t="str">
            <v>Net Issuance/Repurchase of Ord Stock (SEKm)</v>
          </cell>
          <cell r="B176">
            <v>0</v>
          </cell>
          <cell r="C176">
            <v>0</v>
          </cell>
          <cell r="D176">
            <v>0</v>
          </cell>
          <cell r="E176">
            <v>0</v>
          </cell>
          <cell r="F176">
            <v>0</v>
          </cell>
          <cell r="G176">
            <v>0</v>
          </cell>
          <cell r="H176">
            <v>0</v>
          </cell>
          <cell r="I176">
            <v>0</v>
          </cell>
          <cell r="J176">
            <v>0</v>
          </cell>
          <cell r="K176">
            <v>0</v>
          </cell>
          <cell r="L176">
            <v>0</v>
          </cell>
          <cell r="M176">
            <v>0</v>
          </cell>
          <cell r="P176" t="str">
            <v>mstag:netIssuanceRepurchaseOfCommonStock</v>
          </cell>
          <cell r="Q176">
            <v>6</v>
          </cell>
          <cell r="R176" t="str">
            <v>ISO4217:SEK</v>
          </cell>
          <cell r="S176" t="b">
            <v>0</v>
          </cell>
          <cell r="T176" t="b">
            <v>0</v>
          </cell>
        </row>
        <row r="177">
          <cell r="A177" t="str">
            <v>Net Issuance/Repurchase of Ord Stock (m)</v>
          </cell>
          <cell r="B177">
            <v>0</v>
          </cell>
          <cell r="C177">
            <v>0</v>
          </cell>
          <cell r="D177">
            <v>0</v>
          </cell>
          <cell r="E177">
            <v>0</v>
          </cell>
          <cell r="F177">
            <v>0</v>
          </cell>
          <cell r="G177">
            <v>0</v>
          </cell>
          <cell r="H177">
            <v>0</v>
          </cell>
          <cell r="I177">
            <v>0</v>
          </cell>
          <cell r="J177">
            <v>0</v>
          </cell>
          <cell r="K177">
            <v>0</v>
          </cell>
          <cell r="L177">
            <v>0</v>
          </cell>
          <cell r="M177">
            <v>0</v>
          </cell>
        </row>
        <row r="179">
          <cell r="A179" t="str">
            <v>Opening Ord Share Count</v>
          </cell>
          <cell r="B179">
            <v>344.65328799999997</v>
          </cell>
          <cell r="C179">
            <v>344.65328799999997</v>
          </cell>
          <cell r="D179">
            <v>344.65328799999997</v>
          </cell>
          <cell r="E179">
            <v>344.65328799999997</v>
          </cell>
          <cell r="F179">
            <v>344.65328799999997</v>
          </cell>
          <cell r="G179">
            <v>344.65328799999997</v>
          </cell>
          <cell r="H179">
            <v>344.65328799999997</v>
          </cell>
          <cell r="I179">
            <v>344.65328799999997</v>
          </cell>
          <cell r="J179">
            <v>344.65328799999997</v>
          </cell>
          <cell r="K179">
            <v>344.65328799999997</v>
          </cell>
          <cell r="L179">
            <v>344.65328799999997</v>
          </cell>
          <cell r="M179">
            <v>344.65328799999997</v>
          </cell>
        </row>
        <row r="180">
          <cell r="A180" t="str">
            <v>Issued ord shares (mn)</v>
          </cell>
          <cell r="B180">
            <v>0</v>
          </cell>
          <cell r="C180">
            <v>0</v>
          </cell>
          <cell r="D180">
            <v>0</v>
          </cell>
          <cell r="E180">
            <v>0</v>
          </cell>
          <cell r="F180">
            <v>0</v>
          </cell>
          <cell r="G180">
            <v>0</v>
          </cell>
          <cell r="H180">
            <v>0</v>
          </cell>
          <cell r="I180">
            <v>0</v>
          </cell>
          <cell r="J180">
            <v>0</v>
          </cell>
          <cell r="K180">
            <v>0</v>
          </cell>
          <cell r="L180">
            <v>0</v>
          </cell>
          <cell r="M180">
            <v>0</v>
          </cell>
        </row>
        <row r="181">
          <cell r="A181" t="str">
            <v>Repurchased ord shares (mn)</v>
          </cell>
          <cell r="B181">
            <v>0</v>
          </cell>
          <cell r="C181">
            <v>0</v>
          </cell>
          <cell r="D181">
            <v>0</v>
          </cell>
          <cell r="E181">
            <v>0</v>
          </cell>
          <cell r="F181">
            <v>0</v>
          </cell>
          <cell r="G181">
            <v>0</v>
          </cell>
          <cell r="H181">
            <v>0</v>
          </cell>
          <cell r="I181">
            <v>0</v>
          </cell>
          <cell r="J181">
            <v>0</v>
          </cell>
          <cell r="K181">
            <v>0</v>
          </cell>
          <cell r="L181">
            <v>0</v>
          </cell>
          <cell r="M181">
            <v>0</v>
          </cell>
        </row>
        <row r="182">
          <cell r="A182" t="str">
            <v>Closing Ord Share Count</v>
          </cell>
          <cell r="B182">
            <v>344.65328799999997</v>
          </cell>
          <cell r="C182">
            <v>344.65328799999997</v>
          </cell>
          <cell r="D182">
            <v>344.65328799999997</v>
          </cell>
          <cell r="E182">
            <v>344.65328799999997</v>
          </cell>
          <cell r="F182">
            <v>344.65328799999997</v>
          </cell>
          <cell r="G182">
            <v>344.65328799999997</v>
          </cell>
          <cell r="H182">
            <v>344.65328799999997</v>
          </cell>
          <cell r="I182">
            <v>344.65328799999997</v>
          </cell>
          <cell r="J182">
            <v>344.65328799999997</v>
          </cell>
          <cell r="K182">
            <v>344.65328799999997</v>
          </cell>
          <cell r="L182">
            <v>344.65328799999997</v>
          </cell>
          <cell r="M182">
            <v>344.65328799999997</v>
          </cell>
        </row>
        <row r="185">
          <cell r="A185" t="str">
            <v>Average Basic Ord Shares Outstanding</v>
          </cell>
          <cell r="B185">
            <v>344.65328799999997</v>
          </cell>
          <cell r="C185">
            <v>344.65328799999997</v>
          </cell>
          <cell r="D185">
            <v>344.65328799999997</v>
          </cell>
          <cell r="E185">
            <v>344.65328800000003</v>
          </cell>
          <cell r="F185">
            <v>344.65328799999997</v>
          </cell>
          <cell r="G185">
            <v>344.65328799999997</v>
          </cell>
          <cell r="H185">
            <v>344.65328799999997</v>
          </cell>
          <cell r="I185">
            <v>344.65328799999997</v>
          </cell>
          <cell r="J185">
            <v>344.65328799999997</v>
          </cell>
          <cell r="K185">
            <v>344.65328799999997</v>
          </cell>
          <cell r="L185">
            <v>344.65328799999997</v>
          </cell>
          <cell r="M185">
            <v>344.65328799999997</v>
          </cell>
          <cell r="P185" t="str">
            <v>mstag:averageBasicSharesOutstanding</v>
          </cell>
          <cell r="Q185">
            <v>6</v>
          </cell>
          <cell r="R185" t="str">
            <v>ms_eqr_gcim_Decimal:ms_eqr_gcim_decimal</v>
          </cell>
          <cell r="S185" t="b">
            <v>0</v>
          </cell>
          <cell r="T185" t="b">
            <v>0</v>
          </cell>
        </row>
        <row r="186">
          <cell r="A186" t="str">
            <v>Period End Basic Ord Share Count</v>
          </cell>
          <cell r="B186">
            <v>344.65328799999997</v>
          </cell>
          <cell r="C186">
            <v>344.65328799999997</v>
          </cell>
          <cell r="D186">
            <v>344.65328799999997</v>
          </cell>
          <cell r="E186">
            <v>344.65328800000003</v>
          </cell>
          <cell r="F186">
            <v>344.65328799999997</v>
          </cell>
          <cell r="G186">
            <v>344.65328799999997</v>
          </cell>
          <cell r="H186">
            <v>344.65328799999997</v>
          </cell>
          <cell r="I186">
            <v>344.65328799999997</v>
          </cell>
          <cell r="J186">
            <v>344.65328799999997</v>
          </cell>
          <cell r="K186">
            <v>344.65328799999997</v>
          </cell>
          <cell r="L186">
            <v>344.65328799999997</v>
          </cell>
          <cell r="M186">
            <v>344.65328799999997</v>
          </cell>
          <cell r="P186" t="str">
            <v>mstag:periodEndBasicSharesOutstanding</v>
          </cell>
          <cell r="Q186">
            <v>6</v>
          </cell>
          <cell r="R186" t="str">
            <v>ms_eqr_gcim_Decimal:ms_eqr_gcim_decimal</v>
          </cell>
          <cell r="S186" t="b">
            <v>0</v>
          </cell>
          <cell r="T186" t="b">
            <v>0</v>
          </cell>
        </row>
        <row r="187">
          <cell r="A187" t="str">
            <v>Average Diluted Ord Shares Outstanding</v>
          </cell>
          <cell r="B187">
            <v>344.65328799999997</v>
          </cell>
          <cell r="C187">
            <v>344.65328799999997</v>
          </cell>
          <cell r="D187">
            <v>344.65328799999997</v>
          </cell>
          <cell r="E187">
            <v>344.65328800000003</v>
          </cell>
          <cell r="F187">
            <v>344.65328799999997</v>
          </cell>
          <cell r="G187">
            <v>344.65328799999997</v>
          </cell>
          <cell r="H187">
            <v>344.65328799999997</v>
          </cell>
          <cell r="I187">
            <v>344.65328799999997</v>
          </cell>
          <cell r="J187">
            <v>344.65328799999997</v>
          </cell>
          <cell r="K187">
            <v>344.65328799999997</v>
          </cell>
          <cell r="L187">
            <v>344.65328799999997</v>
          </cell>
          <cell r="M187">
            <v>344.65328799999997</v>
          </cell>
          <cell r="Q187">
            <v>6</v>
          </cell>
          <cell r="R187" t="str">
            <v>ms_eqr_gcim_Decimal:ms_eqr_gcim_decimal</v>
          </cell>
          <cell r="S187" t="b">
            <v>0</v>
          </cell>
          <cell r="T187" t="b">
            <v>0</v>
          </cell>
        </row>
        <row r="188">
          <cell r="A188" t="str">
            <v>Period End Diluted Ordinary Share Count</v>
          </cell>
          <cell r="B188">
            <v>344.65328799999997</v>
          </cell>
          <cell r="C188">
            <v>344.65328799999997</v>
          </cell>
          <cell r="D188">
            <v>344.65328799999997</v>
          </cell>
          <cell r="E188">
            <v>344.65328799999997</v>
          </cell>
          <cell r="F188">
            <v>344.65328799999997</v>
          </cell>
          <cell r="G188">
            <v>344.65328799999997</v>
          </cell>
          <cell r="H188">
            <v>344.65328799999997</v>
          </cell>
          <cell r="I188">
            <v>344.65328799999997</v>
          </cell>
          <cell r="J188">
            <v>344.65328799999997</v>
          </cell>
          <cell r="K188">
            <v>344.65328799999997</v>
          </cell>
          <cell r="L188">
            <v>344.65328799999997</v>
          </cell>
          <cell r="M188">
            <v>344.65328799999997</v>
          </cell>
          <cell r="P188" t="str">
            <v>mstag:periodEndDilutedSharesOutstanding</v>
          </cell>
          <cell r="Q188">
            <v>6</v>
          </cell>
          <cell r="R188" t="str">
            <v>ms_eqr_gcim_Decimal:ms_eqr_gcim_decimal</v>
          </cell>
          <cell r="S188" t="b">
            <v>0</v>
          </cell>
          <cell r="T188" t="b">
            <v>0</v>
          </cell>
        </row>
        <row r="190">
          <cell r="A190" t="str">
            <v>Unrecorded Goodwill</v>
          </cell>
          <cell r="B190">
            <v>0</v>
          </cell>
          <cell r="C190">
            <v>0</v>
          </cell>
          <cell r="D190">
            <v>0</v>
          </cell>
          <cell r="E190">
            <v>0</v>
          </cell>
          <cell r="F190">
            <v>0</v>
          </cell>
          <cell r="G190">
            <v>0</v>
          </cell>
          <cell r="H190">
            <v>0</v>
          </cell>
          <cell r="I190">
            <v>0</v>
          </cell>
          <cell r="J190">
            <v>0</v>
          </cell>
          <cell r="K190">
            <v>0</v>
          </cell>
          <cell r="L190">
            <v>0</v>
          </cell>
          <cell r="M190">
            <v>0</v>
          </cell>
          <cell r="P190" t="str">
            <v>mstag:unrecordedGoodwillFromPoolingAndAmortizedOrWrittenOffGoodwill</v>
          </cell>
          <cell r="Q190">
            <v>6</v>
          </cell>
          <cell r="R190" t="str">
            <v>ISO4217:SEK</v>
          </cell>
          <cell r="S190" t="b">
            <v>0</v>
          </cell>
          <cell r="T190" t="b">
            <v>0</v>
          </cell>
        </row>
        <row r="191">
          <cell r="E191">
            <v>-97.7</v>
          </cell>
          <cell r="F191">
            <v>1329</v>
          </cell>
          <cell r="P191" t="str">
            <v>mstag:changeInAccumulatedOtherComprehensiveIncomeLossOrOtherReserves</v>
          </cell>
          <cell r="Q191">
            <v>6</v>
          </cell>
          <cell r="R191" t="str">
            <v>ISO4217:SEK</v>
          </cell>
          <cell r="S191" t="b">
            <v>0</v>
          </cell>
          <cell r="T191" t="b">
            <v>0</v>
          </cell>
        </row>
        <row r="194">
          <cell r="A194" t="str">
            <v>ROE calculation (modelware)</v>
          </cell>
          <cell r="F194">
            <v>5.065531161864735E-2</v>
          </cell>
          <cell r="G194">
            <v>5.4228313088328414E-2</v>
          </cell>
          <cell r="H194">
            <v>5.8202805626911436E-2</v>
          </cell>
          <cell r="I194">
            <v>6.3211565324450741E-2</v>
          </cell>
          <cell r="J194">
            <v>6.7209380823543108E-2</v>
          </cell>
          <cell r="K194">
            <v>7.3247075105968354E-2</v>
          </cell>
          <cell r="L194">
            <v>0.12873769671057153</v>
          </cell>
          <cell r="M194">
            <v>0.13380952601093335</v>
          </cell>
        </row>
        <row r="196">
          <cell r="A196" t="str">
            <v>Modelware Net Income</v>
          </cell>
          <cell r="D196">
            <v>528</v>
          </cell>
          <cell r="E196">
            <v>984.7</v>
          </cell>
          <cell r="F196">
            <v>916</v>
          </cell>
          <cell r="G196">
            <v>1000.8919746712776</v>
          </cell>
          <cell r="H196">
            <v>1103.3765439835684</v>
          </cell>
          <cell r="I196">
            <v>1233.2029146569555</v>
          </cell>
          <cell r="J196">
            <v>1352.6382361347098</v>
          </cell>
          <cell r="K196">
            <v>1523.6896728374463</v>
          </cell>
          <cell r="L196">
            <v>1424.3409602996678</v>
          </cell>
          <cell r="M196">
            <v>1575.7503652158573</v>
          </cell>
        </row>
        <row r="197">
          <cell r="A197" t="str">
            <v>Shareholders Equity</v>
          </cell>
          <cell r="D197">
            <v>19756</v>
          </cell>
          <cell r="E197">
            <v>18083</v>
          </cell>
          <cell r="F197">
            <v>18457</v>
          </cell>
          <cell r="G197">
            <v>18957.445987335639</v>
          </cell>
          <cell r="H197">
            <v>19509.134259327424</v>
          </cell>
          <cell r="I197">
            <v>20125.735716655901</v>
          </cell>
          <cell r="J197">
            <v>20802.054834723254</v>
          </cell>
          <cell r="K197">
            <v>11063.899671141977</v>
          </cell>
          <cell r="L197">
            <v>11776.070151291809</v>
          </cell>
          <cell r="M197">
            <v>12563.945333899739</v>
          </cell>
        </row>
        <row r="200">
          <cell r="A200" t="str">
            <v>Net Operating assets</v>
          </cell>
          <cell r="C200">
            <v>28141</v>
          </cell>
          <cell r="D200">
            <v>26557</v>
          </cell>
          <cell r="E200">
            <v>23507</v>
          </cell>
          <cell r="F200">
            <v>12030</v>
          </cell>
          <cell r="G200">
            <v>12280.75412545662</v>
          </cell>
          <cell r="H200">
            <v>13243.208256019907</v>
          </cell>
          <cell r="I200">
            <v>14129.242574931737</v>
          </cell>
          <cell r="J200">
            <v>14891.919330388548</v>
          </cell>
          <cell r="K200">
            <v>15606.836717439814</v>
          </cell>
          <cell r="L200">
            <v>16348.001230647551</v>
          </cell>
          <cell r="M200">
            <v>17445.272678696609</v>
          </cell>
        </row>
        <row r="201">
          <cell r="A201" t="str">
            <v xml:space="preserve">     Operating Assets</v>
          </cell>
          <cell r="C201">
            <v>35344</v>
          </cell>
          <cell r="D201">
            <v>33503</v>
          </cell>
          <cell r="E201">
            <v>30773</v>
          </cell>
          <cell r="F201">
            <v>18386</v>
          </cell>
          <cell r="G201">
            <v>18672.032758839337</v>
          </cell>
          <cell r="H201">
            <v>19721.139004769524</v>
          </cell>
          <cell r="I201">
            <v>20676.907957098156</v>
          </cell>
          <cell r="J201">
            <v>21514.096368710885</v>
          </cell>
          <cell r="K201">
            <v>22303.904934870545</v>
          </cell>
          <cell r="L201">
            <v>23123.437252825981</v>
          </cell>
          <cell r="M201">
            <v>24303.576972092007</v>
          </cell>
        </row>
        <row r="202">
          <cell r="A202" t="str">
            <v xml:space="preserve">       Trade receivables</v>
          </cell>
          <cell r="C202">
            <v>5891</v>
          </cell>
          <cell r="D202">
            <v>6096</v>
          </cell>
          <cell r="E202">
            <v>6858</v>
          </cell>
          <cell r="F202">
            <v>5088</v>
          </cell>
          <cell r="G202">
            <v>4878.7413623958701</v>
          </cell>
          <cell r="H202">
            <v>5252.2629200160491</v>
          </cell>
          <cell r="I202">
            <v>5487.885135944156</v>
          </cell>
          <cell r="J202">
            <v>5710.2465576483382</v>
          </cell>
          <cell r="K202">
            <v>5878.620163756189</v>
          </cell>
          <cell r="L202">
            <v>6019.1777900524676</v>
          </cell>
          <cell r="M202">
            <v>6494.9764764656884</v>
          </cell>
        </row>
        <row r="203">
          <cell r="A203" t="str">
            <v xml:space="preserve">       Other receivables</v>
          </cell>
          <cell r="C203">
            <v>2811</v>
          </cell>
          <cell r="D203">
            <v>4482</v>
          </cell>
          <cell r="E203">
            <v>2889</v>
          </cell>
          <cell r="F203">
            <v>2023</v>
          </cell>
          <cell r="G203">
            <v>2023</v>
          </cell>
          <cell r="H203">
            <v>2023</v>
          </cell>
          <cell r="I203">
            <v>2023</v>
          </cell>
          <cell r="J203">
            <v>2023</v>
          </cell>
          <cell r="K203">
            <v>2023</v>
          </cell>
          <cell r="L203">
            <v>2023</v>
          </cell>
          <cell r="M203">
            <v>2023</v>
          </cell>
        </row>
        <row r="204">
          <cell r="A204" t="str">
            <v xml:space="preserve">       Inventories</v>
          </cell>
          <cell r="C204">
            <v>2549</v>
          </cell>
          <cell r="D204">
            <v>2349</v>
          </cell>
          <cell r="E204">
            <v>2255</v>
          </cell>
          <cell r="F204">
            <v>2171</v>
          </cell>
          <cell r="G204">
            <v>2205.0867066662349</v>
          </cell>
          <cell r="H204">
            <v>2402.6715466837054</v>
          </cell>
          <cell r="I204">
            <v>2625.8223736174705</v>
          </cell>
          <cell r="J204">
            <v>2792.6531814834966</v>
          </cell>
          <cell r="K204">
            <v>2948.7158741401049</v>
          </cell>
          <cell r="L204">
            <v>3145.0203953024143</v>
          </cell>
          <cell r="M204">
            <v>3348.3768728339446</v>
          </cell>
        </row>
        <row r="205">
          <cell r="A205" t="str">
            <v xml:space="preserve">       PP&amp;E</v>
          </cell>
          <cell r="C205">
            <v>8146</v>
          </cell>
          <cell r="D205">
            <v>7868</v>
          </cell>
          <cell r="E205">
            <v>7480</v>
          </cell>
          <cell r="F205">
            <v>6350</v>
          </cell>
          <cell r="G205">
            <v>6724.4046897772332</v>
          </cell>
          <cell r="H205">
            <v>7175.6045380697706</v>
          </cell>
          <cell r="I205">
            <v>7675.800447536526</v>
          </cell>
          <cell r="J205">
            <v>8156.9966295790491</v>
          </cell>
          <cell r="K205">
            <v>8685.5688969742496</v>
          </cell>
          <cell r="L205">
            <v>9261.4390674710994</v>
          </cell>
          <cell r="M205">
            <v>9885.6236227923746</v>
          </cell>
        </row>
        <row r="206">
          <cell r="A206" t="str">
            <v xml:space="preserve">       Goodwill</v>
          </cell>
          <cell r="C206">
            <v>13685</v>
          </cell>
          <cell r="D206">
            <v>10702</v>
          </cell>
          <cell r="E206">
            <v>9297</v>
          </cell>
          <cell r="F206">
            <v>1179</v>
          </cell>
          <cell r="G206">
            <v>1179</v>
          </cell>
          <cell r="H206">
            <v>1179</v>
          </cell>
          <cell r="I206">
            <v>1179</v>
          </cell>
          <cell r="J206">
            <v>1179</v>
          </cell>
          <cell r="K206">
            <v>1179</v>
          </cell>
          <cell r="L206">
            <v>1179</v>
          </cell>
          <cell r="M206">
            <v>1179</v>
          </cell>
        </row>
        <row r="207">
          <cell r="A207" t="str">
            <v xml:space="preserve">       Other intangible assets</v>
          </cell>
          <cell r="C207">
            <v>985</v>
          </cell>
          <cell r="D207">
            <v>971</v>
          </cell>
          <cell r="E207">
            <v>1040</v>
          </cell>
          <cell r="F207">
            <v>1179</v>
          </cell>
          <cell r="G207">
            <v>1265.8</v>
          </cell>
          <cell r="H207">
            <v>1292.5999999999999</v>
          </cell>
          <cell r="I207">
            <v>1289.3999999999999</v>
          </cell>
          <cell r="J207">
            <v>1256.1999999999998</v>
          </cell>
          <cell r="K207">
            <v>1192.9999999999998</v>
          </cell>
          <cell r="L207">
            <v>1099.7999999999997</v>
          </cell>
          <cell r="M207">
            <v>976.59999999999968</v>
          </cell>
        </row>
        <row r="208">
          <cell r="A208" t="str">
            <v xml:space="preserve">       Deferred tax assets</v>
          </cell>
          <cell r="C208">
            <v>1277</v>
          </cell>
          <cell r="D208">
            <v>1035</v>
          </cell>
          <cell r="E208">
            <v>954</v>
          </cell>
          <cell r="F208">
            <v>396</v>
          </cell>
          <cell r="G208">
            <v>396</v>
          </cell>
          <cell r="H208">
            <v>396</v>
          </cell>
          <cell r="I208">
            <v>396</v>
          </cell>
          <cell r="J208">
            <v>396</v>
          </cell>
          <cell r="K208">
            <v>396</v>
          </cell>
          <cell r="L208">
            <v>396</v>
          </cell>
          <cell r="M208">
            <v>396</v>
          </cell>
        </row>
        <row r="209">
          <cell r="A209" t="str">
            <v xml:space="preserve">     Operating Liabilities</v>
          </cell>
          <cell r="C209">
            <v>7203</v>
          </cell>
          <cell r="D209">
            <v>6946</v>
          </cell>
          <cell r="E209">
            <v>7266</v>
          </cell>
          <cell r="F209">
            <v>6356</v>
          </cell>
          <cell r="G209">
            <v>6391.2786333827171</v>
          </cell>
          <cell r="H209">
            <v>6477.9307487496171</v>
          </cell>
          <cell r="I209">
            <v>6547.6653821664186</v>
          </cell>
          <cell r="J209">
            <v>6622.1770383223366</v>
          </cell>
          <cell r="K209">
            <v>6697.0682174307312</v>
          </cell>
          <cell r="L209">
            <v>6775.4360221784309</v>
          </cell>
          <cell r="M209">
            <v>6858.3042933954002</v>
          </cell>
        </row>
        <row r="210">
          <cell r="A210" t="str">
            <v xml:space="preserve">       Trade and other payables</v>
          </cell>
          <cell r="C210">
            <v>1548</v>
          </cell>
          <cell r="D210">
            <v>1309</v>
          </cell>
          <cell r="E210">
            <v>1355</v>
          </cell>
          <cell r="F210">
            <v>628.90410958904101</v>
          </cell>
          <cell r="G210">
            <v>664.18274297175753</v>
          </cell>
          <cell r="H210">
            <v>750.83485833865802</v>
          </cell>
          <cell r="I210">
            <v>820.56949175545958</v>
          </cell>
          <cell r="J210">
            <v>895.08114791137712</v>
          </cell>
          <cell r="K210">
            <v>969.97232701977123</v>
          </cell>
          <cell r="L210">
            <v>1048.3401317674713</v>
          </cell>
          <cell r="M210">
            <v>1131.2084029844407</v>
          </cell>
        </row>
        <row r="211">
          <cell r="A211" t="str">
            <v xml:space="preserve">       Income tax payable</v>
          </cell>
          <cell r="C211">
            <v>257</v>
          </cell>
          <cell r="D211">
            <v>377</v>
          </cell>
          <cell r="E211">
            <v>309</v>
          </cell>
          <cell r="F211">
            <v>586</v>
          </cell>
          <cell r="G211">
            <v>586</v>
          </cell>
          <cell r="H211">
            <v>586</v>
          </cell>
          <cell r="I211">
            <v>586.00000000000011</v>
          </cell>
          <cell r="J211">
            <v>586.00000000000023</v>
          </cell>
          <cell r="K211">
            <v>586.00000000000023</v>
          </cell>
          <cell r="L211">
            <v>586.00000000000023</v>
          </cell>
          <cell r="M211">
            <v>586.00000000000034</v>
          </cell>
        </row>
        <row r="212">
          <cell r="A212" t="str">
            <v xml:space="preserve">       Accrued expenses</v>
          </cell>
          <cell r="C212">
            <v>2136</v>
          </cell>
          <cell r="D212">
            <v>2682</v>
          </cell>
          <cell r="E212">
            <v>2489</v>
          </cell>
          <cell r="F212">
            <v>2426.0958904109593</v>
          </cell>
          <cell r="G212">
            <v>2426.0958904109593</v>
          </cell>
          <cell r="H212">
            <v>2426.0958904109593</v>
          </cell>
          <cell r="I212">
            <v>2426.0958904109593</v>
          </cell>
          <cell r="J212">
            <v>2426.0958904109593</v>
          </cell>
          <cell r="K212">
            <v>2426.0958904109593</v>
          </cell>
          <cell r="L212">
            <v>2426.0958904109593</v>
          </cell>
          <cell r="M212">
            <v>2426.0958904109593</v>
          </cell>
        </row>
        <row r="213">
          <cell r="A213" t="str">
            <v xml:space="preserve">       Provisions and reserves</v>
          </cell>
          <cell r="C213">
            <v>2809</v>
          </cell>
          <cell r="D213">
            <v>2094</v>
          </cell>
          <cell r="E213">
            <v>2208</v>
          </cell>
          <cell r="F213">
            <v>1810</v>
          </cell>
          <cell r="G213">
            <v>1810</v>
          </cell>
          <cell r="H213">
            <v>1810</v>
          </cell>
          <cell r="I213">
            <v>1810</v>
          </cell>
          <cell r="J213">
            <v>1810</v>
          </cell>
          <cell r="K213">
            <v>1810</v>
          </cell>
          <cell r="L213">
            <v>1810</v>
          </cell>
          <cell r="M213">
            <v>1810</v>
          </cell>
        </row>
        <row r="214">
          <cell r="A214" t="str">
            <v xml:space="preserve">       Other operating liabilities</v>
          </cell>
          <cell r="C214">
            <v>453</v>
          </cell>
          <cell r="D214">
            <v>484</v>
          </cell>
          <cell r="E214">
            <v>905</v>
          </cell>
          <cell r="F214">
            <v>905</v>
          </cell>
          <cell r="G214">
            <v>905</v>
          </cell>
          <cell r="H214">
            <v>905</v>
          </cell>
          <cell r="I214">
            <v>905</v>
          </cell>
          <cell r="J214">
            <v>905</v>
          </cell>
          <cell r="K214">
            <v>905</v>
          </cell>
          <cell r="L214">
            <v>905</v>
          </cell>
          <cell r="M214">
            <v>905</v>
          </cell>
        </row>
        <row r="218">
          <cell r="C218" t="str">
            <v>2002-FY</v>
          </cell>
          <cell r="D218" t="str">
            <v>2003-FY</v>
          </cell>
          <cell r="E218" t="str">
            <v>2004-FY</v>
          </cell>
          <cell r="F218" t="str">
            <v>2005-FY</v>
          </cell>
          <cell r="G218" t="str">
            <v>2006-FY</v>
          </cell>
          <cell r="H218" t="str">
            <v>2007-FY</v>
          </cell>
          <cell r="I218" t="str">
            <v>2008-FY</v>
          </cell>
          <cell r="J218" t="str">
            <v>2009-FY</v>
          </cell>
          <cell r="K218" t="str">
            <v>2010-FY</v>
          </cell>
          <cell r="L218" t="str">
            <v>2011-FY</v>
          </cell>
          <cell r="M218" t="str">
            <v>2012-FY</v>
          </cell>
        </row>
        <row r="219">
          <cell r="B219" t="str">
            <v xml:space="preserve"> </v>
          </cell>
        </row>
      </sheetData>
      <sheetData sheetId="7" refreshError="1">
        <row r="1">
          <cell r="A1" t="str">
            <v>Gambro: Cash Flow Statement</v>
          </cell>
          <cell r="L1" t="str">
            <v>Morgan Stanley Healthcare Research</v>
          </cell>
          <cell r="M1" t="str">
            <v>Morgan Stanley Healthcare Research</v>
          </cell>
          <cell r="O1" t="str">
            <v>ElementName</v>
          </cell>
          <cell r="P1" t="str">
            <v>ScaleOverride</v>
          </cell>
          <cell r="Q1" t="str">
            <v>UnitOverride</v>
          </cell>
          <cell r="R1" t="str">
            <v>ReverseSign</v>
          </cell>
          <cell r="S1" t="str">
            <v>IsDrivingAssumption</v>
          </cell>
          <cell r="T1" t="str">
            <v>SegmentID</v>
          </cell>
        </row>
        <row r="3">
          <cell r="A3" t="str">
            <v>Year end 31 December</v>
          </cell>
          <cell r="B3" t="str">
            <v>2001A</v>
          </cell>
          <cell r="C3" t="str">
            <v>2002A</v>
          </cell>
          <cell r="D3" t="str">
            <v>2003A</v>
          </cell>
          <cell r="E3" t="str">
            <v>2004A</v>
          </cell>
          <cell r="F3">
            <v>2005</v>
          </cell>
          <cell r="G3" t="str">
            <v>2006e</v>
          </cell>
          <cell r="H3" t="str">
            <v>2007e</v>
          </cell>
          <cell r="I3" t="str">
            <v>2008e</v>
          </cell>
          <cell r="J3" t="str">
            <v>2009e</v>
          </cell>
          <cell r="K3" t="str">
            <v>2010e</v>
          </cell>
          <cell r="L3" t="str">
            <v>2011e</v>
          </cell>
          <cell r="M3" t="str">
            <v>2012e</v>
          </cell>
        </row>
        <row r="4">
          <cell r="A4" t="str">
            <v>(SEK million)</v>
          </cell>
        </row>
        <row r="6">
          <cell r="A6" t="str">
            <v>Operating Profit</v>
          </cell>
          <cell r="B6">
            <v>281.39999999999964</v>
          </cell>
          <cell r="C6">
            <v>1594</v>
          </cell>
          <cell r="D6">
            <v>1581</v>
          </cell>
          <cell r="E6">
            <v>-427</v>
          </cell>
          <cell r="F6">
            <v>1361</v>
          </cell>
          <cell r="G6">
            <v>1326.768299423127</v>
          </cell>
          <cell r="H6">
            <v>1547.319731361858</v>
          </cell>
          <cell r="I6">
            <v>1772.6930613820111</v>
          </cell>
          <cell r="J6">
            <v>1975.5018302593307</v>
          </cell>
          <cell r="K6">
            <v>2255.2924550223679</v>
          </cell>
          <cell r="L6">
            <v>2510.7229004996498</v>
          </cell>
          <cell r="M6">
            <v>2765.9145024681548</v>
          </cell>
          <cell r="O6" t="str">
            <v>mstag:pretaxOperatingprofitExcludingAssociatesCashFlowStatement</v>
          </cell>
          <cell r="P6">
            <v>6</v>
          </cell>
          <cell r="Q6" t="str">
            <v>ISO4217:SEK</v>
          </cell>
          <cell r="R6" t="b">
            <v>0</v>
          </cell>
          <cell r="S6" t="b">
            <v>0</v>
          </cell>
        </row>
        <row r="7">
          <cell r="A7" t="str">
            <v>Earnings from discontinued operations</v>
          </cell>
          <cell r="F7">
            <v>-2507</v>
          </cell>
          <cell r="G7">
            <v>0</v>
          </cell>
          <cell r="H7">
            <v>0</v>
          </cell>
          <cell r="I7">
            <v>0</v>
          </cell>
          <cell r="J7">
            <v>0</v>
          </cell>
          <cell r="K7">
            <v>0</v>
          </cell>
          <cell r="L7">
            <v>0</v>
          </cell>
          <cell r="M7">
            <v>0</v>
          </cell>
          <cell r="O7" t="str">
            <v>mstag:otherCashFlow</v>
          </cell>
          <cell r="P7">
            <v>6</v>
          </cell>
          <cell r="Q7" t="str">
            <v>ISO4217:SEK</v>
          </cell>
          <cell r="R7" t="b">
            <v>0</v>
          </cell>
          <cell r="S7" t="b">
            <v>0</v>
          </cell>
        </row>
        <row r="8">
          <cell r="A8" t="str">
            <v>Depreciation</v>
          </cell>
          <cell r="B8">
            <v>1734</v>
          </cell>
          <cell r="C8">
            <v>1669</v>
          </cell>
          <cell r="D8">
            <v>1653</v>
          </cell>
          <cell r="E8">
            <v>1630</v>
          </cell>
          <cell r="F8">
            <v>1227.8</v>
          </cell>
          <cell r="G8">
            <v>1325.5953102227663</v>
          </cell>
          <cell r="H8">
            <v>1462.1427437456312</v>
          </cell>
          <cell r="I8">
            <v>1594.1802233116657</v>
          </cell>
          <cell r="J8">
            <v>1807.0030052003674</v>
          </cell>
          <cell r="K8">
            <v>1951.0798798026192</v>
          </cell>
          <cell r="L8">
            <v>2104.1226358111899</v>
          </cell>
          <cell r="M8">
            <v>2267.653971667351</v>
          </cell>
          <cell r="O8" t="str">
            <v>mstag:depreciation</v>
          </cell>
          <cell r="P8">
            <v>6</v>
          </cell>
          <cell r="Q8" t="str">
            <v>ISO4217:SEK</v>
          </cell>
          <cell r="R8" t="b">
            <v>0</v>
          </cell>
          <cell r="S8" t="b">
            <v>0</v>
          </cell>
        </row>
        <row r="9">
          <cell r="A9" t="str">
            <v>Amortisation of Other Intangibles</v>
          </cell>
          <cell r="B9">
            <v>154</v>
          </cell>
          <cell r="C9">
            <v>169</v>
          </cell>
          <cell r="D9">
            <v>189</v>
          </cell>
          <cell r="E9">
            <v>190</v>
          </cell>
          <cell r="F9">
            <v>203.2</v>
          </cell>
          <cell r="G9">
            <v>213.2</v>
          </cell>
          <cell r="H9">
            <v>273.2</v>
          </cell>
          <cell r="I9">
            <v>303.2</v>
          </cell>
          <cell r="J9">
            <v>333.2</v>
          </cell>
          <cell r="K9">
            <v>363.2</v>
          </cell>
          <cell r="L9">
            <v>393.2</v>
          </cell>
          <cell r="M9">
            <v>423.2</v>
          </cell>
          <cell r="O9" t="str">
            <v>mstag:amortizationOfOtherIntangibles</v>
          </cell>
          <cell r="P9">
            <v>6</v>
          </cell>
          <cell r="Q9" t="str">
            <v>ISO4217:SEK</v>
          </cell>
          <cell r="R9" t="b">
            <v>0</v>
          </cell>
          <cell r="S9" t="b">
            <v>0</v>
          </cell>
        </row>
        <row r="10">
          <cell r="A10" t="str">
            <v>Amortisation of Goodwill</v>
          </cell>
          <cell r="B10">
            <v>1136</v>
          </cell>
          <cell r="C10">
            <v>1069</v>
          </cell>
          <cell r="D10">
            <v>911</v>
          </cell>
          <cell r="E10">
            <v>835</v>
          </cell>
          <cell r="F10">
            <v>0</v>
          </cell>
          <cell r="G10">
            <v>0</v>
          </cell>
          <cell r="H10">
            <v>0</v>
          </cell>
          <cell r="I10">
            <v>0</v>
          </cell>
          <cell r="J10">
            <v>0</v>
          </cell>
          <cell r="K10">
            <v>0</v>
          </cell>
          <cell r="L10">
            <v>0</v>
          </cell>
          <cell r="M10">
            <v>0</v>
          </cell>
          <cell r="O10" t="str">
            <v>mstag:amortizationOfGoodwillCashFlowStatement</v>
          </cell>
          <cell r="P10">
            <v>6</v>
          </cell>
          <cell r="Q10" t="str">
            <v>ISO4217:SEK</v>
          </cell>
          <cell r="R10" t="b">
            <v>0</v>
          </cell>
          <cell r="S10" t="b">
            <v>0</v>
          </cell>
        </row>
        <row r="11">
          <cell r="A11" t="str">
            <v xml:space="preserve">     (Increase)/Decrease in Inventories</v>
          </cell>
          <cell r="B11">
            <v>-198</v>
          </cell>
          <cell r="C11">
            <v>-67</v>
          </cell>
          <cell r="D11">
            <v>9</v>
          </cell>
          <cell r="E11">
            <v>-2</v>
          </cell>
          <cell r="F11">
            <v>-55</v>
          </cell>
          <cell r="G11">
            <v>-34.086706666234932</v>
          </cell>
          <cell r="H11">
            <v>-197.58484001747047</v>
          </cell>
          <cell r="I11">
            <v>-223.15082693376507</v>
          </cell>
          <cell r="J11">
            <v>-166.83080786602613</v>
          </cell>
          <cell r="K11">
            <v>-156.06269265660831</v>
          </cell>
          <cell r="L11">
            <v>-196.30452116230936</v>
          </cell>
          <cell r="M11">
            <v>-203.35647753153035</v>
          </cell>
          <cell r="O11" t="str">
            <v>mstag:netDecreaseInInventories</v>
          </cell>
          <cell r="P11">
            <v>6</v>
          </cell>
          <cell r="Q11" t="str">
            <v>ISO4217:SEK</v>
          </cell>
          <cell r="R11" t="b">
            <v>0</v>
          </cell>
          <cell r="S11" t="b">
            <v>0</v>
          </cell>
        </row>
        <row r="12">
          <cell r="A12" t="str">
            <v xml:space="preserve">     (Increase)/Decrease in Accounts Receivable</v>
          </cell>
          <cell r="B12">
            <v>253</v>
          </cell>
          <cell r="C12">
            <v>-1007</v>
          </cell>
          <cell r="D12">
            <v>-690</v>
          </cell>
          <cell r="E12">
            <v>755</v>
          </cell>
          <cell r="F12">
            <v>-93</v>
          </cell>
          <cell r="G12">
            <v>209.25863760412994</v>
          </cell>
          <cell r="H12">
            <v>-373.52155762017901</v>
          </cell>
          <cell r="I12">
            <v>-235.62221592810693</v>
          </cell>
          <cell r="J12">
            <v>-222.36142170418225</v>
          </cell>
          <cell r="K12">
            <v>-168.37360610785072</v>
          </cell>
          <cell r="L12">
            <v>-140.55762629627861</v>
          </cell>
          <cell r="M12">
            <v>-475.79868641322082</v>
          </cell>
          <cell r="O12" t="str">
            <v>mstag:netDecreaseInTradeReceivables</v>
          </cell>
          <cell r="P12">
            <v>6</v>
          </cell>
          <cell r="Q12" t="str">
            <v>ISO4217:SEK</v>
          </cell>
          <cell r="R12" t="b">
            <v>0</v>
          </cell>
          <cell r="S12" t="b">
            <v>0</v>
          </cell>
        </row>
        <row r="13">
          <cell r="A13" t="str">
            <v>(Increase)/Decrease in Inventories and Receivables</v>
          </cell>
          <cell r="B13">
            <v>55</v>
          </cell>
          <cell r="C13">
            <v>-1074</v>
          </cell>
          <cell r="D13">
            <v>-681</v>
          </cell>
          <cell r="E13">
            <v>753</v>
          </cell>
          <cell r="F13">
            <v>-148</v>
          </cell>
          <cell r="G13">
            <v>175.17193093789501</v>
          </cell>
          <cell r="H13">
            <v>-571.10639763764948</v>
          </cell>
          <cell r="I13">
            <v>-458.773042861872</v>
          </cell>
          <cell r="J13">
            <v>-389.19222957020838</v>
          </cell>
          <cell r="K13">
            <v>-324.43629876445902</v>
          </cell>
          <cell r="L13">
            <v>-336.86214745858797</v>
          </cell>
          <cell r="M13">
            <v>-679.15516394475117</v>
          </cell>
        </row>
        <row r="14">
          <cell r="A14" t="str">
            <v>Increase/(Decrease) in Short-term Liabilities</v>
          </cell>
          <cell r="B14">
            <v>-281</v>
          </cell>
          <cell r="C14">
            <v>-38</v>
          </cell>
          <cell r="D14">
            <v>697</v>
          </cell>
          <cell r="E14">
            <v>510</v>
          </cell>
          <cell r="F14">
            <v>312</v>
          </cell>
          <cell r="G14">
            <v>35.278633382716521</v>
          </cell>
          <cell r="H14">
            <v>86.652115366900489</v>
          </cell>
          <cell r="I14">
            <v>69.734633416801557</v>
          </cell>
          <cell r="J14">
            <v>74.511656155917535</v>
          </cell>
          <cell r="K14">
            <v>74.891179108394113</v>
          </cell>
          <cell r="L14">
            <v>78.36780474770012</v>
          </cell>
          <cell r="M14">
            <v>82.868271216969333</v>
          </cell>
          <cell r="O14" t="str">
            <v>mstag:netIncreaseInTradeAndOtherPayables</v>
          </cell>
          <cell r="P14">
            <v>6</v>
          </cell>
          <cell r="Q14" t="str">
            <v>ISO4217:SEK</v>
          </cell>
          <cell r="R14" t="b">
            <v>0</v>
          </cell>
          <cell r="S14" t="b">
            <v>0</v>
          </cell>
        </row>
        <row r="15">
          <cell r="A15" t="str">
            <v>Other Non-cash Expenses &amp; Income</v>
          </cell>
          <cell r="B15">
            <v>-165</v>
          </cell>
          <cell r="C15">
            <v>309</v>
          </cell>
          <cell r="D15">
            <v>-125</v>
          </cell>
          <cell r="E15">
            <v>184</v>
          </cell>
          <cell r="F15">
            <v>-127</v>
          </cell>
          <cell r="O15" t="str">
            <v>mstag:otherProvisionsRecurringCashFlowStatement</v>
          </cell>
          <cell r="P15">
            <v>6</v>
          </cell>
          <cell r="Q15" t="str">
            <v>ISO4217:SEK</v>
          </cell>
          <cell r="R15" t="b">
            <v>0</v>
          </cell>
          <cell r="S15" t="b">
            <v>0</v>
          </cell>
        </row>
        <row r="16">
          <cell r="B16" t="str">
            <v>_____</v>
          </cell>
          <cell r="C16" t="str">
            <v>_____</v>
          </cell>
          <cell r="D16" t="str">
            <v>_____</v>
          </cell>
          <cell r="E16" t="str">
            <v>_____</v>
          </cell>
          <cell r="F16" t="str">
            <v>_____</v>
          </cell>
          <cell r="G16" t="str">
            <v>_____</v>
          </cell>
          <cell r="H16" t="str">
            <v>_____</v>
          </cell>
          <cell r="I16" t="str">
            <v>_____</v>
          </cell>
          <cell r="J16" t="str">
            <v>_____</v>
          </cell>
          <cell r="K16" t="str">
            <v>_____</v>
          </cell>
          <cell r="L16" t="str">
            <v>_____</v>
          </cell>
          <cell r="M16" t="str">
            <v>_____</v>
          </cell>
        </row>
        <row r="17">
          <cell r="A17" t="str">
            <v>Operating Net Cash Inflow</v>
          </cell>
          <cell r="B17">
            <v>2914.3999999999996</v>
          </cell>
          <cell r="C17">
            <v>3698</v>
          </cell>
          <cell r="D17">
            <v>4225</v>
          </cell>
          <cell r="E17">
            <v>3675</v>
          </cell>
          <cell r="F17">
            <v>321.99999999999994</v>
          </cell>
          <cell r="G17">
            <v>3076.0141739665046</v>
          </cell>
          <cell r="H17">
            <v>2798.2081928367397</v>
          </cell>
          <cell r="I17">
            <v>3281.0348752486061</v>
          </cell>
          <cell r="J17">
            <v>3801.0242620454073</v>
          </cell>
          <cell r="K17">
            <v>4320.0272151689214</v>
          </cell>
          <cell r="L17">
            <v>4749.5511935999511</v>
          </cell>
          <cell r="M17">
            <v>4860.4815814077238</v>
          </cell>
        </row>
        <row r="18">
          <cell r="D18" t="str">
            <v xml:space="preserve"> </v>
          </cell>
        </row>
        <row r="19">
          <cell r="A19" t="str">
            <v>Earnings from JVs &amp; Associated Undertakings</v>
          </cell>
          <cell r="B19">
            <v>22</v>
          </cell>
          <cell r="C19">
            <v>15</v>
          </cell>
          <cell r="D19">
            <v>2</v>
          </cell>
          <cell r="E19">
            <v>0</v>
          </cell>
          <cell r="F19">
            <v>0</v>
          </cell>
          <cell r="G19">
            <v>0</v>
          </cell>
          <cell r="H19">
            <v>0</v>
          </cell>
          <cell r="I19">
            <v>0</v>
          </cell>
          <cell r="J19">
            <v>0</v>
          </cell>
          <cell r="K19">
            <v>0</v>
          </cell>
          <cell r="L19">
            <v>0</v>
          </cell>
          <cell r="M19">
            <v>0</v>
          </cell>
          <cell r="O19" t="str">
            <v>mstag:dividendsFromInvestmentsAccountedForUnderTheEquityMethodNonOperating</v>
          </cell>
          <cell r="P19">
            <v>6</v>
          </cell>
          <cell r="Q19" t="str">
            <v>ISO4217:SEK</v>
          </cell>
          <cell r="R19" t="b">
            <v>0</v>
          </cell>
          <cell r="S19" t="b">
            <v>0</v>
          </cell>
        </row>
        <row r="21">
          <cell r="A21" t="str">
            <v>Net Interest Received/(Paid)</v>
          </cell>
          <cell r="B21">
            <v>-474</v>
          </cell>
          <cell r="C21">
            <v>-531</v>
          </cell>
          <cell r="D21">
            <v>-51</v>
          </cell>
          <cell r="E21">
            <v>-104</v>
          </cell>
          <cell r="F21">
            <v>530</v>
          </cell>
          <cell r="G21">
            <v>278.41230488538525</v>
          </cell>
          <cell r="H21">
            <v>287.31985570841323</v>
          </cell>
          <cell r="I21">
            <v>276.8438977421107</v>
          </cell>
          <cell r="J21">
            <v>272.72274415149172</v>
          </cell>
          <cell r="K21">
            <v>275.47653342512592</v>
          </cell>
          <cell r="L21">
            <v>-132.87327098405638</v>
          </cell>
          <cell r="M21">
            <v>-135.8036053458047</v>
          </cell>
        </row>
        <row r="22">
          <cell r="A22" t="str">
            <v>Dividends Paid to Minority Shareholders</v>
          </cell>
        </row>
        <row r="23">
          <cell r="A23" t="str">
            <v>ROI &amp; Servicing of Finance</v>
          </cell>
          <cell r="B23">
            <v>-474</v>
          </cell>
          <cell r="C23">
            <v>-531</v>
          </cell>
          <cell r="D23">
            <v>-51</v>
          </cell>
          <cell r="E23">
            <v>-104</v>
          </cell>
          <cell r="F23">
            <v>530</v>
          </cell>
          <cell r="G23">
            <v>278.41230488538525</v>
          </cell>
          <cell r="H23">
            <v>287.31985570841323</v>
          </cell>
          <cell r="I23">
            <v>276.8438977421107</v>
          </cell>
          <cell r="J23">
            <v>272.72274415149172</v>
          </cell>
          <cell r="K23">
            <v>275.47653342512592</v>
          </cell>
          <cell r="L23">
            <v>-132.87327098405638</v>
          </cell>
          <cell r="M23">
            <v>-135.8036053458047</v>
          </cell>
          <cell r="O23" t="str">
            <v>mstag:interestPaidCashFlowStatement</v>
          </cell>
          <cell r="P23">
            <v>6</v>
          </cell>
          <cell r="Q23" t="str">
            <v>ISO4217:SEK</v>
          </cell>
          <cell r="R23" t="b">
            <v>1</v>
          </cell>
          <cell r="S23" t="b">
            <v>0</v>
          </cell>
        </row>
        <row r="25">
          <cell r="A25" t="str">
            <v>Tax expense</v>
          </cell>
          <cell r="B25">
            <v>-170</v>
          </cell>
          <cell r="C25">
            <v>-643</v>
          </cell>
          <cell r="D25">
            <v>-41</v>
          </cell>
          <cell r="E25">
            <v>-591</v>
          </cell>
          <cell r="F25">
            <v>-288</v>
          </cell>
          <cell r="G25">
            <v>-573.28862963723464</v>
          </cell>
          <cell r="H25">
            <v>-697.16304308670306</v>
          </cell>
          <cell r="I25">
            <v>-778.82404446716635</v>
          </cell>
          <cell r="J25">
            <v>-854.32533827611246</v>
          </cell>
          <cell r="K25">
            <v>-961.6922156100477</v>
          </cell>
          <cell r="L25">
            <v>-903.58285921592551</v>
          </cell>
          <cell r="M25">
            <v>-999.44214090649314</v>
          </cell>
        </row>
        <row r="26">
          <cell r="A26" t="str">
            <v>Tax adjustment</v>
          </cell>
          <cell r="B26">
            <v>145</v>
          </cell>
          <cell r="C26">
            <v>442</v>
          </cell>
          <cell r="D26">
            <v>-483</v>
          </cell>
          <cell r="E26">
            <v>-119</v>
          </cell>
          <cell r="F26">
            <v>0</v>
          </cell>
          <cell r="G26">
            <v>0</v>
          </cell>
          <cell r="H26">
            <v>0</v>
          </cell>
          <cell r="I26">
            <v>0</v>
          </cell>
          <cell r="J26">
            <v>0</v>
          </cell>
          <cell r="K26">
            <v>0</v>
          </cell>
          <cell r="L26">
            <v>0</v>
          </cell>
          <cell r="M26">
            <v>0</v>
          </cell>
        </row>
        <row r="27">
          <cell r="A27" t="str">
            <v>Tax Paid</v>
          </cell>
          <cell r="B27">
            <v>-25</v>
          </cell>
          <cell r="C27">
            <v>-201</v>
          </cell>
          <cell r="D27">
            <v>-524</v>
          </cell>
          <cell r="E27">
            <v>-710</v>
          </cell>
          <cell r="F27">
            <v>-288</v>
          </cell>
          <cell r="G27">
            <v>-573.28862963723464</v>
          </cell>
          <cell r="H27">
            <v>-697.16304308670306</v>
          </cell>
          <cell r="I27">
            <v>-778.82404446716635</v>
          </cell>
          <cell r="J27">
            <v>-854.32533827611246</v>
          </cell>
          <cell r="K27">
            <v>-961.6922156100477</v>
          </cell>
          <cell r="L27">
            <v>-903.58285921592551</v>
          </cell>
          <cell r="M27">
            <v>-999.44214090649314</v>
          </cell>
          <cell r="O27" t="str">
            <v>mstag:taxesPaidCashFlowStatement</v>
          </cell>
          <cell r="P27">
            <v>6</v>
          </cell>
          <cell r="Q27" t="str">
            <v>ISO4217:SEK</v>
          </cell>
          <cell r="R27" t="b">
            <v>1</v>
          </cell>
          <cell r="S27" t="b">
            <v>0</v>
          </cell>
        </row>
        <row r="28">
          <cell r="A28" t="str">
            <v>Change in Deferred Taxes</v>
          </cell>
        </row>
        <row r="29">
          <cell r="B29" t="str">
            <v>_____</v>
          </cell>
          <cell r="C29" t="str">
            <v>_____</v>
          </cell>
          <cell r="D29" t="str">
            <v>_____</v>
          </cell>
          <cell r="E29" t="str">
            <v>_____</v>
          </cell>
          <cell r="F29" t="str">
            <v>_____</v>
          </cell>
          <cell r="G29" t="str">
            <v>_____</v>
          </cell>
          <cell r="H29" t="str">
            <v>_____</v>
          </cell>
          <cell r="I29" t="str">
            <v>_____</v>
          </cell>
          <cell r="J29" t="str">
            <v>_____</v>
          </cell>
          <cell r="K29" t="str">
            <v>_____</v>
          </cell>
          <cell r="L29" t="str">
            <v>_____</v>
          </cell>
          <cell r="M29" t="str">
            <v>_____</v>
          </cell>
        </row>
        <row r="30">
          <cell r="A30" t="str">
            <v>Net Cash After Servicing of Finance and Tax</v>
          </cell>
          <cell r="B30">
            <v>2437.3999999999996</v>
          </cell>
          <cell r="C30">
            <v>2981</v>
          </cell>
          <cell r="D30">
            <v>3652</v>
          </cell>
          <cell r="E30">
            <v>2861</v>
          </cell>
          <cell r="F30">
            <v>564</v>
          </cell>
          <cell r="G30">
            <v>2781.137849214655</v>
          </cell>
          <cell r="H30">
            <v>2388.36500545845</v>
          </cell>
          <cell r="I30">
            <v>2779.0547285235502</v>
          </cell>
          <cell r="J30">
            <v>3219.4216679207866</v>
          </cell>
          <cell r="K30">
            <v>3633.8115329839998</v>
          </cell>
          <cell r="L30">
            <v>3713.0950633999696</v>
          </cell>
          <cell r="M30">
            <v>3725.2358351554262</v>
          </cell>
        </row>
        <row r="32">
          <cell r="A32" t="str">
            <v>(Purchases)/Sales of tangible assets</v>
          </cell>
          <cell r="B32">
            <v>-2085</v>
          </cell>
          <cell r="C32">
            <v>-2590</v>
          </cell>
          <cell r="D32">
            <v>-1955</v>
          </cell>
          <cell r="E32">
            <v>-1352</v>
          </cell>
          <cell r="F32">
            <v>-1479</v>
          </cell>
          <cell r="G32">
            <v>-1700</v>
          </cell>
          <cell r="H32">
            <v>-1913.342592038169</v>
          </cell>
          <cell r="I32">
            <v>-2094.3761327784205</v>
          </cell>
          <cell r="J32">
            <v>-2288.1991872428903</v>
          </cell>
          <cell r="K32">
            <v>-2479.6521471978199</v>
          </cell>
          <cell r="L32">
            <v>-2679.9928063080392</v>
          </cell>
          <cell r="M32">
            <v>-2891.8385269886262</v>
          </cell>
          <cell r="O32" t="str">
            <v>mstag:capitalExpenditures</v>
          </cell>
          <cell r="P32">
            <v>6</v>
          </cell>
          <cell r="Q32" t="str">
            <v>ISO4217:SEK</v>
          </cell>
          <cell r="R32" t="b">
            <v>1</v>
          </cell>
          <cell r="S32" t="b">
            <v>0</v>
          </cell>
        </row>
        <row r="33">
          <cell r="A33" t="str">
            <v>Y-o-Y Growth</v>
          </cell>
          <cell r="C33">
            <v>0.24220623501199046</v>
          </cell>
          <cell r="D33">
            <v>-0.24517374517374513</v>
          </cell>
          <cell r="E33">
            <v>-0.30843989769820968</v>
          </cell>
          <cell r="F33" t="str">
            <v>NM</v>
          </cell>
          <cell r="G33" t="str">
            <v>NM</v>
          </cell>
          <cell r="H33">
            <v>0.12549564237539346</v>
          </cell>
          <cell r="I33">
            <v>9.4616375286669108E-2</v>
          </cell>
          <cell r="J33">
            <v>9.2544529815349996E-2</v>
          </cell>
          <cell r="K33">
            <v>8.3669708923206132E-2</v>
          </cell>
          <cell r="L33">
            <v>8.0793856241738737E-2</v>
          </cell>
          <cell r="M33">
            <v>7.9047122881059417E-2</v>
          </cell>
        </row>
        <row r="34">
          <cell r="A34" t="str">
            <v xml:space="preserve">   (Purchases)/Sales of PPE</v>
          </cell>
          <cell r="G34">
            <v>0</v>
          </cell>
          <cell r="H34">
            <v>0</v>
          </cell>
          <cell r="I34">
            <v>0</v>
          </cell>
          <cell r="J34">
            <v>0</v>
          </cell>
          <cell r="K34">
            <v>0</v>
          </cell>
          <cell r="L34">
            <v>0</v>
          </cell>
          <cell r="M34">
            <v>0</v>
          </cell>
          <cell r="O34" t="str">
            <v>mstag:capitalExpendituresReflectedInCostOfAcquisitions</v>
          </cell>
          <cell r="P34">
            <v>6</v>
          </cell>
          <cell r="Q34" t="str">
            <v>ISO4217:SEK</v>
          </cell>
          <cell r="R34" t="b">
            <v>1</v>
          </cell>
          <cell r="S34" t="b">
            <v>0</v>
          </cell>
        </row>
        <row r="35">
          <cell r="A35" t="str">
            <v xml:space="preserve">   (Purchases)/Sales of Other tangible assets</v>
          </cell>
          <cell r="O35" t="str">
            <v>mstag:otherAssetsLiabilitiesIncludedInEndingBalanceSheetTotals</v>
          </cell>
          <cell r="P35">
            <v>6</v>
          </cell>
          <cell r="Q35" t="str">
            <v>ISO4217:SEK</v>
          </cell>
          <cell r="R35" t="b">
            <v>1</v>
          </cell>
          <cell r="S35" t="b">
            <v>0</v>
          </cell>
        </row>
        <row r="36">
          <cell r="A36" t="str">
            <v xml:space="preserve">   (Purchases)/Sales of goodwill</v>
          </cell>
          <cell r="G36">
            <v>0</v>
          </cell>
          <cell r="H36">
            <v>0</v>
          </cell>
          <cell r="I36">
            <v>0</v>
          </cell>
          <cell r="J36">
            <v>0</v>
          </cell>
          <cell r="K36">
            <v>0</v>
          </cell>
          <cell r="L36">
            <v>0</v>
          </cell>
          <cell r="M36">
            <v>0</v>
          </cell>
          <cell r="O36" t="str">
            <v>mstag:premiumGoodwillOnAcquisions</v>
          </cell>
          <cell r="P36">
            <v>6</v>
          </cell>
          <cell r="Q36" t="str">
            <v>ISO4217:SEK</v>
          </cell>
          <cell r="R36" t="b">
            <v>1</v>
          </cell>
          <cell r="S36" t="b">
            <v>0</v>
          </cell>
        </row>
        <row r="37">
          <cell r="A37" t="str">
            <v xml:space="preserve">   (Purchases)/Sales of other intangible assets</v>
          </cell>
          <cell r="G37">
            <v>0</v>
          </cell>
          <cell r="H37">
            <v>0</v>
          </cell>
          <cell r="I37">
            <v>0</v>
          </cell>
          <cell r="J37">
            <v>0</v>
          </cell>
          <cell r="K37">
            <v>0</v>
          </cell>
          <cell r="L37">
            <v>0</v>
          </cell>
          <cell r="M37">
            <v>0</v>
          </cell>
          <cell r="O37" t="str">
            <v>mstag:investmentInIntangibleAssetsReflectedInCostOfAcquisitions</v>
          </cell>
          <cell r="P37">
            <v>6</v>
          </cell>
          <cell r="Q37" t="str">
            <v>ISO4217:SEK</v>
          </cell>
          <cell r="R37" t="b">
            <v>1</v>
          </cell>
          <cell r="S37" t="b">
            <v>0</v>
          </cell>
        </row>
        <row r="38">
          <cell r="A38" t="str">
            <v xml:space="preserve">   Gain on sale of assets</v>
          </cell>
          <cell r="O38" t="str">
            <v>mstag:otherAssetsLiabilitiesIncludedInEndingBalanceSheetTotals</v>
          </cell>
          <cell r="P38">
            <v>6</v>
          </cell>
          <cell r="Q38" t="str">
            <v>ISO4217:SEK</v>
          </cell>
          <cell r="R38" t="b">
            <v>1</v>
          </cell>
          <cell r="S38" t="b">
            <v>0</v>
          </cell>
        </row>
        <row r="39">
          <cell r="A39" t="str">
            <v>Acquisitions</v>
          </cell>
          <cell r="G39">
            <v>0</v>
          </cell>
          <cell r="H39">
            <v>0</v>
          </cell>
          <cell r="I39">
            <v>0</v>
          </cell>
          <cell r="J39">
            <v>0</v>
          </cell>
          <cell r="K39">
            <v>0</v>
          </cell>
          <cell r="L39">
            <v>0</v>
          </cell>
          <cell r="M39">
            <v>0</v>
          </cell>
        </row>
        <row r="40">
          <cell r="A40" t="str">
            <v xml:space="preserve">   (Purchases)/Sales of other intangible assets</v>
          </cell>
          <cell r="B40">
            <v>-1623</v>
          </cell>
          <cell r="C40">
            <v>-608</v>
          </cell>
          <cell r="D40">
            <v>-306</v>
          </cell>
          <cell r="E40">
            <v>-294</v>
          </cell>
          <cell r="F40">
            <v>-315</v>
          </cell>
          <cell r="G40">
            <v>-300</v>
          </cell>
          <cell r="H40">
            <v>-300</v>
          </cell>
          <cell r="I40">
            <v>-300</v>
          </cell>
          <cell r="J40">
            <v>-300</v>
          </cell>
          <cell r="K40">
            <v>-300</v>
          </cell>
          <cell r="L40">
            <v>-300</v>
          </cell>
          <cell r="M40">
            <v>-300</v>
          </cell>
        </row>
        <row r="41">
          <cell r="A41" t="str">
            <v>(Purchases)/Sales of intangible assets</v>
          </cell>
          <cell r="B41">
            <v>-1623</v>
          </cell>
          <cell r="C41">
            <v>-608</v>
          </cell>
          <cell r="D41">
            <v>-306</v>
          </cell>
          <cell r="E41">
            <v>-294</v>
          </cell>
          <cell r="F41">
            <v>-315</v>
          </cell>
          <cell r="G41">
            <v>-300</v>
          </cell>
          <cell r="H41">
            <v>-300</v>
          </cell>
          <cell r="I41">
            <v>-300</v>
          </cell>
          <cell r="J41">
            <v>-300</v>
          </cell>
          <cell r="K41">
            <v>-300</v>
          </cell>
          <cell r="L41">
            <v>-300</v>
          </cell>
          <cell r="M41">
            <v>-300</v>
          </cell>
          <cell r="O41" t="str">
            <v>mstag:investmentInIntangibleAssets</v>
          </cell>
          <cell r="P41">
            <v>6</v>
          </cell>
          <cell r="Q41" t="str">
            <v>ISO4217:SEK</v>
          </cell>
          <cell r="R41" t="b">
            <v>1</v>
          </cell>
          <cell r="S41" t="b">
            <v>0</v>
          </cell>
        </row>
        <row r="42">
          <cell r="A42" t="str">
            <v>(Purchases)/Sales of Investments</v>
          </cell>
          <cell r="B42">
            <v>112</v>
          </cell>
          <cell r="C42">
            <v>55</v>
          </cell>
          <cell r="D42">
            <v>48</v>
          </cell>
          <cell r="E42">
            <v>-224</v>
          </cell>
          <cell r="F42">
            <v>23787</v>
          </cell>
          <cell r="O42" t="str">
            <v>mstag:otherCashFlowsFromUsedInNonoperatingActivities</v>
          </cell>
          <cell r="P42">
            <v>6</v>
          </cell>
          <cell r="Q42" t="str">
            <v>ISO4217:SEK</v>
          </cell>
          <cell r="R42" t="b">
            <v>0</v>
          </cell>
          <cell r="S42" t="b">
            <v>0</v>
          </cell>
        </row>
        <row r="43">
          <cell r="B43" t="str">
            <v>_____</v>
          </cell>
          <cell r="C43" t="str">
            <v>_____</v>
          </cell>
          <cell r="D43" t="str">
            <v>_____</v>
          </cell>
          <cell r="E43" t="str">
            <v>_____</v>
          </cell>
          <cell r="F43" t="str">
            <v>_____</v>
          </cell>
          <cell r="G43" t="str">
            <v>_____</v>
          </cell>
          <cell r="H43" t="str">
            <v>_____</v>
          </cell>
          <cell r="I43" t="str">
            <v>_____</v>
          </cell>
          <cell r="J43" t="str">
            <v>_____</v>
          </cell>
          <cell r="K43" t="str">
            <v>_____</v>
          </cell>
          <cell r="L43" t="str">
            <v>_____</v>
          </cell>
          <cell r="M43" t="str">
            <v>_____</v>
          </cell>
        </row>
        <row r="44">
          <cell r="A44" t="str">
            <v>Net Cash Flow from Investing</v>
          </cell>
          <cell r="B44">
            <v>-3596</v>
          </cell>
          <cell r="C44">
            <v>-3143</v>
          </cell>
          <cell r="D44">
            <v>-2213</v>
          </cell>
          <cell r="E44">
            <v>-1870</v>
          </cell>
          <cell r="F44">
            <v>21993</v>
          </cell>
          <cell r="G44">
            <v>-2000</v>
          </cell>
          <cell r="H44">
            <v>-2213.3425920381687</v>
          </cell>
          <cell r="I44">
            <v>-2394.3761327784205</v>
          </cell>
          <cell r="J44">
            <v>-2588.1991872428903</v>
          </cell>
          <cell r="K44">
            <v>-2779.6521471978199</v>
          </cell>
          <cell r="L44">
            <v>-2979.9928063080392</v>
          </cell>
          <cell r="M44">
            <v>-3191.8385269886262</v>
          </cell>
        </row>
        <row r="46">
          <cell r="A46" t="str">
            <v>Equity Common Dividends Paid</v>
          </cell>
          <cell r="B46">
            <v>-379</v>
          </cell>
          <cell r="C46">
            <v>-379</v>
          </cell>
          <cell r="D46">
            <v>-379</v>
          </cell>
          <cell r="E46">
            <v>-379</v>
          </cell>
          <cell r="F46">
            <v>-448</v>
          </cell>
          <cell r="G46">
            <v>-500.44598733563873</v>
          </cell>
          <cell r="H46">
            <v>-551.68827199178418</v>
          </cell>
          <cell r="I46">
            <v>-616.60145732847775</v>
          </cell>
          <cell r="J46">
            <v>-676.31911806735491</v>
          </cell>
          <cell r="K46">
            <v>-11261.844836418722</v>
          </cell>
          <cell r="L46">
            <v>-712.17048014983391</v>
          </cell>
          <cell r="M46">
            <v>-787.87518260792865</v>
          </cell>
          <cell r="O46" t="str">
            <v>mstag:cashDividendsPaid</v>
          </cell>
          <cell r="P46">
            <v>6</v>
          </cell>
          <cell r="Q46" t="str">
            <v>ISO4217:SEK</v>
          </cell>
          <cell r="R46" t="b">
            <v>1</v>
          </cell>
          <cell r="S46" t="b">
            <v>0</v>
          </cell>
        </row>
        <row r="47">
          <cell r="B47" t="str">
            <v>_____</v>
          </cell>
          <cell r="C47" t="str">
            <v>_____</v>
          </cell>
          <cell r="D47" t="str">
            <v>_____</v>
          </cell>
          <cell r="E47" t="str">
            <v>_____</v>
          </cell>
          <cell r="F47" t="str">
            <v>_____</v>
          </cell>
          <cell r="G47" t="str">
            <v>_____</v>
          </cell>
          <cell r="H47" t="str">
            <v>_____</v>
          </cell>
          <cell r="I47" t="str">
            <v>_____</v>
          </cell>
          <cell r="J47" t="str">
            <v>_____</v>
          </cell>
          <cell r="K47" t="str">
            <v>_____</v>
          </cell>
          <cell r="L47" t="str">
            <v>_____</v>
          </cell>
          <cell r="M47" t="str">
            <v>_____</v>
          </cell>
        </row>
        <row r="48">
          <cell r="A48" t="str">
            <v>Net Cash Flow before Financing</v>
          </cell>
          <cell r="B48">
            <v>-1537.6000000000004</v>
          </cell>
          <cell r="C48">
            <v>-541</v>
          </cell>
          <cell r="D48">
            <v>1060</v>
          </cell>
          <cell r="E48">
            <v>612</v>
          </cell>
          <cell r="F48">
            <v>22109</v>
          </cell>
          <cell r="G48">
            <v>280.6918618790163</v>
          </cell>
          <cell r="H48">
            <v>-376.66585857150289</v>
          </cell>
          <cell r="I48">
            <v>-231.92286158334798</v>
          </cell>
          <cell r="J48">
            <v>-45.096637389458579</v>
          </cell>
          <cell r="K48">
            <v>-10407.685450632544</v>
          </cell>
          <cell r="L48">
            <v>20.931776942096462</v>
          </cell>
          <cell r="M48">
            <v>-254.47787444112862</v>
          </cell>
          <cell r="N48" t="str">
            <v xml:space="preserve"> </v>
          </cell>
        </row>
        <row r="50">
          <cell r="A50" t="str">
            <v>Management of Liquid Resources</v>
          </cell>
        </row>
        <row r="51">
          <cell r="A51" t="str">
            <v>Issue of Share Capital</v>
          </cell>
          <cell r="O51" t="str">
            <v>mstag:proceedsFromIssuanceOfCommonStock</v>
          </cell>
          <cell r="P51">
            <v>6</v>
          </cell>
          <cell r="Q51" t="str">
            <v>ISO4217:SEK</v>
          </cell>
          <cell r="R51" t="b">
            <v>0</v>
          </cell>
          <cell r="S51" t="b">
            <v>0</v>
          </cell>
        </row>
        <row r="52">
          <cell r="A52" t="str">
            <v>Increase in/(Repayment of) Loans</v>
          </cell>
          <cell r="B52">
            <v>1813</v>
          </cell>
          <cell r="C52">
            <v>274</v>
          </cell>
          <cell r="D52">
            <v>-1102</v>
          </cell>
          <cell r="E52">
            <v>-404</v>
          </cell>
          <cell r="F52">
            <v>-1517</v>
          </cell>
          <cell r="G52">
            <v>5</v>
          </cell>
          <cell r="H52">
            <v>0</v>
          </cell>
          <cell r="I52">
            <v>0</v>
          </cell>
          <cell r="J52">
            <v>0</v>
          </cell>
          <cell r="K52">
            <v>0</v>
          </cell>
          <cell r="L52">
            <v>0</v>
          </cell>
          <cell r="M52">
            <v>0</v>
          </cell>
          <cell r="O52" t="str">
            <v>mstag:proceedsFromIssuanceAndCashUsedToRepayLongTermDebt</v>
          </cell>
          <cell r="P52">
            <v>6</v>
          </cell>
          <cell r="Q52" t="str">
            <v>ISO4217:SEK</v>
          </cell>
          <cell r="R52" t="b">
            <v>0</v>
          </cell>
          <cell r="S52" t="b">
            <v>0</v>
          </cell>
        </row>
        <row r="53">
          <cell r="A53" t="str">
            <v>Change in minority interest</v>
          </cell>
          <cell r="F53">
            <v>-15</v>
          </cell>
          <cell r="O53" t="str">
            <v>mstag:netIncreaseInMinorityInterestsInShareholdersEquity</v>
          </cell>
          <cell r="P53">
            <v>6</v>
          </cell>
          <cell r="Q53" t="str">
            <v>ISO4217:SEK</v>
          </cell>
          <cell r="R53" t="b">
            <v>0</v>
          </cell>
          <cell r="S53" t="b">
            <v>0</v>
          </cell>
        </row>
        <row r="54">
          <cell r="A54" t="str">
            <v>Redemption of redemption shares</v>
          </cell>
          <cell r="F54">
            <v>-9995</v>
          </cell>
          <cell r="O54" t="str">
            <v>mstag:cashDividendsPaid</v>
          </cell>
          <cell r="P54">
            <v>6</v>
          </cell>
          <cell r="Q54" t="str">
            <v>ISO4217:SEK</v>
          </cell>
          <cell r="R54" t="b">
            <v>1</v>
          </cell>
          <cell r="S54" t="b">
            <v>0</v>
          </cell>
        </row>
        <row r="55">
          <cell r="A55" t="str">
            <v>Other</v>
          </cell>
          <cell r="F55">
            <v>0</v>
          </cell>
          <cell r="O55" t="str">
            <v>mstag:otherCashFlowsFromUsedInFinancingActivities</v>
          </cell>
          <cell r="P55">
            <v>6</v>
          </cell>
          <cell r="Q55" t="str">
            <v>ISO4217:SEK</v>
          </cell>
          <cell r="R55" t="b">
            <v>0</v>
          </cell>
          <cell r="S55" t="b">
            <v>0</v>
          </cell>
        </row>
        <row r="56">
          <cell r="B56" t="str">
            <v>_____</v>
          </cell>
          <cell r="C56" t="str">
            <v>_____</v>
          </cell>
          <cell r="D56" t="str">
            <v>_____</v>
          </cell>
          <cell r="E56" t="str">
            <v>_____</v>
          </cell>
          <cell r="F56" t="str">
            <v>_____</v>
          </cell>
          <cell r="G56" t="str">
            <v>_____</v>
          </cell>
          <cell r="H56" t="str">
            <v>_____</v>
          </cell>
          <cell r="I56" t="str">
            <v>_____</v>
          </cell>
          <cell r="J56" t="str">
            <v>_____</v>
          </cell>
          <cell r="K56" t="str">
            <v>_____</v>
          </cell>
          <cell r="L56" t="str">
            <v>_____</v>
          </cell>
          <cell r="M56" t="str">
            <v>_____</v>
          </cell>
        </row>
        <row r="57">
          <cell r="A57" t="str">
            <v>Net Cash from Financing</v>
          </cell>
          <cell r="B57">
            <v>1813</v>
          </cell>
          <cell r="C57">
            <v>274</v>
          </cell>
          <cell r="D57">
            <v>-1102</v>
          </cell>
          <cell r="E57">
            <v>-404</v>
          </cell>
          <cell r="F57">
            <v>-11527</v>
          </cell>
          <cell r="G57">
            <v>5</v>
          </cell>
          <cell r="H57">
            <v>0</v>
          </cell>
          <cell r="I57">
            <v>0</v>
          </cell>
          <cell r="J57">
            <v>0</v>
          </cell>
          <cell r="K57">
            <v>0</v>
          </cell>
          <cell r="L57">
            <v>0</v>
          </cell>
          <cell r="M57">
            <v>0</v>
          </cell>
        </row>
        <row r="58">
          <cell r="A58" t="str">
            <v>Foreign Exchange Differences</v>
          </cell>
          <cell r="B58">
            <v>24</v>
          </cell>
          <cell r="C58">
            <v>-69</v>
          </cell>
          <cell r="D58">
            <v>-39</v>
          </cell>
          <cell r="E58">
            <v>-31</v>
          </cell>
          <cell r="F58">
            <v>45</v>
          </cell>
          <cell r="G58">
            <v>0</v>
          </cell>
          <cell r="H58">
            <v>0</v>
          </cell>
          <cell r="I58">
            <v>0</v>
          </cell>
          <cell r="J58">
            <v>0</v>
          </cell>
          <cell r="K58">
            <v>0</v>
          </cell>
          <cell r="L58">
            <v>0</v>
          </cell>
          <cell r="M58">
            <v>0</v>
          </cell>
          <cell r="O58" t="str">
            <v>mstag:effectOfForeignExchangeRatesOnCash</v>
          </cell>
          <cell r="P58">
            <v>6</v>
          </cell>
          <cell r="Q58" t="str">
            <v>ISO4217:SEK</v>
          </cell>
          <cell r="R58" t="b">
            <v>0</v>
          </cell>
          <cell r="S58" t="b">
            <v>0</v>
          </cell>
        </row>
        <row r="59">
          <cell r="B59" t="str">
            <v>_____</v>
          </cell>
          <cell r="C59" t="str">
            <v>_____</v>
          </cell>
          <cell r="D59" t="str">
            <v>_____</v>
          </cell>
          <cell r="E59" t="str">
            <v>_____</v>
          </cell>
          <cell r="F59" t="str">
            <v>_____</v>
          </cell>
          <cell r="G59" t="str">
            <v>_____</v>
          </cell>
          <cell r="H59" t="str">
            <v>_____</v>
          </cell>
          <cell r="I59" t="str">
            <v>_____</v>
          </cell>
          <cell r="J59" t="str">
            <v>_____</v>
          </cell>
          <cell r="K59" t="str">
            <v>_____</v>
          </cell>
          <cell r="L59" t="str">
            <v>_____</v>
          </cell>
          <cell r="M59" t="str">
            <v>_____</v>
          </cell>
        </row>
        <row r="60">
          <cell r="A60" t="str">
            <v>Net Cash Flow for the Year</v>
          </cell>
          <cell r="B60">
            <v>299.39999999999964</v>
          </cell>
          <cell r="C60">
            <v>-336</v>
          </cell>
          <cell r="D60">
            <v>-81</v>
          </cell>
          <cell r="E60">
            <v>177</v>
          </cell>
          <cell r="F60">
            <v>10627</v>
          </cell>
          <cell r="G60">
            <v>285.6918618790163</v>
          </cell>
          <cell r="H60">
            <v>-376.66585857150289</v>
          </cell>
          <cell r="I60">
            <v>-231.92286158334798</v>
          </cell>
          <cell r="J60">
            <v>-45.096637389458579</v>
          </cell>
          <cell r="K60">
            <v>-10407.685450632544</v>
          </cell>
          <cell r="L60">
            <v>20.931776942096462</v>
          </cell>
          <cell r="M60">
            <v>-254.47787444112862</v>
          </cell>
        </row>
        <row r="61">
          <cell r="A61" t="str">
            <v xml:space="preserve">     Cash Conversion (as % Net Income)</v>
          </cell>
          <cell r="C61" t="str">
            <v xml:space="preserve"> </v>
          </cell>
          <cell r="D61" t="str">
            <v xml:space="preserve"> </v>
          </cell>
          <cell r="E61">
            <v>-0.14795619827802392</v>
          </cell>
          <cell r="F61">
            <v>1.1200463743676223</v>
          </cell>
          <cell r="G61">
            <v>0.28543725907368367</v>
          </cell>
          <cell r="H61">
            <v>-0.3413756261408365</v>
          </cell>
          <cell r="I61">
            <v>-0.18806545040307726</v>
          </cell>
          <cell r="J61">
            <v>-3.3339762387855035E-2</v>
          </cell>
          <cell r="K61">
            <v>-6.8305808171890652</v>
          </cell>
          <cell r="L61">
            <v>1.4695762830335662E-2</v>
          </cell>
          <cell r="M61">
            <v>-0.16149631315888571</v>
          </cell>
        </row>
        <row r="62">
          <cell r="D62" t="str">
            <v xml:space="preserve"> </v>
          </cell>
          <cell r="G62">
            <v>664.5</v>
          </cell>
        </row>
        <row r="64">
          <cell r="A64" t="str">
            <v>Cash, Beginning of Year</v>
          </cell>
          <cell r="F64">
            <v>437</v>
          </cell>
          <cell r="G64">
            <v>11064</v>
          </cell>
          <cell r="H64">
            <v>11349.691861879017</v>
          </cell>
          <cell r="I64">
            <v>10973.026003307514</v>
          </cell>
          <cell r="J64">
            <v>10741.103141724167</v>
          </cell>
          <cell r="K64">
            <v>10696.006504334708</v>
          </cell>
          <cell r="L64">
            <v>288.32105370216414</v>
          </cell>
          <cell r="M64">
            <v>309.2528306442606</v>
          </cell>
        </row>
        <row r="65">
          <cell r="A65" t="str">
            <v>Cash, End of Year</v>
          </cell>
          <cell r="E65">
            <v>437</v>
          </cell>
          <cell r="F65">
            <v>11064</v>
          </cell>
          <cell r="G65">
            <v>11349.691861879017</v>
          </cell>
          <cell r="H65">
            <v>10973.026003307514</v>
          </cell>
          <cell r="I65">
            <v>10741.103141724167</v>
          </cell>
          <cell r="J65">
            <v>10696.006504334708</v>
          </cell>
          <cell r="K65">
            <v>288.32105370216414</v>
          </cell>
          <cell r="L65">
            <v>309.2528306442606</v>
          </cell>
          <cell r="M65">
            <v>54.774956203131978</v>
          </cell>
        </row>
        <row r="66">
          <cell r="D66" t="str">
            <v xml:space="preserve"> </v>
          </cell>
        </row>
        <row r="67">
          <cell r="A67" t="str">
            <v>Cash Exceptionals</v>
          </cell>
          <cell r="O67" t="str">
            <v>mstag:netCashUsedFromOneTimeItems</v>
          </cell>
          <cell r="P67">
            <v>6</v>
          </cell>
          <cell r="Q67" t="str">
            <v>ISO4217:SEK</v>
          </cell>
          <cell r="R67" t="b">
            <v>0</v>
          </cell>
          <cell r="S67" t="b">
            <v>0</v>
          </cell>
        </row>
        <row r="69">
          <cell r="A69" t="str">
            <v>Net Income</v>
          </cell>
          <cell r="B69">
            <v>-421.60000000000036</v>
          </cell>
          <cell r="C69">
            <v>362.4</v>
          </cell>
          <cell r="D69">
            <v>1422</v>
          </cell>
          <cell r="E69">
            <v>-1196.3</v>
          </cell>
          <cell r="F69">
            <v>9488</v>
          </cell>
          <cell r="G69">
            <v>1000.8919746712776</v>
          </cell>
          <cell r="H69">
            <v>1103.3765439835684</v>
          </cell>
          <cell r="I69">
            <v>1233.2029146569555</v>
          </cell>
          <cell r="J69">
            <v>1352.6382361347098</v>
          </cell>
          <cell r="K69">
            <v>1523.6896728374463</v>
          </cell>
          <cell r="L69">
            <v>1424.3409602996678</v>
          </cell>
          <cell r="M69">
            <v>1575.7503652158573</v>
          </cell>
        </row>
        <row r="70">
          <cell r="A70" t="str">
            <v>Depreciation and Amortisation</v>
          </cell>
          <cell r="B70">
            <v>3024</v>
          </cell>
          <cell r="C70">
            <v>2907</v>
          </cell>
          <cell r="D70">
            <v>2753</v>
          </cell>
          <cell r="E70">
            <v>2655</v>
          </cell>
          <cell r="F70">
            <v>1431</v>
          </cell>
          <cell r="G70">
            <v>1538.7953102227664</v>
          </cell>
          <cell r="H70">
            <v>1735.3427437456312</v>
          </cell>
          <cell r="I70">
            <v>1897.3802233116658</v>
          </cell>
          <cell r="J70">
            <v>2140.2030052003674</v>
          </cell>
          <cell r="K70">
            <v>2314.2798798026192</v>
          </cell>
          <cell r="L70">
            <v>2497.3226358111897</v>
          </cell>
          <cell r="M70">
            <v>2690.8539716673508</v>
          </cell>
        </row>
        <row r="71">
          <cell r="A71" t="str">
            <v>Capex</v>
          </cell>
          <cell r="B71">
            <v>-2085</v>
          </cell>
          <cell r="C71">
            <v>-2590</v>
          </cell>
          <cell r="D71">
            <v>-1955</v>
          </cell>
          <cell r="E71">
            <v>-1352</v>
          </cell>
          <cell r="F71">
            <v>-1479</v>
          </cell>
          <cell r="G71">
            <v>-1700</v>
          </cell>
          <cell r="H71">
            <v>-1913.342592038169</v>
          </cell>
          <cell r="I71">
            <v>-2094.3761327784205</v>
          </cell>
          <cell r="J71">
            <v>-2288.1991872428903</v>
          </cell>
          <cell r="K71">
            <v>-2479.6521471978199</v>
          </cell>
          <cell r="L71">
            <v>-2679.9928063080392</v>
          </cell>
          <cell r="M71">
            <v>-2891.8385269886262</v>
          </cell>
        </row>
        <row r="72">
          <cell r="A72" t="str">
            <v>Acquisitions</v>
          </cell>
          <cell r="B72">
            <v>-1623</v>
          </cell>
          <cell r="C72">
            <v>-608</v>
          </cell>
          <cell r="D72">
            <v>-306</v>
          </cell>
          <cell r="E72">
            <v>-294</v>
          </cell>
          <cell r="F72">
            <v>-315</v>
          </cell>
          <cell r="G72">
            <v>-300</v>
          </cell>
          <cell r="H72">
            <v>-300</v>
          </cell>
          <cell r="I72">
            <v>-300</v>
          </cell>
          <cell r="J72">
            <v>-300</v>
          </cell>
          <cell r="K72">
            <v>-300</v>
          </cell>
          <cell r="L72">
            <v>-300</v>
          </cell>
          <cell r="M72">
            <v>-300</v>
          </cell>
        </row>
        <row r="73">
          <cell r="A73" t="str">
            <v>Free Cash Flow</v>
          </cell>
          <cell r="B73">
            <v>-1105.6000000000004</v>
          </cell>
          <cell r="C73">
            <v>71.400000000000091</v>
          </cell>
          <cell r="D73">
            <v>1914</v>
          </cell>
          <cell r="E73">
            <v>-187.29999999999995</v>
          </cell>
          <cell r="F73">
            <v>9125</v>
          </cell>
          <cell r="G73">
            <v>539.68728489404384</v>
          </cell>
          <cell r="H73">
            <v>625.37669569103059</v>
          </cell>
          <cell r="I73">
            <v>736.20700519020102</v>
          </cell>
          <cell r="J73">
            <v>904.64205409218675</v>
          </cell>
          <cell r="K73">
            <v>1058.3174054422457</v>
          </cell>
          <cell r="L73">
            <v>941.67078980281849</v>
          </cell>
          <cell r="M73">
            <v>1074.7658098945817</v>
          </cell>
        </row>
        <row r="74">
          <cell r="A74" t="str">
            <v>Net Change in Working Capital</v>
          </cell>
          <cell r="B74">
            <v>-226</v>
          </cell>
          <cell r="C74">
            <v>-1112</v>
          </cell>
          <cell r="D74">
            <v>16</v>
          </cell>
          <cell r="E74">
            <v>1263</v>
          </cell>
          <cell r="F74">
            <v>164</v>
          </cell>
          <cell r="G74">
            <v>210.45056432061153</v>
          </cell>
          <cell r="H74">
            <v>-484.45428227074899</v>
          </cell>
          <cell r="I74">
            <v>-389.03840944507044</v>
          </cell>
          <cell r="J74">
            <v>-314.68057341429085</v>
          </cell>
          <cell r="K74">
            <v>-249.54511965606491</v>
          </cell>
          <cell r="L74">
            <v>-258.49434271088785</v>
          </cell>
          <cell r="M74">
            <v>-596.28689272778183</v>
          </cell>
        </row>
        <row r="76">
          <cell r="A76" t="str">
            <v>Free Cash Flow to Equity Reconciliation</v>
          </cell>
        </row>
        <row r="78">
          <cell r="A78" t="str">
            <v>Net Cash Flow for the Year</v>
          </cell>
          <cell r="B78">
            <v>299.39999999999964</v>
          </cell>
          <cell r="C78">
            <v>-336</v>
          </cell>
          <cell r="D78">
            <v>-81</v>
          </cell>
          <cell r="E78">
            <v>177</v>
          </cell>
          <cell r="F78">
            <v>10627</v>
          </cell>
          <cell r="G78">
            <v>285.6918618790163</v>
          </cell>
          <cell r="H78">
            <v>-376.66585857150289</v>
          </cell>
          <cell r="I78">
            <v>-231.92286158334798</v>
          </cell>
          <cell r="J78">
            <v>-45.096637389458579</v>
          </cell>
          <cell r="K78">
            <v>-10407.685450632544</v>
          </cell>
          <cell r="L78">
            <v>20.931776942096462</v>
          </cell>
          <cell r="M78">
            <v>-254.47787444112862</v>
          </cell>
        </row>
        <row r="79">
          <cell r="A79" t="str">
            <v>Equity Common Dividends Paid</v>
          </cell>
          <cell r="B79">
            <v>379</v>
          </cell>
          <cell r="C79">
            <v>379</v>
          </cell>
          <cell r="D79">
            <v>379</v>
          </cell>
          <cell r="E79">
            <v>379</v>
          </cell>
          <cell r="F79">
            <v>448</v>
          </cell>
          <cell r="G79">
            <v>500.44598733563873</v>
          </cell>
          <cell r="H79">
            <v>551.68827199178418</v>
          </cell>
          <cell r="I79">
            <v>616.60145732847775</v>
          </cell>
          <cell r="J79">
            <v>676.31911806735491</v>
          </cell>
          <cell r="K79">
            <v>11261.844836418722</v>
          </cell>
          <cell r="L79">
            <v>712.17048014983391</v>
          </cell>
          <cell r="M79">
            <v>787.87518260792865</v>
          </cell>
        </row>
        <row r="80">
          <cell r="A80" t="str">
            <v>Free cash flow to equity</v>
          </cell>
          <cell r="B80">
            <v>678.39999999999964</v>
          </cell>
          <cell r="C80">
            <v>43</v>
          </cell>
          <cell r="D80">
            <v>298</v>
          </cell>
          <cell r="E80">
            <v>556</v>
          </cell>
          <cell r="F80">
            <v>11075</v>
          </cell>
          <cell r="G80">
            <v>786.13784921465503</v>
          </cell>
          <cell r="H80">
            <v>175.02241342028128</v>
          </cell>
          <cell r="I80">
            <v>384.67859574512977</v>
          </cell>
          <cell r="J80">
            <v>631.22248067789633</v>
          </cell>
          <cell r="K80">
            <v>854.15938578617897</v>
          </cell>
          <cell r="L80">
            <v>733.10225709193037</v>
          </cell>
          <cell r="M80">
            <v>533.39730816680003</v>
          </cell>
        </row>
        <row r="82">
          <cell r="A82" t="str">
            <v>Net Cash Flow before Financing</v>
          </cell>
          <cell r="B82">
            <v>-1537.6000000000004</v>
          </cell>
          <cell r="C82">
            <v>-541</v>
          </cell>
          <cell r="D82">
            <v>1060</v>
          </cell>
          <cell r="E82">
            <v>612</v>
          </cell>
          <cell r="F82">
            <v>22109</v>
          </cell>
          <cell r="G82">
            <v>280.6918618790163</v>
          </cell>
          <cell r="H82">
            <v>-376.66585857150289</v>
          </cell>
          <cell r="I82">
            <v>-231.92286158334798</v>
          </cell>
          <cell r="J82">
            <v>-45.096637389458579</v>
          </cell>
          <cell r="K82">
            <v>-10407.685450632544</v>
          </cell>
          <cell r="L82">
            <v>20.931776942096462</v>
          </cell>
          <cell r="M82">
            <v>-254.47787444112862</v>
          </cell>
        </row>
        <row r="83">
          <cell r="A83" t="str">
            <v>Interest</v>
          </cell>
          <cell r="B83">
            <v>474</v>
          </cell>
          <cell r="C83">
            <v>531</v>
          </cell>
          <cell r="D83">
            <v>51</v>
          </cell>
          <cell r="E83">
            <v>104</v>
          </cell>
          <cell r="F83">
            <v>-530</v>
          </cell>
          <cell r="G83">
            <v>-278.41230488538525</v>
          </cell>
          <cell r="H83">
            <v>-287.31985570841323</v>
          </cell>
          <cell r="I83">
            <v>-276.8438977421107</v>
          </cell>
          <cell r="J83">
            <v>-272.72274415149172</v>
          </cell>
          <cell r="K83">
            <v>-275.47653342512592</v>
          </cell>
          <cell r="L83">
            <v>132.87327098405638</v>
          </cell>
          <cell r="M83">
            <v>135.8036053458047</v>
          </cell>
        </row>
        <row r="84">
          <cell r="A84" t="str">
            <v>Tax on interest</v>
          </cell>
          <cell r="B84">
            <v>-165.89999999999998</v>
          </cell>
          <cell r="C84">
            <v>-185.85</v>
          </cell>
          <cell r="D84">
            <v>-17.849999999999998</v>
          </cell>
          <cell r="E84">
            <v>-36.4</v>
          </cell>
          <cell r="F84">
            <v>185.5</v>
          </cell>
          <cell r="G84">
            <v>97.444306709884827</v>
          </cell>
          <cell r="H84">
            <v>100.56194949794462</v>
          </cell>
          <cell r="I84">
            <v>96.895364209738744</v>
          </cell>
          <cell r="J84">
            <v>95.452960453022101</v>
          </cell>
          <cell r="K84">
            <v>96.41678669879407</v>
          </cell>
          <cell r="L84">
            <v>-46.505644844419727</v>
          </cell>
          <cell r="M84">
            <v>-47.531261871031639</v>
          </cell>
        </row>
        <row r="85">
          <cell r="A85" t="str">
            <v>Dividends</v>
          </cell>
          <cell r="B85">
            <v>379</v>
          </cell>
          <cell r="C85">
            <v>379</v>
          </cell>
          <cell r="D85">
            <v>379</v>
          </cell>
          <cell r="E85">
            <v>379</v>
          </cell>
          <cell r="F85">
            <v>448</v>
          </cell>
          <cell r="G85">
            <v>500.44598733563873</v>
          </cell>
          <cell r="H85">
            <v>551.68827199178418</v>
          </cell>
          <cell r="I85">
            <v>616.60145732847775</v>
          </cell>
          <cell r="J85">
            <v>676.31911806735491</v>
          </cell>
          <cell r="K85">
            <v>11261.844836418722</v>
          </cell>
          <cell r="L85">
            <v>712.17048014983391</v>
          </cell>
          <cell r="M85">
            <v>787.87518260792865</v>
          </cell>
        </row>
        <row r="86">
          <cell r="A86" t="str">
            <v>Free cash flow to firm before debt/equity servicing and repayments</v>
          </cell>
          <cell r="B86">
            <v>-850.50000000000045</v>
          </cell>
          <cell r="C86">
            <v>183.15</v>
          </cell>
          <cell r="D86">
            <v>1472.15</v>
          </cell>
          <cell r="E86">
            <v>1058.5999999999999</v>
          </cell>
          <cell r="F86">
            <v>22212.5</v>
          </cell>
          <cell r="G86">
            <v>600.16985103915465</v>
          </cell>
          <cell r="H86">
            <v>-11.735492790187322</v>
          </cell>
          <cell r="I86">
            <v>204.73006221275784</v>
          </cell>
          <cell r="J86">
            <v>453.95269697942672</v>
          </cell>
          <cell r="K86">
            <v>675.0996390598466</v>
          </cell>
          <cell r="L86">
            <v>819.469883231567</v>
          </cell>
          <cell r="M86">
            <v>621.66965164157307</v>
          </cell>
        </row>
        <row r="88">
          <cell r="A88" t="str">
            <v>Cash flow from operations</v>
          </cell>
          <cell r="B88">
            <v>-1908</v>
          </cell>
          <cell r="C88">
            <v>-426</v>
          </cell>
          <cell r="D88">
            <v>1430</v>
          </cell>
          <cell r="E88">
            <v>679</v>
          </cell>
          <cell r="F88">
            <v>12505</v>
          </cell>
          <cell r="G88">
            <v>773.85829222102393</v>
          </cell>
          <cell r="H88">
            <v>839.00812770019741</v>
          </cell>
          <cell r="I88">
            <v>893.44535507058845</v>
          </cell>
          <cell r="J88">
            <v>949.04186221884663</v>
          </cell>
          <cell r="K88">
            <v>11537.321369843849</v>
          </cell>
          <cell r="L88">
            <v>579.29720916577753</v>
          </cell>
          <cell r="M88">
            <v>652.07157726212392</v>
          </cell>
        </row>
        <row r="90">
          <cell r="A90" t="str">
            <v>Net Income (cash flow statement</v>
          </cell>
          <cell r="B90">
            <v>-362.60000000000036</v>
          </cell>
          <cell r="C90">
            <v>420</v>
          </cell>
          <cell r="D90">
            <v>1489</v>
          </cell>
          <cell r="E90">
            <v>-1122</v>
          </cell>
          <cell r="F90">
            <v>9488</v>
          </cell>
          <cell r="G90">
            <v>1031.8919746712777</v>
          </cell>
          <cell r="H90">
            <v>1137.4765439835683</v>
          </cell>
          <cell r="I90">
            <v>1270.7129146569555</v>
          </cell>
          <cell r="J90">
            <v>1393.8992361347098</v>
          </cell>
          <cell r="K90">
            <v>1569.0767728374462</v>
          </cell>
          <cell r="L90">
            <v>1474.2667702996678</v>
          </cell>
          <cell r="M90">
            <v>1630.6687562158572</v>
          </cell>
        </row>
        <row r="91">
          <cell r="A91" t="str">
            <v>Common Dividends</v>
          </cell>
          <cell r="B91">
            <v>-379</v>
          </cell>
          <cell r="C91">
            <v>-379</v>
          </cell>
          <cell r="D91">
            <v>-379</v>
          </cell>
          <cell r="E91">
            <v>-379</v>
          </cell>
          <cell r="F91">
            <v>-10443</v>
          </cell>
          <cell r="G91">
            <v>-500.44598733563873</v>
          </cell>
          <cell r="H91">
            <v>-551.68827199178418</v>
          </cell>
          <cell r="I91">
            <v>-616.60145732847775</v>
          </cell>
          <cell r="J91">
            <v>-676.31911806735491</v>
          </cell>
          <cell r="K91">
            <v>-11261.844836418722</v>
          </cell>
          <cell r="L91">
            <v>-712.17048014983391</v>
          </cell>
          <cell r="M91">
            <v>-787.87518260792865</v>
          </cell>
          <cell r="O91" t="str">
            <v>mstag:commonDividends</v>
          </cell>
          <cell r="P91">
            <v>6</v>
          </cell>
          <cell r="Q91" t="str">
            <v>ISO4217:SEK</v>
          </cell>
          <cell r="R91" t="b">
            <v>1</v>
          </cell>
          <cell r="S91" t="b">
            <v>0</v>
          </cell>
        </row>
        <row r="94">
          <cell r="A94" t="str">
            <v>Free Cash Flow Yield (modelware) ($ million)</v>
          </cell>
        </row>
        <row r="96">
          <cell r="A96" t="str">
            <v xml:space="preserve">   EBITDA</v>
          </cell>
          <cell r="D96">
            <v>4334</v>
          </cell>
          <cell r="E96">
            <v>928</v>
          </cell>
          <cell r="F96">
            <v>2792</v>
          </cell>
          <cell r="G96">
            <v>2853.9376096458932</v>
          </cell>
          <cell r="H96">
            <v>3282.6624751074887</v>
          </cell>
          <cell r="I96">
            <v>3670.0732846936767</v>
          </cell>
          <cell r="J96">
            <v>4115.7048354596982</v>
          </cell>
          <cell r="K96">
            <v>4569.5723348249867</v>
          </cell>
          <cell r="L96">
            <v>5008.0455363108395</v>
          </cell>
          <cell r="M96">
            <v>5456.7684741355051</v>
          </cell>
        </row>
        <row r="97">
          <cell r="A97" t="str">
            <v xml:space="preserve">      Decrease in trade receivables</v>
          </cell>
          <cell r="D97">
            <v>-690</v>
          </cell>
          <cell r="E97">
            <v>755</v>
          </cell>
          <cell r="F97">
            <v>2389</v>
          </cell>
          <cell r="G97">
            <v>209.25863760412994</v>
          </cell>
          <cell r="H97">
            <v>-373.52155762017901</v>
          </cell>
          <cell r="I97">
            <v>-235.62221592810693</v>
          </cell>
          <cell r="J97">
            <v>-222.36142170418225</v>
          </cell>
          <cell r="K97">
            <v>-168.37360610785072</v>
          </cell>
          <cell r="L97">
            <v>-140.55762629627861</v>
          </cell>
          <cell r="M97">
            <v>-475.79868641322082</v>
          </cell>
        </row>
        <row r="98">
          <cell r="A98" t="str">
            <v xml:space="preserve">      Decrease in inventories</v>
          </cell>
          <cell r="D98">
            <v>9</v>
          </cell>
          <cell r="E98">
            <v>-2</v>
          </cell>
          <cell r="F98">
            <v>-55</v>
          </cell>
          <cell r="G98">
            <v>-34.086706666234932</v>
          </cell>
          <cell r="H98">
            <v>-197.58484001747047</v>
          </cell>
          <cell r="I98">
            <v>-223.15082693376507</v>
          </cell>
          <cell r="J98">
            <v>-166.83080786602613</v>
          </cell>
          <cell r="K98">
            <v>-156.06269265660831</v>
          </cell>
          <cell r="L98">
            <v>-196.30452116230936</v>
          </cell>
          <cell r="M98">
            <v>-203.35647753153035</v>
          </cell>
        </row>
        <row r="99">
          <cell r="A99" t="str">
            <v xml:space="preserve">      Decrease in payables</v>
          </cell>
          <cell r="D99">
            <v>697</v>
          </cell>
          <cell r="E99">
            <v>510</v>
          </cell>
          <cell r="F99">
            <v>312</v>
          </cell>
          <cell r="G99">
            <v>35.278633382716521</v>
          </cell>
          <cell r="H99">
            <v>86.652115366900489</v>
          </cell>
          <cell r="I99">
            <v>69.734633416801557</v>
          </cell>
          <cell r="J99">
            <v>74.511656155917535</v>
          </cell>
          <cell r="K99">
            <v>74.891179108394113</v>
          </cell>
          <cell r="L99">
            <v>78.36780474770012</v>
          </cell>
          <cell r="M99">
            <v>82.868271216969333</v>
          </cell>
        </row>
        <row r="100">
          <cell r="A100" t="str">
            <v xml:space="preserve">   Change in Net Operating Assets</v>
          </cell>
          <cell r="D100">
            <v>16</v>
          </cell>
          <cell r="E100">
            <v>1263</v>
          </cell>
          <cell r="F100">
            <v>2646</v>
          </cell>
          <cell r="G100">
            <v>210.45056432061153</v>
          </cell>
          <cell r="H100">
            <v>-484.45428227074899</v>
          </cell>
          <cell r="I100">
            <v>-389.03840944507044</v>
          </cell>
          <cell r="J100">
            <v>-314.68057341429085</v>
          </cell>
          <cell r="K100">
            <v>-249.54511965606491</v>
          </cell>
          <cell r="L100">
            <v>-258.49434271088785</v>
          </cell>
          <cell r="M100">
            <v>-596.28689272778183</v>
          </cell>
        </row>
        <row r="101">
          <cell r="A101" t="str">
            <v xml:space="preserve">   CapEx</v>
          </cell>
          <cell r="F101">
            <v>-1794</v>
          </cell>
          <cell r="G101">
            <v>-2000</v>
          </cell>
          <cell r="H101">
            <v>-2213.3425920381687</v>
          </cell>
          <cell r="I101">
            <v>-2394.3761327784205</v>
          </cell>
          <cell r="J101">
            <v>-2588.1991872428903</v>
          </cell>
          <cell r="K101">
            <v>-2779.6521471978199</v>
          </cell>
          <cell r="L101">
            <v>-2979.9928063080392</v>
          </cell>
          <cell r="M101">
            <v>-3191.8385269886262</v>
          </cell>
        </row>
        <row r="102">
          <cell r="A102" t="str">
            <v xml:space="preserve">   Interest and dividends</v>
          </cell>
          <cell r="F102">
            <v>530</v>
          </cell>
          <cell r="G102">
            <v>278.41230488538525</v>
          </cell>
          <cell r="H102">
            <v>287.31985570841323</v>
          </cell>
          <cell r="I102">
            <v>276.8438977421107</v>
          </cell>
          <cell r="J102">
            <v>272.72274415149172</v>
          </cell>
          <cell r="K102">
            <v>275.47653342512592</v>
          </cell>
          <cell r="L102">
            <v>-132.87327098405638</v>
          </cell>
          <cell r="M102">
            <v>-135.8036053458047</v>
          </cell>
        </row>
        <row r="103">
          <cell r="A103" t="str">
            <v xml:space="preserve">   Taxes paid</v>
          </cell>
          <cell r="F103">
            <v>-288</v>
          </cell>
          <cell r="G103">
            <v>-573.28862963723464</v>
          </cell>
          <cell r="H103">
            <v>-697.16304308670306</v>
          </cell>
          <cell r="I103">
            <v>-778.82404446716635</v>
          </cell>
          <cell r="J103">
            <v>-854.32533827611246</v>
          </cell>
          <cell r="K103">
            <v>-961.6922156100477</v>
          </cell>
          <cell r="L103">
            <v>-903.58285921592551</v>
          </cell>
          <cell r="M103">
            <v>-999.44214090649314</v>
          </cell>
        </row>
        <row r="104">
          <cell r="A104" t="str">
            <v xml:space="preserve">   Minority interests</v>
          </cell>
          <cell r="F104">
            <v>61</v>
          </cell>
          <cell r="G104">
            <v>-31</v>
          </cell>
          <cell r="H104">
            <v>-34.099999999999994</v>
          </cell>
          <cell r="I104">
            <v>-37.510000000000019</v>
          </cell>
          <cell r="J104">
            <v>-41.261000000000024</v>
          </cell>
          <cell r="K104">
            <v>-45.387100000000032</v>
          </cell>
          <cell r="L104">
            <v>-49.925810000000013</v>
          </cell>
          <cell r="M104">
            <v>-54.918391000000042</v>
          </cell>
        </row>
        <row r="105">
          <cell r="A105" t="str">
            <v xml:space="preserve">   Other</v>
          </cell>
        </row>
        <row r="106">
          <cell r="A106" t="str">
            <v>Free Cash Flow to Equity</v>
          </cell>
          <cell r="D106">
            <v>4350</v>
          </cell>
          <cell r="E106">
            <v>2191</v>
          </cell>
          <cell r="F106">
            <v>3947</v>
          </cell>
          <cell r="G106">
            <v>738.51184921465551</v>
          </cell>
          <cell r="H106">
            <v>140.92241342028117</v>
          </cell>
          <cell r="I106">
            <v>347.16859574512989</v>
          </cell>
          <cell r="J106">
            <v>589.96148067789636</v>
          </cell>
          <cell r="K106">
            <v>808.77228578617985</v>
          </cell>
          <cell r="L106">
            <v>683.17644709192996</v>
          </cell>
          <cell r="M106">
            <v>478.47891716679874</v>
          </cell>
        </row>
        <row r="107">
          <cell r="A107" t="str">
            <v>Average Diluted Shares</v>
          </cell>
          <cell r="D107">
            <v>344.65328799999997</v>
          </cell>
          <cell r="E107">
            <v>344.65328800000003</v>
          </cell>
          <cell r="F107">
            <v>344.65328799999997</v>
          </cell>
          <cell r="G107">
            <v>344.65328799999997</v>
          </cell>
          <cell r="H107">
            <v>344.65328799999997</v>
          </cell>
          <cell r="I107">
            <v>344.65328799999997</v>
          </cell>
          <cell r="J107">
            <v>344.65328799999997</v>
          </cell>
          <cell r="K107">
            <v>344.65328799999997</v>
          </cell>
          <cell r="L107">
            <v>344.65328799999997</v>
          </cell>
          <cell r="M107">
            <v>344.65328799999997</v>
          </cell>
        </row>
        <row r="108">
          <cell r="A108" t="str">
            <v>Current share price ($)</v>
          </cell>
          <cell r="D108">
            <v>60</v>
          </cell>
          <cell r="E108">
            <v>95</v>
          </cell>
          <cell r="F108">
            <v>111</v>
          </cell>
          <cell r="G108">
            <v>111</v>
          </cell>
          <cell r="H108">
            <v>111</v>
          </cell>
          <cell r="I108">
            <v>111</v>
          </cell>
          <cell r="J108">
            <v>111</v>
          </cell>
          <cell r="K108">
            <v>111</v>
          </cell>
          <cell r="L108">
            <v>111</v>
          </cell>
          <cell r="M108">
            <v>111</v>
          </cell>
        </row>
        <row r="109">
          <cell r="A109" t="str">
            <v>Free Cash Flow Yield</v>
          </cell>
          <cell r="D109">
            <v>0.2103563277191193</v>
          </cell>
          <cell r="E109">
            <v>6.6916982073697326E-2</v>
          </cell>
          <cell r="F109">
            <v>0.1031719696188088</v>
          </cell>
          <cell r="G109">
            <v>1.9304211317533505E-2</v>
          </cell>
          <cell r="H109">
            <v>3.6836186865990537E-3</v>
          </cell>
          <cell r="I109">
            <v>9.0747574899470631E-3</v>
          </cell>
          <cell r="J109">
            <v>1.5421202929001109E-2</v>
          </cell>
          <cell r="K109">
            <v>2.1140772662190603E-2</v>
          </cell>
          <cell r="L109">
            <v>1.7857780502572671E-2</v>
          </cell>
          <cell r="M109">
            <v>1.2507122448739168E-2</v>
          </cell>
        </row>
        <row r="117">
          <cell r="C117" t="str">
            <v>2002-FY</v>
          </cell>
          <cell r="D117" t="str">
            <v>2003-FY</v>
          </cell>
          <cell r="E117" t="str">
            <v>2004-FY</v>
          </cell>
          <cell r="F117" t="str">
            <v>2005-FY</v>
          </cell>
          <cell r="G117" t="str">
            <v>2006-FY</v>
          </cell>
          <cell r="H117" t="str">
            <v>2007-FY</v>
          </cell>
          <cell r="I117" t="str">
            <v>2008-FY</v>
          </cell>
          <cell r="J117" t="str">
            <v>2009-FY</v>
          </cell>
          <cell r="K117" t="str">
            <v>2010-FY</v>
          </cell>
          <cell r="L117" t="str">
            <v>2011-FY</v>
          </cell>
          <cell r="M117" t="str">
            <v>2012-FY</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1">
          <cell r="B1" t="str">
            <v>Morgan Stanley European Medical Technology Research</v>
          </cell>
        </row>
        <row r="4">
          <cell r="B4" t="str">
            <v>Report Date</v>
          </cell>
          <cell r="C4">
            <v>38717</v>
          </cell>
        </row>
        <row r="5">
          <cell r="B5" t="str">
            <v>Company Date</v>
          </cell>
          <cell r="C5" t="str">
            <v>Gambro</v>
          </cell>
        </row>
        <row r="6">
          <cell r="B6" t="str">
            <v>Currency</v>
          </cell>
          <cell r="C6" t="str">
            <v>SKr</v>
          </cell>
        </row>
        <row r="9">
          <cell r="B9" t="str">
            <v>Summary Information</v>
          </cell>
        </row>
        <row r="10">
          <cell r="B10" t="str">
            <v>Detailed financial information inside</v>
          </cell>
        </row>
        <row r="11">
          <cell r="B11" t="str">
            <v>Global comparative valuation Exhibit x</v>
          </cell>
        </row>
        <row r="13">
          <cell r="B13" t="str">
            <v>GAMBRO: Key Assumptions</v>
          </cell>
          <cell r="G13" t="str">
            <v>l</v>
          </cell>
          <cell r="H13" t="str">
            <v>GAMBRO: Balance Sheet</v>
          </cell>
        </row>
        <row r="14">
          <cell r="B14" t="str">
            <v>Year End Dec 31 (%)</v>
          </cell>
          <cell r="C14">
            <v>2005</v>
          </cell>
          <cell r="D14" t="str">
            <v>2006e</v>
          </cell>
          <cell r="E14" t="str">
            <v>2007e</v>
          </cell>
          <cell r="F14" t="str">
            <v>2008e</v>
          </cell>
          <cell r="H14" t="str">
            <v>Year End Dec 31 (SKr mn)</v>
          </cell>
          <cell r="I14">
            <v>2005</v>
          </cell>
          <cell r="J14" t="str">
            <v>2006e</v>
          </cell>
          <cell r="K14" t="str">
            <v>2007e</v>
          </cell>
          <cell r="L14" t="str">
            <v>2008e</v>
          </cell>
        </row>
        <row r="15">
          <cell r="B15" t="str">
            <v>WW Renal Products Mkt Share</v>
          </cell>
          <cell r="C15">
            <v>0.24551573469494775</v>
          </cell>
          <cell r="D15">
            <v>0.23991344095411343</v>
          </cell>
          <cell r="E15">
            <v>0.25469035715259447</v>
          </cell>
          <cell r="F15">
            <v>0.25942504798655136</v>
          </cell>
          <cell r="H15" t="str">
            <v>Cash &amp; Cash Equivalents</v>
          </cell>
          <cell r="I15">
            <v>11286</v>
          </cell>
          <cell r="J15">
            <v>11571.691861879017</v>
          </cell>
          <cell r="K15">
            <v>11195.026003307514</v>
          </cell>
          <cell r="L15">
            <v>10963.103141724167</v>
          </cell>
        </row>
        <row r="16">
          <cell r="H16" t="str">
            <v>Other current assets</v>
          </cell>
          <cell r="I16">
            <v>8826</v>
          </cell>
          <cell r="J16">
            <v>8650.828069062105</v>
          </cell>
          <cell r="K16">
            <v>9221.9344666997549</v>
          </cell>
          <cell r="L16">
            <v>9680.7075095616274</v>
          </cell>
        </row>
        <row r="17">
          <cell r="B17" t="str">
            <v>Atreus peak sales, 2012 (SKr m)</v>
          </cell>
          <cell r="F17">
            <v>1539.9495085696863</v>
          </cell>
          <cell r="H17" t="str">
            <v>Total Current Assets</v>
          </cell>
          <cell r="I17">
            <v>20112</v>
          </cell>
          <cell r="J17">
            <v>20222.519930941122</v>
          </cell>
          <cell r="K17">
            <v>20416.960470007267</v>
          </cell>
          <cell r="L17">
            <v>20643.810651285792</v>
          </cell>
        </row>
        <row r="18">
          <cell r="B18" t="str">
            <v>Mirasol peak sales, 2012 (SKr m)</v>
          </cell>
          <cell r="F18">
            <v>300.91108246383754</v>
          </cell>
          <cell r="H18" t="str">
            <v>P, P &amp; E</v>
          </cell>
          <cell r="I18">
            <v>6350</v>
          </cell>
          <cell r="J18">
            <v>6724.4046897772332</v>
          </cell>
          <cell r="K18">
            <v>7175.6045380697706</v>
          </cell>
          <cell r="L18">
            <v>7675.800447536526</v>
          </cell>
        </row>
        <row r="19">
          <cell r="H19" t="str">
            <v>Other long-term assets</v>
          </cell>
          <cell r="I19">
            <v>3316</v>
          </cell>
          <cell r="J19">
            <v>3402.8</v>
          </cell>
          <cell r="K19">
            <v>3429.6</v>
          </cell>
          <cell r="L19">
            <v>3426.3999999999996</v>
          </cell>
        </row>
        <row r="20">
          <cell r="B20" t="str">
            <v>GAMBRO: Income Statement</v>
          </cell>
          <cell r="H20" t="str">
            <v>Total Fixed Assets</v>
          </cell>
          <cell r="I20">
            <v>9666</v>
          </cell>
          <cell r="J20">
            <v>10127.204689777232</v>
          </cell>
          <cell r="K20">
            <v>10605.204538069771</v>
          </cell>
          <cell r="L20">
            <v>11102.200447536527</v>
          </cell>
        </row>
        <row r="21">
          <cell r="B21" t="str">
            <v>Year End Dec 31 (SKr mn)</v>
          </cell>
          <cell r="C21">
            <v>2005</v>
          </cell>
          <cell r="D21" t="str">
            <v>2006e</v>
          </cell>
          <cell r="E21" t="str">
            <v>2007e</v>
          </cell>
          <cell r="F21" t="str">
            <v>2008e</v>
          </cell>
          <cell r="H21" t="str">
            <v>Total Assets</v>
          </cell>
          <cell r="I21">
            <v>29778</v>
          </cell>
          <cell r="J21">
            <v>30349.724620718356</v>
          </cell>
          <cell r="K21">
            <v>31022.165008077038</v>
          </cell>
          <cell r="L21">
            <v>31746.011098822317</v>
          </cell>
        </row>
        <row r="22">
          <cell r="B22" t="str">
            <v>Revenues</v>
          </cell>
          <cell r="C22">
            <v>14685</v>
          </cell>
          <cell r="D22">
            <v>15484.700845865154</v>
          </cell>
          <cell r="E22">
            <v>17427.963325507801</v>
          </cell>
          <cell r="F22">
            <v>19076.934043996353</v>
          </cell>
          <cell r="H22" t="str">
            <v>Current Liabilities</v>
          </cell>
          <cell r="I22">
            <v>6490</v>
          </cell>
          <cell r="J22">
            <v>6525.2786333827171</v>
          </cell>
          <cell r="K22">
            <v>6611.9307487496171</v>
          </cell>
          <cell r="L22">
            <v>6681.6653821664186</v>
          </cell>
        </row>
        <row r="23">
          <cell r="B23" t="str">
            <v>Change (%)</v>
          </cell>
          <cell r="D23">
            <v>5.4456986439574697</v>
          </cell>
          <cell r="E23">
            <v>12.549564237539348</v>
          </cell>
          <cell r="F23">
            <v>9.4616375286669108</v>
          </cell>
          <cell r="H23" t="str">
            <v>Long-term liabilities</v>
          </cell>
          <cell r="I23">
            <v>4805</v>
          </cell>
          <cell r="J23">
            <v>4810</v>
          </cell>
          <cell r="K23">
            <v>4810</v>
          </cell>
          <cell r="L23">
            <v>4810</v>
          </cell>
        </row>
        <row r="24">
          <cell r="B24" t="str">
            <v>Cost of goods</v>
          </cell>
          <cell r="C24">
            <v>-9182</v>
          </cell>
          <cell r="D24">
            <v>-9697.06804738766</v>
          </cell>
          <cell r="E24">
            <v>-10962.188931744407</v>
          </cell>
          <cell r="F24">
            <v>-11980.31457962971</v>
          </cell>
          <cell r="H24" t="str">
            <v>Total Liabilities</v>
          </cell>
          <cell r="I24">
            <v>11295</v>
          </cell>
          <cell r="J24">
            <v>11335.278633382717</v>
          </cell>
          <cell r="K24">
            <v>11421.930748749617</v>
          </cell>
          <cell r="L24">
            <v>11491.665382166419</v>
          </cell>
        </row>
        <row r="25">
          <cell r="B25" t="str">
            <v>SG&amp;A</v>
          </cell>
          <cell r="C25">
            <v>-3802.3879999999999</v>
          </cell>
          <cell r="D25">
            <v>-4105.1092855205252</v>
          </cell>
          <cell r="E25">
            <v>-4519.6072491934119</v>
          </cell>
          <cell r="F25">
            <v>-4898.6954582806902</v>
          </cell>
          <cell r="H25" t="str">
            <v>Minority Interests</v>
          </cell>
          <cell r="I25">
            <v>26</v>
          </cell>
          <cell r="J25">
            <v>57</v>
          </cell>
          <cell r="K25">
            <v>91.1</v>
          </cell>
          <cell r="L25">
            <v>128.61000000000001</v>
          </cell>
        </row>
        <row r="26">
          <cell r="B26" t="str">
            <v>R&amp;D</v>
          </cell>
          <cell r="C26">
            <v>-304.61199999999997</v>
          </cell>
          <cell r="D26">
            <v>-355.75521353384244</v>
          </cell>
          <cell r="E26">
            <v>-398.84741320812481</v>
          </cell>
          <cell r="F26">
            <v>-425.23094470394165</v>
          </cell>
          <cell r="H26" t="str">
            <v>Share Capital</v>
          </cell>
          <cell r="I26">
            <v>689</v>
          </cell>
          <cell r="J26">
            <v>689</v>
          </cell>
          <cell r="K26">
            <v>689</v>
          </cell>
          <cell r="L26">
            <v>689</v>
          </cell>
        </row>
        <row r="27">
          <cell r="B27" t="str">
            <v>EBIT before Except.</v>
          </cell>
          <cell r="C27">
            <v>1396</v>
          </cell>
          <cell r="D27">
            <v>1326.768299423127</v>
          </cell>
          <cell r="E27">
            <v>1547.319731361858</v>
          </cell>
          <cell r="F27">
            <v>1772.6930613820111</v>
          </cell>
          <cell r="H27" t="str">
            <v xml:space="preserve">Additional Paid in Capital </v>
          </cell>
          <cell r="I27">
            <v>2007</v>
          </cell>
          <cell r="J27">
            <v>2007</v>
          </cell>
          <cell r="K27">
            <v>2007</v>
          </cell>
          <cell r="L27">
            <v>2007</v>
          </cell>
        </row>
        <row r="28">
          <cell r="B28" t="str">
            <v>Total Non-Op Expense</v>
          </cell>
          <cell r="C28">
            <v>530</v>
          </cell>
          <cell r="D28">
            <v>278.41230488538525</v>
          </cell>
          <cell r="E28">
            <v>287.31985570841323</v>
          </cell>
          <cell r="F28">
            <v>276.8438977421107</v>
          </cell>
          <cell r="H28" t="str">
            <v>Retained Earnings</v>
          </cell>
          <cell r="I28">
            <v>15840</v>
          </cell>
          <cell r="J28">
            <v>16340.445987335639</v>
          </cell>
          <cell r="K28">
            <v>16892.134259327424</v>
          </cell>
          <cell r="L28">
            <v>17508.735716655901</v>
          </cell>
        </row>
        <row r="29">
          <cell r="B29" t="str">
            <v>Taxes</v>
          </cell>
          <cell r="C29">
            <v>-565</v>
          </cell>
          <cell r="D29">
            <v>-573.28862963723464</v>
          </cell>
          <cell r="E29">
            <v>-697.16304308670306</v>
          </cell>
          <cell r="F29">
            <v>-778.82404446716635</v>
          </cell>
          <cell r="H29" t="str">
            <v>Other comprehensive income</v>
          </cell>
          <cell r="I29">
            <v>-79</v>
          </cell>
          <cell r="J29">
            <v>-79</v>
          </cell>
          <cell r="K29">
            <v>-79</v>
          </cell>
          <cell r="L29">
            <v>-79</v>
          </cell>
        </row>
        <row r="30">
          <cell r="B30" t="str">
            <v>Minority Interest</v>
          </cell>
          <cell r="C30">
            <v>-37</v>
          </cell>
          <cell r="D30">
            <v>-31</v>
          </cell>
          <cell r="E30">
            <v>-34.1</v>
          </cell>
          <cell r="F30">
            <v>-37.510000000000005</v>
          </cell>
          <cell r="H30" t="str">
            <v>Total Shareholders' Equity</v>
          </cell>
          <cell r="I30">
            <v>18457</v>
          </cell>
          <cell r="J30">
            <v>18957.445987335639</v>
          </cell>
          <cell r="K30">
            <v>19509.134259327424</v>
          </cell>
          <cell r="L30">
            <v>20125.735716655901</v>
          </cell>
        </row>
        <row r="31">
          <cell r="B31" t="str">
            <v>Net Income Pre Except.</v>
          </cell>
          <cell r="C31">
            <v>916</v>
          </cell>
          <cell r="D31">
            <v>1000.8919746712776</v>
          </cell>
          <cell r="E31">
            <v>1103.3765439835684</v>
          </cell>
          <cell r="F31">
            <v>1233.2029146569555</v>
          </cell>
          <cell r="H31" t="str">
            <v>Liabilities &amp; Share Equity</v>
          </cell>
          <cell r="I31">
            <v>29778</v>
          </cell>
          <cell r="J31">
            <v>30349.724620718356</v>
          </cell>
          <cell r="K31">
            <v>31022.165008077041</v>
          </cell>
          <cell r="L31">
            <v>31746.01109882232</v>
          </cell>
        </row>
        <row r="32">
          <cell r="B32" t="str">
            <v>ModelWare EPS (SKr)</v>
          </cell>
          <cell r="C32">
            <v>2.6577433957339762</v>
          </cell>
          <cell r="D32">
            <v>2.904054623936382</v>
          </cell>
          <cell r="E32">
            <v>3.2014101777075412</v>
          </cell>
          <cell r="F32">
            <v>3.5780970546172641</v>
          </cell>
        </row>
        <row r="33">
          <cell r="B33" t="str">
            <v xml:space="preserve">  Change (%)</v>
          </cell>
          <cell r="D33">
            <v>9.2676828243752674E-2</v>
          </cell>
          <cell r="E33">
            <v>0.10239323713825343</v>
          </cell>
          <cell r="F33">
            <v>0.11766279732997531</v>
          </cell>
        </row>
        <row r="34">
          <cell r="B34" t="str">
            <v>Avg No of Shares (mn)</v>
          </cell>
          <cell r="C34">
            <v>344.65328799999997</v>
          </cell>
          <cell r="D34">
            <v>344.65328799999997</v>
          </cell>
          <cell r="E34">
            <v>344.65328799999997</v>
          </cell>
          <cell r="F34">
            <v>344.65328799999997</v>
          </cell>
          <cell r="H34" t="str">
            <v>GAMBRO: Cash Flow Statement</v>
          </cell>
        </row>
        <row r="35">
          <cell r="H35" t="str">
            <v>Year End Dec 31 (SKr mn)</v>
          </cell>
          <cell r="I35">
            <v>2005</v>
          </cell>
          <cell r="J35" t="str">
            <v>2006e</v>
          </cell>
          <cell r="K35" t="str">
            <v>2007e</v>
          </cell>
          <cell r="L35" t="str">
            <v>2008e</v>
          </cell>
        </row>
        <row r="36">
          <cell r="H36" t="str">
            <v>Operating Profit</v>
          </cell>
          <cell r="I36">
            <v>1361</v>
          </cell>
          <cell r="J36">
            <v>1326.768299423127</v>
          </cell>
          <cell r="K36">
            <v>1547.319731361858</v>
          </cell>
          <cell r="L36">
            <v>1772.6930613820111</v>
          </cell>
        </row>
        <row r="37">
          <cell r="H37" t="str">
            <v>Earnings from disc. ops.</v>
          </cell>
        </row>
        <row r="38">
          <cell r="H38" t="str">
            <v>Depreciation</v>
          </cell>
          <cell r="I38">
            <v>1227.8</v>
          </cell>
          <cell r="J38">
            <v>1325.5953102227663</v>
          </cell>
          <cell r="K38">
            <v>1462.1427437456312</v>
          </cell>
          <cell r="L38">
            <v>1594.1802233116657</v>
          </cell>
        </row>
        <row r="39">
          <cell r="H39" t="str">
            <v>Amortisation</v>
          </cell>
          <cell r="I39">
            <v>203.2</v>
          </cell>
          <cell r="J39">
            <v>213.2</v>
          </cell>
          <cell r="K39">
            <v>273.2</v>
          </cell>
          <cell r="L39">
            <v>303.2</v>
          </cell>
        </row>
        <row r="40">
          <cell r="H40" t="str">
            <v>Change in Net Working Cap.</v>
          </cell>
          <cell r="I40">
            <v>164</v>
          </cell>
          <cell r="J40">
            <v>210.45056432061153</v>
          </cell>
          <cell r="K40">
            <v>-484.45428227074899</v>
          </cell>
          <cell r="L40">
            <v>-389.03840944507044</v>
          </cell>
        </row>
        <row r="41">
          <cell r="H41" t="str">
            <v>Chane in net working capital</v>
          </cell>
          <cell r="I41">
            <v>-148</v>
          </cell>
          <cell r="J41">
            <v>175.17193093789501</v>
          </cell>
          <cell r="K41">
            <v>-571.10639763764948</v>
          </cell>
          <cell r="L41">
            <v>-458.773042861872</v>
          </cell>
        </row>
        <row r="42">
          <cell r="H42" t="str">
            <v>Net Finance Costs/Income</v>
          </cell>
          <cell r="I42">
            <v>530</v>
          </cell>
          <cell r="J42">
            <v>278.41230488538525</v>
          </cell>
          <cell r="K42">
            <v>287.31985570841323</v>
          </cell>
          <cell r="L42">
            <v>276.8438977421107</v>
          </cell>
        </row>
        <row r="43">
          <cell r="H43" t="str">
            <v>Taxation Paid</v>
          </cell>
          <cell r="I43">
            <v>-288</v>
          </cell>
          <cell r="J43">
            <v>-573.28862963723464</v>
          </cell>
          <cell r="K43">
            <v>-697.16304308670306</v>
          </cell>
          <cell r="L43">
            <v>-778.82404446716635</v>
          </cell>
        </row>
        <row r="44">
          <cell r="H44" t="str">
            <v>Other Non-cash Items</v>
          </cell>
          <cell r="I44">
            <v>185</v>
          </cell>
          <cell r="J44">
            <v>35.278633382716521</v>
          </cell>
          <cell r="K44">
            <v>86.652115366900489</v>
          </cell>
          <cell r="L44">
            <v>69.734633416801557</v>
          </cell>
        </row>
        <row r="45">
          <cell r="H45" t="str">
            <v>Cash from Operations</v>
          </cell>
          <cell r="I45">
            <v>3235</v>
          </cell>
          <cell r="J45">
            <v>2991.5884135352667</v>
          </cell>
          <cell r="K45">
            <v>1903.910723187701</v>
          </cell>
          <cell r="L45">
            <v>2390.0163190784797</v>
          </cell>
        </row>
        <row r="46">
          <cell r="H46" t="str">
            <v>Capital Expenditure</v>
          </cell>
          <cell r="I46">
            <v>-1479</v>
          </cell>
          <cell r="J46">
            <v>-1700</v>
          </cell>
          <cell r="K46">
            <v>-1913.342592038169</v>
          </cell>
          <cell r="L46">
            <v>-2094.3761327784205</v>
          </cell>
        </row>
        <row r="47">
          <cell r="H47" t="str">
            <v>Acquisitions and Disposals</v>
          </cell>
          <cell r="I47">
            <v>23472</v>
          </cell>
          <cell r="J47">
            <v>-300</v>
          </cell>
          <cell r="K47">
            <v>-300</v>
          </cell>
          <cell r="L47">
            <v>-300</v>
          </cell>
        </row>
        <row r="48">
          <cell r="H48" t="str">
            <v>Cash from Investing</v>
          </cell>
          <cell r="I48">
            <v>21993</v>
          </cell>
          <cell r="J48">
            <v>-2000</v>
          </cell>
          <cell r="K48">
            <v>-2213.3425920381687</v>
          </cell>
          <cell r="L48">
            <v>-2394.3761327784205</v>
          </cell>
        </row>
        <row r="49">
          <cell r="H49" t="str">
            <v>Equity dividends paid</v>
          </cell>
          <cell r="I49">
            <v>-448</v>
          </cell>
          <cell r="J49">
            <v>-500.44598733563873</v>
          </cell>
          <cell r="K49">
            <v>-551.68827199178418</v>
          </cell>
          <cell r="L49">
            <v>-616.60145732847775</v>
          </cell>
        </row>
        <row r="50">
          <cell r="H50" t="str">
            <v>Change in Debt</v>
          </cell>
          <cell r="I50">
            <v>-1517</v>
          </cell>
          <cell r="J50">
            <v>5</v>
          </cell>
          <cell r="K50">
            <v>0</v>
          </cell>
          <cell r="L50">
            <v>0</v>
          </cell>
        </row>
        <row r="51">
          <cell r="H51" t="str">
            <v>Other</v>
          </cell>
          <cell r="I51">
            <v>-15</v>
          </cell>
          <cell r="J51">
            <v>0</v>
          </cell>
          <cell r="K51">
            <v>0</v>
          </cell>
          <cell r="L51">
            <v>0</v>
          </cell>
        </row>
        <row r="52">
          <cell r="H52" t="str">
            <v>Cash from Financing</v>
          </cell>
          <cell r="I52">
            <v>-1532</v>
          </cell>
          <cell r="J52">
            <v>5</v>
          </cell>
          <cell r="K52">
            <v>0</v>
          </cell>
          <cell r="L52">
            <v>0</v>
          </cell>
        </row>
        <row r="53">
          <cell r="H53" t="str">
            <v>Foreign Exchange Differences</v>
          </cell>
          <cell r="I53">
            <v>45</v>
          </cell>
          <cell r="J53">
            <v>0</v>
          </cell>
          <cell r="K53">
            <v>0</v>
          </cell>
          <cell r="L53">
            <v>0</v>
          </cell>
        </row>
        <row r="54">
          <cell r="H54" t="str">
            <v>Net Cash Flow for the Year</v>
          </cell>
          <cell r="I54">
            <v>10627</v>
          </cell>
          <cell r="J54">
            <v>285.6918618790163</v>
          </cell>
          <cell r="K54">
            <v>-376.66585857150289</v>
          </cell>
          <cell r="L54">
            <v>-231.92286158334798</v>
          </cell>
        </row>
      </sheetData>
      <sheetData sheetId="23" refreshError="1"/>
      <sheetData sheetId="24" refreshError="1"/>
      <sheetData sheetId="25" refreshError="1"/>
      <sheetData sheetId="26" refreshError="1"/>
      <sheetData sheetId="2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
      <sheetName val="RI"/>
      <sheetName val="EV"/>
      <sheetName val="Summary Charts"/>
      <sheetName val="BS Charts"/>
      <sheetName val="PE"/>
      <sheetName val="Changes"/>
      <sheetName val="Proforma Adams"/>
      <sheetName val="P&amp;L"/>
      <sheetName val="Sales by Q"/>
      <sheetName val="Margin"/>
      <sheetName val="Scenarios"/>
      <sheetName val="Hermal disposal"/>
      <sheetName val="RNOA and ROE analysis"/>
      <sheetName val="Pharmaceuticals"/>
      <sheetName val="BS"/>
      <sheetName val="CFS"/>
      <sheetName val="Margin Tables"/>
      <sheetName val="Flex"/>
      <sheetName val="BHI analysis"/>
      <sheetName val="BHI"/>
      <sheetName val="FX Rates"/>
      <sheetName val="FX-Impact"/>
      <sheetName val="Buyback"/>
      <sheetName val="Tables for notes"/>
      <sheetName val="BHI Tables"/>
      <sheetName val="3Q07"/>
      <sheetName val="1Q07"/>
      <sheetName val="4Q06"/>
      <sheetName val="3Q06"/>
      <sheetName val="Earnings Drive"/>
      <sheetName val="mwareValPrintout"/>
      <sheetName val="Model_Template"/>
      <sheetName val="mwareTaxoPres"/>
      <sheetName val="Divisions"/>
      <sheetName val="Conf calls"/>
      <sheetName val="Sales by Q_old"/>
      <sheetName val="Margin_old"/>
      <sheetName val="mwareDates"/>
      <sheetName val="mwareSettings"/>
      <sheetName val="GE3"/>
      <sheetName val="Subutex and Suboxone"/>
      <sheetName val="MWare_Cached"/>
      <sheetName val="2Q07"/>
      <sheetName val="Valuation"/>
      <sheetName val="P&amp;L Tables"/>
      <sheetName val="Problem solving"/>
      <sheetName val="2Q06"/>
      <sheetName val="Oil Price Chart"/>
      <sheetName val="Link Sheet"/>
      <sheetName val="Ratios"/>
      <sheetName val="2nd Page Sheet"/>
      <sheetName val="GE Upload"/>
      <sheetName val="Sales Chart"/>
      <sheetName val="4Q07"/>
      <sheetName val="Adams acq"/>
      <sheetName val="__APW_ACTIVE_FIELD_RESTORE__"/>
      <sheetName val="#REF"/>
      <sheetName val="Fruit"/>
      <sheetName val="Summary"/>
      <sheetName val="Financial Summary"/>
      <sheetName val="BCT - Navigant"/>
      <sheetName val="Balance Sheet"/>
      <sheetName val="Cash Flow"/>
      <sheetName val="EBIT analysis"/>
      <sheetName val="LBO"/>
      <sheetName val="Sensitivity"/>
      <sheetName val="Products"/>
      <sheetName val="Services"/>
    </sheetNames>
    <sheetDataSet>
      <sheetData sheetId="0"/>
      <sheetData sheetId="1"/>
      <sheetData sheetId="2"/>
      <sheetData sheetId="3" refreshError="1"/>
      <sheetData sheetId="4"/>
      <sheetData sheetId="5"/>
      <sheetData sheetId="6"/>
      <sheetData sheetId="7"/>
      <sheetData sheetId="8" refreshError="1">
        <row r="1">
          <cell r="CD1" t="str">
            <v>ElementName</v>
          </cell>
          <cell r="CE1" t="str">
            <v>ScaleOverride</v>
          </cell>
          <cell r="CF1" t="str">
            <v>UnitOverride</v>
          </cell>
          <cell r="CG1" t="str">
            <v>ReverseSign</v>
          </cell>
          <cell r="CH1" t="str">
            <v>IsDrivingAssumption</v>
          </cell>
          <cell r="CI1" t="str">
            <v>SegmentID</v>
          </cell>
          <cell r="CK1" t="str">
            <v>ElementName</v>
          </cell>
          <cell r="CL1" t="str">
            <v>ScaleOverride</v>
          </cell>
          <cell r="CM1" t="str">
            <v>UnitOverride</v>
          </cell>
          <cell r="CN1" t="str">
            <v>ReverseSign</v>
          </cell>
          <cell r="CO1" t="str">
            <v>IsDrivingAssumption</v>
          </cell>
          <cell r="CP1" t="str">
            <v>SegmentID</v>
          </cell>
          <cell r="CQ1" t="str">
            <v>SegmentID</v>
          </cell>
          <cell r="CR1" t="str">
            <v>ElementName</v>
          </cell>
          <cell r="CS1" t="str">
            <v>ScaleOverride</v>
          </cell>
          <cell r="CT1" t="str">
            <v>UnitOverride</v>
          </cell>
          <cell r="CU1" t="str">
            <v>ReverseSign</v>
          </cell>
          <cell r="CV1" t="str">
            <v>IsDrivingAssumption</v>
          </cell>
          <cell r="CW1" t="str">
            <v>SegmentID</v>
          </cell>
        </row>
        <row r="2">
          <cell r="BH2" t="str">
            <v>Go back to overview</v>
          </cell>
        </row>
        <row r="3">
          <cell r="C3" t="str">
            <v>Income Statement</v>
          </cell>
        </row>
        <row r="4">
          <cell r="A4" t="str">
            <v>Reckitt Benckiser (RB.L)</v>
          </cell>
          <cell r="AU4" t="str">
            <v>IFRS</v>
          </cell>
          <cell r="AV4" t="str">
            <v>IFRS</v>
          </cell>
          <cell r="AW4" t="str">
            <v>IFRS</v>
          </cell>
          <cell r="AX4" t="str">
            <v>IFRS</v>
          </cell>
          <cell r="AY4" t="str">
            <v>IFRS</v>
          </cell>
          <cell r="AZ4" t="str">
            <v>IFRS</v>
          </cell>
          <cell r="BA4" t="str">
            <v>IFRS</v>
          </cell>
        </row>
        <row r="6">
          <cell r="A6" t="str">
            <v>Year to December (£mn)</v>
          </cell>
          <cell r="B6">
            <v>1996</v>
          </cell>
          <cell r="C6">
            <v>1997</v>
          </cell>
          <cell r="D6">
            <v>1998</v>
          </cell>
          <cell r="E6" t="str">
            <v>1Q99</v>
          </cell>
          <cell r="F6" t="str">
            <v>2Q99</v>
          </cell>
          <cell r="G6" t="str">
            <v>1H99</v>
          </cell>
          <cell r="H6" t="str">
            <v>3Q99</v>
          </cell>
          <cell r="I6" t="str">
            <v>9M99</v>
          </cell>
          <cell r="J6" t="str">
            <v>4Q99</v>
          </cell>
          <cell r="K6">
            <v>1999</v>
          </cell>
          <cell r="L6" t="str">
            <v>1Q00</v>
          </cell>
          <cell r="M6" t="str">
            <v>2Q00</v>
          </cell>
          <cell r="N6" t="str">
            <v>1H00</v>
          </cell>
          <cell r="O6" t="str">
            <v>3Q00</v>
          </cell>
          <cell r="P6" t="str">
            <v>9M00</v>
          </cell>
          <cell r="Q6" t="str">
            <v>4Q00</v>
          </cell>
          <cell r="R6">
            <v>2000</v>
          </cell>
          <cell r="S6" t="str">
            <v>1Q01</v>
          </cell>
          <cell r="T6" t="str">
            <v>2Q01</v>
          </cell>
          <cell r="U6" t="str">
            <v>1H01</v>
          </cell>
          <cell r="V6" t="str">
            <v>3Q01</v>
          </cell>
          <cell r="W6" t="str">
            <v>9M01</v>
          </cell>
          <cell r="X6" t="str">
            <v>4Q01</v>
          </cell>
          <cell r="Y6">
            <v>2001</v>
          </cell>
          <cell r="Z6" t="str">
            <v>1Q02</v>
          </cell>
          <cell r="AA6" t="str">
            <v>2Q02</v>
          </cell>
          <cell r="AB6" t="str">
            <v>1H02</v>
          </cell>
          <cell r="AC6" t="str">
            <v>3Q02</v>
          </cell>
          <cell r="AD6" t="str">
            <v>9M02</v>
          </cell>
          <cell r="AE6" t="str">
            <v>4Q02</v>
          </cell>
          <cell r="AF6">
            <v>2002</v>
          </cell>
          <cell r="AG6" t="str">
            <v>1Q03</v>
          </cell>
          <cell r="AH6" t="str">
            <v>2Q03</v>
          </cell>
          <cell r="AI6" t="str">
            <v>1H03</v>
          </cell>
          <cell r="AJ6" t="str">
            <v>3Q03</v>
          </cell>
          <cell r="AK6" t="str">
            <v>9M03</v>
          </cell>
          <cell r="AL6" t="str">
            <v>4Q03</v>
          </cell>
          <cell r="AM6">
            <v>2003</v>
          </cell>
          <cell r="AN6" t="str">
            <v>1Q04</v>
          </cell>
          <cell r="AO6" t="str">
            <v>2Q04</v>
          </cell>
          <cell r="AP6" t="str">
            <v>1H04</v>
          </cell>
          <cell r="AQ6" t="str">
            <v>3Q04</v>
          </cell>
          <cell r="AR6" t="str">
            <v>9M04</v>
          </cell>
          <cell r="AS6" t="str">
            <v>4Q04</v>
          </cell>
          <cell r="AT6">
            <v>2004</v>
          </cell>
          <cell r="AU6" t="str">
            <v>1Q04</v>
          </cell>
          <cell r="AV6" t="str">
            <v>2Q04</v>
          </cell>
          <cell r="AW6" t="str">
            <v>1H04</v>
          </cell>
          <cell r="AX6" t="str">
            <v>3Q04</v>
          </cell>
          <cell r="AY6" t="str">
            <v>9M04</v>
          </cell>
          <cell r="AZ6" t="str">
            <v>4Q04</v>
          </cell>
          <cell r="BA6">
            <v>2004</v>
          </cell>
          <cell r="BB6" t="str">
            <v>1Q05</v>
          </cell>
          <cell r="BC6" t="str">
            <v>2Q05</v>
          </cell>
          <cell r="BD6" t="str">
            <v>1H05</v>
          </cell>
          <cell r="BE6" t="str">
            <v>3Q05</v>
          </cell>
          <cell r="BF6" t="str">
            <v>9M05</v>
          </cell>
          <cell r="BG6" t="str">
            <v>4Q05</v>
          </cell>
          <cell r="BH6">
            <v>2005</v>
          </cell>
          <cell r="BI6" t="str">
            <v>1Q06</v>
          </cell>
          <cell r="BJ6" t="str">
            <v>2Q06</v>
          </cell>
          <cell r="BK6" t="str">
            <v>1H06</v>
          </cell>
          <cell r="BL6" t="str">
            <v>3Q06</v>
          </cell>
          <cell r="BM6" t="str">
            <v>9M06</v>
          </cell>
          <cell r="BN6" t="str">
            <v>4Q06</v>
          </cell>
          <cell r="BO6">
            <v>2006</v>
          </cell>
          <cell r="BP6" t="str">
            <v>1Q07</v>
          </cell>
          <cell r="BQ6" t="str">
            <v>2Q07</v>
          </cell>
          <cell r="BR6" t="str">
            <v>1H07</v>
          </cell>
          <cell r="BS6" t="str">
            <v>3Q07e</v>
          </cell>
          <cell r="BT6" t="str">
            <v>9M07e</v>
          </cell>
          <cell r="BU6" t="str">
            <v>4Q07e</v>
          </cell>
          <cell r="BV6" t="str">
            <v>2007e</v>
          </cell>
          <cell r="BW6" t="str">
            <v>2008e</v>
          </cell>
          <cell r="BX6" t="str">
            <v>2009e</v>
          </cell>
          <cell r="BY6" t="str">
            <v>2010e</v>
          </cell>
          <cell r="BZ6" t="str">
            <v>2011e</v>
          </cell>
          <cell r="CA6" t="str">
            <v>don’t delete this column</v>
          </cell>
          <cell r="CB6" t="str">
            <v>4Q08e</v>
          </cell>
          <cell r="CC6" t="str">
            <v>2008e</v>
          </cell>
          <cell r="CD6" t="str">
            <v>2009e</v>
          </cell>
          <cell r="CE6" t="str">
            <v>2010e</v>
          </cell>
          <cell r="CF6" t="str">
            <v>2011e</v>
          </cell>
          <cell r="CG6" t="str">
            <v>2012e</v>
          </cell>
          <cell r="CH6" t="str">
            <v>don’t delete this column</v>
          </cell>
        </row>
        <row r="7">
          <cell r="A7" t="str">
            <v>Europe</v>
          </cell>
          <cell r="AG7">
            <v>444</v>
          </cell>
          <cell r="AH7">
            <v>498</v>
          </cell>
          <cell r="AI7">
            <v>942</v>
          </cell>
          <cell r="AJ7">
            <v>495</v>
          </cell>
          <cell r="AK7">
            <v>1437</v>
          </cell>
          <cell r="AL7">
            <v>473</v>
          </cell>
          <cell r="AM7">
            <v>1910</v>
          </cell>
          <cell r="AU7">
            <v>492</v>
          </cell>
          <cell r="AV7">
            <v>505</v>
          </cell>
          <cell r="AW7">
            <v>997</v>
          </cell>
          <cell r="AX7">
            <v>509</v>
          </cell>
          <cell r="AY7">
            <v>1506</v>
          </cell>
          <cell r="AZ7">
            <v>526</v>
          </cell>
          <cell r="BA7">
            <v>2032</v>
          </cell>
          <cell r="BB7">
            <v>538</v>
          </cell>
          <cell r="BC7">
            <v>539</v>
          </cell>
          <cell r="BD7">
            <v>1077</v>
          </cell>
          <cell r="BE7">
            <v>537</v>
          </cell>
          <cell r="BF7">
            <v>1614</v>
          </cell>
          <cell r="BG7">
            <v>521</v>
          </cell>
          <cell r="BH7">
            <v>2135</v>
          </cell>
          <cell r="BI7">
            <v>623</v>
          </cell>
          <cell r="BJ7">
            <v>660</v>
          </cell>
          <cell r="BK7">
            <v>1283</v>
          </cell>
          <cell r="BL7">
            <v>668</v>
          </cell>
          <cell r="BM7">
            <v>1951</v>
          </cell>
          <cell r="BN7">
            <v>673</v>
          </cell>
          <cell r="BO7">
            <v>2624</v>
          </cell>
          <cell r="BP7">
            <v>700</v>
          </cell>
          <cell r="BQ7">
            <v>698</v>
          </cell>
          <cell r="BR7">
            <v>1398</v>
          </cell>
          <cell r="BS7">
            <v>681.90781654415105</v>
          </cell>
          <cell r="BT7">
            <v>2079.907816544151</v>
          </cell>
          <cell r="BU7">
            <v>647.11174772005461</v>
          </cell>
          <cell r="BV7">
            <v>2727.0195642642057</v>
          </cell>
          <cell r="BW7">
            <v>2813.6386780635967</v>
          </cell>
          <cell r="BX7">
            <v>2926.1842251861408</v>
          </cell>
          <cell r="BY7">
            <v>3043.2315941935867</v>
          </cell>
          <cell r="BZ7">
            <v>3164.9608579613305</v>
          </cell>
          <cell r="CA7">
            <v>2280.9057304014768</v>
          </cell>
          <cell r="CB7">
            <v>811.72209294818413</v>
          </cell>
          <cell r="CC7">
            <v>3092.627823349661</v>
          </cell>
          <cell r="CD7">
            <v>3247.2592145171443</v>
          </cell>
          <cell r="CE7">
            <v>3377.1495830978301</v>
          </cell>
          <cell r="CF7">
            <v>3512.2355664217434</v>
          </cell>
          <cell r="CG7">
            <v>3652.7249890786134</v>
          </cell>
        </row>
        <row r="8">
          <cell r="A8" t="str">
            <v>North America &amp; Australia</v>
          </cell>
          <cell r="AG8">
            <v>272</v>
          </cell>
          <cell r="AH8">
            <v>285</v>
          </cell>
          <cell r="AI8">
            <v>557</v>
          </cell>
          <cell r="AJ8">
            <v>313</v>
          </cell>
          <cell r="AK8">
            <v>870</v>
          </cell>
          <cell r="AL8">
            <v>327</v>
          </cell>
          <cell r="AM8">
            <v>1197</v>
          </cell>
          <cell r="AU8">
            <v>276</v>
          </cell>
          <cell r="AV8">
            <v>288</v>
          </cell>
          <cell r="AW8">
            <v>564</v>
          </cell>
          <cell r="AX8">
            <v>304</v>
          </cell>
          <cell r="AY8">
            <v>868</v>
          </cell>
          <cell r="AZ8">
            <v>328</v>
          </cell>
          <cell r="BA8">
            <v>1196</v>
          </cell>
          <cell r="BB8">
            <v>273</v>
          </cell>
          <cell r="BC8">
            <v>303</v>
          </cell>
          <cell r="BD8">
            <v>576</v>
          </cell>
          <cell r="BE8">
            <v>328</v>
          </cell>
          <cell r="BF8">
            <v>904</v>
          </cell>
          <cell r="BG8">
            <v>377</v>
          </cell>
          <cell r="BH8">
            <v>1281</v>
          </cell>
          <cell r="BI8">
            <v>326</v>
          </cell>
          <cell r="BJ8">
            <v>345</v>
          </cell>
          <cell r="BK8">
            <v>671</v>
          </cell>
          <cell r="BL8">
            <v>356</v>
          </cell>
          <cell r="BM8">
            <v>1027</v>
          </cell>
          <cell r="BN8">
            <v>394</v>
          </cell>
          <cell r="BO8">
            <v>1421</v>
          </cell>
          <cell r="BP8">
            <v>331</v>
          </cell>
          <cell r="BQ8">
            <v>359</v>
          </cell>
          <cell r="BR8">
            <v>690</v>
          </cell>
          <cell r="BS8">
            <v>371.98298669407944</v>
          </cell>
          <cell r="BT8">
            <v>1061.9829866940795</v>
          </cell>
          <cell r="BU8">
            <v>441.39093176619235</v>
          </cell>
          <cell r="BV8">
            <v>1503.3739184602719</v>
          </cell>
          <cell r="BW8">
            <v>1565.898649277427</v>
          </cell>
          <cell r="BX8">
            <v>1659.8525682340728</v>
          </cell>
          <cell r="BY8">
            <v>1527.064362775347</v>
          </cell>
          <cell r="BZ8">
            <v>1603.4175809141145</v>
          </cell>
          <cell r="CA8">
            <v>1352.7538982892515</v>
          </cell>
          <cell r="CB8">
            <v>529.79565510499128</v>
          </cell>
          <cell r="CC8">
            <v>1882.5495533942428</v>
          </cell>
          <cell r="CD8">
            <v>2019.8991088069861</v>
          </cell>
          <cell r="CE8">
            <v>1858.3071801024273</v>
          </cell>
          <cell r="CF8">
            <v>1951.2225391075488</v>
          </cell>
          <cell r="CG8">
            <v>2048.7836660629264</v>
          </cell>
        </row>
        <row r="9">
          <cell r="A9" t="str">
            <v>Developing Markets</v>
          </cell>
          <cell r="AG9">
            <v>132</v>
          </cell>
          <cell r="AH9">
            <v>160</v>
          </cell>
          <cell r="AI9">
            <v>292</v>
          </cell>
          <cell r="AJ9">
            <v>161</v>
          </cell>
          <cell r="AK9">
            <v>453</v>
          </cell>
          <cell r="AL9">
            <v>153</v>
          </cell>
          <cell r="AM9">
            <v>606</v>
          </cell>
          <cell r="AU9">
            <v>152</v>
          </cell>
          <cell r="AV9">
            <v>160</v>
          </cell>
          <cell r="AW9">
            <v>312</v>
          </cell>
          <cell r="AX9">
            <v>163</v>
          </cell>
          <cell r="AY9">
            <v>475</v>
          </cell>
          <cell r="AZ9">
            <v>168</v>
          </cell>
          <cell r="BA9">
            <v>643</v>
          </cell>
          <cell r="BB9">
            <v>175</v>
          </cell>
          <cell r="BC9">
            <v>186</v>
          </cell>
          <cell r="BD9">
            <v>361</v>
          </cell>
          <cell r="BE9">
            <v>193</v>
          </cell>
          <cell r="BF9">
            <v>554</v>
          </cell>
          <cell r="BG9">
            <v>209</v>
          </cell>
          <cell r="BH9">
            <v>763</v>
          </cell>
          <cell r="BI9">
            <v>213</v>
          </cell>
          <cell r="BJ9">
            <v>219</v>
          </cell>
          <cell r="BK9">
            <v>432</v>
          </cell>
          <cell r="BL9">
            <v>219</v>
          </cell>
          <cell r="BM9">
            <v>651</v>
          </cell>
          <cell r="BN9">
            <v>226</v>
          </cell>
          <cell r="BO9">
            <v>877</v>
          </cell>
          <cell r="BP9">
            <v>227</v>
          </cell>
          <cell r="BQ9">
            <v>245</v>
          </cell>
          <cell r="BR9">
            <v>472</v>
          </cell>
          <cell r="BS9">
            <v>239.37749466062718</v>
          </cell>
          <cell r="BT9">
            <v>711.37749466062724</v>
          </cell>
          <cell r="BU9">
            <v>268.24732753639762</v>
          </cell>
          <cell r="BV9">
            <v>979.62482219702486</v>
          </cell>
          <cell r="BW9">
            <v>1078.1236583584914</v>
          </cell>
          <cell r="BX9">
            <v>1207.4984973615105</v>
          </cell>
          <cell r="BY9">
            <v>1328.2483470976617</v>
          </cell>
          <cell r="BZ9">
            <v>1434.5082148654747</v>
          </cell>
          <cell r="CA9">
            <v>853.37060148733735</v>
          </cell>
          <cell r="CB9">
            <v>319.87936764279357</v>
          </cell>
          <cell r="CC9">
            <v>1173.2499691301309</v>
          </cell>
          <cell r="CD9">
            <v>1314.0399654257467</v>
          </cell>
          <cell r="CE9">
            <v>1445.4439619683214</v>
          </cell>
          <cell r="CF9">
            <v>1561.0794789257873</v>
          </cell>
          <cell r="CG9">
            <v>1685.9658372398503</v>
          </cell>
        </row>
        <row r="10">
          <cell r="A10" t="str">
            <v>Net revenues from continuing operations</v>
          </cell>
          <cell r="B10">
            <v>2322.1999999999998</v>
          </cell>
          <cell r="C10">
            <v>2196.6</v>
          </cell>
          <cell r="D10">
            <v>3091.7</v>
          </cell>
          <cell r="K10">
            <v>2967</v>
          </cell>
          <cell r="R10">
            <v>3160</v>
          </cell>
          <cell r="S10">
            <v>812</v>
          </cell>
          <cell r="T10">
            <v>877</v>
          </cell>
          <cell r="U10">
            <v>1689</v>
          </cell>
          <cell r="V10">
            <v>839</v>
          </cell>
          <cell r="W10">
            <v>2520</v>
          </cell>
          <cell r="X10">
            <v>896</v>
          </cell>
          <cell r="Y10">
            <v>3416</v>
          </cell>
          <cell r="Z10">
            <v>849</v>
          </cell>
          <cell r="AA10">
            <v>894</v>
          </cell>
          <cell r="AB10">
            <v>1743</v>
          </cell>
          <cell r="AC10">
            <v>876</v>
          </cell>
          <cell r="AD10">
            <v>2619</v>
          </cell>
          <cell r="AE10">
            <v>882</v>
          </cell>
          <cell r="AF10">
            <v>3441</v>
          </cell>
          <cell r="AG10">
            <v>848</v>
          </cell>
          <cell r="AH10">
            <v>943</v>
          </cell>
          <cell r="AI10">
            <v>1791</v>
          </cell>
          <cell r="AJ10">
            <v>969</v>
          </cell>
          <cell r="AK10">
            <v>2760</v>
          </cell>
          <cell r="AL10">
            <v>953</v>
          </cell>
          <cell r="AM10">
            <v>3713</v>
          </cell>
          <cell r="AU10">
            <v>920</v>
          </cell>
          <cell r="AV10">
            <v>953</v>
          </cell>
          <cell r="AW10">
            <v>1873</v>
          </cell>
          <cell r="AX10">
            <v>976</v>
          </cell>
          <cell r="AY10">
            <v>2849</v>
          </cell>
          <cell r="AZ10">
            <v>1022</v>
          </cell>
          <cell r="BA10">
            <v>3871</v>
          </cell>
          <cell r="BB10">
            <v>986</v>
          </cell>
          <cell r="BC10">
            <v>1028</v>
          </cell>
          <cell r="BD10">
            <v>2014</v>
          </cell>
          <cell r="BE10">
            <v>1058</v>
          </cell>
          <cell r="BF10">
            <v>3072</v>
          </cell>
          <cell r="BG10">
            <v>1107</v>
          </cell>
          <cell r="BH10">
            <v>4179</v>
          </cell>
          <cell r="BI10">
            <v>1162</v>
          </cell>
          <cell r="BJ10">
            <v>1224</v>
          </cell>
          <cell r="BK10">
            <v>2386</v>
          </cell>
          <cell r="BL10">
            <v>1243</v>
          </cell>
          <cell r="BM10">
            <v>3629</v>
          </cell>
          <cell r="BN10">
            <v>1293</v>
          </cell>
          <cell r="BO10">
            <v>4922</v>
          </cell>
          <cell r="BP10">
            <v>1258</v>
          </cell>
          <cell r="BQ10">
            <v>1302</v>
          </cell>
          <cell r="BR10">
            <v>2560</v>
          </cell>
          <cell r="BS10">
            <v>1293.2682978988578</v>
          </cell>
          <cell r="BT10">
            <v>3853.2682978988578</v>
          </cell>
          <cell r="BU10">
            <v>1356.7500070226447</v>
          </cell>
          <cell r="BV10">
            <v>5210.018304921502</v>
          </cell>
          <cell r="BW10">
            <v>5457.6609856995155</v>
          </cell>
          <cell r="BX10">
            <v>5793.5352907817232</v>
          </cell>
          <cell r="BY10">
            <v>5898.5443040665959</v>
          </cell>
          <cell r="BZ10">
            <v>6202.8866537409194</v>
          </cell>
          <cell r="CA10">
            <v>4487.0302301780657</v>
          </cell>
          <cell r="CB10">
            <v>1661.397115695969</v>
          </cell>
          <cell r="CC10">
            <v>6148.4273458740345</v>
          </cell>
          <cell r="CD10">
            <v>6581.198288749878</v>
          </cell>
          <cell r="CE10">
            <v>6680.9007251685789</v>
          </cell>
          <cell r="CF10">
            <v>7024.537584455079</v>
          </cell>
          <cell r="CG10">
            <v>7387.4744923813905</v>
          </cell>
        </row>
        <row r="11">
          <cell r="A11" t="str">
            <v>Discontinued and de-consolidated operations</v>
          </cell>
          <cell r="B11">
            <v>27.5</v>
          </cell>
          <cell r="C11">
            <v>0</v>
          </cell>
          <cell r="D11">
            <v>0</v>
          </cell>
          <cell r="K11">
            <v>87</v>
          </cell>
          <cell r="R11">
            <v>42</v>
          </cell>
          <cell r="S11">
            <v>5</v>
          </cell>
          <cell r="T11">
            <v>2</v>
          </cell>
          <cell r="U11">
            <v>7</v>
          </cell>
          <cell r="V11">
            <v>4</v>
          </cell>
          <cell r="W11">
            <v>19</v>
          </cell>
          <cell r="X11">
            <v>4</v>
          </cell>
          <cell r="Y11">
            <v>23</v>
          </cell>
          <cell r="Z11">
            <v>6</v>
          </cell>
          <cell r="AA11">
            <v>7</v>
          </cell>
          <cell r="AB11">
            <v>13</v>
          </cell>
          <cell r="AC11">
            <v>0</v>
          </cell>
          <cell r="AD11">
            <v>13</v>
          </cell>
          <cell r="AE11">
            <v>0</v>
          </cell>
          <cell r="AF11">
            <v>13</v>
          </cell>
          <cell r="AG11">
            <v>0</v>
          </cell>
          <cell r="AH11">
            <v>0</v>
          </cell>
          <cell r="AI11">
            <v>0</v>
          </cell>
          <cell r="AJ11">
            <v>0</v>
          </cell>
          <cell r="AK11">
            <v>0</v>
          </cell>
          <cell r="AL11">
            <v>0</v>
          </cell>
          <cell r="AM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row>
        <row r="12">
          <cell r="A12" t="str">
            <v>Total net revenues</v>
          </cell>
          <cell r="B12">
            <v>2322.1999999999998</v>
          </cell>
          <cell r="C12">
            <v>2196.6</v>
          </cell>
          <cell r="D12">
            <v>3091.7</v>
          </cell>
          <cell r="E12">
            <v>719</v>
          </cell>
          <cell r="F12">
            <v>792</v>
          </cell>
          <cell r="G12">
            <v>1511</v>
          </cell>
          <cell r="H12">
            <v>749</v>
          </cell>
          <cell r="I12">
            <v>2260</v>
          </cell>
          <cell r="J12">
            <v>794</v>
          </cell>
          <cell r="K12">
            <v>3054</v>
          </cell>
          <cell r="L12">
            <v>748</v>
          </cell>
          <cell r="M12">
            <v>807</v>
          </cell>
          <cell r="N12">
            <v>1555</v>
          </cell>
          <cell r="O12">
            <v>787</v>
          </cell>
          <cell r="P12">
            <v>2342</v>
          </cell>
          <cell r="Q12">
            <v>860</v>
          </cell>
          <cell r="R12">
            <v>3202</v>
          </cell>
          <cell r="S12">
            <v>817</v>
          </cell>
          <cell r="T12">
            <v>879</v>
          </cell>
          <cell r="U12">
            <v>1696</v>
          </cell>
          <cell r="V12">
            <v>843</v>
          </cell>
          <cell r="W12">
            <v>2539</v>
          </cell>
          <cell r="X12">
            <v>900</v>
          </cell>
          <cell r="Y12">
            <v>3439</v>
          </cell>
          <cell r="Z12">
            <v>855</v>
          </cell>
          <cell r="AA12">
            <v>901</v>
          </cell>
          <cell r="AB12">
            <v>1756</v>
          </cell>
          <cell r="AC12">
            <v>876</v>
          </cell>
          <cell r="AD12">
            <v>2632</v>
          </cell>
          <cell r="AE12">
            <v>882</v>
          </cell>
          <cell r="AF12">
            <v>3454</v>
          </cell>
          <cell r="AG12">
            <v>848</v>
          </cell>
          <cell r="AH12">
            <v>943</v>
          </cell>
          <cell r="AI12">
            <v>1791</v>
          </cell>
          <cell r="AJ12">
            <v>969</v>
          </cell>
          <cell r="AK12">
            <v>2760</v>
          </cell>
          <cell r="AL12">
            <v>953</v>
          </cell>
          <cell r="AM12">
            <v>3713</v>
          </cell>
          <cell r="AU12">
            <v>920</v>
          </cell>
          <cell r="AV12">
            <v>953</v>
          </cell>
          <cell r="AW12">
            <v>1873</v>
          </cell>
          <cell r="AX12">
            <v>976</v>
          </cell>
          <cell r="AY12">
            <v>2849</v>
          </cell>
          <cell r="AZ12">
            <v>1022</v>
          </cell>
          <cell r="BA12">
            <v>3871</v>
          </cell>
          <cell r="BB12">
            <v>986</v>
          </cell>
          <cell r="BC12">
            <v>1028</v>
          </cell>
          <cell r="BD12">
            <v>2014</v>
          </cell>
          <cell r="BE12">
            <v>1058</v>
          </cell>
          <cell r="BF12">
            <v>3072</v>
          </cell>
          <cell r="BG12">
            <v>1107</v>
          </cell>
          <cell r="BH12">
            <v>4179</v>
          </cell>
          <cell r="BI12">
            <v>1162</v>
          </cell>
          <cell r="BJ12">
            <v>1224</v>
          </cell>
          <cell r="BK12">
            <v>2386</v>
          </cell>
          <cell r="BL12">
            <v>1243</v>
          </cell>
          <cell r="BM12">
            <v>3629</v>
          </cell>
          <cell r="BN12">
            <v>1293</v>
          </cell>
          <cell r="BO12">
            <v>4922</v>
          </cell>
          <cell r="BP12">
            <v>1258</v>
          </cell>
          <cell r="BQ12">
            <v>1302</v>
          </cell>
          <cell r="BR12">
            <v>2560</v>
          </cell>
          <cell r="BS12">
            <v>1293.2682978988578</v>
          </cell>
          <cell r="BT12">
            <v>3853.2682978988578</v>
          </cell>
          <cell r="BU12">
            <v>1356.7500070226447</v>
          </cell>
          <cell r="BV12">
            <v>5210.018304921502</v>
          </cell>
          <cell r="BW12">
            <v>5457.6609856995155</v>
          </cell>
          <cell r="BX12">
            <v>5793.5352907817232</v>
          </cell>
          <cell r="BY12">
            <v>5898.5443040665959</v>
          </cell>
          <cell r="BZ12">
            <v>6202.8866537409194</v>
          </cell>
          <cell r="CA12">
            <v>4487.0302301780657</v>
          </cell>
          <cell r="CB12">
            <v>1661.397115695969</v>
          </cell>
          <cell r="CC12">
            <v>6148.4273458740345</v>
          </cell>
          <cell r="CD12" t="str">
            <v>mstag:revenueNet</v>
          </cell>
          <cell r="CE12">
            <v>6</v>
          </cell>
          <cell r="CF12" t="str">
            <v>ISO4217:GBP</v>
          </cell>
          <cell r="CG12" t="b">
            <v>0</v>
          </cell>
          <cell r="CH12" t="b">
            <v>0</v>
          </cell>
          <cell r="CK12" t="str">
            <v>mstag:revenueNet</v>
          </cell>
          <cell r="CL12">
            <v>6</v>
          </cell>
          <cell r="CM12" t="str">
            <v>ISO4217:GBP</v>
          </cell>
          <cell r="CN12" t="b">
            <v>0</v>
          </cell>
          <cell r="CO12" t="b">
            <v>0</v>
          </cell>
          <cell r="CP12" t="b">
            <v>0</v>
          </cell>
          <cell r="CR12" t="str">
            <v>mstag:revenueNet</v>
          </cell>
          <cell r="CS12">
            <v>6</v>
          </cell>
          <cell r="CT12" t="str">
            <v>ISO4217:GBP</v>
          </cell>
          <cell r="CU12" t="b">
            <v>0</v>
          </cell>
          <cell r="CV12" t="b">
            <v>0</v>
          </cell>
        </row>
        <row r="13">
          <cell r="A13" t="str">
            <v>Reported growth %</v>
          </cell>
          <cell r="K13">
            <v>-1.2193938609826205E-2</v>
          </cell>
          <cell r="L13">
            <v>4.0333796940194677E-2</v>
          </cell>
          <cell r="M13">
            <v>1.8939393939394034E-2</v>
          </cell>
          <cell r="N13">
            <v>2.9119788219722054E-2</v>
          </cell>
          <cell r="O13">
            <v>5.0734312416555349E-2</v>
          </cell>
          <cell r="P13">
            <v>3.6283185840707999E-2</v>
          </cell>
          <cell r="Q13">
            <v>8.3123425692695152E-2</v>
          </cell>
          <cell r="R13">
            <v>4.8461034708578987E-2</v>
          </cell>
          <cell r="S13">
            <v>9.224598930481287E-2</v>
          </cell>
          <cell r="T13">
            <v>8.9219330855018653E-2</v>
          </cell>
          <cell r="U13">
            <v>9.0675241157556208E-2</v>
          </cell>
          <cell r="V13">
            <v>7.1156289707750897E-2</v>
          </cell>
          <cell r="W13">
            <v>8.4116140051238242E-2</v>
          </cell>
          <cell r="X13">
            <v>4.6511627906976827E-2</v>
          </cell>
          <cell r="Y13">
            <v>7.4016239850093646E-2</v>
          </cell>
          <cell r="Z13">
            <v>4.6511627906976827E-2</v>
          </cell>
          <cell r="AA13">
            <v>2.5028441410694047E-2</v>
          </cell>
          <cell r="AB13">
            <v>3.5377358490566113E-2</v>
          </cell>
          <cell r="AC13">
            <v>3.9145907473309594E-2</v>
          </cell>
          <cell r="AD13">
            <v>3.6628593934620035E-2</v>
          </cell>
          <cell r="AE13">
            <v>-2.0000000000000018E-2</v>
          </cell>
          <cell r="AF13">
            <v>0.03</v>
          </cell>
          <cell r="AG13">
            <v>-8.1871345029239651E-3</v>
          </cell>
          <cell r="AH13">
            <v>4.661487236404005E-2</v>
          </cell>
          <cell r="AI13">
            <v>1.993166287015935E-2</v>
          </cell>
          <cell r="AJ13">
            <v>0.10616438356164393</v>
          </cell>
          <cell r="AK13">
            <v>4.8632218844984809E-2</v>
          </cell>
          <cell r="AL13">
            <v>8.0498866213151832E-2</v>
          </cell>
          <cell r="AM13">
            <v>7.4985524030110051E-2</v>
          </cell>
          <cell r="AU13">
            <v>8.4905660377358583E-2</v>
          </cell>
          <cell r="AV13">
            <v>1.0604453870625585E-2</v>
          </cell>
          <cell r="AW13">
            <v>4.5784477945282065E-2</v>
          </cell>
          <cell r="AX13">
            <v>7.2239422084623417E-3</v>
          </cell>
          <cell r="AY13">
            <v>3.2246376811594146E-2</v>
          </cell>
          <cell r="AZ13">
            <v>7.2402938090241342E-2</v>
          </cell>
          <cell r="BA13">
            <v>4.2553191489361764E-2</v>
          </cell>
          <cell r="BB13">
            <v>7.1739130434782528E-2</v>
          </cell>
          <cell r="BC13">
            <v>7.8698845750262425E-2</v>
          </cell>
          <cell r="BD13">
            <v>7.5280298985584526E-2</v>
          </cell>
          <cell r="BE13">
            <v>8.4016393442623016E-2</v>
          </cell>
          <cell r="BF13">
            <v>7.8273078273078278E-2</v>
          </cell>
          <cell r="BG13">
            <v>8.3170254403131194E-2</v>
          </cell>
          <cell r="BH13">
            <v>7.9566003616636571E-2</v>
          </cell>
          <cell r="BI13">
            <v>0.17849898580121715</v>
          </cell>
          <cell r="BJ13">
            <v>0.19066147859922178</v>
          </cell>
          <cell r="BK13">
            <v>0.18470705064548154</v>
          </cell>
          <cell r="BL13">
            <v>0.17485822306238186</v>
          </cell>
          <cell r="BM13">
            <v>0.18131510416666674</v>
          </cell>
          <cell r="BN13">
            <v>0.16802168021680219</v>
          </cell>
          <cell r="BO13">
            <v>0.17779373055754966</v>
          </cell>
          <cell r="BP13">
            <v>8.2616179001721246E-2</v>
          </cell>
          <cell r="BQ13">
            <v>6.3725490196078427E-2</v>
          </cell>
          <cell r="BR13">
            <v>7.2925398155909482E-2</v>
          </cell>
          <cell r="BS13">
            <v>4.0441108526836578E-2</v>
          </cell>
          <cell r="BT13">
            <v>6.1798924744794093E-2</v>
          </cell>
          <cell r="BU13">
            <v>4.930394974682506E-2</v>
          </cell>
          <cell r="BV13">
            <v>5.851651867564045E-2</v>
          </cell>
          <cell r="BW13">
            <v>4.7532017410396588E-2</v>
          </cell>
          <cell r="BX13">
            <v>6.1541804440086167E-2</v>
          </cell>
          <cell r="BY13">
            <v>1.8125204735001121E-2</v>
          </cell>
          <cell r="BZ13">
            <v>5.1596179325889446E-2</v>
          </cell>
          <cell r="CA13">
            <v>0.15140626897050691</v>
          </cell>
          <cell r="CB13">
            <v>0.21093084234400061</v>
          </cell>
          <cell r="CC13">
            <v>0.16690593013361821</v>
          </cell>
          <cell r="CD13">
            <v>7.0387258160618638E-2</v>
          </cell>
          <cell r="CE13">
            <v>1.5149587057593283E-2</v>
          </cell>
          <cell r="CF13">
            <v>5.1435708061330132E-2</v>
          </cell>
          <cell r="CG13">
            <v>5.1667017730743003E-2</v>
          </cell>
        </row>
        <row r="15">
          <cell r="A15" t="str">
            <v>Cost of sales</v>
          </cell>
          <cell r="B15">
            <v>-1027.2</v>
          </cell>
          <cell r="C15">
            <v>-941</v>
          </cell>
          <cell r="D15">
            <v>-1542.1</v>
          </cell>
          <cell r="E15">
            <v>-377</v>
          </cell>
          <cell r="F15">
            <v>-411</v>
          </cell>
          <cell r="G15">
            <v>-788</v>
          </cell>
          <cell r="H15">
            <v>-394</v>
          </cell>
          <cell r="I15">
            <v>-1182</v>
          </cell>
          <cell r="J15">
            <v>-416</v>
          </cell>
          <cell r="K15">
            <v>-1598</v>
          </cell>
          <cell r="L15">
            <v>-391</v>
          </cell>
          <cell r="M15">
            <v>-409.79999999999995</v>
          </cell>
          <cell r="N15">
            <v>-800.8</v>
          </cell>
          <cell r="O15">
            <v>-405.29999999999995</v>
          </cell>
          <cell r="P15">
            <v>-1206.0999999999999</v>
          </cell>
          <cell r="Q15">
            <v>-433.90000000000009</v>
          </cell>
          <cell r="R15">
            <v>-1640</v>
          </cell>
          <cell r="S15">
            <v>-415</v>
          </cell>
          <cell r="T15">
            <v>-452</v>
          </cell>
          <cell r="U15">
            <v>-867</v>
          </cell>
          <cell r="V15">
            <v>-429</v>
          </cell>
          <cell r="W15">
            <v>-1296</v>
          </cell>
          <cell r="X15">
            <v>-438</v>
          </cell>
          <cell r="Y15">
            <v>-1734</v>
          </cell>
          <cell r="Z15">
            <v>-421</v>
          </cell>
          <cell r="AA15">
            <v>-425</v>
          </cell>
          <cell r="AB15">
            <v>-846</v>
          </cell>
          <cell r="AC15">
            <v>-415</v>
          </cell>
          <cell r="AD15">
            <v>-1261</v>
          </cell>
          <cell r="AE15">
            <v>-417</v>
          </cell>
          <cell r="AF15">
            <v>-1678</v>
          </cell>
          <cell r="AG15">
            <v>-407</v>
          </cell>
          <cell r="AH15">
            <v>-441</v>
          </cell>
          <cell r="AI15">
            <v>-848</v>
          </cell>
          <cell r="AJ15">
            <v>-458</v>
          </cell>
          <cell r="AK15">
            <v>-1306</v>
          </cell>
          <cell r="AL15">
            <v>-429</v>
          </cell>
          <cell r="AM15">
            <v>-1735</v>
          </cell>
          <cell r="AU15">
            <v>-426</v>
          </cell>
          <cell r="AV15">
            <v>-424</v>
          </cell>
          <cell r="AW15">
            <v>-850</v>
          </cell>
          <cell r="AX15">
            <v>-443</v>
          </cell>
          <cell r="AY15">
            <v>-1293</v>
          </cell>
          <cell r="AZ15">
            <v>-457</v>
          </cell>
          <cell r="BA15">
            <v>-1750</v>
          </cell>
          <cell r="BB15">
            <v>-453</v>
          </cell>
          <cell r="BC15">
            <v>-465</v>
          </cell>
          <cell r="BD15">
            <v>-918</v>
          </cell>
          <cell r="BE15">
            <v>-480</v>
          </cell>
          <cell r="BF15">
            <v>-1398</v>
          </cell>
          <cell r="BG15">
            <v>-488</v>
          </cell>
          <cell r="BH15">
            <v>-1886</v>
          </cell>
          <cell r="BI15">
            <v>-530</v>
          </cell>
          <cell r="BJ15">
            <v>-528</v>
          </cell>
          <cell r="BK15">
            <v>-1058</v>
          </cell>
          <cell r="BL15">
            <v>-541</v>
          </cell>
          <cell r="BM15">
            <v>-1599</v>
          </cell>
          <cell r="BN15">
            <v>-534</v>
          </cell>
          <cell r="BO15">
            <v>-2133</v>
          </cell>
          <cell r="BP15">
            <v>-542</v>
          </cell>
          <cell r="BQ15">
            <v>-543</v>
          </cell>
          <cell r="BR15">
            <v>-1085</v>
          </cell>
          <cell r="BS15">
            <v>-550.85220067037255</v>
          </cell>
          <cell r="BT15">
            <v>-1635.8522006703724</v>
          </cell>
          <cell r="BU15">
            <v>-543.38529207704551</v>
          </cell>
          <cell r="BV15">
            <v>-2179.2374927474179</v>
          </cell>
          <cell r="BW15">
            <v>-2247.3633862083775</v>
          </cell>
          <cell r="BX15">
            <v>-2355.6701842282237</v>
          </cell>
          <cell r="BY15">
            <v>-2427.3526316461639</v>
          </cell>
          <cell r="BZ15">
            <v>-2522.5947533157487</v>
          </cell>
          <cell r="CA15">
            <v>-1872.8599735189591</v>
          </cell>
          <cell r="CB15">
            <v>-641.27979790441555</v>
          </cell>
          <cell r="CC15">
            <v>-2514.1397714233744</v>
          </cell>
          <cell r="CD15" t="str">
            <v>mstag:costOfSalesWithDepreciation</v>
          </cell>
          <cell r="CE15">
            <v>6</v>
          </cell>
          <cell r="CF15" t="str">
            <v>ISO4217:GBP</v>
          </cell>
          <cell r="CG15" t="b">
            <v>1</v>
          </cell>
          <cell r="CH15" t="b">
            <v>0</v>
          </cell>
          <cell r="CK15" t="str">
            <v>mstag:costOfSalesWithDepreciation</v>
          </cell>
          <cell r="CL15">
            <v>6</v>
          </cell>
          <cell r="CM15" t="str">
            <v>ISO4217:GBP</v>
          </cell>
          <cell r="CN15" t="b">
            <v>1</v>
          </cell>
          <cell r="CO15" t="b">
            <v>0</v>
          </cell>
          <cell r="CP15" t="b">
            <v>0</v>
          </cell>
          <cell r="CR15" t="str">
            <v>mstag:costOfSalesWithDepreciation</v>
          </cell>
          <cell r="CS15">
            <v>6</v>
          </cell>
          <cell r="CT15" t="str">
            <v>ISO4217:GBP</v>
          </cell>
          <cell r="CU15" t="b">
            <v>1</v>
          </cell>
          <cell r="CV15" t="b">
            <v>0</v>
          </cell>
        </row>
        <row r="16">
          <cell r="A16" t="str">
            <v xml:space="preserve">Gross profit </v>
          </cell>
          <cell r="B16">
            <v>1294.9999999999998</v>
          </cell>
          <cell r="C16">
            <v>1255.5999999999999</v>
          </cell>
          <cell r="D16">
            <v>1549.6</v>
          </cell>
          <cell r="E16">
            <v>342</v>
          </cell>
          <cell r="F16">
            <v>381</v>
          </cell>
          <cell r="G16">
            <v>723</v>
          </cell>
          <cell r="H16">
            <v>355</v>
          </cell>
          <cell r="I16">
            <v>1078</v>
          </cell>
          <cell r="J16">
            <v>378</v>
          </cell>
          <cell r="K16">
            <v>1456</v>
          </cell>
          <cell r="L16">
            <v>357</v>
          </cell>
          <cell r="M16">
            <v>397.20000000000005</v>
          </cell>
          <cell r="N16">
            <v>754.2</v>
          </cell>
          <cell r="O16">
            <v>381.70000000000005</v>
          </cell>
          <cell r="P16">
            <v>1135.9000000000001</v>
          </cell>
          <cell r="Q16">
            <v>426.09999999999991</v>
          </cell>
          <cell r="R16">
            <v>1562</v>
          </cell>
          <cell r="S16">
            <v>402</v>
          </cell>
          <cell r="T16">
            <v>427</v>
          </cell>
          <cell r="U16">
            <v>829</v>
          </cell>
          <cell r="V16">
            <v>414</v>
          </cell>
          <cell r="W16">
            <v>1243</v>
          </cell>
          <cell r="X16">
            <v>462</v>
          </cell>
          <cell r="Y16">
            <v>1705</v>
          </cell>
          <cell r="Z16">
            <v>434</v>
          </cell>
          <cell r="AA16">
            <v>476</v>
          </cell>
          <cell r="AB16">
            <v>910</v>
          </cell>
          <cell r="AC16">
            <v>461</v>
          </cell>
          <cell r="AD16">
            <v>1371</v>
          </cell>
          <cell r="AE16">
            <v>465</v>
          </cell>
          <cell r="AF16">
            <v>1776</v>
          </cell>
          <cell r="AG16">
            <v>441</v>
          </cell>
          <cell r="AH16">
            <v>502</v>
          </cell>
          <cell r="AI16">
            <v>943</v>
          </cell>
          <cell r="AJ16">
            <v>511</v>
          </cell>
          <cell r="AK16">
            <v>1454</v>
          </cell>
          <cell r="AL16">
            <v>524</v>
          </cell>
          <cell r="AM16">
            <v>1978</v>
          </cell>
          <cell r="AU16">
            <v>494</v>
          </cell>
          <cell r="AV16">
            <v>529</v>
          </cell>
          <cell r="AW16">
            <v>1023</v>
          </cell>
          <cell r="AX16">
            <v>533</v>
          </cell>
          <cell r="AY16">
            <v>1556</v>
          </cell>
          <cell r="AZ16">
            <v>565</v>
          </cell>
          <cell r="BA16">
            <v>2121</v>
          </cell>
          <cell r="BB16">
            <v>533</v>
          </cell>
          <cell r="BC16">
            <v>563</v>
          </cell>
          <cell r="BD16">
            <v>1096</v>
          </cell>
          <cell r="BE16">
            <v>578</v>
          </cell>
          <cell r="BF16">
            <v>1674</v>
          </cell>
          <cell r="BG16">
            <v>619</v>
          </cell>
          <cell r="BH16">
            <v>2293</v>
          </cell>
          <cell r="BI16">
            <v>632</v>
          </cell>
          <cell r="BJ16">
            <v>696</v>
          </cell>
          <cell r="BK16">
            <v>1328</v>
          </cell>
          <cell r="BL16">
            <v>702</v>
          </cell>
          <cell r="BM16">
            <v>2030</v>
          </cell>
          <cell r="BN16">
            <v>759</v>
          </cell>
          <cell r="BO16">
            <v>2789</v>
          </cell>
          <cell r="BP16">
            <v>716</v>
          </cell>
          <cell r="BQ16">
            <v>759</v>
          </cell>
          <cell r="BR16">
            <v>1475</v>
          </cell>
          <cell r="BS16">
            <v>742.41609722848523</v>
          </cell>
          <cell r="BT16">
            <v>2217.4160972284853</v>
          </cell>
          <cell r="BU16">
            <v>813.36471494559919</v>
          </cell>
          <cell r="BV16">
            <v>3030.7808121740841</v>
          </cell>
          <cell r="BW16">
            <v>3210.297599491138</v>
          </cell>
          <cell r="BX16">
            <v>3437.8651065534996</v>
          </cell>
          <cell r="BY16">
            <v>3471.191672420432</v>
          </cell>
          <cell r="BZ16">
            <v>3680.2919004251708</v>
          </cell>
          <cell r="CA16">
            <v>2614.1702566591066</v>
          </cell>
          <cell r="CB16">
            <v>1020.1173177915534</v>
          </cell>
          <cell r="CC16">
            <v>3634.28757445066</v>
          </cell>
          <cell r="CD16">
            <v>3923.7254323486545</v>
          </cell>
          <cell r="CE16">
            <v>3946.3592451244276</v>
          </cell>
          <cell r="CF16">
            <v>4179.3430271617799</v>
          </cell>
          <cell r="CG16">
            <v>4425.2772174490046</v>
          </cell>
        </row>
        <row r="17">
          <cell r="A17" t="str">
            <v>Gross margin %</v>
          </cell>
          <cell r="B17">
            <v>0.55766083885970197</v>
          </cell>
          <cell r="C17">
            <v>0.57161067103705721</v>
          </cell>
          <cell r="D17">
            <v>0.50121292492803315</v>
          </cell>
          <cell r="E17">
            <v>0.4756606397774687</v>
          </cell>
          <cell r="F17">
            <v>0.48106060606060608</v>
          </cell>
          <cell r="G17">
            <v>0.47849106551952347</v>
          </cell>
          <cell r="H17">
            <v>0.47396528704939922</v>
          </cell>
          <cell r="I17">
            <v>0.47699115044247786</v>
          </cell>
          <cell r="J17">
            <v>0.47607052896725438</v>
          </cell>
          <cell r="K17">
            <v>0.47675180091683039</v>
          </cell>
          <cell r="L17">
            <v>0.47727272727272729</v>
          </cell>
          <cell r="M17">
            <v>0.49219330855018595</v>
          </cell>
          <cell r="N17">
            <v>0.48501607717041806</v>
          </cell>
          <cell r="O17">
            <v>0.48500635324015251</v>
          </cell>
          <cell r="P17">
            <v>0.48501280956447484</v>
          </cell>
          <cell r="Q17">
            <v>0.49546511627906964</v>
          </cell>
          <cell r="R17">
            <v>0.48782011242973145</v>
          </cell>
          <cell r="S17">
            <v>0.49204406364749081</v>
          </cell>
          <cell r="T17">
            <v>0.48577929465301478</v>
          </cell>
          <cell r="U17">
            <v>0.48879716981132076</v>
          </cell>
          <cell r="V17">
            <v>0.49110320284697506</v>
          </cell>
          <cell r="W17">
            <v>0.4895628200078771</v>
          </cell>
          <cell r="X17">
            <v>0.51333333333333331</v>
          </cell>
          <cell r="Y17">
            <v>0.49578365804012792</v>
          </cell>
          <cell r="Z17">
            <v>0.5076023391812865</v>
          </cell>
          <cell r="AA17">
            <v>0.52830188679245282</v>
          </cell>
          <cell r="AB17">
            <v>0.51822323462414577</v>
          </cell>
          <cell r="AC17">
            <v>0.52625570776255703</v>
          </cell>
          <cell r="AD17">
            <v>0.52089665653495443</v>
          </cell>
          <cell r="AE17">
            <v>0.52721088435374153</v>
          </cell>
          <cell r="AF17">
            <v>0.51418645049218292</v>
          </cell>
          <cell r="AG17">
            <v>0.52004716981132071</v>
          </cell>
          <cell r="AH17">
            <v>0.53234358430540829</v>
          </cell>
          <cell r="AI17">
            <v>0.52652149637074264</v>
          </cell>
          <cell r="AJ17">
            <v>0.52734778121775028</v>
          </cell>
          <cell r="AK17">
            <v>0.52681159420289858</v>
          </cell>
          <cell r="AL17">
            <v>0.54984260230849946</v>
          </cell>
          <cell r="AM17">
            <v>0.53272286560732562</v>
          </cell>
          <cell r="AU17">
            <v>0.53695652173913044</v>
          </cell>
          <cell r="AV17">
            <v>0.55508919202518359</v>
          </cell>
          <cell r="AW17">
            <v>0.54618259476775222</v>
          </cell>
          <cell r="AX17">
            <v>0.54610655737704916</v>
          </cell>
          <cell r="AY17">
            <v>0.54615654615654619</v>
          </cell>
          <cell r="AZ17">
            <v>0.55283757338551864</v>
          </cell>
          <cell r="BA17">
            <v>0.54792043399638335</v>
          </cell>
          <cell r="BB17">
            <v>0.54056795131845847</v>
          </cell>
          <cell r="BC17">
            <v>0.5476653696498055</v>
          </cell>
          <cell r="BD17">
            <v>0.54419066534260174</v>
          </cell>
          <cell r="BE17">
            <v>0.54631379962192816</v>
          </cell>
          <cell r="BF17">
            <v>0.544921875</v>
          </cell>
          <cell r="BG17">
            <v>0.55916892502258353</v>
          </cell>
          <cell r="BH17">
            <v>0.54869586025364925</v>
          </cell>
          <cell r="BI17">
            <v>0.54388984509466443</v>
          </cell>
          <cell r="BJ17">
            <v>0.56862745098039214</v>
          </cell>
          <cell r="BK17">
            <v>0.55658005029337809</v>
          </cell>
          <cell r="BL17">
            <v>0.56476267095736121</v>
          </cell>
          <cell r="BM17">
            <v>0.55938275006888949</v>
          </cell>
          <cell r="BN17">
            <v>0.58700696055684454</v>
          </cell>
          <cell r="BO17">
            <v>0.56663957740755788</v>
          </cell>
          <cell r="BP17">
            <v>0.56915739268680443</v>
          </cell>
          <cell r="BQ17">
            <v>0.58294930875576034</v>
          </cell>
          <cell r="BR17">
            <v>0.576171875</v>
          </cell>
          <cell r="BS17">
            <v>0.57406193164610231</v>
          </cell>
          <cell r="BT17">
            <v>0.57546371697958754</v>
          </cell>
          <cell r="BU17">
            <v>0.59949490380361858</v>
          </cell>
          <cell r="BV17">
            <v>0.58172172049974169</v>
          </cell>
          <cell r="BW17">
            <v>0.58821858079916445</v>
          </cell>
          <cell r="BX17">
            <v>0.59339676622382798</v>
          </cell>
          <cell r="BY17">
            <v>0.58848276684593359</v>
          </cell>
          <cell r="BZ17">
            <v>0.59331922472025367</v>
          </cell>
          <cell r="CA17">
            <v>0.58260589355453585</v>
          </cell>
          <cell r="CB17">
            <v>0.6140117303407141</v>
          </cell>
          <cell r="CC17">
            <v>0.59109222082448221</v>
          </cell>
          <cell r="CD17">
            <v>0.59620228113412155</v>
          </cell>
          <cell r="CE17">
            <v>0.59069269361502885</v>
          </cell>
          <cell r="CF17">
            <v>0.59496343736710011</v>
          </cell>
          <cell r="CG17">
            <v>0.59902436509428725</v>
          </cell>
        </row>
        <row r="18">
          <cell r="A18" t="str">
            <v>Gross margin growth in bps</v>
          </cell>
          <cell r="R18">
            <v>110.68311512901052</v>
          </cell>
          <cell r="Y18">
            <v>79.635456103964714</v>
          </cell>
          <cell r="AE18">
            <v>138.7755102040822</v>
          </cell>
          <cell r="AF18">
            <v>184.02792452055004</v>
          </cell>
          <cell r="AG18">
            <v>124.4483063003421</v>
          </cell>
          <cell r="AH18">
            <v>40.416975129554665</v>
          </cell>
          <cell r="AI18">
            <v>82.982617465968687</v>
          </cell>
          <cell r="AJ18">
            <v>10.920734551932432</v>
          </cell>
          <cell r="AK18">
            <v>59.149376679441531</v>
          </cell>
          <cell r="AL18">
            <v>226.31717954757934</v>
          </cell>
          <cell r="AM18">
            <v>185.36415115142702</v>
          </cell>
          <cell r="AU18">
            <v>169.09351927809735</v>
          </cell>
          <cell r="AV18">
            <v>227.45607719775296</v>
          </cell>
          <cell r="AW18">
            <v>196.61098397009579</v>
          </cell>
          <cell r="AX18">
            <v>187.58776159298884</v>
          </cell>
          <cell r="AY18">
            <v>193.44951953647603</v>
          </cell>
          <cell r="AZ18">
            <v>29.949710770191817</v>
          </cell>
          <cell r="BA18">
            <v>151.97568389057724</v>
          </cell>
          <cell r="BB18">
            <v>36.114295793280291</v>
          </cell>
          <cell r="BC18">
            <v>-74.238223753780858</v>
          </cell>
          <cell r="BD18">
            <v>-19.919294251504738</v>
          </cell>
          <cell r="BE18">
            <v>2.0724224487900234</v>
          </cell>
          <cell r="BF18">
            <v>-12.346711565461854</v>
          </cell>
          <cell r="BG18">
            <v>63.313516370648856</v>
          </cell>
          <cell r="BH18">
            <v>7.7542625726589876</v>
          </cell>
          <cell r="BI18">
            <v>33.218937762059532</v>
          </cell>
          <cell r="BJ18">
            <v>209.62081330586636</v>
          </cell>
          <cell r="BK18">
            <v>123.89384950776349</v>
          </cell>
          <cell r="BL18">
            <v>184.48871335433049</v>
          </cell>
          <cell r="BM18">
            <v>144.6087506888949</v>
          </cell>
          <cell r="BN18">
            <v>278.38035534261007</v>
          </cell>
          <cell r="BO18">
            <v>179.43717153908634</v>
          </cell>
          <cell r="BP18">
            <v>249.99999999999912</v>
          </cell>
          <cell r="BQ18">
            <v>140.00000000000011</v>
          </cell>
          <cell r="BR18">
            <v>189.99999999999906</v>
          </cell>
          <cell r="BS18">
            <v>90.000000000000085</v>
          </cell>
          <cell r="BT18">
            <v>159.99999999999903</v>
          </cell>
          <cell r="BU18">
            <v>120.00000000000011</v>
          </cell>
          <cell r="BV18">
            <v>150.00000000000014</v>
          </cell>
          <cell r="BW18">
            <v>60.000000000000057</v>
          </cell>
          <cell r="BX18">
            <v>50.000000000000043</v>
          </cell>
          <cell r="BY18">
            <v>-50.000000000000043</v>
          </cell>
          <cell r="BZ18">
            <v>50.000000000000043</v>
          </cell>
          <cell r="CA18">
            <v>60.000000000000057</v>
          </cell>
          <cell r="CB18">
            <v>140.00000000000011</v>
          </cell>
          <cell r="CC18">
            <v>80.000000000000071</v>
          </cell>
          <cell r="CD18">
            <v>50.000000000000043</v>
          </cell>
          <cell r="CE18">
            <v>-50.000000000000043</v>
          </cell>
          <cell r="CF18">
            <v>40.000000000000036</v>
          </cell>
          <cell r="CG18">
            <v>40.000000000000036</v>
          </cell>
        </row>
        <row r="20">
          <cell r="A20" t="str">
            <v>Distribution costs</v>
          </cell>
          <cell r="B20">
            <v>-746.9</v>
          </cell>
          <cell r="C20">
            <v>-714.1</v>
          </cell>
          <cell r="D20">
            <v>-827.9</v>
          </cell>
          <cell r="E20">
            <v>0</v>
          </cell>
          <cell r="F20">
            <v>0</v>
          </cell>
          <cell r="G20">
            <v>0</v>
          </cell>
          <cell r="H20">
            <v>0</v>
          </cell>
          <cell r="I20">
            <v>0</v>
          </cell>
          <cell r="J20">
            <v>0</v>
          </cell>
          <cell r="K20">
            <v>-775</v>
          </cell>
          <cell r="L20">
            <v>0</v>
          </cell>
          <cell r="M20">
            <v>0</v>
          </cell>
          <cell r="N20">
            <v>0</v>
          </cell>
          <cell r="O20">
            <v>0</v>
          </cell>
          <cell r="P20">
            <v>0</v>
          </cell>
          <cell r="Q20">
            <v>0</v>
          </cell>
          <cell r="R20">
            <v>-840</v>
          </cell>
          <cell r="S20">
            <v>0</v>
          </cell>
          <cell r="T20">
            <v>0</v>
          </cell>
          <cell r="U20">
            <v>0</v>
          </cell>
          <cell r="V20">
            <v>0</v>
          </cell>
          <cell r="W20">
            <v>0</v>
          </cell>
          <cell r="X20">
            <v>0</v>
          </cell>
          <cell r="Y20">
            <v>-880</v>
          </cell>
          <cell r="Z20">
            <v>0</v>
          </cell>
          <cell r="AA20">
            <v>0</v>
          </cell>
          <cell r="AB20">
            <v>0</v>
          </cell>
          <cell r="AC20">
            <v>0</v>
          </cell>
          <cell r="AD20">
            <v>0</v>
          </cell>
          <cell r="AE20">
            <v>0</v>
          </cell>
          <cell r="AF20">
            <v>-872</v>
          </cell>
          <cell r="AG20">
            <v>0</v>
          </cell>
          <cell r="AH20">
            <v>0</v>
          </cell>
          <cell r="AI20">
            <v>0</v>
          </cell>
          <cell r="AJ20">
            <v>0</v>
          </cell>
          <cell r="AK20">
            <v>0</v>
          </cell>
          <cell r="AL20">
            <v>0</v>
          </cell>
          <cell r="AM20">
            <v>-974</v>
          </cell>
          <cell r="AU20">
            <v>0</v>
          </cell>
          <cell r="AV20">
            <v>0</v>
          </cell>
          <cell r="AW20">
            <v>0</v>
          </cell>
          <cell r="AX20">
            <v>0</v>
          </cell>
          <cell r="AY20">
            <v>0</v>
          </cell>
          <cell r="AZ20">
            <v>0</v>
          </cell>
          <cell r="BA20">
            <v>-1076</v>
          </cell>
          <cell r="BB20">
            <v>0</v>
          </cell>
          <cell r="BC20">
            <v>0</v>
          </cell>
          <cell r="BD20">
            <v>0</v>
          </cell>
          <cell r="BE20">
            <v>0</v>
          </cell>
          <cell r="BF20">
            <v>0</v>
          </cell>
          <cell r="BG20">
            <v>0</v>
          </cell>
          <cell r="BH20">
            <v>-1161</v>
          </cell>
          <cell r="BI20">
            <v>0</v>
          </cell>
          <cell r="BJ20">
            <v>0</v>
          </cell>
          <cell r="BK20">
            <v>0</v>
          </cell>
          <cell r="BL20">
            <v>0</v>
          </cell>
          <cell r="BM20">
            <v>0</v>
          </cell>
          <cell r="BN20">
            <v>0</v>
          </cell>
          <cell r="BO20">
            <v>-1376</v>
          </cell>
          <cell r="BP20">
            <v>-1458.6568086712871</v>
          </cell>
          <cell r="BQ20">
            <v>-1523.0464858887383</v>
          </cell>
          <cell r="BR20">
            <v>-1599.9434974974786</v>
          </cell>
          <cell r="BS20">
            <v>-1681.0595298452524</v>
          </cell>
          <cell r="BV20">
            <v>-1448.7526726786468</v>
          </cell>
          <cell r="BW20">
            <v>-1514.885979446917</v>
          </cell>
          <cell r="BX20">
            <v>-1608.1147961430677</v>
          </cell>
          <cell r="BY20">
            <v>-1637.2622060605452</v>
          </cell>
          <cell r="BZ20">
            <v>-1721.7386804479463</v>
          </cell>
          <cell r="CA20">
            <v>-2030.2735809096912</v>
          </cell>
          <cell r="CC20">
            <v>-1705.0192090775229</v>
          </cell>
          <cell r="CD20" t="str">
            <v>mstag:marketingAndDistributionCosts</v>
          </cell>
          <cell r="CE20">
            <v>6</v>
          </cell>
          <cell r="CF20" t="str">
            <v>ISO4217:GBP</v>
          </cell>
          <cell r="CG20" t="b">
            <v>1</v>
          </cell>
          <cell r="CH20" t="b">
            <v>0</v>
          </cell>
          <cell r="CK20" t="str">
            <v>mstag:marketingAndDistributionCosts</v>
          </cell>
          <cell r="CL20">
            <v>6</v>
          </cell>
          <cell r="CM20" t="str">
            <v>ISO4217:GBP</v>
          </cell>
          <cell r="CN20" t="b">
            <v>1</v>
          </cell>
          <cell r="CO20" t="b">
            <v>0</v>
          </cell>
          <cell r="CP20" t="b">
            <v>0</v>
          </cell>
          <cell r="CR20" t="str">
            <v>mstag:marketingAndDistributionCosts</v>
          </cell>
          <cell r="CS20">
            <v>6</v>
          </cell>
          <cell r="CT20" t="str">
            <v>ISO4217:GBP</v>
          </cell>
          <cell r="CU20" t="b">
            <v>1</v>
          </cell>
          <cell r="CV20" t="b">
            <v>0</v>
          </cell>
        </row>
        <row r="21">
          <cell r="A21" t="str">
            <v xml:space="preserve">Research &amp; development </v>
          </cell>
          <cell r="B21">
            <v>-30.8</v>
          </cell>
          <cell r="C21">
            <v>-31.5</v>
          </cell>
          <cell r="D21">
            <v>-41.7</v>
          </cell>
          <cell r="E21">
            <v>0</v>
          </cell>
          <cell r="F21">
            <v>0</v>
          </cell>
          <cell r="G21">
            <v>0</v>
          </cell>
          <cell r="H21">
            <v>0</v>
          </cell>
          <cell r="I21">
            <v>0</v>
          </cell>
          <cell r="J21">
            <v>0</v>
          </cell>
          <cell r="K21">
            <v>-45</v>
          </cell>
          <cell r="L21">
            <v>0</v>
          </cell>
          <cell r="M21">
            <v>0</v>
          </cell>
          <cell r="N21">
            <v>0</v>
          </cell>
          <cell r="O21">
            <v>0</v>
          </cell>
          <cell r="P21">
            <v>0</v>
          </cell>
          <cell r="Q21">
            <v>0</v>
          </cell>
          <cell r="R21">
            <v>-46</v>
          </cell>
          <cell r="S21">
            <v>0</v>
          </cell>
          <cell r="T21">
            <v>0</v>
          </cell>
          <cell r="U21">
            <v>0</v>
          </cell>
          <cell r="V21">
            <v>0</v>
          </cell>
          <cell r="W21">
            <v>0</v>
          </cell>
          <cell r="X21">
            <v>0</v>
          </cell>
          <cell r="Y21">
            <v>-50</v>
          </cell>
          <cell r="Z21">
            <v>0</v>
          </cell>
          <cell r="AA21">
            <v>0</v>
          </cell>
          <cell r="AB21">
            <v>0</v>
          </cell>
          <cell r="AC21">
            <v>0</v>
          </cell>
          <cell r="AD21">
            <v>0</v>
          </cell>
          <cell r="AE21">
            <v>0</v>
          </cell>
          <cell r="AF21">
            <v>-54</v>
          </cell>
          <cell r="AG21">
            <v>0</v>
          </cell>
          <cell r="AH21">
            <v>0</v>
          </cell>
          <cell r="AI21">
            <v>0</v>
          </cell>
          <cell r="AJ21">
            <v>0</v>
          </cell>
          <cell r="AK21">
            <v>0</v>
          </cell>
          <cell r="AL21">
            <v>0</v>
          </cell>
          <cell r="AM21">
            <v>-57</v>
          </cell>
          <cell r="AU21">
            <v>0</v>
          </cell>
          <cell r="AV21">
            <v>0</v>
          </cell>
          <cell r="AW21">
            <v>0</v>
          </cell>
          <cell r="AX21">
            <v>0</v>
          </cell>
          <cell r="AY21">
            <v>0</v>
          </cell>
          <cell r="AZ21">
            <v>0</v>
          </cell>
          <cell r="BA21">
            <v>-62</v>
          </cell>
          <cell r="BB21">
            <v>0</v>
          </cell>
          <cell r="BC21">
            <v>0</v>
          </cell>
          <cell r="BD21">
            <v>0</v>
          </cell>
          <cell r="BE21">
            <v>0</v>
          </cell>
          <cell r="BF21">
            <v>0</v>
          </cell>
          <cell r="BG21">
            <v>0</v>
          </cell>
          <cell r="BH21">
            <v>-63</v>
          </cell>
          <cell r="BI21">
            <v>0</v>
          </cell>
          <cell r="BJ21">
            <v>0</v>
          </cell>
          <cell r="BK21">
            <v>0</v>
          </cell>
          <cell r="BL21">
            <v>0</v>
          </cell>
          <cell r="BM21">
            <v>0</v>
          </cell>
          <cell r="BN21">
            <v>0</v>
          </cell>
          <cell r="BO21">
            <v>-82</v>
          </cell>
          <cell r="BP21">
            <v>-78.72132685594076</v>
          </cell>
          <cell r="BQ21">
            <v>-82.744715839174333</v>
          </cell>
          <cell r="BR21">
            <v>-86.922409319576573</v>
          </cell>
          <cell r="BS21">
            <v>-91.329315549166296</v>
          </cell>
          <cell r="BV21">
            <v>-86.797056562132227</v>
          </cell>
          <cell r="BW21">
            <v>-90.924055430182918</v>
          </cell>
          <cell r="BX21">
            <v>-96.519685868366793</v>
          </cell>
          <cell r="BY21">
            <v>-98.269124935688936</v>
          </cell>
          <cell r="BZ21">
            <v>-103.33943632806897</v>
          </cell>
          <cell r="CA21">
            <v>-121.18263973811494</v>
          </cell>
          <cell r="CC21">
            <v>-102.430635404491</v>
          </cell>
          <cell r="CD21" t="str">
            <v>mstag:researchAndDevelopment</v>
          </cell>
          <cell r="CE21">
            <v>6</v>
          </cell>
          <cell r="CF21" t="str">
            <v>ISO4217:GBP</v>
          </cell>
          <cell r="CG21" t="b">
            <v>1</v>
          </cell>
          <cell r="CH21" t="b">
            <v>0</v>
          </cell>
          <cell r="CK21" t="str">
            <v>mstag:researchAndDevelopment</v>
          </cell>
          <cell r="CL21">
            <v>6</v>
          </cell>
          <cell r="CM21" t="str">
            <v>ISO4217:GBP</v>
          </cell>
          <cell r="CN21" t="b">
            <v>1</v>
          </cell>
          <cell r="CO21" t="b">
            <v>0</v>
          </cell>
          <cell r="CP21" t="b">
            <v>0</v>
          </cell>
          <cell r="CR21" t="str">
            <v>mstag:researchAndDevelopment</v>
          </cell>
          <cell r="CS21">
            <v>6</v>
          </cell>
          <cell r="CT21" t="str">
            <v>ISO4217:GBP</v>
          </cell>
          <cell r="CU21" t="b">
            <v>1</v>
          </cell>
          <cell r="CV21" t="b">
            <v>0</v>
          </cell>
        </row>
        <row r="22">
          <cell r="A22" t="str">
            <v>Other administrative expenses</v>
          </cell>
          <cell r="B22">
            <v>-177.1</v>
          </cell>
          <cell r="C22">
            <v>-177.1</v>
          </cell>
          <cell r="D22">
            <v>-290.2</v>
          </cell>
          <cell r="E22">
            <v>0</v>
          </cell>
          <cell r="F22">
            <v>0</v>
          </cell>
          <cell r="G22">
            <v>0</v>
          </cell>
          <cell r="H22">
            <v>0</v>
          </cell>
          <cell r="I22">
            <v>0</v>
          </cell>
          <cell r="J22">
            <v>0</v>
          </cell>
          <cell r="K22">
            <v>-311</v>
          </cell>
          <cell r="L22">
            <v>0</v>
          </cell>
          <cell r="M22">
            <v>0</v>
          </cell>
          <cell r="N22">
            <v>0</v>
          </cell>
          <cell r="O22">
            <v>0</v>
          </cell>
          <cell r="P22">
            <v>0</v>
          </cell>
          <cell r="Q22">
            <v>0</v>
          </cell>
          <cell r="R22">
            <v>-258</v>
          </cell>
          <cell r="S22">
            <v>0</v>
          </cell>
          <cell r="T22">
            <v>0</v>
          </cell>
          <cell r="U22">
            <v>0</v>
          </cell>
          <cell r="V22">
            <v>0</v>
          </cell>
          <cell r="W22">
            <v>0</v>
          </cell>
          <cell r="X22">
            <v>0</v>
          </cell>
          <cell r="Y22">
            <v>-286</v>
          </cell>
          <cell r="Z22">
            <v>0</v>
          </cell>
          <cell r="AA22">
            <v>0</v>
          </cell>
          <cell r="AB22">
            <v>0</v>
          </cell>
          <cell r="AC22">
            <v>0</v>
          </cell>
          <cell r="AD22">
            <v>0</v>
          </cell>
          <cell r="AE22">
            <v>0</v>
          </cell>
          <cell r="AF22">
            <v>-303</v>
          </cell>
          <cell r="AG22">
            <v>0</v>
          </cell>
          <cell r="AH22">
            <v>0</v>
          </cell>
          <cell r="AI22">
            <v>0</v>
          </cell>
          <cell r="AJ22">
            <v>0</v>
          </cell>
          <cell r="AK22">
            <v>0</v>
          </cell>
          <cell r="AL22">
            <v>0</v>
          </cell>
          <cell r="AM22">
            <v>-294</v>
          </cell>
          <cell r="AU22">
            <v>0</v>
          </cell>
          <cell r="AV22">
            <v>0</v>
          </cell>
          <cell r="AW22">
            <v>0</v>
          </cell>
          <cell r="AX22">
            <v>0</v>
          </cell>
          <cell r="AY22">
            <v>0</v>
          </cell>
          <cell r="AZ22">
            <v>0</v>
          </cell>
          <cell r="BA22">
            <v>-260</v>
          </cell>
          <cell r="BB22">
            <v>0</v>
          </cell>
          <cell r="BC22">
            <v>0</v>
          </cell>
          <cell r="BD22">
            <v>0</v>
          </cell>
          <cell r="BE22">
            <v>0</v>
          </cell>
          <cell r="BF22">
            <v>0</v>
          </cell>
          <cell r="BG22">
            <v>0</v>
          </cell>
          <cell r="BH22">
            <v>-256</v>
          </cell>
          <cell r="BI22">
            <v>0</v>
          </cell>
          <cell r="BJ22">
            <v>0</v>
          </cell>
          <cell r="BK22">
            <v>0</v>
          </cell>
          <cell r="BL22">
            <v>0</v>
          </cell>
          <cell r="BM22">
            <v>0</v>
          </cell>
          <cell r="BN22">
            <v>0</v>
          </cell>
          <cell r="BO22">
            <v>-313</v>
          </cell>
          <cell r="BP22">
            <v>-348.99385053780105</v>
          </cell>
          <cell r="BQ22">
            <v>-367.15932424119416</v>
          </cell>
          <cell r="BR22">
            <v>-385.69681149455096</v>
          </cell>
          <cell r="BS22">
            <v>-405.25137394413804</v>
          </cell>
          <cell r="BV22">
            <v>-335.07332004652397</v>
          </cell>
          <cell r="BW22">
            <v>-351.0000309287347</v>
          </cell>
          <cell r="BX22">
            <v>-372.60120619061507</v>
          </cell>
          <cell r="BY22">
            <v>-379.35467933732832</v>
          </cell>
          <cell r="BZ22">
            <v>-398.92793140053237</v>
          </cell>
          <cell r="CA22">
            <v>-502.88924330238979</v>
          </cell>
          <cell r="CC22">
            <v>-439.05804683508421</v>
          </cell>
          <cell r="CD22" t="str">
            <v>mstag:generalAndAdministrativeExpenses</v>
          </cell>
          <cell r="CE22">
            <v>6</v>
          </cell>
          <cell r="CF22" t="str">
            <v>ISO4217:GBP</v>
          </cell>
          <cell r="CG22" t="b">
            <v>1</v>
          </cell>
          <cell r="CH22" t="b">
            <v>0</v>
          </cell>
          <cell r="CK22" t="str">
            <v>mstag:generalAndAdministrativeExpenses</v>
          </cell>
          <cell r="CL22">
            <v>6</v>
          </cell>
          <cell r="CM22" t="str">
            <v>ISO4217:GBP</v>
          </cell>
          <cell r="CN22" t="b">
            <v>1</v>
          </cell>
          <cell r="CO22" t="b">
            <v>0</v>
          </cell>
          <cell r="CP22" t="b">
            <v>0</v>
          </cell>
          <cell r="CR22" t="str">
            <v>mstag:generalAndAdministrativeExpenses</v>
          </cell>
          <cell r="CS22">
            <v>6</v>
          </cell>
          <cell r="CT22" t="str">
            <v>ISO4217:GBP</v>
          </cell>
          <cell r="CU22" t="b">
            <v>1</v>
          </cell>
          <cell r="CV22" t="b">
            <v>0</v>
          </cell>
        </row>
        <row r="23">
          <cell r="A23" t="str">
            <v>Total administrative expenses</v>
          </cell>
          <cell r="B23">
            <v>-207.9</v>
          </cell>
          <cell r="C23">
            <v>-208.6</v>
          </cell>
          <cell r="D23">
            <v>-331.9</v>
          </cell>
          <cell r="E23">
            <v>0</v>
          </cell>
          <cell r="F23">
            <v>0</v>
          </cell>
          <cell r="G23">
            <v>0</v>
          </cell>
          <cell r="H23">
            <v>0</v>
          </cell>
          <cell r="I23">
            <v>0</v>
          </cell>
          <cell r="J23">
            <v>0</v>
          </cell>
          <cell r="K23">
            <v>-356</v>
          </cell>
          <cell r="L23">
            <v>0</v>
          </cell>
          <cell r="M23">
            <v>0</v>
          </cell>
          <cell r="N23">
            <v>0</v>
          </cell>
          <cell r="O23">
            <v>0</v>
          </cell>
          <cell r="P23">
            <v>0</v>
          </cell>
          <cell r="Q23">
            <v>0</v>
          </cell>
          <cell r="R23">
            <v>-304</v>
          </cell>
          <cell r="S23">
            <v>0</v>
          </cell>
          <cell r="T23">
            <v>0</v>
          </cell>
          <cell r="U23">
            <v>0</v>
          </cell>
          <cell r="V23">
            <v>0</v>
          </cell>
          <cell r="W23">
            <v>0</v>
          </cell>
          <cell r="X23">
            <v>0</v>
          </cell>
          <cell r="Y23">
            <v>-336</v>
          </cell>
          <cell r="Z23">
            <v>0</v>
          </cell>
          <cell r="AA23">
            <v>0</v>
          </cell>
          <cell r="AB23">
            <v>0</v>
          </cell>
          <cell r="AC23">
            <v>0</v>
          </cell>
          <cell r="AD23">
            <v>0</v>
          </cell>
          <cell r="AE23">
            <v>0</v>
          </cell>
          <cell r="AF23">
            <v>-357</v>
          </cell>
          <cell r="AG23">
            <v>0</v>
          </cell>
          <cell r="AH23">
            <v>0</v>
          </cell>
          <cell r="AI23">
            <v>0</v>
          </cell>
          <cell r="AJ23">
            <v>0</v>
          </cell>
          <cell r="AK23">
            <v>0</v>
          </cell>
          <cell r="AL23">
            <v>0</v>
          </cell>
          <cell r="AM23">
            <v>-351</v>
          </cell>
          <cell r="AU23">
            <v>0</v>
          </cell>
          <cell r="AV23">
            <v>0</v>
          </cell>
          <cell r="AW23">
            <v>0</v>
          </cell>
          <cell r="AX23">
            <v>0</v>
          </cell>
          <cell r="AY23">
            <v>0</v>
          </cell>
          <cell r="AZ23">
            <v>0</v>
          </cell>
          <cell r="BA23">
            <v>-322</v>
          </cell>
          <cell r="BB23">
            <v>0</v>
          </cell>
          <cell r="BC23">
            <v>0</v>
          </cell>
          <cell r="BD23">
            <v>0</v>
          </cell>
          <cell r="BE23">
            <v>0</v>
          </cell>
          <cell r="BF23">
            <v>0</v>
          </cell>
          <cell r="BG23">
            <v>0</v>
          </cell>
          <cell r="BH23">
            <v>-319</v>
          </cell>
          <cell r="BI23">
            <v>0</v>
          </cell>
          <cell r="BJ23">
            <v>0</v>
          </cell>
          <cell r="BK23">
            <v>0</v>
          </cell>
          <cell r="BL23">
            <v>0</v>
          </cell>
          <cell r="BM23">
            <v>0</v>
          </cell>
          <cell r="BN23">
            <v>0</v>
          </cell>
          <cell r="BO23">
            <v>-395</v>
          </cell>
          <cell r="BP23">
            <v>-427.71517739374178</v>
          </cell>
          <cell r="BQ23">
            <v>-449.90404008036847</v>
          </cell>
          <cell r="BR23">
            <v>-472.61922081412752</v>
          </cell>
          <cell r="BS23">
            <v>-496.58068949330436</v>
          </cell>
          <cell r="BV23">
            <v>-421.87037660865622</v>
          </cell>
          <cell r="BW23">
            <v>-441.92408635891763</v>
          </cell>
          <cell r="BX23">
            <v>-469.12089205898189</v>
          </cell>
          <cell r="BY23">
            <v>-477.62380427301724</v>
          </cell>
          <cell r="BZ23">
            <v>-502.26736772860136</v>
          </cell>
          <cell r="CA23">
            <v>-624.07188304050476</v>
          </cell>
          <cell r="CC23">
            <v>-541.48868223957516</v>
          </cell>
          <cell r="CD23">
            <v>-581.07410464918928</v>
          </cell>
          <cell r="CE23">
            <v>-589.87713738448531</v>
          </cell>
          <cell r="CF23">
            <v>-620.21788561504684</v>
          </cell>
          <cell r="CG23">
            <v>-652.26269410804343</v>
          </cell>
        </row>
        <row r="24">
          <cell r="A24" t="str">
            <v>Other net operating income</v>
          </cell>
          <cell r="B24">
            <v>12.5</v>
          </cell>
          <cell r="C24">
            <v>21.4</v>
          </cell>
          <cell r="D24">
            <v>39.9</v>
          </cell>
          <cell r="E24">
            <v>0</v>
          </cell>
          <cell r="F24">
            <v>0</v>
          </cell>
          <cell r="G24">
            <v>0</v>
          </cell>
          <cell r="H24">
            <v>0</v>
          </cell>
          <cell r="I24">
            <v>0</v>
          </cell>
          <cell r="J24">
            <v>0</v>
          </cell>
          <cell r="K24">
            <v>32</v>
          </cell>
          <cell r="L24">
            <v>0</v>
          </cell>
          <cell r="M24">
            <v>0</v>
          </cell>
          <cell r="N24">
            <v>0</v>
          </cell>
          <cell r="O24">
            <v>0</v>
          </cell>
          <cell r="P24">
            <v>0</v>
          </cell>
          <cell r="Q24">
            <v>0</v>
          </cell>
          <cell r="R24">
            <v>33</v>
          </cell>
          <cell r="S24">
            <v>0</v>
          </cell>
          <cell r="T24">
            <v>0</v>
          </cell>
          <cell r="U24">
            <v>0</v>
          </cell>
          <cell r="V24">
            <v>0</v>
          </cell>
          <cell r="W24">
            <v>0</v>
          </cell>
          <cell r="X24">
            <v>0</v>
          </cell>
          <cell r="Y24">
            <v>36</v>
          </cell>
          <cell r="Z24">
            <v>0</v>
          </cell>
          <cell r="AA24">
            <v>0</v>
          </cell>
          <cell r="AB24">
            <v>0</v>
          </cell>
          <cell r="AC24">
            <v>0</v>
          </cell>
          <cell r="AD24">
            <v>0</v>
          </cell>
          <cell r="AE24">
            <v>0</v>
          </cell>
          <cell r="AF24">
            <v>30.4</v>
          </cell>
          <cell r="AG24">
            <v>0</v>
          </cell>
          <cell r="AH24">
            <v>0</v>
          </cell>
          <cell r="AI24">
            <v>0</v>
          </cell>
          <cell r="AJ24">
            <v>0</v>
          </cell>
          <cell r="AK24">
            <v>0</v>
          </cell>
          <cell r="AL24">
            <v>0</v>
          </cell>
          <cell r="AM24">
            <v>26</v>
          </cell>
          <cell r="AU24">
            <v>0</v>
          </cell>
          <cell r="AV24">
            <v>0</v>
          </cell>
          <cell r="AW24">
            <v>0</v>
          </cell>
          <cell r="AX24">
            <v>0</v>
          </cell>
          <cell r="AY24">
            <v>0</v>
          </cell>
          <cell r="AZ24">
            <v>0</v>
          </cell>
          <cell r="BA24">
            <v>26</v>
          </cell>
          <cell r="BB24">
            <v>0</v>
          </cell>
          <cell r="BC24">
            <v>0</v>
          </cell>
          <cell r="BD24">
            <v>0</v>
          </cell>
          <cell r="BE24">
            <v>0</v>
          </cell>
          <cell r="BF24">
            <v>0</v>
          </cell>
          <cell r="BG24">
            <v>0</v>
          </cell>
          <cell r="BH24">
            <v>27</v>
          </cell>
          <cell r="BI24">
            <v>0</v>
          </cell>
          <cell r="BJ24">
            <v>0</v>
          </cell>
          <cell r="BK24">
            <v>0</v>
          </cell>
          <cell r="BL24">
            <v>0</v>
          </cell>
          <cell r="BM24">
            <v>0</v>
          </cell>
          <cell r="BN24">
            <v>0</v>
          </cell>
          <cell r="BO24">
            <v>41</v>
          </cell>
          <cell r="BP24">
            <v>85.043395214990696</v>
          </cell>
          <cell r="BQ24">
            <v>90.344781582372875</v>
          </cell>
          <cell r="BR24">
            <v>94.906194370817687</v>
          </cell>
          <cell r="BS24">
            <v>99.717872998612165</v>
          </cell>
          <cell r="BV24">
            <v>42.841108289675255</v>
          </cell>
          <cell r="BW24">
            <v>45.462027715091459</v>
          </cell>
          <cell r="BX24">
            <v>48.259842934183396</v>
          </cell>
          <cell r="BY24">
            <v>49.134562467844468</v>
          </cell>
          <cell r="BZ24">
            <v>51.669718164034485</v>
          </cell>
          <cell r="CA24">
            <v>60.592215812929958</v>
          </cell>
          <cell r="CC24">
            <v>51.216075006264816</v>
          </cell>
          <cell r="CD24" t="str">
            <v>mstag:otherOperatingExpense</v>
          </cell>
          <cell r="CE24">
            <v>6</v>
          </cell>
          <cell r="CF24" t="str">
            <v>ISO4217:GBP</v>
          </cell>
          <cell r="CG24" t="b">
            <v>1</v>
          </cell>
          <cell r="CH24" t="b">
            <v>0</v>
          </cell>
          <cell r="CK24" t="str">
            <v>mstag:otherOperatingExpense</v>
          </cell>
          <cell r="CL24">
            <v>6</v>
          </cell>
          <cell r="CM24" t="str">
            <v>ISO4217:GBP</v>
          </cell>
          <cell r="CN24" t="b">
            <v>1</v>
          </cell>
          <cell r="CO24" t="b">
            <v>0</v>
          </cell>
          <cell r="CP24" t="b">
            <v>0</v>
          </cell>
          <cell r="CR24" t="str">
            <v>mstag:otherOperatingExpense</v>
          </cell>
          <cell r="CS24">
            <v>6</v>
          </cell>
          <cell r="CT24" t="str">
            <v>ISO4217:GBP</v>
          </cell>
          <cell r="CU24" t="b">
            <v>1</v>
          </cell>
          <cell r="CV24" t="b">
            <v>0</v>
          </cell>
        </row>
        <row r="25">
          <cell r="A25" t="str">
            <v>Net Operating Expenses</v>
          </cell>
          <cell r="B25">
            <v>-942.3</v>
          </cell>
          <cell r="C25">
            <v>-901.30000000000007</v>
          </cell>
          <cell r="D25">
            <v>-1119.8999999999999</v>
          </cell>
          <cell r="E25">
            <v>0</v>
          </cell>
          <cell r="F25">
            <v>0</v>
          </cell>
          <cell r="G25">
            <v>0</v>
          </cell>
          <cell r="H25">
            <v>0</v>
          </cell>
          <cell r="I25">
            <v>0</v>
          </cell>
          <cell r="J25">
            <v>0</v>
          </cell>
          <cell r="K25">
            <v>-1099</v>
          </cell>
          <cell r="L25">
            <v>0</v>
          </cell>
          <cell r="M25">
            <v>0</v>
          </cell>
          <cell r="N25">
            <v>0</v>
          </cell>
          <cell r="O25">
            <v>0</v>
          </cell>
          <cell r="P25">
            <v>0</v>
          </cell>
          <cell r="Q25">
            <v>0</v>
          </cell>
          <cell r="R25">
            <v>-1111</v>
          </cell>
          <cell r="S25">
            <v>0</v>
          </cell>
          <cell r="T25">
            <v>0</v>
          </cell>
          <cell r="U25">
            <v>0</v>
          </cell>
          <cell r="V25">
            <v>0</v>
          </cell>
          <cell r="W25">
            <v>0</v>
          </cell>
          <cell r="X25">
            <v>0</v>
          </cell>
          <cell r="Y25">
            <v>-1180</v>
          </cell>
          <cell r="Z25">
            <v>0</v>
          </cell>
          <cell r="AA25">
            <v>0</v>
          </cell>
          <cell r="AB25">
            <v>0</v>
          </cell>
          <cell r="AC25">
            <v>0</v>
          </cell>
          <cell r="AD25">
            <v>0</v>
          </cell>
          <cell r="AE25">
            <v>0</v>
          </cell>
          <cell r="AF25">
            <v>-1198.5999999999999</v>
          </cell>
          <cell r="AG25">
            <v>0</v>
          </cell>
          <cell r="AH25">
            <v>0</v>
          </cell>
          <cell r="AI25">
            <v>0</v>
          </cell>
          <cell r="AJ25">
            <v>0</v>
          </cell>
          <cell r="AK25">
            <v>0</v>
          </cell>
          <cell r="AL25">
            <v>0</v>
          </cell>
          <cell r="AM25">
            <v>-1299</v>
          </cell>
          <cell r="AU25">
            <v>0</v>
          </cell>
          <cell r="AV25">
            <v>0</v>
          </cell>
          <cell r="AW25">
            <v>0</v>
          </cell>
          <cell r="AX25">
            <v>0</v>
          </cell>
          <cell r="AY25">
            <v>0</v>
          </cell>
          <cell r="AZ25">
            <v>0</v>
          </cell>
          <cell r="BA25">
            <v>-1372</v>
          </cell>
          <cell r="BB25">
            <v>0</v>
          </cell>
          <cell r="BC25">
            <v>0</v>
          </cell>
          <cell r="BD25">
            <v>0</v>
          </cell>
          <cell r="BE25">
            <v>0</v>
          </cell>
          <cell r="BF25">
            <v>0</v>
          </cell>
          <cell r="BG25">
            <v>0</v>
          </cell>
          <cell r="BH25">
            <v>-1453</v>
          </cell>
          <cell r="BI25">
            <v>0</v>
          </cell>
          <cell r="BJ25">
            <v>0</v>
          </cell>
          <cell r="BK25">
            <v>0</v>
          </cell>
          <cell r="BL25">
            <v>0</v>
          </cell>
          <cell r="BM25">
            <v>0</v>
          </cell>
          <cell r="BN25">
            <v>0</v>
          </cell>
          <cell r="BO25">
            <v>-1730</v>
          </cell>
          <cell r="BP25">
            <v>-1801.3285908500384</v>
          </cell>
          <cell r="BQ25">
            <v>-1882.6057443867339</v>
          </cell>
          <cell r="BR25">
            <v>-1977.6565239407885</v>
          </cell>
          <cell r="BS25">
            <v>-2077.9223463399444</v>
          </cell>
          <cell r="BV25">
            <v>-1827.7819409976278</v>
          </cell>
          <cell r="BW25">
            <v>-1911.3480380907433</v>
          </cell>
          <cell r="BX25">
            <v>-2028.9758452678661</v>
          </cell>
          <cell r="BY25">
            <v>-2065.7514478657181</v>
          </cell>
          <cell r="BZ25">
            <v>-2172.3363300125134</v>
          </cell>
          <cell r="CA25">
            <v>-1667.0710302147777</v>
          </cell>
          <cell r="CB25">
            <v>-528.22078609605569</v>
          </cell>
          <cell r="CC25">
            <v>-2195.2918163108334</v>
          </cell>
          <cell r="CD25">
            <v>-2352.0170682615235</v>
          </cell>
          <cell r="CE25">
            <v>-2387.649155598097</v>
          </cell>
          <cell r="CF25">
            <v>-2510.4595805183226</v>
          </cell>
          <cell r="CG25">
            <v>-2640.1675401772764</v>
          </cell>
        </row>
        <row r="27">
          <cell r="A27" t="str">
            <v>EBITDA pre-exceptionals</v>
          </cell>
          <cell r="B27">
            <v>406.49999999999983</v>
          </cell>
          <cell r="C27">
            <v>403.79999999999984</v>
          </cell>
          <cell r="D27">
            <v>505.70000000000005</v>
          </cell>
          <cell r="E27">
            <v>93.25</v>
          </cell>
          <cell r="F27">
            <v>101.75</v>
          </cell>
          <cell r="G27">
            <v>195</v>
          </cell>
          <cell r="H27">
            <v>78.25</v>
          </cell>
          <cell r="I27">
            <v>277.25</v>
          </cell>
          <cell r="J27">
            <v>-57.25</v>
          </cell>
          <cell r="K27">
            <v>211</v>
          </cell>
          <cell r="L27">
            <v>105.5</v>
          </cell>
          <cell r="M27">
            <v>137.75</v>
          </cell>
          <cell r="N27">
            <v>239.5</v>
          </cell>
          <cell r="O27">
            <v>-4.8715948827280755</v>
          </cell>
          <cell r="P27">
            <v>365.15000000000009</v>
          </cell>
          <cell r="Q27">
            <v>163.84999999999991</v>
          </cell>
          <cell r="R27">
            <v>529</v>
          </cell>
          <cell r="S27">
            <v>117.5</v>
          </cell>
          <cell r="T27">
            <v>153.5</v>
          </cell>
          <cell r="U27">
            <v>271</v>
          </cell>
          <cell r="V27">
            <v>135.5</v>
          </cell>
          <cell r="W27">
            <v>406.5</v>
          </cell>
          <cell r="X27">
            <v>192.5</v>
          </cell>
          <cell r="Y27">
            <v>599</v>
          </cell>
          <cell r="Z27">
            <v>128</v>
          </cell>
          <cell r="AA27">
            <v>167</v>
          </cell>
          <cell r="AB27">
            <v>295</v>
          </cell>
          <cell r="AC27">
            <v>159</v>
          </cell>
          <cell r="AD27">
            <v>454</v>
          </cell>
          <cell r="AE27">
            <v>205</v>
          </cell>
          <cell r="AF27">
            <v>659</v>
          </cell>
          <cell r="AG27">
            <v>139</v>
          </cell>
          <cell r="AH27">
            <v>183</v>
          </cell>
          <cell r="AI27">
            <v>322</v>
          </cell>
          <cell r="AJ27">
            <v>197</v>
          </cell>
          <cell r="AK27">
            <v>519</v>
          </cell>
          <cell r="AL27">
            <v>249</v>
          </cell>
          <cell r="AM27">
            <v>768</v>
          </cell>
          <cell r="AU27">
            <v>167</v>
          </cell>
          <cell r="AV27">
            <v>196</v>
          </cell>
          <cell r="AW27">
            <v>363</v>
          </cell>
          <cell r="AX27">
            <v>218</v>
          </cell>
          <cell r="AY27">
            <v>581</v>
          </cell>
          <cell r="AZ27">
            <v>265</v>
          </cell>
          <cell r="BA27">
            <v>846</v>
          </cell>
          <cell r="BB27">
            <v>182</v>
          </cell>
          <cell r="BC27">
            <v>207</v>
          </cell>
          <cell r="BD27">
            <v>389</v>
          </cell>
          <cell r="BE27">
            <v>234</v>
          </cell>
          <cell r="BF27">
            <v>622</v>
          </cell>
          <cell r="BG27">
            <v>309</v>
          </cell>
          <cell r="BH27">
            <v>931</v>
          </cell>
          <cell r="BI27">
            <v>221</v>
          </cell>
          <cell r="BJ27">
            <v>251.5</v>
          </cell>
          <cell r="BK27">
            <v>472.5</v>
          </cell>
          <cell r="BL27">
            <v>295.25</v>
          </cell>
          <cell r="BM27">
            <v>767.75</v>
          </cell>
          <cell r="BN27">
            <v>388.25</v>
          </cell>
          <cell r="BO27">
            <v>1156</v>
          </cell>
          <cell r="BP27">
            <v>1260.6975023972018</v>
          </cell>
          <cell r="BQ27">
            <v>1369.3774251398906</v>
          </cell>
          <cell r="BR27">
            <v>1465.0386781530963</v>
          </cell>
          <cell r="BS27">
            <v>1565.5204653895769</v>
          </cell>
          <cell r="BV27">
            <v>1294.5718711764564</v>
          </cell>
          <cell r="BW27">
            <v>1386.925340230646</v>
          </cell>
          <cell r="BX27">
            <v>1505.4608561683615</v>
          </cell>
          <cell r="BY27">
            <v>1511.1366375204234</v>
          </cell>
          <cell r="BZ27">
            <v>1507.9555704126574</v>
          </cell>
          <cell r="CA27">
            <v>1738.7104170384951</v>
          </cell>
          <cell r="CC27">
            <v>1539.0657581398266</v>
          </cell>
          <cell r="CD27">
            <v>1680.8165522855659</v>
          </cell>
          <cell r="CE27">
            <v>1677.4926392092277</v>
          </cell>
          <cell r="CF27">
            <v>1668.8834466434573</v>
          </cell>
          <cell r="CG27">
            <v>1785.1096772717283</v>
          </cell>
        </row>
        <row r="28">
          <cell r="A28" t="str">
            <v>EBITDA-Margin %</v>
          </cell>
          <cell r="B28">
            <v>0.17504952200499521</v>
          </cell>
          <cell r="C28">
            <v>0.18382955476645718</v>
          </cell>
          <cell r="D28">
            <v>0.16356696962835982</v>
          </cell>
          <cell r="E28">
            <v>0.12969401947148818</v>
          </cell>
          <cell r="F28">
            <v>0.12847222222222221</v>
          </cell>
          <cell r="G28">
            <v>0.12905360688285902</v>
          </cell>
          <cell r="H28">
            <v>0.10447263017356476</v>
          </cell>
          <cell r="I28">
            <v>0.12267699115044248</v>
          </cell>
          <cell r="J28">
            <v>-7.210327455919395E-2</v>
          </cell>
          <cell r="K28">
            <v>6.9089718402095615E-2</v>
          </cell>
          <cell r="N28">
            <v>0.15401929260450162</v>
          </cell>
          <cell r="O28">
            <v>-6.1900824431106423E-3</v>
          </cell>
          <cell r="P28">
            <v>0.15591374893253634</v>
          </cell>
          <cell r="Q28">
            <v>0.19052325581395338</v>
          </cell>
          <cell r="R28">
            <v>0.16520924422236102</v>
          </cell>
          <cell r="S28">
            <v>0.14381884944920439</v>
          </cell>
          <cell r="T28">
            <v>0.17463026166097839</v>
          </cell>
          <cell r="U28">
            <v>0.15978773584905662</v>
          </cell>
          <cell r="V28">
            <v>0.16073546856465007</v>
          </cell>
          <cell r="W28">
            <v>0.16010240252067742</v>
          </cell>
          <cell r="X28">
            <v>0.21388888888888888</v>
          </cell>
          <cell r="Y28">
            <v>0.17417854027333526</v>
          </cell>
          <cell r="Z28">
            <v>0.14970760233918129</v>
          </cell>
          <cell r="AA28">
            <v>0.1853496115427303</v>
          </cell>
          <cell r="AB28">
            <v>0.16799544419134396</v>
          </cell>
          <cell r="AC28">
            <v>0.1815068493150685</v>
          </cell>
          <cell r="AD28">
            <v>0.17249240121580547</v>
          </cell>
          <cell r="AE28">
            <v>0.23242630385487528</v>
          </cell>
          <cell r="AF28">
            <v>0.19079328314997104</v>
          </cell>
          <cell r="AG28">
            <v>0.16391509433962265</v>
          </cell>
          <cell r="AH28">
            <v>0.19406150583244963</v>
          </cell>
          <cell r="AI28">
            <v>0.17978782802903406</v>
          </cell>
          <cell r="AJ28">
            <v>0.20330237358101136</v>
          </cell>
          <cell r="AK28">
            <v>0.18804347826086956</v>
          </cell>
          <cell r="AL28">
            <v>0.26128016789087094</v>
          </cell>
          <cell r="AM28">
            <v>0.20684082951791005</v>
          </cell>
          <cell r="AU28">
            <v>0.18152173913043479</v>
          </cell>
          <cell r="AV28">
            <v>0.20566631689401887</v>
          </cell>
          <cell r="AW28">
            <v>0.19380672717565403</v>
          </cell>
          <cell r="AX28">
            <v>0.22336065573770492</v>
          </cell>
          <cell r="AY28">
            <v>0.20393120393120392</v>
          </cell>
          <cell r="AZ28">
            <v>0.25929549902152643</v>
          </cell>
          <cell r="BA28">
            <v>0.21854817876517696</v>
          </cell>
          <cell r="BB28">
            <v>0.18458417849898581</v>
          </cell>
          <cell r="BC28">
            <v>0.20136186770428016</v>
          </cell>
          <cell r="BD28">
            <v>0.19314796425024827</v>
          </cell>
          <cell r="BE28">
            <v>0.22117202268431002</v>
          </cell>
          <cell r="BF28">
            <v>0.20247395833333334</v>
          </cell>
          <cell r="BG28">
            <v>0.2791327913279133</v>
          </cell>
          <cell r="BH28">
            <v>0.22278056951423786</v>
          </cell>
          <cell r="BI28">
            <v>0.1901893287435456</v>
          </cell>
          <cell r="BJ28">
            <v>0.20547385620915032</v>
          </cell>
          <cell r="BK28">
            <v>0.19803017602682313</v>
          </cell>
          <cell r="BL28">
            <v>0.23753016894609816</v>
          </cell>
          <cell r="BM28">
            <v>0.21155965830807386</v>
          </cell>
          <cell r="BN28">
            <v>0.30027068832173243</v>
          </cell>
          <cell r="BO28">
            <v>0.23486387647297846</v>
          </cell>
          <cell r="BP28">
            <v>0.24414161392082132</v>
          </cell>
          <cell r="BQ28">
            <v>0.25206775616471461</v>
          </cell>
          <cell r="BR28">
            <v>0.25671528947488237</v>
          </cell>
          <cell r="BS28">
            <v>0.26108561647822148</v>
          </cell>
          <cell r="BV28">
            <v>0.24847741320862046</v>
          </cell>
          <cell r="BW28">
            <v>0.25412449469924009</v>
          </cell>
          <cell r="BX28">
            <v>0.25985184876041884</v>
          </cell>
          <cell r="BY28">
            <v>0.25618806261717997</v>
          </cell>
          <cell r="BZ28">
            <v>0.24310545308823586</v>
          </cell>
          <cell r="CA28">
            <v>0.23903014164246592</v>
          </cell>
          <cell r="CC28">
            <v>0.25031860532151079</v>
          </cell>
          <cell r="CD28">
            <v>0.25539673453674999</v>
          </cell>
          <cell r="CE28">
            <v>0.25108779612451126</v>
          </cell>
          <cell r="CF28">
            <v>0.23757911842291313</v>
          </cell>
          <cell r="CG28">
            <v>0.24164004615010035</v>
          </cell>
        </row>
        <row r="30">
          <cell r="A30" t="str">
            <v>EBITA pre-exceptionals</v>
          </cell>
          <cell r="B30">
            <v>355.89999999999981</v>
          </cell>
          <cell r="C30">
            <v>356.99999999999983</v>
          </cell>
          <cell r="D30">
            <v>432.50000000000006</v>
          </cell>
          <cell r="E30">
            <v>74.75</v>
          </cell>
          <cell r="F30">
            <v>83.25</v>
          </cell>
          <cell r="G30">
            <v>158</v>
          </cell>
          <cell r="H30">
            <v>57.75</v>
          </cell>
          <cell r="I30">
            <v>221.75</v>
          </cell>
          <cell r="J30">
            <v>-81.5</v>
          </cell>
          <cell r="K30">
            <v>140</v>
          </cell>
          <cell r="L30">
            <v>87.25</v>
          </cell>
          <cell r="M30">
            <v>118.25</v>
          </cell>
          <cell r="N30">
            <v>200.5</v>
          </cell>
          <cell r="O30">
            <v>91.700000000000045</v>
          </cell>
          <cell r="P30">
            <v>306.65000000000009</v>
          </cell>
          <cell r="Q30">
            <v>149.34999999999991</v>
          </cell>
          <cell r="R30">
            <v>456</v>
          </cell>
          <cell r="S30">
            <v>99</v>
          </cell>
          <cell r="T30">
            <v>135</v>
          </cell>
          <cell r="U30">
            <v>234</v>
          </cell>
          <cell r="V30">
            <v>117</v>
          </cell>
          <cell r="W30">
            <v>351</v>
          </cell>
          <cell r="X30">
            <v>178</v>
          </cell>
          <cell r="Y30">
            <v>529</v>
          </cell>
          <cell r="Z30">
            <v>109.75</v>
          </cell>
          <cell r="AA30">
            <v>150.75</v>
          </cell>
          <cell r="AB30">
            <v>260.5</v>
          </cell>
          <cell r="AC30">
            <v>139.75</v>
          </cell>
          <cell r="AD30">
            <v>400.25</v>
          </cell>
          <cell r="AE30">
            <v>166.75</v>
          </cell>
          <cell r="AF30">
            <v>584.40000000000009</v>
          </cell>
          <cell r="AG30">
            <v>119.25</v>
          </cell>
          <cell r="AH30">
            <v>165.25</v>
          </cell>
          <cell r="AI30">
            <v>284.5</v>
          </cell>
          <cell r="AJ30">
            <v>173.75</v>
          </cell>
          <cell r="AK30">
            <v>458.75</v>
          </cell>
          <cell r="AL30">
            <v>229.25</v>
          </cell>
          <cell r="AM30">
            <v>688</v>
          </cell>
          <cell r="AU30">
            <v>147.5</v>
          </cell>
          <cell r="AV30">
            <v>174.5</v>
          </cell>
          <cell r="AW30">
            <v>322</v>
          </cell>
          <cell r="AX30">
            <v>199.5</v>
          </cell>
          <cell r="AY30">
            <v>521.5</v>
          </cell>
          <cell r="AZ30">
            <v>239.5</v>
          </cell>
          <cell r="BA30">
            <v>761</v>
          </cell>
          <cell r="BB30">
            <v>160</v>
          </cell>
          <cell r="BC30">
            <v>185</v>
          </cell>
          <cell r="BD30">
            <v>345</v>
          </cell>
          <cell r="BE30">
            <v>210</v>
          </cell>
          <cell r="BF30">
            <v>555</v>
          </cell>
          <cell r="BG30">
            <v>285</v>
          </cell>
          <cell r="BH30">
            <v>849</v>
          </cell>
          <cell r="BI30">
            <v>198.25</v>
          </cell>
          <cell r="BJ30">
            <v>230.25</v>
          </cell>
          <cell r="BK30">
            <v>428.5</v>
          </cell>
          <cell r="BL30">
            <v>273.25</v>
          </cell>
          <cell r="BM30">
            <v>701.75</v>
          </cell>
          <cell r="BN30">
            <v>366.25</v>
          </cell>
          <cell r="BO30">
            <v>1068</v>
          </cell>
          <cell r="BP30">
            <v>1150.9781801064769</v>
          </cell>
          <cell r="BQ30">
            <v>1253.0704666327797</v>
          </cell>
          <cell r="BR30">
            <v>1340.1754113048821</v>
          </cell>
          <cell r="BS30">
            <v>1431.6688912114369</v>
          </cell>
          <cell r="BV30">
            <v>1211.9988711764563</v>
          </cell>
          <cell r="BW30">
            <v>1307.9495614003947</v>
          </cell>
          <cell r="BX30">
            <v>1417.8892612856334</v>
          </cell>
          <cell r="BY30">
            <v>1414.440224554714</v>
          </cell>
          <cell r="BZ30">
            <v>1507.9555704126574</v>
          </cell>
          <cell r="CA30">
            <v>1738.7104170384951</v>
          </cell>
          <cell r="CC30">
            <v>1447.9957581398266</v>
          </cell>
          <cell r="CD30">
            <v>1580.708364087131</v>
          </cell>
          <cell r="CE30">
            <v>1567.7100895263306</v>
          </cell>
          <cell r="CF30">
            <v>1668.8834466434573</v>
          </cell>
          <cell r="CG30">
            <v>1785.1096772717283</v>
          </cell>
        </row>
        <row r="31">
          <cell r="A31" t="str">
            <v>EBITA-Margin %</v>
          </cell>
          <cell r="B31">
            <v>0.15325983980707941</v>
          </cell>
          <cell r="C31">
            <v>0.16252390057361368</v>
          </cell>
          <cell r="D31">
            <v>0.13989067503315331</v>
          </cell>
          <cell r="E31">
            <v>0.10396383866481224</v>
          </cell>
          <cell r="F31">
            <v>0.10511363636363637</v>
          </cell>
          <cell r="G31">
            <v>0.10456651224354732</v>
          </cell>
          <cell r="H31">
            <v>7.7102803738317752E-2</v>
          </cell>
          <cell r="I31">
            <v>9.8119469026548667E-2</v>
          </cell>
          <cell r="J31">
            <v>-0.1026448362720403</v>
          </cell>
          <cell r="K31">
            <v>4.5841519318926001E-2</v>
          </cell>
          <cell r="L31">
            <v>0.11664438502673796</v>
          </cell>
          <cell r="M31">
            <v>0.14653035935563816</v>
          </cell>
          <cell r="N31">
            <v>0.12893890675241157</v>
          </cell>
          <cell r="O31">
            <v>0.11651842439644225</v>
          </cell>
          <cell r="P31">
            <v>0.13093509820666102</v>
          </cell>
          <cell r="Q31">
            <v>0.17366279069767432</v>
          </cell>
          <cell r="R31">
            <v>0.1424109931292942</v>
          </cell>
          <cell r="S31">
            <v>0.12117503059975521</v>
          </cell>
          <cell r="T31">
            <v>0.15358361774744028</v>
          </cell>
          <cell r="U31">
            <v>0.13797169811320756</v>
          </cell>
          <cell r="V31">
            <v>0.13879003558718861</v>
          </cell>
          <cell r="W31">
            <v>0.13824340291453327</v>
          </cell>
          <cell r="X31">
            <v>0.19777777777777777</v>
          </cell>
          <cell r="Y31">
            <v>0.15382378598429777</v>
          </cell>
          <cell r="Z31">
            <v>0.12836257309941521</v>
          </cell>
          <cell r="AA31">
            <v>0.16731409544950054</v>
          </cell>
          <cell r="AB31">
            <v>0.14834851936218679</v>
          </cell>
          <cell r="AC31">
            <v>0.15953196347031964</v>
          </cell>
          <cell r="AD31">
            <v>0.15207066869300911</v>
          </cell>
          <cell r="AE31">
            <v>0.18905895691609978</v>
          </cell>
          <cell r="AF31">
            <v>0.16919513607411699</v>
          </cell>
          <cell r="AG31">
            <v>0.140625</v>
          </cell>
          <cell r="AH31">
            <v>0.17523860021208909</v>
          </cell>
          <cell r="AI31">
            <v>0.1588498045784478</v>
          </cell>
          <cell r="AJ31">
            <v>0.17930856553147576</v>
          </cell>
          <cell r="AK31">
            <v>0.16621376811594202</v>
          </cell>
          <cell r="AL31">
            <v>0.24055613850996851</v>
          </cell>
          <cell r="AM31">
            <v>0.18529490977646107</v>
          </cell>
          <cell r="AU31">
            <v>0.16032608695652173</v>
          </cell>
          <cell r="AV31">
            <v>0.18310598111227702</v>
          </cell>
          <cell r="AW31">
            <v>0.17191671115856913</v>
          </cell>
          <cell r="AX31">
            <v>0.20440573770491804</v>
          </cell>
          <cell r="AY31">
            <v>0.18304668304668303</v>
          </cell>
          <cell r="AZ31">
            <v>0.23434442270058709</v>
          </cell>
          <cell r="BA31">
            <v>0.19659002841642986</v>
          </cell>
          <cell r="BB31">
            <v>0.16227180527383367</v>
          </cell>
          <cell r="BC31">
            <v>0.17996108949416342</v>
          </cell>
          <cell r="BD31">
            <v>0.17130089374379345</v>
          </cell>
          <cell r="BE31">
            <v>0.19848771266540643</v>
          </cell>
          <cell r="BF31">
            <v>0.1806640625</v>
          </cell>
          <cell r="BG31">
            <v>0.25745257452574527</v>
          </cell>
          <cell r="BH31">
            <v>0.2031586503948313</v>
          </cell>
          <cell r="BI31">
            <v>0.17061101549053356</v>
          </cell>
          <cell r="BJ31">
            <v>0.18811274509803921</v>
          </cell>
          <cell r="BK31">
            <v>0.17958927074601844</v>
          </cell>
          <cell r="BL31">
            <v>0.21983105390185037</v>
          </cell>
          <cell r="BM31">
            <v>0.19337282998071095</v>
          </cell>
          <cell r="BN31">
            <v>0.28325599381283834</v>
          </cell>
          <cell r="BO31">
            <v>0.21698496546119464</v>
          </cell>
          <cell r="BP31">
            <v>0.22289381072344761</v>
          </cell>
          <cell r="BQ31">
            <v>0.23065858618790189</v>
          </cell>
          <cell r="BR31">
            <v>0.23483579224950663</v>
          </cell>
          <cell r="BS31">
            <v>0.23876286724978282</v>
          </cell>
          <cell r="BV31">
            <v>0.23262852455462096</v>
          </cell>
          <cell r="BW31">
            <v>0.23965386725697346</v>
          </cell>
          <cell r="BX31">
            <v>0.24473645021920928</v>
          </cell>
          <cell r="BY31">
            <v>0.23979479540054746</v>
          </cell>
          <cell r="BZ31">
            <v>0.24310545308823586</v>
          </cell>
          <cell r="CA31">
            <v>0.23903014164246592</v>
          </cell>
          <cell r="CC31">
            <v>0.23550668759410798</v>
          </cell>
          <cell r="CD31">
            <v>0.24018549430264807</v>
          </cell>
          <cell r="CE31">
            <v>0.23465549841511418</v>
          </cell>
          <cell r="CF31">
            <v>0.23757911842291313</v>
          </cell>
          <cell r="CG31">
            <v>0.24164004615010035</v>
          </cell>
        </row>
        <row r="33">
          <cell r="A33" t="str">
            <v>Net operating expenses</v>
          </cell>
          <cell r="B33">
            <v>-942.3</v>
          </cell>
          <cell r="C33">
            <v>-901.30000000000007</v>
          </cell>
          <cell r="D33">
            <v>-1119.8999999999999</v>
          </cell>
          <cell r="E33">
            <v>-268</v>
          </cell>
          <cell r="F33">
            <v>-299</v>
          </cell>
          <cell r="G33">
            <v>-567</v>
          </cell>
          <cell r="H33">
            <v>-299</v>
          </cell>
          <cell r="I33">
            <v>-863</v>
          </cell>
          <cell r="J33">
            <v>-456</v>
          </cell>
          <cell r="K33">
            <v>-1319</v>
          </cell>
          <cell r="L33">
            <v>-271</v>
          </cell>
          <cell r="M33">
            <v>-280.20000000000005</v>
          </cell>
          <cell r="N33">
            <v>-551.20000000000005</v>
          </cell>
          <cell r="O33">
            <v>-281</v>
          </cell>
          <cell r="P33">
            <v>-833</v>
          </cell>
          <cell r="Q33">
            <v>-278</v>
          </cell>
          <cell r="R33">
            <v>-1111</v>
          </cell>
          <cell r="S33">
            <v>-304</v>
          </cell>
          <cell r="T33">
            <v>-293</v>
          </cell>
          <cell r="U33">
            <v>-597</v>
          </cell>
          <cell r="V33">
            <v>-298</v>
          </cell>
          <cell r="W33">
            <v>-895</v>
          </cell>
          <cell r="X33">
            <v>-285</v>
          </cell>
          <cell r="Y33">
            <v>-1180</v>
          </cell>
          <cell r="Z33">
            <v>-326</v>
          </cell>
          <cell r="AA33">
            <v>-327</v>
          </cell>
          <cell r="AB33">
            <v>-653</v>
          </cell>
          <cell r="AC33">
            <v>-323</v>
          </cell>
          <cell r="AD33">
            <v>-976</v>
          </cell>
          <cell r="AE33">
            <v>-300</v>
          </cell>
          <cell r="AF33">
            <v>-1198.5999999999999</v>
          </cell>
          <cell r="AG33">
            <v>-324</v>
          </cell>
          <cell r="AH33">
            <v>-339</v>
          </cell>
          <cell r="AI33">
            <v>-663</v>
          </cell>
          <cell r="AJ33">
            <v>-339</v>
          </cell>
          <cell r="AK33">
            <v>-1002</v>
          </cell>
          <cell r="AL33">
            <v>-297</v>
          </cell>
          <cell r="AM33">
            <v>-1299</v>
          </cell>
          <cell r="AU33">
            <v>-350</v>
          </cell>
          <cell r="AV33">
            <v>-358</v>
          </cell>
          <cell r="AW33">
            <v>-708</v>
          </cell>
          <cell r="AX33">
            <v>-337</v>
          </cell>
          <cell r="AY33">
            <v>-1045</v>
          </cell>
          <cell r="AZ33">
            <v>-327</v>
          </cell>
          <cell r="BA33">
            <v>-1372</v>
          </cell>
          <cell r="BB33">
            <v>-373</v>
          </cell>
          <cell r="BC33">
            <v>-378</v>
          </cell>
          <cell r="BD33">
            <v>-751</v>
          </cell>
          <cell r="BE33">
            <v>-368</v>
          </cell>
          <cell r="BF33">
            <v>-1119</v>
          </cell>
          <cell r="BG33">
            <v>-334</v>
          </cell>
          <cell r="BH33">
            <v>-1453</v>
          </cell>
          <cell r="BI33">
            <v>-436</v>
          </cell>
          <cell r="BJ33">
            <v>-468</v>
          </cell>
          <cell r="BK33">
            <v>-904</v>
          </cell>
          <cell r="BL33">
            <v>-431</v>
          </cell>
          <cell r="BM33">
            <v>-1335</v>
          </cell>
          <cell r="BN33">
            <v>-395</v>
          </cell>
          <cell r="BO33">
            <v>-1730</v>
          </cell>
          <cell r="BP33">
            <v>-472</v>
          </cell>
          <cell r="BQ33">
            <v>-493</v>
          </cell>
          <cell r="BR33">
            <v>-965</v>
          </cell>
          <cell r="BS33">
            <v>-447.52387383872394</v>
          </cell>
          <cell r="BT33">
            <v>-1412.5238738387241</v>
          </cell>
          <cell r="BU33">
            <v>-415.25806715890383</v>
          </cell>
          <cell r="BV33">
            <v>-1827.7819409976278</v>
          </cell>
          <cell r="BW33">
            <v>-1911.3480380907433</v>
          </cell>
          <cell r="BX33">
            <v>-2028.9758452678661</v>
          </cell>
          <cell r="BY33">
            <v>-2065.7514478657181</v>
          </cell>
          <cell r="BZ33">
            <v>-2172.3363300125134</v>
          </cell>
          <cell r="CA33">
            <v>-1667.0710302147777</v>
          </cell>
          <cell r="CB33">
            <v>-528.22078609605569</v>
          </cell>
          <cell r="CC33">
            <v>-2195.2918163108334</v>
          </cell>
          <cell r="CD33">
            <v>-2352.0170682615235</v>
          </cell>
          <cell r="CE33">
            <v>-2387.649155598097</v>
          </cell>
          <cell r="CF33">
            <v>-2510.4595805183226</v>
          </cell>
          <cell r="CG33">
            <v>-2640.1675401772764</v>
          </cell>
        </row>
        <row r="34">
          <cell r="A34" t="str">
            <v>Total operating profit (pre exceptionals)</v>
          </cell>
          <cell r="B34">
            <v>352.69999999999982</v>
          </cell>
          <cell r="C34">
            <v>354.29999999999984</v>
          </cell>
          <cell r="D34">
            <v>429.70000000000005</v>
          </cell>
          <cell r="E34">
            <v>74</v>
          </cell>
          <cell r="F34">
            <v>82</v>
          </cell>
          <cell r="G34">
            <v>156</v>
          </cell>
          <cell r="H34">
            <v>56</v>
          </cell>
          <cell r="I34">
            <v>215</v>
          </cell>
          <cell r="J34">
            <v>-78</v>
          </cell>
          <cell r="K34">
            <v>137</v>
          </cell>
          <cell r="L34">
            <v>86</v>
          </cell>
          <cell r="M34">
            <v>117</v>
          </cell>
          <cell r="N34">
            <v>203</v>
          </cell>
          <cell r="O34">
            <v>100.70000000000005</v>
          </cell>
          <cell r="P34">
            <v>302.90000000000009</v>
          </cell>
          <cell r="Q34">
            <v>148.09999999999991</v>
          </cell>
          <cell r="R34">
            <v>451</v>
          </cell>
          <cell r="S34">
            <v>98</v>
          </cell>
          <cell r="T34">
            <v>134</v>
          </cell>
          <cell r="U34">
            <v>232</v>
          </cell>
          <cell r="V34">
            <v>116</v>
          </cell>
          <cell r="W34">
            <v>348</v>
          </cell>
          <cell r="X34">
            <v>177</v>
          </cell>
          <cell r="Y34">
            <v>525</v>
          </cell>
          <cell r="Z34">
            <v>108</v>
          </cell>
          <cell r="AA34">
            <v>149</v>
          </cell>
          <cell r="AB34">
            <v>257</v>
          </cell>
          <cell r="AC34">
            <v>138</v>
          </cell>
          <cell r="AD34">
            <v>395</v>
          </cell>
          <cell r="AE34">
            <v>165</v>
          </cell>
          <cell r="AF34">
            <v>577.40000000000009</v>
          </cell>
          <cell r="AG34">
            <v>117</v>
          </cell>
          <cell r="AH34">
            <v>163</v>
          </cell>
          <cell r="AI34">
            <v>280</v>
          </cell>
          <cell r="AJ34">
            <v>172</v>
          </cell>
          <cell r="AK34">
            <v>452</v>
          </cell>
          <cell r="AL34">
            <v>227</v>
          </cell>
          <cell r="AM34">
            <v>679</v>
          </cell>
          <cell r="AU34">
            <v>144</v>
          </cell>
          <cell r="AV34">
            <v>171</v>
          </cell>
          <cell r="AW34">
            <v>315</v>
          </cell>
          <cell r="AX34">
            <v>196</v>
          </cell>
          <cell r="AY34">
            <v>511</v>
          </cell>
          <cell r="AZ34">
            <v>238</v>
          </cell>
          <cell r="BA34">
            <v>749</v>
          </cell>
          <cell r="BB34">
            <v>160</v>
          </cell>
          <cell r="BC34">
            <v>185</v>
          </cell>
          <cell r="BD34">
            <v>345</v>
          </cell>
          <cell r="BE34">
            <v>210</v>
          </cell>
          <cell r="BF34">
            <v>555</v>
          </cell>
          <cell r="BG34">
            <v>285</v>
          </cell>
          <cell r="BH34">
            <v>840</v>
          </cell>
          <cell r="BI34">
            <v>196</v>
          </cell>
          <cell r="BJ34">
            <v>228</v>
          </cell>
          <cell r="BK34">
            <v>424</v>
          </cell>
          <cell r="BL34">
            <v>271</v>
          </cell>
          <cell r="BM34">
            <v>695</v>
          </cell>
          <cell r="BN34">
            <v>364</v>
          </cell>
          <cell r="BO34">
            <v>1059</v>
          </cell>
          <cell r="BP34">
            <v>244</v>
          </cell>
          <cell r="BQ34">
            <v>266</v>
          </cell>
          <cell r="BR34">
            <v>510</v>
          </cell>
          <cell r="BS34">
            <v>294.89222338976128</v>
          </cell>
          <cell r="BT34">
            <v>804.89222338976128</v>
          </cell>
          <cell r="BU34">
            <v>398.10664778669536</v>
          </cell>
          <cell r="BV34">
            <v>1202.9988711764563</v>
          </cell>
          <cell r="BW34">
            <v>1298.9495614003947</v>
          </cell>
          <cell r="BX34">
            <v>1408.8892612856334</v>
          </cell>
          <cell r="BY34">
            <v>1405.440224554714</v>
          </cell>
          <cell r="BZ34">
            <v>1507.9555704126574</v>
          </cell>
          <cell r="CA34">
            <v>947.09922644432891</v>
          </cell>
          <cell r="CB34">
            <v>491.89653169549774</v>
          </cell>
          <cell r="CC34">
            <v>1438.9957581398266</v>
          </cell>
          <cell r="CD34">
            <v>1571.708364087131</v>
          </cell>
          <cell r="CE34">
            <v>1558.7100895263306</v>
          </cell>
          <cell r="CF34">
            <v>1668.8834466434573</v>
          </cell>
          <cell r="CG34">
            <v>1785.1096772717283</v>
          </cell>
        </row>
        <row r="35">
          <cell r="A35" t="str">
            <v>Operating margin %</v>
          </cell>
          <cell r="B35">
            <v>0.15188183618981993</v>
          </cell>
          <cell r="C35">
            <v>0.16129472821633428</v>
          </cell>
          <cell r="D35">
            <v>0.1389850244202219</v>
          </cell>
          <cell r="E35">
            <v>0.10292072322670376</v>
          </cell>
          <cell r="F35">
            <v>0.10353535353535354</v>
          </cell>
          <cell r="G35">
            <v>0.10324288550628723</v>
          </cell>
          <cell r="H35">
            <v>7.476635514018691E-2</v>
          </cell>
          <cell r="I35">
            <v>9.5132743362831854E-2</v>
          </cell>
          <cell r="J35">
            <v>-9.8236775818639793E-2</v>
          </cell>
          <cell r="K35">
            <v>4.4859201047806156E-2</v>
          </cell>
          <cell r="L35">
            <v>0.11497326203208556</v>
          </cell>
          <cell r="M35">
            <v>0.1449814126394052</v>
          </cell>
          <cell r="N35">
            <v>0.13054662379421222</v>
          </cell>
          <cell r="O35">
            <v>0.12795425667090221</v>
          </cell>
          <cell r="P35">
            <v>0.12933390264731004</v>
          </cell>
          <cell r="Q35">
            <v>0.17220930232558129</v>
          </cell>
          <cell r="R35">
            <v>0.14084946908182386</v>
          </cell>
          <cell r="S35">
            <v>0.11995104039167687</v>
          </cell>
          <cell r="T35">
            <v>0.15244596131968147</v>
          </cell>
          <cell r="U35">
            <v>0.13679245283018868</v>
          </cell>
          <cell r="V35">
            <v>0.13760379596678529</v>
          </cell>
          <cell r="W35">
            <v>0.13706183536825522</v>
          </cell>
          <cell r="X35">
            <v>0.19666666666666666</v>
          </cell>
          <cell r="Y35">
            <v>0.15266065716778132</v>
          </cell>
          <cell r="Z35">
            <v>0.12631578947368421</v>
          </cell>
          <cell r="AA35">
            <v>0.16537180910099888</v>
          </cell>
          <cell r="AB35">
            <v>0.14635535307517084</v>
          </cell>
          <cell r="AC35">
            <v>0.15753424657534246</v>
          </cell>
          <cell r="AD35">
            <v>0.15007598784194529</v>
          </cell>
          <cell r="AE35">
            <v>0.1870748299319728</v>
          </cell>
          <cell r="AF35">
            <v>0.16716850028951943</v>
          </cell>
          <cell r="AG35">
            <v>0.13797169811320756</v>
          </cell>
          <cell r="AH35">
            <v>0.1728525980911983</v>
          </cell>
          <cell r="AI35">
            <v>0.15633724176437744</v>
          </cell>
          <cell r="AJ35">
            <v>0.17750257997936017</v>
          </cell>
          <cell r="AK35">
            <v>0.16376811594202897</v>
          </cell>
          <cell r="AL35">
            <v>0.23819517313746066</v>
          </cell>
          <cell r="AM35">
            <v>0.18287099380554808</v>
          </cell>
          <cell r="AU35">
            <v>0.15652173913043479</v>
          </cell>
          <cell r="AV35">
            <v>0.17943336831059811</v>
          </cell>
          <cell r="AW35">
            <v>0.16817939135077417</v>
          </cell>
          <cell r="AX35">
            <v>0.20081967213114754</v>
          </cell>
          <cell r="AY35">
            <v>0.17936117936117937</v>
          </cell>
          <cell r="AZ35">
            <v>0.23287671232876711</v>
          </cell>
          <cell r="BA35">
            <v>0.19349005424954793</v>
          </cell>
          <cell r="BB35">
            <v>0.16227180527383367</v>
          </cell>
          <cell r="BC35">
            <v>0.17996108949416342</v>
          </cell>
          <cell r="BD35">
            <v>0.17130089374379345</v>
          </cell>
          <cell r="BE35">
            <v>0.19848771266540643</v>
          </cell>
          <cell r="BF35">
            <v>0.1806640625</v>
          </cell>
          <cell r="BG35">
            <v>0.25745257452574527</v>
          </cell>
          <cell r="BH35">
            <v>0.20100502512562815</v>
          </cell>
          <cell r="BI35">
            <v>0.16867469879518071</v>
          </cell>
          <cell r="BJ35">
            <v>0.18627450980392157</v>
          </cell>
          <cell r="BK35">
            <v>0.17770326906957251</v>
          </cell>
          <cell r="BL35">
            <v>0.21802091713596139</v>
          </cell>
          <cell r="BM35">
            <v>0.19151281344723065</v>
          </cell>
          <cell r="BN35">
            <v>0.28151585460170148</v>
          </cell>
          <cell r="BO35">
            <v>0.2151564404713531</v>
          </cell>
          <cell r="BP35">
            <v>0.19395866454689983</v>
          </cell>
          <cell r="BQ35">
            <v>0.20430107526881722</v>
          </cell>
          <cell r="BR35">
            <v>0.19921875</v>
          </cell>
          <cell r="BS35">
            <v>0.2280209171359614</v>
          </cell>
          <cell r="BT35">
            <v>0.20888559040351787</v>
          </cell>
          <cell r="BU35">
            <v>0.29342667825764812</v>
          </cell>
          <cell r="BV35">
            <v>0.23090108340695772</v>
          </cell>
          <cell r="BW35">
            <v>0.23800480916714667</v>
          </cell>
          <cell r="BX35">
            <v>0.24318299459181023</v>
          </cell>
          <cell r="BY35">
            <v>0.23826899521391579</v>
          </cell>
          <cell r="BZ35">
            <v>0.24310545308823586</v>
          </cell>
          <cell r="CA35">
            <v>0.21107484858793646</v>
          </cell>
          <cell r="CB35">
            <v>0.29607402531780574</v>
          </cell>
          <cell r="CC35">
            <v>0.23404289864553407</v>
          </cell>
          <cell r="CD35">
            <v>0.23881796218993465</v>
          </cell>
          <cell r="CE35">
            <v>0.23330837467084198</v>
          </cell>
          <cell r="CF35">
            <v>0.23757911842291313</v>
          </cell>
          <cell r="CG35">
            <v>0.24164004615010035</v>
          </cell>
        </row>
        <row r="36">
          <cell r="A36" t="str">
            <v>Operating margin growth in bps</v>
          </cell>
          <cell r="C36">
            <v>94.12892026514352</v>
          </cell>
          <cell r="D36">
            <v>-223.09703796112385</v>
          </cell>
          <cell r="K36">
            <v>-941.25823372415732</v>
          </cell>
          <cell r="L36">
            <v>120.52538805381805</v>
          </cell>
          <cell r="M36">
            <v>414.46059104051665</v>
          </cell>
          <cell r="N36">
            <v>273.03738287924995</v>
          </cell>
          <cell r="O36">
            <v>531.87901530715305</v>
          </cell>
          <cell r="P36">
            <v>342.01159284478183</v>
          </cell>
          <cell r="Q36">
            <v>2704.4607814422106</v>
          </cell>
          <cell r="R36">
            <v>959.90268034017697</v>
          </cell>
          <cell r="S36">
            <v>49.777783595913036</v>
          </cell>
          <cell r="T36">
            <v>74.645486802762676</v>
          </cell>
          <cell r="U36">
            <v>62.458290359764526</v>
          </cell>
          <cell r="V36">
            <v>96.495392958830806</v>
          </cell>
          <cell r="W36">
            <v>77.27932720945185</v>
          </cell>
          <cell r="X36">
            <v>244.57364341085363</v>
          </cell>
          <cell r="Y36">
            <v>118.11188085957464</v>
          </cell>
          <cell r="AA36">
            <v>129.25847781317418</v>
          </cell>
          <cell r="AB36">
            <v>95.629002449821584</v>
          </cell>
          <cell r="AC36">
            <v>199.30450608557166</v>
          </cell>
          <cell r="AD36">
            <v>130.14152473690061</v>
          </cell>
          <cell r="AE36">
            <v>-95.918367346938538</v>
          </cell>
          <cell r="AF36">
            <v>145.07843121738111</v>
          </cell>
          <cell r="AG36">
            <v>116.55908639523344</v>
          </cell>
          <cell r="AH36">
            <v>74.807889901994102</v>
          </cell>
          <cell r="AI36">
            <v>99.818886892066033</v>
          </cell>
          <cell r="AJ36">
            <v>199.68333404017713</v>
          </cell>
          <cell r="AK36">
            <v>136.9212810008369</v>
          </cell>
          <cell r="AL36">
            <v>511.20343205487859</v>
          </cell>
          <cell r="AM36">
            <v>157.02493516028647</v>
          </cell>
          <cell r="AU36">
            <v>185.50041017227238</v>
          </cell>
          <cell r="AV36">
            <v>65.807702193998168</v>
          </cell>
          <cell r="AW36">
            <v>118.42149586396732</v>
          </cell>
          <cell r="AX36">
            <v>233.17092151787372</v>
          </cell>
          <cell r="AY36">
            <v>155.930634191504</v>
          </cell>
          <cell r="AZ36">
            <v>-53.184608086935533</v>
          </cell>
          <cell r="BA36">
            <v>106.19060443999851</v>
          </cell>
          <cell r="BB36">
            <v>57.500661433988739</v>
          </cell>
          <cell r="BC36">
            <v>5.2772118356531061</v>
          </cell>
          <cell r="BD36">
            <v>31.215023930192821</v>
          </cell>
          <cell r="BE36">
            <v>-23.31959465741107</v>
          </cell>
          <cell r="BF36">
            <v>13.028831388206264</v>
          </cell>
          <cell r="BG36">
            <v>245.75862196978159</v>
          </cell>
          <cell r="BH36">
            <v>75.149708760802184</v>
          </cell>
          <cell r="BI36">
            <v>64.028935213470419</v>
          </cell>
          <cell r="BJ36">
            <v>63.134203097581498</v>
          </cell>
          <cell r="BK36">
            <v>64.023753257790588</v>
          </cell>
          <cell r="BL36">
            <v>195.33204470554955</v>
          </cell>
          <cell r="BM36">
            <v>108.48750947230646</v>
          </cell>
          <cell r="BN36">
            <v>240.63280075956206</v>
          </cell>
          <cell r="BO36">
            <v>141.51415345724951</v>
          </cell>
          <cell r="BP36">
            <v>249.99999999999994</v>
          </cell>
          <cell r="BQ36">
            <v>179.99999999999989</v>
          </cell>
          <cell r="BR36">
            <v>210.0000000000002</v>
          </cell>
          <cell r="BS36">
            <v>100.00000000000009</v>
          </cell>
          <cell r="BT36">
            <v>169.99999999999989</v>
          </cell>
          <cell r="BU36">
            <v>110.0000000000001</v>
          </cell>
          <cell r="BV36">
            <v>160.00000000000014</v>
          </cell>
          <cell r="BW36">
            <v>69.999999999999787</v>
          </cell>
          <cell r="BX36">
            <v>50.000000000000043</v>
          </cell>
          <cell r="BY36">
            <v>-50.000000000000043</v>
          </cell>
          <cell r="BZ36">
            <v>50.000000000000043</v>
          </cell>
          <cell r="CA36">
            <v>50.000000000000043</v>
          </cell>
          <cell r="CB36">
            <v>120.00000000000011</v>
          </cell>
          <cell r="CC36">
            <v>80.000000000000071</v>
          </cell>
          <cell r="CD36">
            <v>49.999999999999766</v>
          </cell>
          <cell r="CE36">
            <v>-59.999999999999773</v>
          </cell>
          <cell r="CF36">
            <v>49.999999999999766</v>
          </cell>
          <cell r="CG36">
            <v>40.000000000000036</v>
          </cell>
        </row>
        <row r="37">
          <cell r="A37" t="str">
            <v>Operating profit growth</v>
          </cell>
          <cell r="C37">
            <v>4.5364332293735821E-3</v>
          </cell>
          <cell r="D37">
            <v>0.21281399943550738</v>
          </cell>
          <cell r="K37">
            <v>-0.68117291133348856</v>
          </cell>
          <cell r="R37">
            <v>2.2919708029197081</v>
          </cell>
          <cell r="S37">
            <v>0.13953488372093026</v>
          </cell>
          <cell r="T37">
            <v>0.14529914529914523</v>
          </cell>
          <cell r="U37">
            <v>0.14285714285714279</v>
          </cell>
          <cell r="V37">
            <v>0.15193644488579894</v>
          </cell>
          <cell r="W37">
            <v>0.14889402443050481</v>
          </cell>
          <cell r="X37">
            <v>0.19513841998649628</v>
          </cell>
          <cell r="Y37">
            <v>0.16407982261640797</v>
          </cell>
          <cell r="Z37">
            <v>0.1020408163265305</v>
          </cell>
          <cell r="AA37">
            <v>0.11194029850746268</v>
          </cell>
          <cell r="AB37">
            <v>0.10775862068965525</v>
          </cell>
          <cell r="AC37">
            <v>0.18965517241379315</v>
          </cell>
          <cell r="AD37">
            <v>0.13505747126436773</v>
          </cell>
          <cell r="AE37">
            <v>-6.7796610169491567E-2</v>
          </cell>
          <cell r="AF37">
            <v>9.9809523809524014E-2</v>
          </cell>
          <cell r="AG37">
            <v>8.3333333333333259E-2</v>
          </cell>
          <cell r="AH37">
            <v>9.3959731543624248E-2</v>
          </cell>
          <cell r="AI37">
            <v>8.9494163424124418E-2</v>
          </cell>
          <cell r="AJ37">
            <v>0.24637681159420288</v>
          </cell>
          <cell r="AK37">
            <v>0.14430379746835453</v>
          </cell>
          <cell r="AL37">
            <v>0.37575757575757573</v>
          </cell>
          <cell r="AM37">
            <v>0.17596120540353288</v>
          </cell>
          <cell r="AU37">
            <v>0.23076923076923084</v>
          </cell>
          <cell r="AV37">
            <v>4.9079754601226933E-2</v>
          </cell>
          <cell r="AW37">
            <v>0.125</v>
          </cell>
          <cell r="AX37">
            <v>0.13953488372093026</v>
          </cell>
          <cell r="AY37">
            <v>0.13053097345132736</v>
          </cell>
          <cell r="AZ37">
            <v>4.8458149779735615E-2</v>
          </cell>
          <cell r="BA37">
            <v>0.10309278350515472</v>
          </cell>
          <cell r="BB37">
            <v>0.11111111111111116</v>
          </cell>
          <cell r="BC37">
            <v>8.1871345029239873E-2</v>
          </cell>
          <cell r="BD37">
            <v>9.5238095238095344E-2</v>
          </cell>
          <cell r="BE37">
            <v>7.1428571428571397E-2</v>
          </cell>
          <cell r="BF37">
            <v>8.6105675146771032E-2</v>
          </cell>
          <cell r="BG37">
            <v>0.19747899159663862</v>
          </cell>
          <cell r="BH37">
            <v>0.12149532710280364</v>
          </cell>
          <cell r="BI37">
            <v>0.22500000000000009</v>
          </cell>
          <cell r="BJ37">
            <v>0.2324324324324325</v>
          </cell>
          <cell r="BK37">
            <v>0.2289855072463769</v>
          </cell>
          <cell r="BL37">
            <v>0.29047619047619055</v>
          </cell>
          <cell r="BM37">
            <v>0.25225225225225234</v>
          </cell>
          <cell r="BN37">
            <v>0.27719298245614032</v>
          </cell>
          <cell r="BO37">
            <v>0.26071428571428568</v>
          </cell>
          <cell r="BP37">
            <v>0.24489795918367352</v>
          </cell>
          <cell r="BQ37">
            <v>0.16666666666666674</v>
          </cell>
          <cell r="BR37">
            <v>0.20283018867924518</v>
          </cell>
          <cell r="BS37">
            <v>8.8163185940078437E-2</v>
          </cell>
          <cell r="BT37">
            <v>0.15811830703562779</v>
          </cell>
          <cell r="BU37">
            <v>9.3699581831580669E-2</v>
          </cell>
          <cell r="BV37">
            <v>0.1359762711770125</v>
          </cell>
          <cell r="BW37">
            <v>7.9759584587228094E-2</v>
          </cell>
          <cell r="BX37">
            <v>8.4637389435439747E-2</v>
          </cell>
          <cell r="BY37">
            <v>-2.4480538149408426E-3</v>
          </cell>
          <cell r="BZ37">
            <v>7.2941804330684645E-2</v>
          </cell>
          <cell r="CA37">
            <v>0.18239603800790127</v>
          </cell>
          <cell r="CB37">
            <v>0.26451550564395343</v>
          </cell>
          <cell r="CC37">
            <v>0.20924013289061061</v>
          </cell>
          <cell r="CD37">
            <v>9.2225849309563346E-2</v>
          </cell>
          <cell r="CE37">
            <v>-8.2701567655968367E-3</v>
          </cell>
          <cell r="CF37">
            <v>7.068239171442503E-2</v>
          </cell>
          <cell r="CG37">
            <v>6.9643108308151236E-2</v>
          </cell>
        </row>
        <row r="38">
          <cell r="A38" t="str">
            <v>Operating profit growth at constant FX</v>
          </cell>
          <cell r="R38">
            <v>0.26</v>
          </cell>
          <cell r="Y38">
            <v>0.14000000000000001</v>
          </cell>
          <cell r="AF38">
            <v>0.12</v>
          </cell>
          <cell r="AI38">
            <v>7.0000000000000007E-2</v>
          </cell>
          <cell r="AM38">
            <v>0.15</v>
          </cell>
          <cell r="AU38">
            <v>0.24</v>
          </cell>
          <cell r="AV38">
            <v>0.14000000000000001</v>
          </cell>
          <cell r="AW38">
            <v>0.19</v>
          </cell>
          <cell r="AX38">
            <v>0.24</v>
          </cell>
          <cell r="AY38">
            <v>0.21</v>
          </cell>
          <cell r="AZ38">
            <v>0.11</v>
          </cell>
          <cell r="BA38">
            <v>0.18</v>
          </cell>
          <cell r="BB38">
            <v>0.1</v>
          </cell>
          <cell r="BC38">
            <v>0.06</v>
          </cell>
          <cell r="BD38">
            <v>0.08</v>
          </cell>
          <cell r="BE38">
            <v>0.04</v>
          </cell>
          <cell r="BF38">
            <v>7.0000000000000007E-2</v>
          </cell>
          <cell r="BI38">
            <v>0.18</v>
          </cell>
          <cell r="BJ38">
            <v>0.21</v>
          </cell>
          <cell r="BK38">
            <v>0.2</v>
          </cell>
          <cell r="BL38">
            <v>0.32</v>
          </cell>
          <cell r="BM38">
            <v>0.24</v>
          </cell>
        </row>
        <row r="40">
          <cell r="A40" t="str">
            <v>Restructuring costs (one-time)</v>
          </cell>
          <cell r="B40">
            <v>0</v>
          </cell>
          <cell r="C40">
            <v>0</v>
          </cell>
          <cell r="D40">
            <v>0</v>
          </cell>
          <cell r="E40">
            <v>0</v>
          </cell>
          <cell r="F40">
            <v>0</v>
          </cell>
          <cell r="G40">
            <v>0</v>
          </cell>
          <cell r="H40">
            <v>0</v>
          </cell>
          <cell r="I40">
            <v>0</v>
          </cell>
          <cell r="J40">
            <v>-38</v>
          </cell>
          <cell r="K40">
            <v>-38</v>
          </cell>
          <cell r="L40">
            <v>0</v>
          </cell>
          <cell r="M40">
            <v>2</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-42</v>
          </cell>
          <cell r="BJ40">
            <v>-15</v>
          </cell>
          <cell r="BK40">
            <v>-57</v>
          </cell>
          <cell r="BL40">
            <v>-47</v>
          </cell>
          <cell r="BM40">
            <v>-104</v>
          </cell>
          <cell r="BN40">
            <v>-45</v>
          </cell>
          <cell r="BO40">
            <v>-149</v>
          </cell>
          <cell r="BP40">
            <v>0</v>
          </cell>
          <cell r="BQ40">
            <v>0</v>
          </cell>
          <cell r="BR40">
            <v>0</v>
          </cell>
          <cell r="BS40">
            <v>0</v>
          </cell>
          <cell r="BT40">
            <v>0</v>
          </cell>
          <cell r="BU40">
            <v>0</v>
          </cell>
          <cell r="BV40">
            <v>0</v>
          </cell>
          <cell r="BW40">
            <v>0</v>
          </cell>
          <cell r="BX40">
            <v>0</v>
          </cell>
          <cell r="BY40">
            <v>0</v>
          </cell>
          <cell r="BZ40">
            <v>0</v>
          </cell>
          <cell r="CA40">
            <v>-30</v>
          </cell>
          <cell r="CB40">
            <v>0</v>
          </cell>
          <cell r="CC40">
            <v>-30</v>
          </cell>
          <cell r="CD40" t="str">
            <v>mstag:restructuringCostsOneTimeGrossOfTax</v>
          </cell>
          <cell r="CE40">
            <v>6</v>
          </cell>
          <cell r="CF40" t="str">
            <v>ISO4217:GBP</v>
          </cell>
          <cell r="CG40" t="b">
            <v>1</v>
          </cell>
          <cell r="CH40" t="b">
            <v>0</v>
          </cell>
          <cell r="CK40" t="str">
            <v>mstag:restructuringCostsOneTimeGrossOfTax</v>
          </cell>
          <cell r="CL40">
            <v>6</v>
          </cell>
          <cell r="CM40" t="str">
            <v>ISO4217:GBP</v>
          </cell>
          <cell r="CN40" t="b">
            <v>1</v>
          </cell>
          <cell r="CO40" t="b">
            <v>0</v>
          </cell>
          <cell r="CP40" t="b">
            <v>0</v>
          </cell>
          <cell r="CR40" t="str">
            <v>mstag:restructuringCostsOneTimeGrossOfTax</v>
          </cell>
          <cell r="CS40">
            <v>6</v>
          </cell>
          <cell r="CT40" t="str">
            <v>ISO4217:GBP</v>
          </cell>
          <cell r="CU40" t="b">
            <v>1</v>
          </cell>
          <cell r="CV40" t="b">
            <v>0</v>
          </cell>
        </row>
        <row r="41">
          <cell r="A41" t="str">
            <v>Profit on disposal of businesses</v>
          </cell>
          <cell r="B41">
            <v>38.299999999999997</v>
          </cell>
          <cell r="C41">
            <v>3.2</v>
          </cell>
          <cell r="D41">
            <v>-1.2999999999999998</v>
          </cell>
          <cell r="E41">
            <v>0</v>
          </cell>
          <cell r="F41">
            <v>-3</v>
          </cell>
          <cell r="G41">
            <v>-3</v>
          </cell>
          <cell r="H41">
            <v>-1</v>
          </cell>
          <cell r="I41">
            <v>-3</v>
          </cell>
          <cell r="J41">
            <v>25</v>
          </cell>
          <cell r="K41">
            <v>22</v>
          </cell>
          <cell r="L41">
            <v>1</v>
          </cell>
          <cell r="M41">
            <v>1</v>
          </cell>
          <cell r="N41">
            <v>2</v>
          </cell>
          <cell r="O41">
            <v>40</v>
          </cell>
          <cell r="P41">
            <v>40</v>
          </cell>
          <cell r="Q41">
            <v>16</v>
          </cell>
          <cell r="R41">
            <v>56</v>
          </cell>
          <cell r="S41">
            <v>0</v>
          </cell>
          <cell r="T41">
            <v>23</v>
          </cell>
          <cell r="U41">
            <v>23</v>
          </cell>
          <cell r="V41">
            <v>5</v>
          </cell>
          <cell r="W41">
            <v>28</v>
          </cell>
          <cell r="X41">
            <v>-4</v>
          </cell>
          <cell r="Y41">
            <v>24</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t="str">
            <v>mstag:gainsLossesFromSaleOfOperatingAssetsOneTimeGrossOfTax</v>
          </cell>
          <cell r="CE41">
            <v>6</v>
          </cell>
          <cell r="CF41" t="str">
            <v>ISO4217:GBP</v>
          </cell>
          <cell r="CG41" t="b">
            <v>0</v>
          </cell>
          <cell r="CH41" t="b">
            <v>0</v>
          </cell>
          <cell r="CK41" t="str">
            <v>mstag:gainsLossesFromSaleOfOperatingAssetsOneTimeGrossOfTax</v>
          </cell>
          <cell r="CL41">
            <v>6</v>
          </cell>
          <cell r="CM41" t="str">
            <v>ISO4217:GBP</v>
          </cell>
          <cell r="CN41" t="b">
            <v>0</v>
          </cell>
          <cell r="CO41" t="b">
            <v>0</v>
          </cell>
          <cell r="CP41" t="b">
            <v>0</v>
          </cell>
          <cell r="CR41" t="str">
            <v>mstag:gainsLossesFromSaleOfOperatingAssetsOneTimeGrossOfTax</v>
          </cell>
          <cell r="CS41">
            <v>6</v>
          </cell>
          <cell r="CT41" t="str">
            <v>ISO4217:GBP</v>
          </cell>
          <cell r="CU41" t="b">
            <v>0</v>
          </cell>
          <cell r="CV41" t="b">
            <v>0</v>
          </cell>
        </row>
        <row r="42">
          <cell r="A42" t="str">
            <v>Profit before Interest</v>
          </cell>
          <cell r="B42">
            <v>390.99999999999983</v>
          </cell>
          <cell r="C42">
            <v>357.49999999999983</v>
          </cell>
          <cell r="D42">
            <v>428.40000000000003</v>
          </cell>
          <cell r="E42">
            <v>74</v>
          </cell>
          <cell r="F42">
            <v>79</v>
          </cell>
          <cell r="G42">
            <v>153</v>
          </cell>
          <cell r="H42">
            <v>55</v>
          </cell>
          <cell r="I42">
            <v>212</v>
          </cell>
          <cell r="J42">
            <v>-91</v>
          </cell>
          <cell r="K42">
            <v>121</v>
          </cell>
          <cell r="L42">
            <v>87</v>
          </cell>
          <cell r="M42">
            <v>120</v>
          </cell>
          <cell r="N42">
            <v>205</v>
          </cell>
          <cell r="O42">
            <v>140.70000000000005</v>
          </cell>
          <cell r="P42">
            <v>342.90000000000009</v>
          </cell>
          <cell r="Q42">
            <v>164.09999999999991</v>
          </cell>
          <cell r="R42">
            <v>507</v>
          </cell>
          <cell r="S42">
            <v>98</v>
          </cell>
          <cell r="T42">
            <v>157</v>
          </cell>
          <cell r="U42">
            <v>255</v>
          </cell>
          <cell r="V42">
            <v>121</v>
          </cell>
          <cell r="W42">
            <v>376</v>
          </cell>
          <cell r="X42">
            <v>173</v>
          </cell>
          <cell r="Y42">
            <v>549</v>
          </cell>
          <cell r="Z42">
            <v>108</v>
          </cell>
          <cell r="AA42">
            <v>149</v>
          </cell>
          <cell r="AB42">
            <v>257</v>
          </cell>
          <cell r="AC42">
            <v>138</v>
          </cell>
          <cell r="AD42">
            <v>395</v>
          </cell>
          <cell r="AE42">
            <v>165</v>
          </cell>
          <cell r="AF42">
            <v>577.40000000000009</v>
          </cell>
          <cell r="AG42">
            <v>117</v>
          </cell>
          <cell r="AH42">
            <v>163</v>
          </cell>
          <cell r="AI42">
            <v>280</v>
          </cell>
          <cell r="AJ42">
            <v>172</v>
          </cell>
          <cell r="AK42">
            <v>452</v>
          </cell>
          <cell r="AL42">
            <v>227</v>
          </cell>
          <cell r="AM42">
            <v>679</v>
          </cell>
          <cell r="AU42">
            <v>144</v>
          </cell>
          <cell r="AV42">
            <v>171</v>
          </cell>
          <cell r="AW42">
            <v>315</v>
          </cell>
          <cell r="AX42">
            <v>196</v>
          </cell>
          <cell r="AY42">
            <v>511</v>
          </cell>
          <cell r="AZ42">
            <v>238</v>
          </cell>
          <cell r="BA42">
            <v>749</v>
          </cell>
          <cell r="BB42">
            <v>160</v>
          </cell>
          <cell r="BC42">
            <v>185</v>
          </cell>
          <cell r="BD42">
            <v>345</v>
          </cell>
          <cell r="BE42">
            <v>210</v>
          </cell>
          <cell r="BF42">
            <v>555</v>
          </cell>
          <cell r="BG42">
            <v>285</v>
          </cell>
          <cell r="BH42">
            <v>840</v>
          </cell>
          <cell r="BI42">
            <v>154</v>
          </cell>
          <cell r="BJ42">
            <v>213</v>
          </cell>
          <cell r="BK42">
            <v>367</v>
          </cell>
          <cell r="BL42">
            <v>224</v>
          </cell>
          <cell r="BM42">
            <v>591</v>
          </cell>
          <cell r="BN42">
            <v>319</v>
          </cell>
          <cell r="BO42">
            <v>910</v>
          </cell>
          <cell r="BP42">
            <v>244</v>
          </cell>
          <cell r="BQ42">
            <v>266</v>
          </cell>
          <cell r="BR42">
            <v>510</v>
          </cell>
          <cell r="BS42">
            <v>294.89222338976128</v>
          </cell>
          <cell r="BT42">
            <v>804.89222338976128</v>
          </cell>
          <cell r="BU42">
            <v>398.10664778669536</v>
          </cell>
          <cell r="BV42">
            <v>1202.9988711764563</v>
          </cell>
          <cell r="BW42">
            <v>1298.9495614003947</v>
          </cell>
          <cell r="BX42">
            <v>1408.8892612856334</v>
          </cell>
          <cell r="BY42">
            <v>1405.440224554714</v>
          </cell>
          <cell r="BZ42">
            <v>1507.9555704126574</v>
          </cell>
          <cell r="CA42">
            <v>917.09922644432891</v>
          </cell>
          <cell r="CB42">
            <v>491.89653169549774</v>
          </cell>
          <cell r="CC42">
            <v>1408.9957581398266</v>
          </cell>
          <cell r="CD42">
            <v>1571.708364087131</v>
          </cell>
          <cell r="CE42">
            <v>1558.7100895263306</v>
          </cell>
          <cell r="CF42">
            <v>1668.8834466434573</v>
          </cell>
          <cell r="CG42">
            <v>1785.1096772717283</v>
          </cell>
        </row>
        <row r="43">
          <cell r="A43" t="str">
            <v>Net interest income / (expense)</v>
          </cell>
          <cell r="B43">
            <v>-54.599999999999994</v>
          </cell>
          <cell r="C43">
            <v>-54.400000000000006</v>
          </cell>
          <cell r="D43">
            <v>-69.400000000000006</v>
          </cell>
          <cell r="E43">
            <v>-18</v>
          </cell>
          <cell r="F43">
            <v>-16</v>
          </cell>
          <cell r="G43">
            <v>-34</v>
          </cell>
          <cell r="H43">
            <v>-17</v>
          </cell>
          <cell r="I43">
            <v>-51</v>
          </cell>
          <cell r="J43">
            <v>-18</v>
          </cell>
          <cell r="K43">
            <v>-69</v>
          </cell>
          <cell r="L43">
            <v>-20</v>
          </cell>
          <cell r="M43">
            <v>-14</v>
          </cell>
          <cell r="N43">
            <v>-34</v>
          </cell>
          <cell r="O43">
            <v>-17</v>
          </cell>
          <cell r="P43">
            <v>-48</v>
          </cell>
          <cell r="Q43">
            <v>-12</v>
          </cell>
          <cell r="R43">
            <v>-60</v>
          </cell>
          <cell r="S43">
            <v>-16</v>
          </cell>
          <cell r="T43">
            <v>-12</v>
          </cell>
          <cell r="U43">
            <v>-28</v>
          </cell>
          <cell r="V43">
            <v>-15</v>
          </cell>
          <cell r="W43">
            <v>-43</v>
          </cell>
          <cell r="X43">
            <v>-8</v>
          </cell>
          <cell r="Y43">
            <v>-51</v>
          </cell>
          <cell r="Z43">
            <v>-12</v>
          </cell>
          <cell r="AA43">
            <v>-8</v>
          </cell>
          <cell r="AB43">
            <v>-20</v>
          </cell>
          <cell r="AC43">
            <v>-8</v>
          </cell>
          <cell r="AD43">
            <v>-28</v>
          </cell>
          <cell r="AE43">
            <v>-4</v>
          </cell>
          <cell r="AF43">
            <v>-32</v>
          </cell>
          <cell r="AG43">
            <v>-6</v>
          </cell>
          <cell r="AH43">
            <v>-5</v>
          </cell>
          <cell r="AI43">
            <v>-11</v>
          </cell>
          <cell r="AJ43">
            <v>-5</v>
          </cell>
          <cell r="AK43">
            <v>-16</v>
          </cell>
          <cell r="AL43">
            <v>-3</v>
          </cell>
          <cell r="AM43">
            <v>-19</v>
          </cell>
          <cell r="AU43">
            <v>-4</v>
          </cell>
          <cell r="AV43">
            <v>0</v>
          </cell>
          <cell r="AW43">
            <v>-4</v>
          </cell>
          <cell r="AX43">
            <v>8</v>
          </cell>
          <cell r="AY43">
            <v>4</v>
          </cell>
          <cell r="AZ43">
            <v>1</v>
          </cell>
          <cell r="BA43">
            <v>5</v>
          </cell>
          <cell r="BB43">
            <v>7</v>
          </cell>
          <cell r="BC43">
            <v>8</v>
          </cell>
          <cell r="BD43">
            <v>15</v>
          </cell>
          <cell r="BE43">
            <v>7</v>
          </cell>
          <cell r="BF43">
            <v>22</v>
          </cell>
          <cell r="BG43">
            <v>14</v>
          </cell>
          <cell r="BH43">
            <v>36</v>
          </cell>
          <cell r="BI43">
            <v>-5</v>
          </cell>
          <cell r="BJ43">
            <v>-12</v>
          </cell>
          <cell r="BK43">
            <v>-17</v>
          </cell>
          <cell r="BL43">
            <v>-12</v>
          </cell>
          <cell r="BM43">
            <v>-29</v>
          </cell>
          <cell r="BN43">
            <v>-7</v>
          </cell>
          <cell r="BO43">
            <v>-36</v>
          </cell>
          <cell r="BP43">
            <v>-8</v>
          </cell>
          <cell r="BQ43">
            <v>-8</v>
          </cell>
          <cell r="BR43">
            <v>-16</v>
          </cell>
          <cell r="BS43">
            <v>-8</v>
          </cell>
          <cell r="BT43">
            <v>-24</v>
          </cell>
          <cell r="BU43">
            <v>-7.846444278714678</v>
          </cell>
          <cell r="BV43">
            <v>-31.846444278714678</v>
          </cell>
          <cell r="BW43">
            <v>-0.26102998990449322</v>
          </cell>
          <cell r="BX43">
            <v>12.540066056329373</v>
          </cell>
          <cell r="BY43">
            <v>28.595246082239981</v>
          </cell>
          <cell r="BZ43">
            <v>46.466085278020905</v>
          </cell>
          <cell r="CA43">
            <v>-41.976006936552643</v>
          </cell>
          <cell r="CB43">
            <v>-15.741002601207242</v>
          </cell>
          <cell r="CC43">
            <v>-57.717009537759886</v>
          </cell>
          <cell r="CD43">
            <v>-50.286269629109569</v>
          </cell>
          <cell r="CE43">
            <v>-32.991169235892023</v>
          </cell>
          <cell r="CF43">
            <v>-13.811113098818836</v>
          </cell>
          <cell r="CG43">
            <v>7.8221690640725399</v>
          </cell>
        </row>
        <row r="44">
          <cell r="A44" t="str">
            <v>Profit before taxation</v>
          </cell>
          <cell r="B44">
            <v>336.39999999999986</v>
          </cell>
          <cell r="C44">
            <v>303.0999999999998</v>
          </cell>
          <cell r="D44">
            <v>359</v>
          </cell>
          <cell r="E44">
            <v>56</v>
          </cell>
          <cell r="F44">
            <v>63</v>
          </cell>
          <cell r="G44">
            <v>119</v>
          </cell>
          <cell r="H44">
            <v>38</v>
          </cell>
          <cell r="I44">
            <v>161</v>
          </cell>
          <cell r="J44">
            <v>-109</v>
          </cell>
          <cell r="K44">
            <v>52</v>
          </cell>
          <cell r="L44">
            <v>67</v>
          </cell>
          <cell r="M44">
            <v>106</v>
          </cell>
          <cell r="N44">
            <v>171</v>
          </cell>
          <cell r="O44">
            <v>123.70000000000005</v>
          </cell>
          <cell r="P44">
            <v>294.90000000000009</v>
          </cell>
          <cell r="Q44">
            <v>152.09999999999991</v>
          </cell>
          <cell r="R44">
            <v>447</v>
          </cell>
          <cell r="S44">
            <v>82</v>
          </cell>
          <cell r="T44">
            <v>145</v>
          </cell>
          <cell r="U44">
            <v>227</v>
          </cell>
          <cell r="V44">
            <v>106</v>
          </cell>
          <cell r="W44">
            <v>333</v>
          </cell>
          <cell r="X44">
            <v>165</v>
          </cell>
          <cell r="Y44">
            <v>498</v>
          </cell>
          <cell r="Z44">
            <v>96</v>
          </cell>
          <cell r="AA44">
            <v>141</v>
          </cell>
          <cell r="AB44">
            <v>237</v>
          </cell>
          <cell r="AC44">
            <v>130</v>
          </cell>
          <cell r="AD44">
            <v>367</v>
          </cell>
          <cell r="AE44">
            <v>161</v>
          </cell>
          <cell r="AF44">
            <v>545.40000000000009</v>
          </cell>
          <cell r="AG44">
            <v>111</v>
          </cell>
          <cell r="AH44">
            <v>158</v>
          </cell>
          <cell r="AI44">
            <v>269</v>
          </cell>
          <cell r="AJ44">
            <v>167</v>
          </cell>
          <cell r="AK44">
            <v>436</v>
          </cell>
          <cell r="AL44">
            <v>224</v>
          </cell>
          <cell r="AM44">
            <v>660</v>
          </cell>
          <cell r="AU44">
            <v>140</v>
          </cell>
          <cell r="AV44">
            <v>171</v>
          </cell>
          <cell r="AW44">
            <v>311</v>
          </cell>
          <cell r="AX44">
            <v>204</v>
          </cell>
          <cell r="AY44">
            <v>515</v>
          </cell>
          <cell r="AZ44">
            <v>239</v>
          </cell>
          <cell r="BA44">
            <v>754</v>
          </cell>
          <cell r="BB44">
            <v>167</v>
          </cell>
          <cell r="BC44">
            <v>193</v>
          </cell>
          <cell r="BD44">
            <v>360</v>
          </cell>
          <cell r="BE44">
            <v>217</v>
          </cell>
          <cell r="BF44">
            <v>577</v>
          </cell>
          <cell r="BG44">
            <v>299</v>
          </cell>
          <cell r="BH44">
            <v>876</v>
          </cell>
          <cell r="BI44">
            <v>149</v>
          </cell>
          <cell r="BJ44">
            <v>201</v>
          </cell>
          <cell r="BK44">
            <v>350</v>
          </cell>
          <cell r="BL44">
            <v>212</v>
          </cell>
          <cell r="BM44">
            <v>562</v>
          </cell>
          <cell r="BN44">
            <v>312</v>
          </cell>
          <cell r="BO44">
            <v>874</v>
          </cell>
          <cell r="BP44">
            <v>236</v>
          </cell>
          <cell r="BQ44">
            <v>258</v>
          </cell>
          <cell r="BR44">
            <v>494</v>
          </cell>
          <cell r="BS44">
            <v>286.89222338976128</v>
          </cell>
          <cell r="BT44">
            <v>780.89222338976128</v>
          </cell>
          <cell r="BU44">
            <v>390.26020350798069</v>
          </cell>
          <cell r="BV44">
            <v>1171.1524268977416</v>
          </cell>
          <cell r="BW44">
            <v>1298.6885314104902</v>
          </cell>
          <cell r="BX44">
            <v>1421.4293273419628</v>
          </cell>
          <cell r="BY44">
            <v>1434.035470636954</v>
          </cell>
          <cell r="BZ44">
            <v>1554.4216556906783</v>
          </cell>
          <cell r="CA44">
            <v>875.1232195077763</v>
          </cell>
          <cell r="CB44">
            <v>476.1555290942905</v>
          </cell>
          <cell r="CC44">
            <v>1351.2787486020668</v>
          </cell>
          <cell r="CD44">
            <v>1521.4220944580215</v>
          </cell>
          <cell r="CE44">
            <v>1525.7189202904385</v>
          </cell>
          <cell r="CF44">
            <v>1655.0723335446385</v>
          </cell>
          <cell r="CG44">
            <v>1792.9318463358009</v>
          </cell>
        </row>
        <row r="45">
          <cell r="A45" t="str">
            <v>Normalized Profit before Tax</v>
          </cell>
          <cell r="B45">
            <v>298.09999999999985</v>
          </cell>
          <cell r="C45">
            <v>299.89999999999981</v>
          </cell>
          <cell r="D45">
            <v>360.3</v>
          </cell>
          <cell r="E45">
            <v>56</v>
          </cell>
          <cell r="F45">
            <v>66</v>
          </cell>
          <cell r="G45">
            <v>122</v>
          </cell>
          <cell r="H45">
            <v>39</v>
          </cell>
          <cell r="I45">
            <v>164</v>
          </cell>
          <cell r="J45">
            <v>-96</v>
          </cell>
          <cell r="K45">
            <v>288</v>
          </cell>
          <cell r="L45">
            <v>66</v>
          </cell>
          <cell r="M45">
            <v>103</v>
          </cell>
          <cell r="N45">
            <v>169</v>
          </cell>
          <cell r="O45">
            <v>83.700000000000045</v>
          </cell>
          <cell r="P45">
            <v>254.90000000000009</v>
          </cell>
          <cell r="Q45">
            <v>136.09999999999991</v>
          </cell>
          <cell r="R45">
            <v>391</v>
          </cell>
          <cell r="S45">
            <v>82</v>
          </cell>
          <cell r="T45">
            <v>122</v>
          </cell>
          <cell r="U45">
            <v>204</v>
          </cell>
          <cell r="V45">
            <v>101</v>
          </cell>
          <cell r="W45">
            <v>305</v>
          </cell>
          <cell r="X45">
            <v>169</v>
          </cell>
          <cell r="Y45">
            <v>474</v>
          </cell>
          <cell r="Z45">
            <v>96</v>
          </cell>
          <cell r="AA45">
            <v>141</v>
          </cell>
          <cell r="AB45">
            <v>237</v>
          </cell>
          <cell r="AC45">
            <v>130</v>
          </cell>
          <cell r="AD45">
            <v>367</v>
          </cell>
          <cell r="AE45">
            <v>161</v>
          </cell>
          <cell r="AF45">
            <v>545.40000000000009</v>
          </cell>
          <cell r="AG45">
            <v>111</v>
          </cell>
          <cell r="AH45">
            <v>158</v>
          </cell>
          <cell r="AI45">
            <v>269</v>
          </cell>
          <cell r="AJ45">
            <v>167</v>
          </cell>
          <cell r="AK45">
            <v>436</v>
          </cell>
          <cell r="AL45">
            <v>224</v>
          </cell>
          <cell r="AM45">
            <v>660</v>
          </cell>
          <cell r="AU45">
            <v>140</v>
          </cell>
          <cell r="AV45">
            <v>171</v>
          </cell>
          <cell r="AW45">
            <v>311</v>
          </cell>
          <cell r="AX45">
            <v>204</v>
          </cell>
          <cell r="AY45">
            <v>515</v>
          </cell>
          <cell r="AZ45">
            <v>239</v>
          </cell>
          <cell r="BA45">
            <v>754</v>
          </cell>
          <cell r="BH45">
            <v>876</v>
          </cell>
          <cell r="BO45">
            <v>1023</v>
          </cell>
          <cell r="BP45">
            <v>236</v>
          </cell>
          <cell r="BQ45">
            <v>258</v>
          </cell>
          <cell r="BR45">
            <v>494</v>
          </cell>
          <cell r="BS45">
            <v>286.89222338976128</v>
          </cell>
          <cell r="BT45">
            <v>780.89222338976128</v>
          </cell>
          <cell r="BU45">
            <v>390.26020350798069</v>
          </cell>
          <cell r="BV45">
            <v>1171.1524268977416</v>
          </cell>
          <cell r="BW45">
            <v>1298.6885314104902</v>
          </cell>
          <cell r="BX45">
            <v>1421.4293273419628</v>
          </cell>
          <cell r="BY45">
            <v>1434.035470636954</v>
          </cell>
          <cell r="BZ45">
            <v>1554.4216556906783</v>
          </cell>
          <cell r="CA45">
            <v>905.1232195077763</v>
          </cell>
          <cell r="CB45">
            <v>0.10590408583356159</v>
          </cell>
          <cell r="CC45">
            <v>1381.2787486020668</v>
          </cell>
          <cell r="CD45">
            <v>1521.4220944580215</v>
          </cell>
          <cell r="CE45">
            <v>1525.7189202904385</v>
          </cell>
          <cell r="CF45">
            <v>1655.0723335446385</v>
          </cell>
          <cell r="CG45">
            <v>1792.9318463358009</v>
          </cell>
          <cell r="CI45">
            <v>0.101038715769594</v>
          </cell>
        </row>
        <row r="46">
          <cell r="A46" t="str">
            <v>Tax on profit</v>
          </cell>
          <cell r="B46">
            <v>-86.2</v>
          </cell>
          <cell r="C46">
            <v>-81.900000000000006</v>
          </cell>
          <cell r="D46">
            <v>-109.4</v>
          </cell>
          <cell r="E46">
            <v>-18</v>
          </cell>
          <cell r="F46">
            <v>-28</v>
          </cell>
          <cell r="G46">
            <v>-46</v>
          </cell>
          <cell r="H46">
            <v>-17</v>
          </cell>
          <cell r="I46">
            <v>-63</v>
          </cell>
          <cell r="J46">
            <v>-26</v>
          </cell>
          <cell r="K46">
            <v>-89</v>
          </cell>
          <cell r="L46">
            <v>-20</v>
          </cell>
          <cell r="M46">
            <v>-32</v>
          </cell>
          <cell r="N46">
            <v>-52</v>
          </cell>
          <cell r="O46">
            <v>-37</v>
          </cell>
          <cell r="P46">
            <v>-89</v>
          </cell>
          <cell r="Q46">
            <v>-43</v>
          </cell>
          <cell r="R46">
            <v>-132</v>
          </cell>
          <cell r="S46">
            <v>-28</v>
          </cell>
          <cell r="T46">
            <v>-43</v>
          </cell>
          <cell r="U46">
            <v>-71</v>
          </cell>
          <cell r="V46">
            <v>-38</v>
          </cell>
          <cell r="W46">
            <v>-109</v>
          </cell>
          <cell r="X46">
            <v>-56</v>
          </cell>
          <cell r="Y46">
            <v>-165</v>
          </cell>
          <cell r="Z46">
            <v>-26</v>
          </cell>
          <cell r="AA46">
            <v>-38</v>
          </cell>
          <cell r="AB46">
            <v>-64</v>
          </cell>
          <cell r="AC46">
            <v>-35</v>
          </cell>
          <cell r="AD46">
            <v>-99</v>
          </cell>
          <cell r="AE46">
            <v>-38</v>
          </cell>
          <cell r="AF46">
            <v>-137</v>
          </cell>
          <cell r="AG46">
            <v>-29</v>
          </cell>
          <cell r="AH46">
            <v>-41</v>
          </cell>
          <cell r="AI46">
            <v>-70</v>
          </cell>
          <cell r="AJ46">
            <v>-44</v>
          </cell>
          <cell r="AK46">
            <v>-114</v>
          </cell>
          <cell r="AL46">
            <v>-57</v>
          </cell>
          <cell r="AM46">
            <v>-171</v>
          </cell>
          <cell r="AU46">
            <v>-37</v>
          </cell>
          <cell r="AV46">
            <v>-44</v>
          </cell>
          <cell r="AW46">
            <v>-81</v>
          </cell>
          <cell r="AX46">
            <v>-54</v>
          </cell>
          <cell r="AY46">
            <v>-135</v>
          </cell>
          <cell r="AZ46">
            <v>-46</v>
          </cell>
          <cell r="BA46">
            <v>-181</v>
          </cell>
          <cell r="BB46">
            <v>-43</v>
          </cell>
          <cell r="BC46">
            <v>-49</v>
          </cell>
          <cell r="BD46">
            <v>-92</v>
          </cell>
          <cell r="BE46">
            <v>-43</v>
          </cell>
          <cell r="BF46">
            <v>-135</v>
          </cell>
          <cell r="BG46">
            <v>-72</v>
          </cell>
          <cell r="BH46">
            <v>-207</v>
          </cell>
          <cell r="BI46">
            <v>-39</v>
          </cell>
          <cell r="BJ46">
            <v>-50</v>
          </cell>
          <cell r="BK46">
            <v>-89</v>
          </cell>
          <cell r="BL46">
            <v>-55</v>
          </cell>
          <cell r="BM46">
            <v>-144</v>
          </cell>
          <cell r="BN46">
            <v>-56</v>
          </cell>
          <cell r="BO46">
            <v>-200</v>
          </cell>
          <cell r="BP46">
            <v>-57</v>
          </cell>
          <cell r="BQ46">
            <v>-42</v>
          </cell>
          <cell r="BR46">
            <v>-99</v>
          </cell>
          <cell r="BS46">
            <v>-68.8541336135427</v>
          </cell>
          <cell r="BT46">
            <v>-167.8541336135427</v>
          </cell>
          <cell r="BU46">
            <v>-93.222448841915281</v>
          </cell>
          <cell r="BV46">
            <v>-261.07658245545798</v>
          </cell>
          <cell r="BW46">
            <v>-311.68524753851761</v>
          </cell>
          <cell r="BX46">
            <v>-341.14303856207107</v>
          </cell>
          <cell r="BY46">
            <v>-344.16851295286892</v>
          </cell>
          <cell r="BZ46">
            <v>-373.06119736576278</v>
          </cell>
          <cell r="CA46">
            <v>-210.02957268186626</v>
          </cell>
          <cell r="CB46">
            <v>-114.27732698262977</v>
          </cell>
          <cell r="CC46">
            <v>-324.30689966449603</v>
          </cell>
          <cell r="CD46">
            <v>-365.14130266992515</v>
          </cell>
          <cell r="CE46">
            <v>-366.17254086970524</v>
          </cell>
          <cell r="CF46">
            <v>-397.21736005071324</v>
          </cell>
          <cell r="CG46">
            <v>-430.3036431205922</v>
          </cell>
        </row>
        <row r="47">
          <cell r="A47" t="str">
            <v>Reported tax rate %</v>
          </cell>
          <cell r="B47">
            <v>0.25624256837098702</v>
          </cell>
          <cell r="C47">
            <v>0.27020785219399557</v>
          </cell>
          <cell r="D47">
            <v>0.30473537604456824</v>
          </cell>
          <cell r="E47">
            <v>0.32142857142857145</v>
          </cell>
          <cell r="F47">
            <v>0.44444444444444442</v>
          </cell>
          <cell r="G47">
            <v>0.38655462184873951</v>
          </cell>
          <cell r="H47">
            <v>0.44736842105263158</v>
          </cell>
          <cell r="I47">
            <v>0.39130434782608697</v>
          </cell>
          <cell r="J47">
            <v>-0.23853211009174313</v>
          </cell>
          <cell r="K47">
            <v>1.7115384615384615</v>
          </cell>
          <cell r="L47">
            <v>0.29850746268656714</v>
          </cell>
          <cell r="M47">
            <v>0.30188679245283018</v>
          </cell>
          <cell r="N47">
            <v>0.30409356725146197</v>
          </cell>
          <cell r="O47">
            <v>0.29911075181891661</v>
          </cell>
          <cell r="P47">
            <v>0.30179721939640547</v>
          </cell>
          <cell r="Q47">
            <v>0.28270874424720593</v>
          </cell>
          <cell r="R47">
            <v>0.29530201342281881</v>
          </cell>
          <cell r="S47">
            <v>0.34146341463414637</v>
          </cell>
          <cell r="T47">
            <v>0.29655172413793102</v>
          </cell>
          <cell r="U47">
            <v>0.31277533039647576</v>
          </cell>
          <cell r="V47">
            <v>0.35849056603773582</v>
          </cell>
          <cell r="W47">
            <v>0.32732732732732733</v>
          </cell>
          <cell r="X47">
            <v>0.33939393939393941</v>
          </cell>
          <cell r="Y47">
            <v>0.33132530120481929</v>
          </cell>
          <cell r="Z47">
            <v>0.27083333333333331</v>
          </cell>
          <cell r="AA47">
            <v>0.26950354609929078</v>
          </cell>
          <cell r="AB47">
            <v>0.27004219409282698</v>
          </cell>
          <cell r="AC47">
            <v>0.26923076923076922</v>
          </cell>
          <cell r="AD47">
            <v>0.26975476839237056</v>
          </cell>
          <cell r="AE47">
            <v>0.2360248447204969</v>
          </cell>
          <cell r="AF47">
            <v>0.25119178584525115</v>
          </cell>
          <cell r="AG47">
            <v>0.26126126126126126</v>
          </cell>
          <cell r="AH47">
            <v>0.25949367088607594</v>
          </cell>
          <cell r="AI47">
            <v>0.26022304832713755</v>
          </cell>
          <cell r="AJ47">
            <v>0.26347305389221559</v>
          </cell>
          <cell r="AK47">
            <v>0.26146788990825687</v>
          </cell>
          <cell r="AL47">
            <v>0.2544642857142857</v>
          </cell>
          <cell r="AM47">
            <v>0.25909090909090909</v>
          </cell>
          <cell r="AU47">
            <v>0.26428571428571429</v>
          </cell>
          <cell r="AV47">
            <v>0.25730994152046782</v>
          </cell>
          <cell r="AW47">
            <v>0.26045016077170419</v>
          </cell>
          <cell r="AX47">
            <v>0.26470588235294118</v>
          </cell>
          <cell r="AY47">
            <v>0.26213592233009708</v>
          </cell>
          <cell r="AZ47">
            <v>0.19246861924686193</v>
          </cell>
          <cell r="BA47">
            <v>0.24005305039787797</v>
          </cell>
          <cell r="BB47">
            <v>0.25748502994011974</v>
          </cell>
          <cell r="BC47">
            <v>0.25388601036269431</v>
          </cell>
          <cell r="BD47">
            <v>0.25555555555555554</v>
          </cell>
          <cell r="BE47">
            <v>0.19815668202764977</v>
          </cell>
          <cell r="BF47">
            <v>0.2339688041594454</v>
          </cell>
          <cell r="BG47">
            <v>0.24080267558528429</v>
          </cell>
          <cell r="BH47">
            <v>0.2363013698630137</v>
          </cell>
          <cell r="BI47">
            <v>0.26174496644295303</v>
          </cell>
          <cell r="BJ47">
            <v>0.24875621890547264</v>
          </cell>
          <cell r="BK47">
            <v>0.25428571428571428</v>
          </cell>
          <cell r="BL47">
            <v>0.25943396226415094</v>
          </cell>
          <cell r="BM47">
            <v>0.25622775800711745</v>
          </cell>
          <cell r="BN47">
            <v>0.17948717948717949</v>
          </cell>
          <cell r="BO47">
            <v>0.2288329519450801</v>
          </cell>
          <cell r="BP47">
            <v>0.24152542372881355</v>
          </cell>
          <cell r="BQ47">
            <v>0.16279069767441862</v>
          </cell>
          <cell r="BR47">
            <v>0.20040485829959515</v>
          </cell>
          <cell r="BS47">
            <v>0.23999999999999996</v>
          </cell>
          <cell r="BT47">
            <v>0.21495172904259138</v>
          </cell>
          <cell r="BU47">
            <v>0.23887254709538661</v>
          </cell>
          <cell r="BV47">
            <v>0.22292280360723166</v>
          </cell>
          <cell r="BW47">
            <v>0.23999999999999996</v>
          </cell>
          <cell r="BX47">
            <v>0.24</v>
          </cell>
          <cell r="BY47">
            <v>0.24</v>
          </cell>
          <cell r="BZ47">
            <v>0.24</v>
          </cell>
          <cell r="CA47">
            <v>0.23999999999999994</v>
          </cell>
          <cell r="CB47">
            <v>0.2400000000000001</v>
          </cell>
          <cell r="CC47">
            <v>0.24</v>
          </cell>
          <cell r="CD47">
            <v>0.24</v>
          </cell>
          <cell r="CE47">
            <v>0.24</v>
          </cell>
          <cell r="CF47">
            <v>0.24</v>
          </cell>
          <cell r="CG47">
            <v>0.24</v>
          </cell>
        </row>
        <row r="48">
          <cell r="A48" t="str">
            <v>Underlying tax rate %</v>
          </cell>
          <cell r="B48">
            <v>0.2860935944241621</v>
          </cell>
          <cell r="C48">
            <v>0.27065432914738952</v>
          </cell>
          <cell r="D48">
            <v>0.30129440925364914</v>
          </cell>
          <cell r="E48">
            <v>0.31718061674008813</v>
          </cell>
          <cell r="F48">
            <v>0.41635687732342008</v>
          </cell>
          <cell r="G48">
            <v>0.37096774193548387</v>
          </cell>
          <cell r="H48">
            <v>0.41717791411042943</v>
          </cell>
          <cell r="I48">
            <v>0.36896046852122988</v>
          </cell>
          <cell r="J48">
            <v>-0.2613065326633166</v>
          </cell>
          <cell r="K48">
            <v>0.30584192439862545</v>
          </cell>
          <cell r="L48">
            <v>0.29739776951672864</v>
          </cell>
          <cell r="M48">
            <v>0.30695443645083931</v>
          </cell>
          <cell r="N48">
            <v>0.31231231231231232</v>
          </cell>
          <cell r="O48">
            <v>0.49531459170013359</v>
          </cell>
          <cell r="P48">
            <v>0.34409433597525602</v>
          </cell>
          <cell r="Q48">
            <v>0.31306880232981454</v>
          </cell>
          <cell r="R48">
            <v>0.29040404040404039</v>
          </cell>
          <cell r="S48">
            <v>0.33734939759036142</v>
          </cell>
          <cell r="T48">
            <v>0.34959349593495936</v>
          </cell>
          <cell r="U48">
            <v>0.3446601941747573</v>
          </cell>
          <cell r="V48">
            <v>0.37254901960784315</v>
          </cell>
          <cell r="W48">
            <v>0.35389610389610388</v>
          </cell>
          <cell r="X48">
            <v>0.32941176470588235</v>
          </cell>
          <cell r="Y48">
            <v>0.32845188284518828</v>
          </cell>
          <cell r="Z48">
            <v>0.26598465473145783</v>
          </cell>
          <cell r="AA48">
            <v>0.26619964973730298</v>
          </cell>
          <cell r="AB48">
            <v>0.26611226611226613</v>
          </cell>
          <cell r="AC48">
            <v>0.26565464895635671</v>
          </cell>
          <cell r="AD48">
            <v>0.26595030221625254</v>
          </cell>
          <cell r="AE48">
            <v>0.23348694316436253</v>
          </cell>
          <cell r="AF48">
            <v>0.24800868935553944</v>
          </cell>
          <cell r="AG48">
            <v>0.25607064017660042</v>
          </cell>
          <cell r="AH48">
            <v>0.25585023400936036</v>
          </cell>
          <cell r="AI48">
            <v>0.25594149908592323</v>
          </cell>
          <cell r="AJ48">
            <v>0.26074074074074072</v>
          </cell>
          <cell r="AK48">
            <v>0.25748164878599661</v>
          </cell>
          <cell r="AL48">
            <v>0.25193370165745854</v>
          </cell>
          <cell r="AM48">
            <v>0.2556053811659193</v>
          </cell>
          <cell r="AU48">
            <v>0.25783972125435539</v>
          </cell>
          <cell r="AV48">
            <v>0.25214899713467048</v>
          </cell>
          <cell r="AW48">
            <v>0.25471698113207547</v>
          </cell>
          <cell r="AX48">
            <v>0.26024096385542167</v>
          </cell>
          <cell r="AY48">
            <v>0.25689819219790677</v>
          </cell>
          <cell r="AZ48">
            <v>0.19126819126819128</v>
          </cell>
          <cell r="BA48">
            <v>0.23629242819843341</v>
          </cell>
          <cell r="BB48">
            <v>0.25748502994011974</v>
          </cell>
          <cell r="BC48">
            <v>0.25388601036269431</v>
          </cell>
          <cell r="BD48">
            <v>0.25555555555555554</v>
          </cell>
          <cell r="BE48">
            <v>0.19815668202764977</v>
          </cell>
          <cell r="BF48">
            <v>0.2339688041594454</v>
          </cell>
          <cell r="BG48">
            <v>0.24080267558528429</v>
          </cell>
          <cell r="BH48">
            <v>0.23389830508474577</v>
          </cell>
          <cell r="BI48">
            <v>0.25873221216041398</v>
          </cell>
          <cell r="BJ48">
            <v>0.24742268041237114</v>
          </cell>
          <cell r="BK48">
            <v>0.25273390036452004</v>
          </cell>
          <cell r="BL48">
            <v>0.25645933014354066</v>
          </cell>
          <cell r="BM48">
            <v>0.25418060200668896</v>
          </cell>
          <cell r="BN48">
            <v>0.18472384168978598</v>
          </cell>
          <cell r="BO48">
            <v>0.2316715542521994</v>
          </cell>
          <cell r="BP48">
            <v>0.24</v>
          </cell>
          <cell r="BQ48">
            <v>0.24</v>
          </cell>
          <cell r="BR48">
            <v>0.24</v>
          </cell>
          <cell r="BS48">
            <v>0.24</v>
          </cell>
          <cell r="BT48">
            <v>0.24000000000000002</v>
          </cell>
          <cell r="BU48">
            <v>0.23887254709538661</v>
          </cell>
          <cell r="BV48">
            <v>0.24</v>
          </cell>
          <cell r="BW48">
            <v>0.24</v>
          </cell>
          <cell r="BX48">
            <v>0.24</v>
          </cell>
          <cell r="BY48">
            <v>0.24</v>
          </cell>
          <cell r="BZ48">
            <v>0.24</v>
          </cell>
          <cell r="CA48">
            <v>0.23999999999999994</v>
          </cell>
          <cell r="CB48">
            <v>0.2400000000000001</v>
          </cell>
          <cell r="CC48">
            <v>0.24</v>
          </cell>
          <cell r="CD48" t="str">
            <v>mstag:statutoryTaxRate</v>
          </cell>
          <cell r="CE48">
            <v>0</v>
          </cell>
          <cell r="CF48" t="str">
            <v>ms_eqr_gcim_Decimal:ms_eqr_gcim_decimal</v>
          </cell>
          <cell r="CG48" t="b">
            <v>0</v>
          </cell>
          <cell r="CH48" t="b">
            <v>0</v>
          </cell>
          <cell r="CK48" t="str">
            <v>mstag:statutoryTaxRate</v>
          </cell>
          <cell r="CL48">
            <v>0</v>
          </cell>
          <cell r="CM48" t="str">
            <v>ms_eqr_gcim_Decimal:ms_eqr_gcim_decimal</v>
          </cell>
          <cell r="CN48" t="b">
            <v>0</v>
          </cell>
          <cell r="CO48" t="b">
            <v>0</v>
          </cell>
          <cell r="CP48" t="b">
            <v>0</v>
          </cell>
          <cell r="CR48" t="str">
            <v>mstag:statutoryTaxRate</v>
          </cell>
          <cell r="CS48">
            <v>0</v>
          </cell>
          <cell r="CT48" t="str">
            <v>ms_eqr_gcim_Decimal:ms_eqr_gcim_decimal</v>
          </cell>
          <cell r="CU48" t="b">
            <v>0</v>
          </cell>
          <cell r="CV48" t="b">
            <v>0</v>
          </cell>
        </row>
        <row r="49">
          <cell r="A49" t="str">
            <v>Profit after taxation</v>
          </cell>
          <cell r="B49">
            <v>250.19999999999987</v>
          </cell>
          <cell r="C49">
            <v>221.19999999999979</v>
          </cell>
          <cell r="D49">
            <v>249.6</v>
          </cell>
          <cell r="E49">
            <v>38</v>
          </cell>
          <cell r="F49">
            <v>35</v>
          </cell>
          <cell r="G49">
            <v>73</v>
          </cell>
          <cell r="H49">
            <v>21</v>
          </cell>
          <cell r="I49">
            <v>98</v>
          </cell>
          <cell r="J49">
            <v>-135</v>
          </cell>
          <cell r="K49">
            <v>-37</v>
          </cell>
          <cell r="L49">
            <v>47</v>
          </cell>
          <cell r="M49">
            <v>74</v>
          </cell>
          <cell r="N49">
            <v>119</v>
          </cell>
          <cell r="O49">
            <v>86.700000000000045</v>
          </cell>
          <cell r="P49">
            <v>205.90000000000009</v>
          </cell>
          <cell r="Q49">
            <v>109.09999999999991</v>
          </cell>
          <cell r="R49">
            <v>315</v>
          </cell>
          <cell r="S49">
            <v>54</v>
          </cell>
          <cell r="T49">
            <v>102</v>
          </cell>
          <cell r="U49">
            <v>156</v>
          </cell>
          <cell r="V49">
            <v>68</v>
          </cell>
          <cell r="W49">
            <v>224</v>
          </cell>
          <cell r="X49">
            <v>109</v>
          </cell>
          <cell r="Y49">
            <v>333</v>
          </cell>
          <cell r="Z49">
            <v>70</v>
          </cell>
          <cell r="AA49">
            <v>103</v>
          </cell>
          <cell r="AB49">
            <v>173</v>
          </cell>
          <cell r="AC49">
            <v>95</v>
          </cell>
          <cell r="AD49">
            <v>268</v>
          </cell>
          <cell r="AE49">
            <v>123</v>
          </cell>
          <cell r="AF49">
            <v>408.40000000000009</v>
          </cell>
          <cell r="AG49">
            <v>82</v>
          </cell>
          <cell r="AH49">
            <v>117</v>
          </cell>
          <cell r="AI49">
            <v>199</v>
          </cell>
          <cell r="AJ49">
            <v>123</v>
          </cell>
          <cell r="AK49">
            <v>322</v>
          </cell>
          <cell r="AL49">
            <v>167</v>
          </cell>
          <cell r="AM49">
            <v>489</v>
          </cell>
          <cell r="AU49">
            <v>103</v>
          </cell>
          <cell r="AV49">
            <v>127</v>
          </cell>
          <cell r="AW49">
            <v>230</v>
          </cell>
          <cell r="AX49">
            <v>150</v>
          </cell>
          <cell r="AY49">
            <v>380</v>
          </cell>
          <cell r="AZ49">
            <v>193</v>
          </cell>
          <cell r="BA49">
            <v>573</v>
          </cell>
          <cell r="BB49">
            <v>124</v>
          </cell>
          <cell r="BC49">
            <v>144</v>
          </cell>
          <cell r="BD49">
            <v>268</v>
          </cell>
          <cell r="BE49">
            <v>174</v>
          </cell>
          <cell r="BF49">
            <v>442</v>
          </cell>
          <cell r="BG49">
            <v>227</v>
          </cell>
          <cell r="BH49">
            <v>669</v>
          </cell>
          <cell r="BI49">
            <v>110</v>
          </cell>
          <cell r="BJ49">
            <v>151</v>
          </cell>
          <cell r="BK49">
            <v>261</v>
          </cell>
          <cell r="BL49">
            <v>157</v>
          </cell>
          <cell r="BM49">
            <v>418</v>
          </cell>
          <cell r="BN49">
            <v>256</v>
          </cell>
          <cell r="BO49">
            <v>674</v>
          </cell>
          <cell r="BP49">
            <v>179</v>
          </cell>
          <cell r="BQ49">
            <v>216</v>
          </cell>
          <cell r="BR49">
            <v>395</v>
          </cell>
          <cell r="BS49">
            <v>218.03808977621858</v>
          </cell>
          <cell r="BT49">
            <v>613.03808977621861</v>
          </cell>
          <cell r="BU49">
            <v>297.03775466606544</v>
          </cell>
          <cell r="BV49">
            <v>910.0758444422836</v>
          </cell>
          <cell r="BW49">
            <v>987.0032838719726</v>
          </cell>
          <cell r="BX49">
            <v>1080.2862887798917</v>
          </cell>
          <cell r="BY49">
            <v>1089.866957684085</v>
          </cell>
          <cell r="BZ49">
            <v>1181.3604583249155</v>
          </cell>
          <cell r="CA49">
            <v>665.09364682591001</v>
          </cell>
          <cell r="CB49">
            <v>361.8782021116607</v>
          </cell>
          <cell r="CC49">
            <v>1026.9718489375707</v>
          </cell>
          <cell r="CD49">
            <v>1156.2807917880964</v>
          </cell>
          <cell r="CE49">
            <v>1159.5463794207333</v>
          </cell>
          <cell r="CF49">
            <v>1257.8549734939252</v>
          </cell>
          <cell r="CG49">
            <v>1362.6282032152087</v>
          </cell>
        </row>
        <row r="50">
          <cell r="A50" t="str">
            <v>Minority interests</v>
          </cell>
          <cell r="B50">
            <v>-4.9000000000000004</v>
          </cell>
          <cell r="C50">
            <v>-4.8</v>
          </cell>
          <cell r="D50">
            <v>-2.3000000000000003</v>
          </cell>
          <cell r="E50">
            <v>0</v>
          </cell>
          <cell r="F50">
            <v>0</v>
          </cell>
          <cell r="G50">
            <v>0</v>
          </cell>
          <cell r="K50">
            <v>0</v>
          </cell>
          <cell r="L50">
            <v>-1</v>
          </cell>
          <cell r="M50">
            <v>0</v>
          </cell>
          <cell r="N50">
            <v>-1</v>
          </cell>
          <cell r="O50">
            <v>0</v>
          </cell>
          <cell r="P50">
            <v>-1</v>
          </cell>
          <cell r="Q50">
            <v>0</v>
          </cell>
          <cell r="R50">
            <v>-1</v>
          </cell>
          <cell r="S50">
            <v>0</v>
          </cell>
          <cell r="T50">
            <v>-1</v>
          </cell>
          <cell r="U50">
            <v>-1</v>
          </cell>
          <cell r="V50">
            <v>0</v>
          </cell>
          <cell r="W50">
            <v>-1</v>
          </cell>
          <cell r="X50">
            <v>0</v>
          </cell>
          <cell r="Y50">
            <v>-1</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t="str">
            <v>mstag:minorityInterestsInNetIncome</v>
          </cell>
          <cell r="CE50">
            <v>6</v>
          </cell>
          <cell r="CF50" t="str">
            <v>ISO4217:GBP</v>
          </cell>
          <cell r="CG50" t="b">
            <v>1</v>
          </cell>
          <cell r="CH50" t="b">
            <v>0</v>
          </cell>
          <cell r="CK50" t="str">
            <v>mstag:minorityInterestsInNetIncome</v>
          </cell>
          <cell r="CL50">
            <v>6</v>
          </cell>
          <cell r="CM50" t="str">
            <v>ISO4217:GBP</v>
          </cell>
          <cell r="CN50" t="b">
            <v>1</v>
          </cell>
          <cell r="CO50" t="b">
            <v>0</v>
          </cell>
          <cell r="CP50" t="b">
            <v>0</v>
          </cell>
          <cell r="CR50" t="str">
            <v>mstag:minorityInterestsInNetIncome</v>
          </cell>
          <cell r="CS50">
            <v>6</v>
          </cell>
          <cell r="CT50" t="str">
            <v>ISO4217:GBP</v>
          </cell>
          <cell r="CU50" t="b">
            <v>1</v>
          </cell>
          <cell r="CV50" t="b">
            <v>0</v>
          </cell>
        </row>
        <row r="51">
          <cell r="A51" t="str">
            <v>Reported Profit for the period</v>
          </cell>
          <cell r="B51">
            <v>245.29999999999987</v>
          </cell>
          <cell r="C51">
            <v>216.39999999999978</v>
          </cell>
          <cell r="D51">
            <v>247.29999999999998</v>
          </cell>
          <cell r="E51">
            <v>38</v>
          </cell>
          <cell r="F51">
            <v>35</v>
          </cell>
          <cell r="G51">
            <v>73</v>
          </cell>
          <cell r="H51">
            <v>21</v>
          </cell>
          <cell r="I51">
            <v>98</v>
          </cell>
          <cell r="J51">
            <v>-135</v>
          </cell>
          <cell r="K51">
            <v>-37</v>
          </cell>
          <cell r="L51">
            <v>46</v>
          </cell>
          <cell r="M51">
            <v>74</v>
          </cell>
          <cell r="N51">
            <v>118</v>
          </cell>
          <cell r="O51">
            <v>86.700000000000045</v>
          </cell>
          <cell r="P51">
            <v>204.90000000000009</v>
          </cell>
          <cell r="Q51">
            <v>109.09999999999991</v>
          </cell>
          <cell r="R51">
            <v>314</v>
          </cell>
          <cell r="S51">
            <v>54</v>
          </cell>
          <cell r="T51">
            <v>101</v>
          </cell>
          <cell r="U51">
            <v>155</v>
          </cell>
          <cell r="V51">
            <v>68</v>
          </cell>
          <cell r="W51">
            <v>223</v>
          </cell>
          <cell r="X51">
            <v>109</v>
          </cell>
          <cell r="Y51">
            <v>332</v>
          </cell>
          <cell r="Z51">
            <v>70</v>
          </cell>
          <cell r="AA51">
            <v>103</v>
          </cell>
          <cell r="AB51">
            <v>173</v>
          </cell>
          <cell r="AC51">
            <v>95</v>
          </cell>
          <cell r="AD51">
            <v>268</v>
          </cell>
          <cell r="AE51">
            <v>123</v>
          </cell>
          <cell r="AF51">
            <v>408.40000000000009</v>
          </cell>
          <cell r="AG51">
            <v>82</v>
          </cell>
          <cell r="AH51">
            <v>117</v>
          </cell>
          <cell r="AI51">
            <v>199</v>
          </cell>
          <cell r="AJ51">
            <v>123</v>
          </cell>
          <cell r="AK51">
            <v>322</v>
          </cell>
          <cell r="AL51">
            <v>167</v>
          </cell>
          <cell r="AM51">
            <v>489</v>
          </cell>
          <cell r="AU51">
            <v>103</v>
          </cell>
          <cell r="AV51">
            <v>127</v>
          </cell>
          <cell r="AW51">
            <v>230</v>
          </cell>
          <cell r="AX51">
            <v>150</v>
          </cell>
          <cell r="AY51">
            <v>380</v>
          </cell>
          <cell r="AZ51">
            <v>193</v>
          </cell>
          <cell r="BA51">
            <v>573</v>
          </cell>
          <cell r="BB51">
            <v>124</v>
          </cell>
          <cell r="BC51">
            <v>144</v>
          </cell>
          <cell r="BD51">
            <v>268</v>
          </cell>
          <cell r="BE51">
            <v>174</v>
          </cell>
          <cell r="BF51">
            <v>442</v>
          </cell>
          <cell r="BG51">
            <v>227</v>
          </cell>
          <cell r="BH51">
            <v>669</v>
          </cell>
          <cell r="BI51">
            <v>110</v>
          </cell>
          <cell r="BJ51">
            <v>151</v>
          </cell>
          <cell r="BK51">
            <v>261</v>
          </cell>
          <cell r="BL51">
            <v>157</v>
          </cell>
          <cell r="BM51">
            <v>418</v>
          </cell>
          <cell r="BN51">
            <v>256</v>
          </cell>
          <cell r="BO51">
            <v>674</v>
          </cell>
          <cell r="BP51">
            <v>179</v>
          </cell>
          <cell r="BQ51">
            <v>216</v>
          </cell>
          <cell r="BR51">
            <v>395</v>
          </cell>
          <cell r="BS51">
            <v>218.03808977621858</v>
          </cell>
          <cell r="BT51">
            <v>613.03808977621861</v>
          </cell>
          <cell r="BU51">
            <v>297.03775466606544</v>
          </cell>
          <cell r="BV51">
            <v>910.0758444422836</v>
          </cell>
          <cell r="BW51">
            <v>987.0032838719726</v>
          </cell>
          <cell r="BX51">
            <v>1080.2862887798917</v>
          </cell>
          <cell r="BY51">
            <v>1089.866957684085</v>
          </cell>
          <cell r="BZ51">
            <v>1181.3604583249155</v>
          </cell>
          <cell r="CA51" t="str">
            <v>want to build BBG separately from H&amp;PC when get proper BBG figures for 2006 and ideally all the 2006 quarters</v>
          </cell>
          <cell r="CB51">
            <v>361.8782021116607</v>
          </cell>
          <cell r="CC51">
            <v>1026.9718489375707</v>
          </cell>
          <cell r="CD51" t="str">
            <v>mstag:netIncomeReported</v>
          </cell>
          <cell r="CE51">
            <v>6</v>
          </cell>
          <cell r="CF51" t="str">
            <v>ISO4217:GBP</v>
          </cell>
          <cell r="CG51" t="b">
            <v>0</v>
          </cell>
          <cell r="CH51" t="b">
            <v>0</v>
          </cell>
          <cell r="CK51" t="str">
            <v>mstag:netIncomeReported</v>
          </cell>
          <cell r="CL51">
            <v>6</v>
          </cell>
          <cell r="CM51" t="str">
            <v>ISO4217:GBP</v>
          </cell>
          <cell r="CN51" t="b">
            <v>0</v>
          </cell>
          <cell r="CO51" t="b">
            <v>0</v>
          </cell>
          <cell r="CP51" t="b">
            <v>0</v>
          </cell>
          <cell r="CR51" t="str">
            <v>mstag:netIncomeReported</v>
          </cell>
          <cell r="CS51">
            <v>6</v>
          </cell>
          <cell r="CT51" t="str">
            <v>ISO4217:GBP</v>
          </cell>
          <cell r="CU51" t="b">
            <v>0</v>
          </cell>
          <cell r="CV51" t="b">
            <v>0</v>
          </cell>
        </row>
        <row r="52">
          <cell r="A52" t="str">
            <v xml:space="preserve">Net profit growth </v>
          </cell>
          <cell r="C52">
            <v>9.8515888190840298E-2</v>
          </cell>
          <cell r="D52">
            <v>7.9988355920690882E-2</v>
          </cell>
          <cell r="K52">
            <v>-1.2115258677144728E-2</v>
          </cell>
          <cell r="L52">
            <v>6.1497326203208559E-2</v>
          </cell>
          <cell r="M52">
            <v>9.169764560099132E-2</v>
          </cell>
          <cell r="N52">
            <v>7.588424437299035E-2</v>
          </cell>
          <cell r="O52">
            <v>0.11016518424396447</v>
          </cell>
          <cell r="P52">
            <v>8.74893253629377E-2</v>
          </cell>
          <cell r="Q52">
            <v>0.12686046511627896</v>
          </cell>
          <cell r="R52">
            <v>9.8063710181136785E-2</v>
          </cell>
          <cell r="S52">
            <v>6.6095471236230108E-2</v>
          </cell>
          <cell r="T52">
            <v>0.11490329920364049</v>
          </cell>
          <cell r="U52">
            <v>9.1391509433962265E-2</v>
          </cell>
          <cell r="V52">
            <v>8.0664294187425864E-2</v>
          </cell>
          <cell r="W52">
            <v>8.7829854273335964E-2</v>
          </cell>
          <cell r="X52">
            <v>0.12111111111111111</v>
          </cell>
          <cell r="Y52">
            <v>9.653969177086362E-2</v>
          </cell>
          <cell r="Z52">
            <v>8.1871345029239762E-2</v>
          </cell>
          <cell r="AA52">
            <v>0.11431742508324085</v>
          </cell>
          <cell r="AB52">
            <v>9.8519362186788154E-2</v>
          </cell>
          <cell r="AC52">
            <v>0.10844748858447488</v>
          </cell>
          <cell r="AD52">
            <v>0.10182370820668693</v>
          </cell>
          <cell r="AE52">
            <v>0.12844036697247696</v>
          </cell>
          <cell r="AF52">
            <v>0.23012048192771117</v>
          </cell>
          <cell r="AG52">
            <v>0.17142857142857149</v>
          </cell>
          <cell r="AH52">
            <v>0.13592233009708732</v>
          </cell>
          <cell r="AI52">
            <v>0.1502890173410405</v>
          </cell>
          <cell r="AJ52">
            <v>0.29473684210526319</v>
          </cell>
          <cell r="AK52">
            <v>0.20149253731343286</v>
          </cell>
          <cell r="AL52">
            <v>0.35772357723577231</v>
          </cell>
          <cell r="AM52">
            <v>0.19735553379040138</v>
          </cell>
          <cell r="AU52">
            <v>0.25609756097560976</v>
          </cell>
          <cell r="AV52">
            <v>8.5470085470085388E-2</v>
          </cell>
          <cell r="AW52">
            <v>0.15577889447236171</v>
          </cell>
          <cell r="AX52">
            <v>0.21951219512195119</v>
          </cell>
          <cell r="AY52">
            <v>0.18012422360248448</v>
          </cell>
          <cell r="AZ52">
            <v>0.15568862275449091</v>
          </cell>
          <cell r="BA52">
            <v>0.17177914110429437</v>
          </cell>
          <cell r="BB52">
            <v>0.20388349514563098</v>
          </cell>
          <cell r="BC52">
            <v>0.13385826771653542</v>
          </cell>
          <cell r="BD52">
            <v>0.16521739130434776</v>
          </cell>
          <cell r="BE52">
            <v>0.15999999999999992</v>
          </cell>
          <cell r="BF52">
            <v>0.16315789473684217</v>
          </cell>
          <cell r="BG52">
            <v>0.17616580310880825</v>
          </cell>
          <cell r="BH52">
            <v>0.16753926701570676</v>
          </cell>
          <cell r="BI52">
            <v>0.13709677419354849</v>
          </cell>
          <cell r="BJ52">
            <v>0.125</v>
          </cell>
          <cell r="BK52">
            <v>0.13059701492537323</v>
          </cell>
          <cell r="BL52">
            <v>0.10344827586206895</v>
          </cell>
          <cell r="BM52">
            <v>0.11990950226244346</v>
          </cell>
          <cell r="BN52">
            <v>0.28217439875218675</v>
          </cell>
          <cell r="BO52">
            <v>0.17488789237668168</v>
          </cell>
          <cell r="BP52">
            <v>0.6272727272727272</v>
          </cell>
          <cell r="BQ52">
            <v>0.43046357615894038</v>
          </cell>
          <cell r="BR52">
            <v>0.51340996168582365</v>
          </cell>
          <cell r="BS52">
            <v>0.38877764188674258</v>
          </cell>
          <cell r="BT52">
            <v>0.4665983009000445</v>
          </cell>
          <cell r="BU52">
            <v>0.16030372916431812</v>
          </cell>
          <cell r="BV52">
            <v>0.35026089679864025</v>
          </cell>
          <cell r="BW52">
            <v>8.4528602642818251E-2</v>
          </cell>
          <cell r="BX52">
            <v>9.4511341990650477E-2</v>
          </cell>
          <cell r="BY52">
            <v>8.8686388077867662E-3</v>
          </cell>
          <cell r="BZ52">
            <v>8.3949238020069705E-2</v>
          </cell>
          <cell r="CA52">
            <v>2.4797606819584095E-2</v>
          </cell>
          <cell r="CB52">
            <v>0.25217370972893027</v>
          </cell>
          <cell r="CC52">
            <v>9.4852717417452714E-2</v>
          </cell>
          <cell r="CD52">
            <v>0.12591284073102793</v>
          </cell>
          <cell r="CE52">
            <v>2.8242167956340491E-3</v>
          </cell>
          <cell r="CF52">
            <v>8.4781942161126223E-2</v>
          </cell>
          <cell r="CG52">
            <v>8.3295158765605892E-2</v>
          </cell>
        </row>
        <row r="53">
          <cell r="A53" t="str">
            <v>Net profit growth at constant FX</v>
          </cell>
          <cell r="AE53">
            <v>0.31</v>
          </cell>
          <cell r="AF53">
            <v>0.25</v>
          </cell>
          <cell r="AG53">
            <v>0.15</v>
          </cell>
          <cell r="AU53">
            <v>0.31</v>
          </cell>
          <cell r="AV53">
            <v>0.17</v>
          </cell>
          <cell r="AW53">
            <v>0.23</v>
          </cell>
          <cell r="AX53">
            <v>0.32</v>
          </cell>
          <cell r="AY53">
            <v>0.27</v>
          </cell>
          <cell r="AZ53">
            <v>0.25</v>
          </cell>
          <cell r="BA53">
            <v>0.26</v>
          </cell>
          <cell r="BB53">
            <v>0.18</v>
          </cell>
          <cell r="BC53">
            <v>0.12</v>
          </cell>
          <cell r="BD53">
            <v>0.15</v>
          </cell>
          <cell r="BE53">
            <v>0.13</v>
          </cell>
          <cell r="BF53">
            <v>0.14000000000000001</v>
          </cell>
          <cell r="BG53">
            <v>0.14616580310880825</v>
          </cell>
          <cell r="BH53">
            <v>0.13</v>
          </cell>
          <cell r="BI53">
            <v>0.14000000000000001</v>
          </cell>
          <cell r="BJ53">
            <v>0.1</v>
          </cell>
          <cell r="BK53">
            <v>0.11</v>
          </cell>
          <cell r="BL53">
            <v>0.12836320969949805</v>
          </cell>
          <cell r="BM53">
            <v>0.10926497101244338</v>
          </cell>
          <cell r="BN53">
            <v>0.32787891546402059</v>
          </cell>
          <cell r="BO53">
            <v>0.18088789237668168</v>
          </cell>
          <cell r="BP53">
            <v>0.69727272727272727</v>
          </cell>
          <cell r="BQ53">
            <v>0.46147664805436522</v>
          </cell>
          <cell r="BR53">
            <v>0.56340996168582369</v>
          </cell>
          <cell r="BS53">
            <v>0.42573982618208916</v>
          </cell>
          <cell r="BT53">
            <v>0.51213260651567305</v>
          </cell>
          <cell r="BU53">
            <v>0.18608856399394524</v>
          </cell>
          <cell r="BV53">
            <v>0.39060705415618263</v>
          </cell>
          <cell r="BW53">
            <v>9.237530642046235E-2</v>
          </cell>
          <cell r="BX53">
            <v>9.4511341990650477E-2</v>
          </cell>
          <cell r="BY53">
            <v>8.8686388077867662E-3</v>
          </cell>
          <cell r="BZ53">
            <v>8.3949238020069705E-2</v>
          </cell>
          <cell r="CA53">
            <v>-3.4669393977327892E-2</v>
          </cell>
          <cell r="CB53">
            <v>0.2121496608508939</v>
          </cell>
          <cell r="CC53">
            <v>4.0909159089990398E-2</v>
          </cell>
          <cell r="CD53">
            <v>0.12591284073102793</v>
          </cell>
          <cell r="CE53">
            <v>2.8242167956340491E-3</v>
          </cell>
          <cell r="CF53">
            <v>8.4781942161126223E-2</v>
          </cell>
          <cell r="CG53">
            <v>8.3295158765605892E-2</v>
          </cell>
        </row>
        <row r="55">
          <cell r="A55" t="str">
            <v>Adjustment for one-off tax gains included in reported net income</v>
          </cell>
          <cell r="AZ55">
            <v>-14</v>
          </cell>
          <cell r="BA55">
            <v>-14</v>
          </cell>
          <cell r="BE55">
            <v>-13</v>
          </cell>
          <cell r="BF55">
            <v>-13</v>
          </cell>
          <cell r="BH55">
            <v>-13</v>
          </cell>
          <cell r="BO55">
            <v>0</v>
          </cell>
          <cell r="BP55">
            <v>0</v>
          </cell>
          <cell r="BQ55">
            <v>-20</v>
          </cell>
          <cell r="BR55">
            <v>-20</v>
          </cell>
          <cell r="BS55">
            <v>0</v>
          </cell>
          <cell r="BT55">
            <v>-20</v>
          </cell>
          <cell r="BU55">
            <v>0</v>
          </cell>
          <cell r="BV55">
            <v>-20</v>
          </cell>
          <cell r="CA55" t="str">
            <v>NO, company said on Feb 12 that it WOULD include the 20mn in adjusted net income growth</v>
          </cell>
        </row>
        <row r="56">
          <cell r="A56" t="str">
            <v>Restructuring</v>
          </cell>
          <cell r="BH56">
            <v>-3</v>
          </cell>
          <cell r="BI56">
            <v>31</v>
          </cell>
          <cell r="BJ56">
            <v>11</v>
          </cell>
          <cell r="BK56">
            <v>42</v>
          </cell>
          <cell r="BL56">
            <v>35</v>
          </cell>
          <cell r="BM56">
            <v>77</v>
          </cell>
          <cell r="BN56">
            <v>35.053588516746409</v>
          </cell>
          <cell r="BO56">
            <v>112</v>
          </cell>
          <cell r="BP56">
            <v>0</v>
          </cell>
          <cell r="BQ56">
            <v>0</v>
          </cell>
          <cell r="BR56">
            <v>0</v>
          </cell>
          <cell r="BS56">
            <v>-36</v>
          </cell>
          <cell r="BT56">
            <v>-36</v>
          </cell>
          <cell r="BU56">
            <v>3</v>
          </cell>
          <cell r="BV56">
            <v>0</v>
          </cell>
          <cell r="BW56">
            <v>22.8</v>
          </cell>
          <cell r="BX56">
            <v>0</v>
          </cell>
          <cell r="BY56">
            <v>22.8</v>
          </cell>
          <cell r="BZ56">
            <v>0</v>
          </cell>
          <cell r="CA56">
            <v>22.8</v>
          </cell>
          <cell r="CB56">
            <v>0</v>
          </cell>
          <cell r="CC56">
            <v>22.8</v>
          </cell>
        </row>
        <row r="57">
          <cell r="A57" t="str">
            <v>Adjusted net income as defined by Reckitt Benckiser</v>
          </cell>
          <cell r="AU57">
            <v>103</v>
          </cell>
          <cell r="AV57">
            <v>127</v>
          </cell>
          <cell r="AW57">
            <v>230</v>
          </cell>
          <cell r="AX57">
            <v>150</v>
          </cell>
          <cell r="AY57">
            <v>380</v>
          </cell>
          <cell r="AZ57">
            <v>179</v>
          </cell>
          <cell r="BA57">
            <v>559</v>
          </cell>
          <cell r="BB57">
            <v>124</v>
          </cell>
          <cell r="BC57">
            <v>144</v>
          </cell>
          <cell r="BD57">
            <v>268</v>
          </cell>
          <cell r="BE57">
            <v>161</v>
          </cell>
          <cell r="BF57">
            <v>429</v>
          </cell>
          <cell r="BG57">
            <v>227</v>
          </cell>
          <cell r="BH57">
            <v>653</v>
          </cell>
          <cell r="BI57">
            <v>141</v>
          </cell>
          <cell r="BJ57">
            <v>162</v>
          </cell>
          <cell r="BK57">
            <v>303</v>
          </cell>
          <cell r="BL57">
            <v>192</v>
          </cell>
          <cell r="BM57">
            <v>495</v>
          </cell>
          <cell r="BN57">
            <v>291.0535885167464</v>
          </cell>
          <cell r="BO57">
            <v>786</v>
          </cell>
          <cell r="BP57">
            <v>821.66365465717388</v>
          </cell>
          <cell r="BQ57">
            <v>196</v>
          </cell>
          <cell r="BR57">
            <v>375</v>
          </cell>
          <cell r="BS57">
            <v>218</v>
          </cell>
          <cell r="BT57">
            <v>593</v>
          </cell>
          <cell r="BU57">
            <v>291.99999999999989</v>
          </cell>
          <cell r="BV57">
            <v>890.0758444422836</v>
          </cell>
          <cell r="BW57">
            <v>202.82027907021001</v>
          </cell>
          <cell r="BX57">
            <v>230.77443430431947</v>
          </cell>
          <cell r="BY57">
            <v>433.59471337452953</v>
          </cell>
          <cell r="BZ57">
            <v>254.29893345138041</v>
          </cell>
          <cell r="CA57">
            <v>2.5445292620865136</v>
          </cell>
          <cell r="CB57" t="str">
            <v>the boost given to the bottom-line</v>
          </cell>
          <cell r="CC57">
            <v>1049.7718489375707</v>
          </cell>
        </row>
        <row r="58">
          <cell r="A58" t="str">
            <v>Adjusted net income growth %</v>
          </cell>
          <cell r="BB58">
            <v>0.20388349514563098</v>
          </cell>
          <cell r="BC58">
            <v>0.13385826771653542</v>
          </cell>
          <cell r="BD58">
            <v>0.16521739130434776</v>
          </cell>
          <cell r="BE58">
            <v>7.333333333333325E-2</v>
          </cell>
          <cell r="BF58">
            <v>0.1289473684210527</v>
          </cell>
          <cell r="BG58">
            <v>0.26815642458100553</v>
          </cell>
          <cell r="BH58">
            <v>0.16815742397137745</v>
          </cell>
          <cell r="BI58">
            <v>0.13709677419354849</v>
          </cell>
          <cell r="BJ58">
            <v>0.125</v>
          </cell>
          <cell r="BK58">
            <v>0.13059701492537323</v>
          </cell>
          <cell r="BL58">
            <v>0.19254658385093171</v>
          </cell>
          <cell r="BM58">
            <v>0.15384615384615374</v>
          </cell>
          <cell r="BN58">
            <v>0.28217439875218675</v>
          </cell>
          <cell r="BO58">
            <v>0.20367534456355285</v>
          </cell>
          <cell r="BP58">
            <v>8.4203293388072975E-2</v>
          </cell>
          <cell r="BQ58">
            <v>0.20987654320987659</v>
          </cell>
          <cell r="BR58">
            <v>0.23762376237623761</v>
          </cell>
          <cell r="BS58">
            <v>0.13541666666666674</v>
          </cell>
          <cell r="BT58" t="str">
            <v>company guides to 16% at actual FX (BUT assuming NO FX!!)</v>
          </cell>
          <cell r="BU58">
            <v>3.2516743328145914E-3</v>
          </cell>
          <cell r="BV58">
            <v>0.13241201582987738</v>
          </cell>
          <cell r="BW58" t="str">
            <v>should be 15%</v>
          </cell>
          <cell r="BX58">
            <v>6.840015881629391E-2</v>
          </cell>
          <cell r="BY58">
            <v>9.7708135125391227E-2</v>
          </cell>
          <cell r="BZ58">
            <v>0.16650886904302942</v>
          </cell>
          <cell r="CA58">
            <v>923.97001884463998</v>
          </cell>
          <cell r="CB58">
            <v>0.23930891134130428</v>
          </cell>
          <cell r="CC58">
            <v>0.15996889385366919</v>
          </cell>
        </row>
        <row r="59">
          <cell r="A59" t="str">
            <v>Adjusted net income growth EX FX %</v>
          </cell>
          <cell r="BV59">
            <v>0.17275817318741979</v>
          </cell>
          <cell r="BW59" t="str">
            <v>should be high-teens</v>
          </cell>
          <cell r="BX59">
            <v>1.2923490201599483E-2</v>
          </cell>
          <cell r="BY59">
            <v>3.8502484722295401E-2</v>
          </cell>
          <cell r="BZ59">
            <v>0.10595608629364012</v>
          </cell>
          <cell r="CA59">
            <v>17.553437512040709</v>
          </cell>
          <cell r="CB59">
            <v>0.1992848624632679</v>
          </cell>
          <cell r="CC59">
            <v>0.10602533552620688</v>
          </cell>
          <cell r="CH59" t="str">
            <v>company guides to 10%</v>
          </cell>
        </row>
        <row r="60">
          <cell r="A60" t="str">
            <v>Reported EPS (Net Income / Basic)</v>
          </cell>
          <cell r="B60">
            <v>58.042676487181467</v>
          </cell>
          <cell r="C60">
            <v>53.292388098723151</v>
          </cell>
          <cell r="D60">
            <v>36.904149489734991</v>
          </cell>
          <cell r="E60">
            <v>5.5943661599923828</v>
          </cell>
          <cell r="F60">
            <v>5.152705673677195</v>
          </cell>
          <cell r="G60">
            <v>10.747071833669578</v>
          </cell>
          <cell r="H60">
            <v>3.0616707974923458</v>
          </cell>
          <cell r="I60">
            <v>14.102748596920419</v>
          </cell>
          <cell r="J60">
            <v>-19.874721884183465</v>
          </cell>
          <cell r="K60">
            <v>-5.4471459978873202</v>
          </cell>
          <cell r="L60">
            <v>6.6349343718447997</v>
          </cell>
          <cell r="M60">
            <v>10.649014246654195</v>
          </cell>
          <cell r="N60">
            <v>17.000432214378332</v>
          </cell>
          <cell r="O60">
            <v>12.446167097329894</v>
          </cell>
          <cell r="P60">
            <v>29.486257015397914</v>
          </cell>
          <cell r="Q60">
            <v>15.681194232378557</v>
          </cell>
          <cell r="R60">
            <v>45.131943070273792</v>
          </cell>
          <cell r="S60">
            <v>7.7286389008157999</v>
          </cell>
          <cell r="T60">
            <v>14.428571428571429</v>
          </cell>
          <cell r="U60">
            <v>22.161853016871603</v>
          </cell>
          <cell r="V60">
            <v>9.7004279600570626</v>
          </cell>
          <cell r="W60">
            <v>31.861694527789687</v>
          </cell>
          <cell r="X60">
            <v>15.531490453120547</v>
          </cell>
          <cell r="Y60">
            <v>47.402188656995783</v>
          </cell>
          <cell r="Z60">
            <v>9.9559095434504332</v>
          </cell>
          <cell r="AA60">
            <v>14.7</v>
          </cell>
          <cell r="AB60">
            <v>24.589927145987247</v>
          </cell>
          <cell r="AC60">
            <v>13.480913864055626</v>
          </cell>
          <cell r="AD60">
            <v>38.073589998579344</v>
          </cell>
          <cell r="AE60">
            <v>19.899999999999999</v>
          </cell>
          <cell r="AF60">
            <v>57.982314496800747</v>
          </cell>
          <cell r="AG60">
            <v>11.616376257260235</v>
          </cell>
          <cell r="AH60">
            <v>16.483623742739766</v>
          </cell>
          <cell r="AI60">
            <v>28.1</v>
          </cell>
          <cell r="AJ60">
            <v>17.382702091577162</v>
          </cell>
          <cell r="AK60">
            <v>45.563888495825665</v>
          </cell>
          <cell r="AL60">
            <v>23.57758012141748</v>
          </cell>
          <cell r="AM60">
            <v>69.17647118538477</v>
          </cell>
          <cell r="AU60">
            <v>14.55007769458963</v>
          </cell>
          <cell r="AV60">
            <v>18.3</v>
          </cell>
          <cell r="AW60">
            <v>32.574161714357849</v>
          </cell>
          <cell r="AX60">
            <v>20.813098376578328</v>
          </cell>
          <cell r="AY60">
            <v>53.445850914205337</v>
          </cell>
          <cell r="AZ60">
            <v>27.123778053146086</v>
          </cell>
          <cell r="BA60">
            <v>80.715579620598632</v>
          </cell>
          <cell r="BB60">
            <v>17.108167770419428</v>
          </cell>
          <cell r="BC60">
            <v>19.669444065018439</v>
          </cell>
          <cell r="BD60">
            <v>36.789432917371734</v>
          </cell>
          <cell r="BE60">
            <v>23.914238592633314</v>
          </cell>
          <cell r="BF60">
            <v>60.697610546553136</v>
          </cell>
          <cell r="BG60">
            <v>31.366588365344754</v>
          </cell>
          <cell r="BH60">
            <v>92.014179453823772</v>
          </cell>
          <cell r="BI60">
            <v>15.227021040974531</v>
          </cell>
          <cell r="BJ60">
            <v>20.928620928620926</v>
          </cell>
          <cell r="BK60">
            <v>36.152179232587031</v>
          </cell>
          <cell r="BL60">
            <v>21.05740599017717</v>
          </cell>
          <cell r="BM60">
            <v>57.258682205579191</v>
          </cell>
          <cell r="BN60">
            <v>30.729625991425152</v>
          </cell>
          <cell r="BO60">
            <v>87.899605643551354</v>
          </cell>
          <cell r="BP60">
            <v>118.79901179855953</v>
          </cell>
          <cell r="BQ60">
            <v>132.17549259966722</v>
          </cell>
          <cell r="BR60">
            <v>144.53602914773791</v>
          </cell>
          <cell r="BS60">
            <v>157.93142339156765</v>
          </cell>
          <cell r="CA60">
            <v>20.755245034349727</v>
          </cell>
        </row>
        <row r="61">
          <cell r="A61" t="str">
            <v>Average shares outstanding (basic), mn</v>
          </cell>
          <cell r="B61">
            <v>422.62007</v>
          </cell>
          <cell r="C61">
            <v>406.06174299999998</v>
          </cell>
          <cell r="D61">
            <v>670.11434599999995</v>
          </cell>
          <cell r="E61">
            <v>679.25478799999996</v>
          </cell>
          <cell r="F61">
            <v>679.25478799999996</v>
          </cell>
          <cell r="G61">
            <v>679.25478799999996</v>
          </cell>
          <cell r="H61">
            <v>685.9</v>
          </cell>
          <cell r="I61">
            <v>694.9</v>
          </cell>
          <cell r="J61">
            <v>679.25478799999996</v>
          </cell>
          <cell r="K61">
            <v>679.25478799999996</v>
          </cell>
          <cell r="L61">
            <v>693.3</v>
          </cell>
          <cell r="M61">
            <v>694.9</v>
          </cell>
          <cell r="N61">
            <v>694.1</v>
          </cell>
          <cell r="O61">
            <v>696.6</v>
          </cell>
          <cell r="P61">
            <v>694.9</v>
          </cell>
          <cell r="Q61">
            <v>695.73782700000004</v>
          </cell>
          <cell r="R61">
            <v>695.73782700000004</v>
          </cell>
          <cell r="S61">
            <v>698.7</v>
          </cell>
          <cell r="T61">
            <v>700</v>
          </cell>
          <cell r="U61">
            <v>699.4</v>
          </cell>
          <cell r="V61">
            <v>701</v>
          </cell>
          <cell r="W61">
            <v>699.9</v>
          </cell>
          <cell r="X61">
            <v>701.8</v>
          </cell>
          <cell r="Y61">
            <v>700.38960099999997</v>
          </cell>
          <cell r="Z61">
            <v>703.1</v>
          </cell>
          <cell r="AA61">
            <v>704</v>
          </cell>
          <cell r="AB61">
            <v>703.54010800000003</v>
          </cell>
          <cell r="AC61">
            <v>704.7</v>
          </cell>
          <cell r="AD61">
            <v>703.9</v>
          </cell>
          <cell r="AE61">
            <v>705.6</v>
          </cell>
          <cell r="AF61">
            <v>704.35270400000002</v>
          </cell>
          <cell r="AG61">
            <v>705.9</v>
          </cell>
          <cell r="AH61">
            <v>706.5</v>
          </cell>
          <cell r="AI61">
            <v>706.24074099999996</v>
          </cell>
          <cell r="AJ61">
            <v>707.6</v>
          </cell>
          <cell r="AK61">
            <v>706.7</v>
          </cell>
          <cell r="AL61">
            <v>708.3</v>
          </cell>
          <cell r="AM61">
            <v>706.88774899999999</v>
          </cell>
          <cell r="AN61">
            <v>0</v>
          </cell>
          <cell r="AO61">
            <v>0</v>
          </cell>
          <cell r="AP61">
            <v>0</v>
          </cell>
          <cell r="AQ61">
            <v>0</v>
          </cell>
          <cell r="AR61">
            <v>0</v>
          </cell>
          <cell r="AS61">
            <v>0</v>
          </cell>
          <cell r="AT61">
            <v>0</v>
          </cell>
          <cell r="AU61">
            <v>707.9</v>
          </cell>
          <cell r="AV61">
            <v>704.3</v>
          </cell>
          <cell r="AW61">
            <v>706.08110199999999</v>
          </cell>
          <cell r="AX61">
            <v>720.7</v>
          </cell>
          <cell r="AY61">
            <v>711</v>
          </cell>
          <cell r="AZ61">
            <v>726.3</v>
          </cell>
          <cell r="BA61">
            <v>714.85579700000005</v>
          </cell>
          <cell r="BB61">
            <v>724.8</v>
          </cell>
          <cell r="BC61">
            <v>732.1</v>
          </cell>
          <cell r="BD61">
            <v>728.47004900000002</v>
          </cell>
          <cell r="BE61">
            <v>727.6</v>
          </cell>
          <cell r="BF61">
            <v>728.2</v>
          </cell>
          <cell r="BG61">
            <v>723.7</v>
          </cell>
          <cell r="BH61">
            <v>727.06185500000004</v>
          </cell>
          <cell r="BI61">
            <v>722.4</v>
          </cell>
          <cell r="BJ61">
            <v>721.5</v>
          </cell>
          <cell r="BK61">
            <v>721.94817999999998</v>
          </cell>
          <cell r="BL61">
            <v>721.3</v>
          </cell>
          <cell r="BM61">
            <v>721.7</v>
          </cell>
          <cell r="BN61">
            <v>718.45</v>
          </cell>
          <cell r="BO61">
            <v>720.91249999999991</v>
          </cell>
          <cell r="BP61">
            <v>714.71286148352124</v>
          </cell>
          <cell r="BQ61">
            <v>709.8675653486672</v>
          </cell>
          <cell r="BR61">
            <v>705.12291082789238</v>
          </cell>
          <cell r="BS61">
            <v>700.47680749489439</v>
          </cell>
        </row>
        <row r="62">
          <cell r="A62" t="str">
            <v>Average shares outstanding (basic), mn</v>
          </cell>
          <cell r="B62">
            <v>422.62007</v>
          </cell>
          <cell r="C62">
            <v>406.06174299999998</v>
          </cell>
          <cell r="D62">
            <v>670.11434599999995</v>
          </cell>
          <cell r="E62">
            <v>679.25478799999996</v>
          </cell>
          <cell r="F62">
            <v>679.25478799999996</v>
          </cell>
          <cell r="G62">
            <v>679.25478799999996</v>
          </cell>
          <cell r="H62">
            <v>685.9</v>
          </cell>
          <cell r="I62">
            <v>694.9</v>
          </cell>
          <cell r="J62">
            <v>679.25478799999996</v>
          </cell>
          <cell r="K62">
            <v>679.25478799999996</v>
          </cell>
          <cell r="L62">
            <v>693.3</v>
          </cell>
          <cell r="M62">
            <v>694.9</v>
          </cell>
          <cell r="N62">
            <v>694.1</v>
          </cell>
          <cell r="O62">
            <v>696.6</v>
          </cell>
          <cell r="P62">
            <v>694.9</v>
          </cell>
          <cell r="Q62">
            <v>695.73782700000004</v>
          </cell>
          <cell r="R62">
            <v>695.73782700000004</v>
          </cell>
          <cell r="S62">
            <v>698.7</v>
          </cell>
          <cell r="T62">
            <v>700</v>
          </cell>
          <cell r="U62">
            <v>699.4</v>
          </cell>
          <cell r="V62">
            <v>701</v>
          </cell>
          <cell r="W62">
            <v>699.9</v>
          </cell>
          <cell r="X62">
            <v>701.8</v>
          </cell>
          <cell r="Y62">
            <v>700.38960099999997</v>
          </cell>
          <cell r="Z62">
            <v>703.1</v>
          </cell>
          <cell r="AA62">
            <v>704</v>
          </cell>
          <cell r="AB62">
            <v>703.54010800000003</v>
          </cell>
          <cell r="AC62">
            <v>704.7</v>
          </cell>
          <cell r="AD62">
            <v>703.9</v>
          </cell>
          <cell r="AE62">
            <v>705.6</v>
          </cell>
          <cell r="AF62">
            <v>704.35270400000002</v>
          </cell>
          <cell r="AG62">
            <v>705.9</v>
          </cell>
          <cell r="AH62">
            <v>706.5</v>
          </cell>
          <cell r="AI62">
            <v>706.24074099999996</v>
          </cell>
          <cell r="AJ62">
            <v>707.6</v>
          </cell>
          <cell r="AK62">
            <v>706.7</v>
          </cell>
          <cell r="AL62">
            <v>708.3</v>
          </cell>
          <cell r="AM62">
            <v>706.88774899999999</v>
          </cell>
          <cell r="AN62">
            <v>0</v>
          </cell>
          <cell r="AO62">
            <v>0</v>
          </cell>
          <cell r="AP62">
            <v>0</v>
          </cell>
          <cell r="AQ62">
            <v>0</v>
          </cell>
          <cell r="AR62">
            <v>0</v>
          </cell>
          <cell r="AS62">
            <v>0</v>
          </cell>
          <cell r="AT62">
            <v>0</v>
          </cell>
          <cell r="AU62">
            <v>707.9</v>
          </cell>
          <cell r="AV62">
            <v>704.3</v>
          </cell>
          <cell r="AW62">
            <v>706.08110199999999</v>
          </cell>
          <cell r="AX62">
            <v>720.7</v>
          </cell>
          <cell r="AY62">
            <v>711</v>
          </cell>
          <cell r="AZ62">
            <v>726.3</v>
          </cell>
          <cell r="BA62">
            <v>714.85579700000005</v>
          </cell>
          <cell r="BB62">
            <v>724.8</v>
          </cell>
          <cell r="BC62">
            <v>732.1</v>
          </cell>
          <cell r="BD62">
            <v>728.47004900000002</v>
          </cell>
          <cell r="BE62">
            <v>727.6</v>
          </cell>
          <cell r="BF62">
            <v>728.2</v>
          </cell>
          <cell r="BG62">
            <v>723.7</v>
          </cell>
          <cell r="BH62">
            <v>727.06185500000004</v>
          </cell>
          <cell r="BI62">
            <v>722.4</v>
          </cell>
          <cell r="BJ62">
            <v>721.5</v>
          </cell>
          <cell r="BK62">
            <v>721.94817999999998</v>
          </cell>
          <cell r="BL62">
            <v>721.3</v>
          </cell>
          <cell r="BM62">
            <v>721.7</v>
          </cell>
          <cell r="BN62">
            <v>717.6</v>
          </cell>
          <cell r="BO62">
            <v>720.68556999999998</v>
          </cell>
          <cell r="BP62">
            <v>716.6</v>
          </cell>
          <cell r="BQ62">
            <v>716.7</v>
          </cell>
          <cell r="BR62">
            <v>716.6</v>
          </cell>
          <cell r="BS62">
            <v>715.48074532075464</v>
          </cell>
          <cell r="BT62">
            <v>716.22691510691823</v>
          </cell>
          <cell r="BU62">
            <v>714.92036796226409</v>
          </cell>
          <cell r="BV62">
            <v>715.30055664150939</v>
          </cell>
          <cell r="BW62">
            <v>714.39908913626823</v>
          </cell>
          <cell r="BX62">
            <v>714.30513774252654</v>
          </cell>
          <cell r="BY62">
            <v>714.9588864520249</v>
          </cell>
          <cell r="BZ62">
            <v>716.30495007193088</v>
          </cell>
          <cell r="CA62">
            <v>703.36908933197049</v>
          </cell>
          <cell r="CC62">
            <v>710.37204511111099</v>
          </cell>
          <cell r="CD62">
            <v>707.57492576954724</v>
          </cell>
          <cell r="CE62">
            <v>705.51092637921033</v>
          </cell>
          <cell r="CF62">
            <v>704.12574175852819</v>
          </cell>
          <cell r="CG62">
            <v>703.36908933197049</v>
          </cell>
        </row>
        <row r="63">
          <cell r="A63" t="str">
            <v>Reported EPS (Net Income / Basic)</v>
          </cell>
          <cell r="B63">
            <v>58.042676487181467</v>
          </cell>
          <cell r="C63">
            <v>53.292388098723151</v>
          </cell>
          <cell r="D63">
            <v>36.904149489734991</v>
          </cell>
          <cell r="E63">
            <v>5.5943661599923828</v>
          </cell>
          <cell r="F63">
            <v>5.152705673677195</v>
          </cell>
          <cell r="G63">
            <v>10.747071833669578</v>
          </cell>
          <cell r="H63">
            <v>3.0616707974923458</v>
          </cell>
          <cell r="I63">
            <v>14.102748596920419</v>
          </cell>
          <cell r="J63">
            <v>-19.874721884183465</v>
          </cell>
          <cell r="K63">
            <v>-5.4471459978873202</v>
          </cell>
          <cell r="L63">
            <v>6.6349343718447997</v>
          </cell>
          <cell r="M63">
            <v>10.649014246654195</v>
          </cell>
          <cell r="N63">
            <v>17.000432214378332</v>
          </cell>
          <cell r="O63">
            <v>12.446167097329894</v>
          </cell>
          <cell r="P63">
            <v>29.486257015397914</v>
          </cell>
          <cell r="Q63">
            <v>15.681194232378557</v>
          </cell>
          <cell r="R63">
            <v>45.131943070273792</v>
          </cell>
          <cell r="S63">
            <v>7.7286389008157999</v>
          </cell>
          <cell r="T63">
            <v>14.428571428571429</v>
          </cell>
          <cell r="U63">
            <v>22.161853016871603</v>
          </cell>
          <cell r="V63">
            <v>9.7004279600570626</v>
          </cell>
          <cell r="W63">
            <v>31.861694527789687</v>
          </cell>
          <cell r="X63">
            <v>15.531490453120547</v>
          </cell>
          <cell r="Y63">
            <v>47.402188656995783</v>
          </cell>
          <cell r="Z63">
            <v>9.9559095434504332</v>
          </cell>
          <cell r="AA63">
            <v>14.7</v>
          </cell>
          <cell r="AB63">
            <v>24.589927145987247</v>
          </cell>
          <cell r="AC63">
            <v>13.480913864055626</v>
          </cell>
          <cell r="AD63">
            <v>38.073589998579344</v>
          </cell>
          <cell r="AE63">
            <v>19.899999999999999</v>
          </cell>
          <cell r="AF63">
            <v>57.982314496800747</v>
          </cell>
          <cell r="AG63">
            <v>11.616376257260235</v>
          </cell>
          <cell r="AH63">
            <v>16.483623742739766</v>
          </cell>
          <cell r="AI63">
            <v>28.1</v>
          </cell>
          <cell r="AJ63">
            <v>17.382702091577162</v>
          </cell>
          <cell r="AK63">
            <v>45.563888495825665</v>
          </cell>
          <cell r="AL63">
            <v>23.57758012141748</v>
          </cell>
          <cell r="AM63">
            <v>69.17647118538477</v>
          </cell>
          <cell r="AU63">
            <v>14.55007769458963</v>
          </cell>
          <cell r="AV63">
            <v>18.3</v>
          </cell>
          <cell r="AW63">
            <v>32.574161714357849</v>
          </cell>
          <cell r="AX63">
            <v>20.813098376578328</v>
          </cell>
          <cell r="AY63">
            <v>53.445850914205337</v>
          </cell>
          <cell r="AZ63">
            <v>26.573041442929917</v>
          </cell>
          <cell r="BA63">
            <v>80.156026209017355</v>
          </cell>
          <cell r="BB63">
            <v>17.108167770419428</v>
          </cell>
          <cell r="BC63">
            <v>19.669444065018439</v>
          </cell>
          <cell r="BD63">
            <v>36.789432917371734</v>
          </cell>
          <cell r="BE63">
            <v>23.914238592633314</v>
          </cell>
          <cell r="BF63">
            <v>60.697610546553136</v>
          </cell>
          <cell r="BG63">
            <v>31.366588365344754</v>
          </cell>
          <cell r="BH63">
            <v>92.014179453823772</v>
          </cell>
          <cell r="BI63">
            <v>15.227021040974531</v>
          </cell>
          <cell r="BJ63">
            <v>20.928620928620926</v>
          </cell>
          <cell r="BK63">
            <v>36.152179232587031</v>
          </cell>
          <cell r="BL63">
            <v>21.766255372244562</v>
          </cell>
          <cell r="BM63">
            <v>57.918802826659274</v>
          </cell>
          <cell r="BN63">
            <v>35.674470457079153</v>
          </cell>
          <cell r="BO63">
            <v>93.522061222899183</v>
          </cell>
          <cell r="BP63">
            <v>24.979067820262348</v>
          </cell>
          <cell r="BQ63">
            <v>30.1381331100879</v>
          </cell>
          <cell r="BR63">
            <v>55.121406642478362</v>
          </cell>
          <cell r="BS63">
            <v>30.474347660952176</v>
          </cell>
          <cell r="BT63">
            <v>85.592718850101363</v>
          </cell>
          <cell r="BU63">
            <v>41.548369297787872</v>
          </cell>
          <cell r="BV63">
            <v>125.85787038157612</v>
          </cell>
          <cell r="BW63">
            <v>136.1097761275982</v>
          </cell>
          <cell r="BX63">
            <v>147.66309083130687</v>
          </cell>
          <cell r="BY63">
            <v>159.99970026372785</v>
          </cell>
          <cell r="BZ63">
            <v>173.02422227421656</v>
          </cell>
          <cell r="CA63">
            <v>188.11428286833024</v>
          </cell>
          <cell r="CC63">
            <v>144.56816762502805</v>
          </cell>
          <cell r="CD63">
            <v>163.414608075681</v>
          </cell>
          <cell r="CE63">
            <v>164.35555227637678</v>
          </cell>
          <cell r="CF63">
            <v>178.64067437052913</v>
          </cell>
          <cell r="CG63">
            <v>193.72875832649598</v>
          </cell>
        </row>
        <row r="64">
          <cell r="A64" t="str">
            <v>Growth %</v>
          </cell>
          <cell r="C64">
            <v>-8.1841304983711449E-2</v>
          </cell>
          <cell r="D64">
            <v>-0.30751556073316244</v>
          </cell>
          <cell r="K64">
            <v>-1.1476025344901246</v>
          </cell>
          <cell r="R64">
            <v>-9.2854293033045661</v>
          </cell>
          <cell r="Y64">
            <v>5.0302411823640147E-2</v>
          </cell>
          <cell r="AE64">
            <v>0.2812678899082568</v>
          </cell>
          <cell r="AF64">
            <v>0.223199099863578</v>
          </cell>
          <cell r="AG64">
            <v>0.16678202092566741</v>
          </cell>
          <cell r="AH64">
            <v>0.12133494848569848</v>
          </cell>
          <cell r="AI64">
            <v>0.14274433727167635</v>
          </cell>
          <cell r="AJ64">
            <v>0.28943054357204478</v>
          </cell>
          <cell r="AK64">
            <v>0.19673213105267484</v>
          </cell>
          <cell r="AL64">
            <v>0.18480302117675795</v>
          </cell>
          <cell r="AM64">
            <v>0.19306157033799809</v>
          </cell>
          <cell r="AU64">
            <v>0.25254876153790495</v>
          </cell>
          <cell r="AV64">
            <v>0.11019277590949983</v>
          </cell>
          <cell r="AW64">
            <v>0.1592228368098878</v>
          </cell>
          <cell r="AX64">
            <v>0.19734539928998585</v>
          </cell>
          <cell r="AY64">
            <v>0.17298704475369298</v>
          </cell>
          <cell r="AZ64">
            <v>0.12704702119923716</v>
          </cell>
          <cell r="BA64">
            <v>0.15871805594432065</v>
          </cell>
          <cell r="BB64">
            <v>0.17581281210484589</v>
          </cell>
          <cell r="BC64">
            <v>7.4833009017400975E-2</v>
          </cell>
          <cell r="BD64">
            <v>0.12940536244577872</v>
          </cell>
          <cell r="BE64">
            <v>0.14899945024738859</v>
          </cell>
          <cell r="BF64">
            <v>0.1356842394368234</v>
          </cell>
          <cell r="BG64">
            <v>0.18039135387305172</v>
          </cell>
          <cell r="BH64">
            <v>0.14793838723846831</v>
          </cell>
          <cell r="BI64">
            <v>-0.10995606044368234</v>
          </cell>
          <cell r="BJ64">
            <v>6.4016901516901425E-2</v>
          </cell>
          <cell r="BK64">
            <v>-1.7321650111214337E-2</v>
          </cell>
          <cell r="BL64">
            <v>-8.9820263859474503E-2</v>
          </cell>
          <cell r="BM64">
            <v>-4.578117153001604E-2</v>
          </cell>
          <cell r="BN64">
            <v>0.13733983567348829</v>
          </cell>
          <cell r="BO64">
            <v>1.638749351486779E-2</v>
          </cell>
          <cell r="BP64">
            <v>0.64044350848704701</v>
          </cell>
          <cell r="BQ64">
            <v>0.4400439098628095</v>
          </cell>
          <cell r="BR64">
            <v>0.52470495036694098</v>
          </cell>
          <cell r="BS64">
            <v>0.40007305527673886</v>
          </cell>
          <cell r="BT64">
            <v>0.47780538741909462</v>
          </cell>
          <cell r="BU64">
            <v>0.16465272687861621</v>
          </cell>
          <cell r="BV64">
            <v>0.34575595036991569</v>
          </cell>
          <cell r="BW64">
            <v>8.1456214974401808E-2</v>
          </cell>
          <cell r="BX64">
            <v>8.4882328311802091E-2</v>
          </cell>
          <cell r="BY64">
            <v>8.3545653575100465E-2</v>
          </cell>
          <cell r="BZ64">
            <v>8.1403415062780482E-2</v>
          </cell>
          <cell r="CA64">
            <v>8.4636229318286738E-2</v>
          </cell>
          <cell r="CC64">
            <v>0.10204580814812614</v>
          </cell>
          <cell r="CD64">
            <v>0.13036369458272223</v>
          </cell>
          <cell r="CE64">
            <v>5.7580176691425233E-3</v>
          </cell>
          <cell r="CF64">
            <v>8.6915969045759933E-2</v>
          </cell>
          <cell r="CG64">
            <v>8.4460518351334501E-2</v>
          </cell>
        </row>
        <row r="66">
          <cell r="A66" t="str">
            <v>Reported Profit for the period</v>
          </cell>
          <cell r="B66">
            <v>245.29999999999987</v>
          </cell>
          <cell r="C66">
            <v>216.39999999999978</v>
          </cell>
          <cell r="D66">
            <v>247.29999999999998</v>
          </cell>
          <cell r="E66">
            <v>38</v>
          </cell>
          <cell r="F66">
            <v>35</v>
          </cell>
          <cell r="G66">
            <v>73</v>
          </cell>
          <cell r="H66">
            <v>21</v>
          </cell>
          <cell r="I66">
            <v>98</v>
          </cell>
          <cell r="J66">
            <v>-135</v>
          </cell>
          <cell r="K66">
            <v>-37</v>
          </cell>
          <cell r="L66">
            <v>46</v>
          </cell>
          <cell r="M66">
            <v>74</v>
          </cell>
          <cell r="N66">
            <v>118</v>
          </cell>
          <cell r="O66">
            <v>86.700000000000045</v>
          </cell>
          <cell r="P66">
            <v>204.90000000000009</v>
          </cell>
          <cell r="Q66">
            <v>109.09999999999991</v>
          </cell>
          <cell r="R66">
            <v>314</v>
          </cell>
          <cell r="S66">
            <v>54</v>
          </cell>
          <cell r="T66">
            <v>101</v>
          </cell>
          <cell r="U66">
            <v>155</v>
          </cell>
          <cell r="V66">
            <v>68</v>
          </cell>
          <cell r="W66">
            <v>223</v>
          </cell>
          <cell r="X66">
            <v>109</v>
          </cell>
          <cell r="Y66">
            <v>332</v>
          </cell>
          <cell r="Z66">
            <v>70</v>
          </cell>
          <cell r="AA66">
            <v>103</v>
          </cell>
          <cell r="AB66">
            <v>173</v>
          </cell>
          <cell r="AC66">
            <v>95</v>
          </cell>
          <cell r="AD66">
            <v>268</v>
          </cell>
          <cell r="AE66">
            <v>123</v>
          </cell>
          <cell r="AF66">
            <v>408.40000000000009</v>
          </cell>
          <cell r="AG66">
            <v>82</v>
          </cell>
          <cell r="AH66">
            <v>117</v>
          </cell>
          <cell r="AI66">
            <v>199</v>
          </cell>
          <cell r="AJ66">
            <v>123</v>
          </cell>
          <cell r="AK66">
            <v>322</v>
          </cell>
          <cell r="AL66">
            <v>167</v>
          </cell>
          <cell r="AM66">
            <v>489</v>
          </cell>
          <cell r="AU66">
            <v>103</v>
          </cell>
          <cell r="AV66">
            <v>127</v>
          </cell>
          <cell r="AW66">
            <v>230</v>
          </cell>
          <cell r="AX66">
            <v>150</v>
          </cell>
          <cell r="AY66">
            <v>380</v>
          </cell>
          <cell r="AZ66">
            <v>193</v>
          </cell>
          <cell r="BA66">
            <v>573</v>
          </cell>
          <cell r="BB66">
            <v>124</v>
          </cell>
          <cell r="BC66">
            <v>144</v>
          </cell>
          <cell r="BD66">
            <v>268</v>
          </cell>
          <cell r="BE66">
            <v>174</v>
          </cell>
          <cell r="BF66">
            <v>442</v>
          </cell>
          <cell r="BG66">
            <v>225</v>
          </cell>
          <cell r="BH66">
            <v>667</v>
          </cell>
          <cell r="BI66">
            <v>110</v>
          </cell>
          <cell r="BJ66">
            <v>151</v>
          </cell>
          <cell r="BK66">
            <v>261</v>
          </cell>
          <cell r="BL66">
            <v>157</v>
          </cell>
          <cell r="BM66">
            <v>418</v>
          </cell>
          <cell r="BN66">
            <v>228.10017410297803</v>
          </cell>
          <cell r="BO66">
            <v>646.1001741029786</v>
          </cell>
          <cell r="BP66">
            <v>821.66365465717388</v>
          </cell>
          <cell r="BQ66">
            <v>912.04524169351612</v>
          </cell>
          <cell r="BR66">
            <v>982.15836936593576</v>
          </cell>
          <cell r="BS66">
            <v>1056.7395011463477</v>
          </cell>
        </row>
        <row r="67">
          <cell r="A67" t="str">
            <v>Reported Profit for the period</v>
          </cell>
          <cell r="B67">
            <v>245.29999999999987</v>
          </cell>
          <cell r="C67">
            <v>216.39999999999978</v>
          </cell>
          <cell r="D67">
            <v>247.29999999999998</v>
          </cell>
          <cell r="E67">
            <v>38</v>
          </cell>
          <cell r="F67">
            <v>35</v>
          </cell>
          <cell r="G67">
            <v>73</v>
          </cell>
          <cell r="H67">
            <v>21</v>
          </cell>
          <cell r="I67">
            <v>98</v>
          </cell>
          <cell r="J67">
            <v>-135</v>
          </cell>
          <cell r="K67">
            <v>-37</v>
          </cell>
          <cell r="L67">
            <v>46</v>
          </cell>
          <cell r="M67">
            <v>74</v>
          </cell>
          <cell r="N67">
            <v>118</v>
          </cell>
          <cell r="O67">
            <v>86.700000000000045</v>
          </cell>
          <cell r="P67">
            <v>204.90000000000009</v>
          </cell>
          <cell r="Q67">
            <v>109.09999999999991</v>
          </cell>
          <cell r="R67">
            <v>314</v>
          </cell>
          <cell r="S67">
            <v>54</v>
          </cell>
          <cell r="T67">
            <v>101</v>
          </cell>
          <cell r="U67">
            <v>155</v>
          </cell>
          <cell r="V67">
            <v>68</v>
          </cell>
          <cell r="W67">
            <v>223</v>
          </cell>
          <cell r="X67">
            <v>109</v>
          </cell>
          <cell r="Y67">
            <v>332</v>
          </cell>
          <cell r="Z67">
            <v>70</v>
          </cell>
          <cell r="AA67">
            <v>103</v>
          </cell>
          <cell r="AB67">
            <v>173</v>
          </cell>
          <cell r="AC67">
            <v>95</v>
          </cell>
          <cell r="AD67">
            <v>268</v>
          </cell>
          <cell r="AE67">
            <v>123</v>
          </cell>
          <cell r="AF67">
            <v>408.40000000000009</v>
          </cell>
          <cell r="AG67">
            <v>82</v>
          </cell>
          <cell r="AH67">
            <v>117</v>
          </cell>
          <cell r="AI67">
            <v>199</v>
          </cell>
          <cell r="AJ67">
            <v>123</v>
          </cell>
          <cell r="AK67">
            <v>322</v>
          </cell>
          <cell r="AL67">
            <v>167</v>
          </cell>
          <cell r="AM67">
            <v>489</v>
          </cell>
          <cell r="AU67">
            <v>103</v>
          </cell>
          <cell r="AV67">
            <v>127</v>
          </cell>
          <cell r="AW67">
            <v>230</v>
          </cell>
          <cell r="AX67">
            <v>150</v>
          </cell>
          <cell r="AY67">
            <v>380</v>
          </cell>
          <cell r="AZ67">
            <v>193</v>
          </cell>
          <cell r="BA67">
            <v>573</v>
          </cell>
          <cell r="BB67">
            <v>124</v>
          </cell>
          <cell r="BC67">
            <v>144</v>
          </cell>
          <cell r="BD67">
            <v>268</v>
          </cell>
          <cell r="BE67">
            <v>174</v>
          </cell>
          <cell r="BF67">
            <v>442</v>
          </cell>
          <cell r="BG67">
            <v>227</v>
          </cell>
          <cell r="BH67">
            <v>669</v>
          </cell>
          <cell r="BI67">
            <v>110</v>
          </cell>
          <cell r="BJ67">
            <v>151</v>
          </cell>
          <cell r="BK67">
            <v>261</v>
          </cell>
          <cell r="BL67">
            <v>157</v>
          </cell>
          <cell r="BM67">
            <v>418</v>
          </cell>
          <cell r="BN67">
            <v>256</v>
          </cell>
          <cell r="BO67">
            <v>674</v>
          </cell>
          <cell r="BP67">
            <v>179</v>
          </cell>
          <cell r="BQ67">
            <v>216</v>
          </cell>
          <cell r="BR67">
            <v>395</v>
          </cell>
          <cell r="BS67">
            <v>218.03808977621858</v>
          </cell>
          <cell r="BT67">
            <v>613.03808977621861</v>
          </cell>
          <cell r="BU67">
            <v>297.03775466606544</v>
          </cell>
          <cell r="BV67">
            <v>910.0758444422836</v>
          </cell>
          <cell r="BW67">
            <v>987.0032838719726</v>
          </cell>
          <cell r="BX67">
            <v>1080.2862887798917</v>
          </cell>
          <cell r="BY67">
            <v>1089.866957684085</v>
          </cell>
          <cell r="BZ67">
            <v>1181.3604583249155</v>
          </cell>
          <cell r="CA67">
            <v>665.09364682591001</v>
          </cell>
          <cell r="CB67">
            <v>361.8782021116607</v>
          </cell>
          <cell r="CC67">
            <v>1026.9718489375707</v>
          </cell>
          <cell r="CD67">
            <v>1156.2807917880964</v>
          </cell>
          <cell r="CE67">
            <v>1159.5463794207333</v>
          </cell>
          <cell r="CF67">
            <v>1257.8549734939252</v>
          </cell>
          <cell r="CG67">
            <v>1362.6282032152087</v>
          </cell>
        </row>
        <row r="68">
          <cell r="A68" t="str">
            <v>Non operating items after tax</v>
          </cell>
          <cell r="R68">
            <v>17</v>
          </cell>
          <cell r="X68">
            <v>-7</v>
          </cell>
          <cell r="Y68">
            <v>-24</v>
          </cell>
          <cell r="BI68">
            <v>42</v>
          </cell>
          <cell r="BJ68">
            <v>15</v>
          </cell>
          <cell r="BK68">
            <v>57</v>
          </cell>
          <cell r="BL68">
            <v>47</v>
          </cell>
          <cell r="BM68">
            <v>104</v>
          </cell>
          <cell r="BN68">
            <v>45</v>
          </cell>
          <cell r="BO68">
            <v>149</v>
          </cell>
          <cell r="BP68">
            <v>0</v>
          </cell>
          <cell r="BQ68">
            <v>0</v>
          </cell>
          <cell r="BR68">
            <v>0</v>
          </cell>
          <cell r="BS68">
            <v>0</v>
          </cell>
          <cell r="BT68">
            <v>0</v>
          </cell>
          <cell r="BU68">
            <v>0</v>
          </cell>
          <cell r="BV68">
            <v>0</v>
          </cell>
          <cell r="BW68">
            <v>0</v>
          </cell>
          <cell r="BX68">
            <v>0</v>
          </cell>
          <cell r="BY68">
            <v>0</v>
          </cell>
          <cell r="BZ68">
            <v>0</v>
          </cell>
          <cell r="CA68">
            <v>30</v>
          </cell>
          <cell r="CB68">
            <v>0</v>
          </cell>
          <cell r="CC68">
            <v>30</v>
          </cell>
          <cell r="CD68">
            <v>0</v>
          </cell>
          <cell r="CE68">
            <v>0</v>
          </cell>
          <cell r="CF68">
            <v>0</v>
          </cell>
          <cell r="CG68">
            <v>0</v>
          </cell>
        </row>
        <row r="69">
          <cell r="A69" t="str">
            <v>Related taxation</v>
          </cell>
          <cell r="D69">
            <v>12.7</v>
          </cell>
          <cell r="R69">
            <v>17</v>
          </cell>
          <cell r="Y69">
            <v>8</v>
          </cell>
          <cell r="AF69">
            <v>13</v>
          </cell>
          <cell r="AM69">
            <v>13</v>
          </cell>
          <cell r="BA69">
            <v>5</v>
          </cell>
          <cell r="BI69">
            <v>-11</v>
          </cell>
          <cell r="BJ69">
            <v>-4</v>
          </cell>
          <cell r="BK69">
            <v>-15</v>
          </cell>
          <cell r="BL69">
            <v>-12</v>
          </cell>
          <cell r="BM69">
            <v>-27</v>
          </cell>
          <cell r="BN69">
            <v>-9.9464114832535913</v>
          </cell>
          <cell r="BO69">
            <v>-37</v>
          </cell>
          <cell r="BP69">
            <v>0</v>
          </cell>
          <cell r="BQ69">
            <v>0</v>
          </cell>
          <cell r="BR69">
            <v>0</v>
          </cell>
          <cell r="BS69">
            <v>0</v>
          </cell>
          <cell r="BT69">
            <v>0</v>
          </cell>
          <cell r="BU69">
            <v>0</v>
          </cell>
          <cell r="BV69">
            <v>0</v>
          </cell>
          <cell r="BW69">
            <v>0</v>
          </cell>
          <cell r="BX69">
            <v>0</v>
          </cell>
          <cell r="BY69">
            <v>0</v>
          </cell>
          <cell r="BZ69">
            <v>0</v>
          </cell>
          <cell r="CA69">
            <v>-7.1999999999999993</v>
          </cell>
          <cell r="CB69">
            <v>0</v>
          </cell>
          <cell r="CC69">
            <v>-7.1999999999999993</v>
          </cell>
          <cell r="CD69">
            <v>0</v>
          </cell>
          <cell r="CE69">
            <v>0</v>
          </cell>
          <cell r="CF69">
            <v>0</v>
          </cell>
          <cell r="CG69">
            <v>0</v>
          </cell>
        </row>
        <row r="70">
          <cell r="A70" t="str">
            <v>Dilution Effect</v>
          </cell>
          <cell r="B70">
            <v>206.99999999999989</v>
          </cell>
          <cell r="C70">
            <v>213.19999999999979</v>
          </cell>
          <cell r="D70">
            <v>12.7</v>
          </cell>
          <cell r="E70">
            <v>38</v>
          </cell>
          <cell r="F70">
            <v>38</v>
          </cell>
          <cell r="G70">
            <v>76</v>
          </cell>
          <cell r="H70">
            <v>22</v>
          </cell>
          <cell r="I70">
            <v>101</v>
          </cell>
          <cell r="J70">
            <v>-122</v>
          </cell>
          <cell r="K70">
            <v>199</v>
          </cell>
          <cell r="L70">
            <v>45</v>
          </cell>
          <cell r="M70">
            <v>71</v>
          </cell>
          <cell r="N70">
            <v>116</v>
          </cell>
          <cell r="O70">
            <v>46.700000000000045</v>
          </cell>
          <cell r="P70">
            <v>164.90000000000009</v>
          </cell>
          <cell r="Q70">
            <v>93.099999999999909</v>
          </cell>
          <cell r="R70">
            <v>13</v>
          </cell>
          <cell r="S70">
            <v>54</v>
          </cell>
          <cell r="T70">
            <v>78</v>
          </cell>
          <cell r="U70">
            <v>132</v>
          </cell>
          <cell r="V70">
            <v>63</v>
          </cell>
          <cell r="W70">
            <v>195</v>
          </cell>
          <cell r="X70">
            <v>116</v>
          </cell>
          <cell r="Y70">
            <v>13</v>
          </cell>
          <cell r="Z70">
            <v>70</v>
          </cell>
          <cell r="AA70">
            <v>103</v>
          </cell>
          <cell r="AB70">
            <v>173</v>
          </cell>
          <cell r="AC70">
            <v>95</v>
          </cell>
          <cell r="AD70">
            <v>268</v>
          </cell>
          <cell r="AE70">
            <v>123</v>
          </cell>
          <cell r="AF70">
            <v>13</v>
          </cell>
          <cell r="AG70">
            <v>82</v>
          </cell>
          <cell r="AH70">
            <v>117</v>
          </cell>
          <cell r="AI70">
            <v>199</v>
          </cell>
          <cell r="AJ70">
            <v>123</v>
          </cell>
          <cell r="AK70">
            <v>322</v>
          </cell>
          <cell r="AL70">
            <v>167</v>
          </cell>
          <cell r="AM70">
            <v>13</v>
          </cell>
          <cell r="AU70">
            <v>103</v>
          </cell>
          <cell r="AV70">
            <v>127</v>
          </cell>
          <cell r="AW70">
            <v>230</v>
          </cell>
          <cell r="AX70">
            <v>150</v>
          </cell>
          <cell r="AY70">
            <v>380</v>
          </cell>
          <cell r="AZ70">
            <v>193</v>
          </cell>
          <cell r="BA70">
            <v>5</v>
          </cell>
          <cell r="BB70">
            <v>124</v>
          </cell>
          <cell r="BC70">
            <v>144</v>
          </cell>
          <cell r="BD70">
            <v>268</v>
          </cell>
          <cell r="BE70">
            <v>174</v>
          </cell>
          <cell r="BF70">
            <v>442</v>
          </cell>
          <cell r="BG70">
            <v>225</v>
          </cell>
          <cell r="BH70">
            <v>667</v>
          </cell>
          <cell r="BI70">
            <v>141</v>
          </cell>
          <cell r="BJ70">
            <v>162</v>
          </cell>
          <cell r="BK70">
            <v>303</v>
          </cell>
          <cell r="BL70">
            <v>192</v>
          </cell>
          <cell r="BM70">
            <v>495</v>
          </cell>
          <cell r="BN70">
            <v>262.90376261972443</v>
          </cell>
          <cell r="BO70">
            <v>757.8501741029786</v>
          </cell>
          <cell r="BP70">
            <v>821.66365465717388</v>
          </cell>
          <cell r="BQ70">
            <v>912.04524169351612</v>
          </cell>
          <cell r="BR70">
            <v>982.15836936593576</v>
          </cell>
          <cell r="BS70">
            <v>1056.7395011463477</v>
          </cell>
        </row>
        <row r="71">
          <cell r="A71" t="str">
            <v>Normalized Net Income</v>
          </cell>
          <cell r="B71">
            <v>206.99999999999989</v>
          </cell>
          <cell r="C71">
            <v>213.19999999999979</v>
          </cell>
          <cell r="D71">
            <v>261.3</v>
          </cell>
          <cell r="E71">
            <v>38</v>
          </cell>
          <cell r="F71">
            <v>38</v>
          </cell>
          <cell r="G71">
            <v>76</v>
          </cell>
          <cell r="H71">
            <v>22</v>
          </cell>
          <cell r="I71">
            <v>101</v>
          </cell>
          <cell r="J71">
            <v>-122</v>
          </cell>
          <cell r="K71">
            <v>199</v>
          </cell>
          <cell r="L71">
            <v>45</v>
          </cell>
          <cell r="M71">
            <v>71</v>
          </cell>
          <cell r="N71">
            <v>116</v>
          </cell>
          <cell r="O71">
            <v>46.700000000000045</v>
          </cell>
          <cell r="P71">
            <v>164.90000000000009</v>
          </cell>
          <cell r="Q71">
            <v>93.099999999999909</v>
          </cell>
          <cell r="R71">
            <v>288</v>
          </cell>
          <cell r="S71">
            <v>54</v>
          </cell>
          <cell r="T71">
            <v>78</v>
          </cell>
          <cell r="U71">
            <v>132</v>
          </cell>
          <cell r="V71">
            <v>63</v>
          </cell>
          <cell r="W71">
            <v>195</v>
          </cell>
          <cell r="X71">
            <v>116</v>
          </cell>
          <cell r="Y71">
            <v>329</v>
          </cell>
          <cell r="Z71">
            <v>70</v>
          </cell>
          <cell r="AA71">
            <v>103</v>
          </cell>
          <cell r="AB71">
            <v>173</v>
          </cell>
          <cell r="AC71">
            <v>95</v>
          </cell>
          <cell r="AD71">
            <v>268</v>
          </cell>
          <cell r="AE71">
            <v>123</v>
          </cell>
          <cell r="AF71">
            <v>421.40000000000009</v>
          </cell>
          <cell r="AG71">
            <v>82</v>
          </cell>
          <cell r="AH71">
            <v>117</v>
          </cell>
          <cell r="AI71">
            <v>199</v>
          </cell>
          <cell r="AJ71">
            <v>123</v>
          </cell>
          <cell r="AK71">
            <v>322</v>
          </cell>
          <cell r="AL71">
            <v>167</v>
          </cell>
          <cell r="AM71">
            <v>502</v>
          </cell>
          <cell r="AU71">
            <v>103</v>
          </cell>
          <cell r="AV71">
            <v>127</v>
          </cell>
          <cell r="AW71">
            <v>230</v>
          </cell>
          <cell r="AX71">
            <v>150</v>
          </cell>
          <cell r="AY71">
            <v>380</v>
          </cell>
          <cell r="AZ71">
            <v>193</v>
          </cell>
          <cell r="BA71">
            <v>578</v>
          </cell>
          <cell r="BB71">
            <v>124</v>
          </cell>
          <cell r="BC71">
            <v>144</v>
          </cell>
          <cell r="BD71">
            <v>268</v>
          </cell>
          <cell r="BE71">
            <v>174</v>
          </cell>
          <cell r="BF71">
            <v>442</v>
          </cell>
          <cell r="BG71">
            <v>227</v>
          </cell>
          <cell r="BH71">
            <v>669</v>
          </cell>
          <cell r="BI71">
            <v>141</v>
          </cell>
          <cell r="BJ71">
            <v>162</v>
          </cell>
          <cell r="BK71">
            <v>303</v>
          </cell>
          <cell r="BL71">
            <v>192</v>
          </cell>
          <cell r="BM71">
            <v>495</v>
          </cell>
          <cell r="BN71">
            <v>291.0535885167464</v>
          </cell>
          <cell r="BO71">
            <v>786</v>
          </cell>
          <cell r="BP71">
            <v>179</v>
          </cell>
          <cell r="BQ71">
            <v>216</v>
          </cell>
          <cell r="BR71">
            <v>395</v>
          </cell>
          <cell r="BS71">
            <v>218.03808977621858</v>
          </cell>
          <cell r="BT71">
            <v>613.03808977621861</v>
          </cell>
          <cell r="BU71">
            <v>297.03775466606544</v>
          </cell>
          <cell r="BV71">
            <v>910.0758444422836</v>
          </cell>
          <cell r="BW71">
            <v>987.0032838719726</v>
          </cell>
          <cell r="BX71">
            <v>1080.2862887798917</v>
          </cell>
          <cell r="BY71">
            <v>1089.866957684085</v>
          </cell>
          <cell r="BZ71">
            <v>1181.3604583249155</v>
          </cell>
          <cell r="CA71">
            <v>687.89364682590997</v>
          </cell>
          <cell r="CB71">
            <v>361.8782021116607</v>
          </cell>
          <cell r="CC71">
            <v>1049.7718489375707</v>
          </cell>
          <cell r="CD71">
            <v>1156.2807917880964</v>
          </cell>
          <cell r="CE71">
            <v>1159.5463794207333</v>
          </cell>
          <cell r="CF71">
            <v>1257.8549734939252</v>
          </cell>
          <cell r="CG71">
            <v>1362.6282032152087</v>
          </cell>
        </row>
        <row r="72">
          <cell r="A72" t="str">
            <v>Normalized net profit growth</v>
          </cell>
          <cell r="C72">
            <v>2.9951690821255594E-2</v>
          </cell>
          <cell r="D72">
            <v>0.22560975609756229</v>
          </cell>
          <cell r="K72">
            <v>-0.23842326827401461</v>
          </cell>
          <cell r="R72">
            <v>0.44723618090452266</v>
          </cell>
          <cell r="Y72">
            <v>0.14236111111111116</v>
          </cell>
          <cell r="AE72">
            <v>6.0344827586206851E-2</v>
          </cell>
          <cell r="AF72">
            <v>0.28085106382978742</v>
          </cell>
          <cell r="AG72">
            <v>0.17142857142857149</v>
          </cell>
          <cell r="AH72">
            <v>0.13592233009708732</v>
          </cell>
          <cell r="AI72">
            <v>0.1502890173410405</v>
          </cell>
          <cell r="AJ72">
            <v>0.29473684210526319</v>
          </cell>
          <cell r="AK72">
            <v>0.20149253731343286</v>
          </cell>
          <cell r="AL72">
            <v>0.35772357723577231</v>
          </cell>
          <cell r="AM72">
            <v>0.19126720455624091</v>
          </cell>
          <cell r="AU72">
            <v>0.25609756097560976</v>
          </cell>
          <cell r="AV72">
            <v>8.5470085470085388E-2</v>
          </cell>
          <cell r="AW72">
            <v>0.15577889447236171</v>
          </cell>
          <cell r="AX72">
            <v>0.21951219512195119</v>
          </cell>
          <cell r="AY72">
            <v>0.18012422360248448</v>
          </cell>
          <cell r="AZ72">
            <v>0.15568862275449091</v>
          </cell>
          <cell r="BA72">
            <v>0.15139442231075706</v>
          </cell>
          <cell r="BB72">
            <v>0.20388349514563098</v>
          </cell>
          <cell r="BC72">
            <v>0.13385826771653542</v>
          </cell>
          <cell r="BD72">
            <v>0.16521739130434776</v>
          </cell>
          <cell r="BE72">
            <v>0.15999999999999992</v>
          </cell>
          <cell r="BF72">
            <v>0.16315789473684217</v>
          </cell>
          <cell r="BG72">
            <v>0.17616580310880825</v>
          </cell>
          <cell r="BH72">
            <v>0.15743944636678209</v>
          </cell>
          <cell r="BI72">
            <v>0.13709677419354849</v>
          </cell>
          <cell r="BJ72">
            <v>0.125</v>
          </cell>
          <cell r="BK72">
            <v>0.13059701492537323</v>
          </cell>
          <cell r="BL72">
            <v>0.10344827586206895</v>
          </cell>
          <cell r="BM72">
            <v>0.11990950226244346</v>
          </cell>
          <cell r="BN72">
            <v>0.28217439875218675</v>
          </cell>
          <cell r="BO72">
            <v>0.17488789237668168</v>
          </cell>
          <cell r="BP72">
            <v>0.26950354609929073</v>
          </cell>
          <cell r="BQ72">
            <v>0.33333333333333326</v>
          </cell>
          <cell r="BR72">
            <v>0.30363036303630353</v>
          </cell>
          <cell r="BS72">
            <v>0.13561505091780512</v>
          </cell>
          <cell r="BT72">
            <v>0.23846078742670418</v>
          </cell>
          <cell r="BU72">
            <v>2.0560358591746875E-2</v>
          </cell>
          <cell r="BV72">
            <v>0.15785730845074242</v>
          </cell>
          <cell r="BW72">
            <v>8.4528602642818251E-2</v>
          </cell>
          <cell r="BX72">
            <v>9.4511341990650477E-2</v>
          </cell>
          <cell r="BY72">
            <v>8.8686388077867662E-3</v>
          </cell>
          <cell r="BZ72">
            <v>8.3949238020069705E-2</v>
          </cell>
          <cell r="CA72">
            <v>0.122175606567553</v>
          </cell>
          <cell r="CB72">
            <v>0.23930891134130428</v>
          </cell>
          <cell r="CC72">
            <v>0.15996889385366919</v>
          </cell>
          <cell r="CD72">
            <v>0.10145913415216734</v>
          </cell>
          <cell r="CE72">
            <v>2.8242167956340491E-3</v>
          </cell>
          <cell r="CF72">
            <v>8.4781942161126223E-2</v>
          </cell>
          <cell r="CG72">
            <v>8.3295158765605892E-2</v>
          </cell>
        </row>
        <row r="73">
          <cell r="A73" t="str">
            <v>Normalised net profit growth at constant FX</v>
          </cell>
          <cell r="R73">
            <v>0.38</v>
          </cell>
          <cell r="Y73">
            <v>0.24</v>
          </cell>
          <cell r="AF73">
            <v>0.2</v>
          </cell>
          <cell r="AI73">
            <v>0.13</v>
          </cell>
        </row>
        <row r="74">
          <cell r="A74" t="str">
            <v>Average shares outstanding (diluted), mn</v>
          </cell>
          <cell r="B74">
            <v>463.35702600000002</v>
          </cell>
          <cell r="C74">
            <v>446.802099</v>
          </cell>
          <cell r="D74">
            <v>721.64622899999995</v>
          </cell>
          <cell r="E74">
            <v>686.82152299999996</v>
          </cell>
          <cell r="F74">
            <v>686.82152299999996</v>
          </cell>
          <cell r="G74">
            <v>686.82152299999996</v>
          </cell>
          <cell r="H74">
            <v>693.5</v>
          </cell>
          <cell r="I74">
            <v>739.6</v>
          </cell>
          <cell r="J74">
            <v>686.82152299999996</v>
          </cell>
          <cell r="K74">
            <v>686.82152299999996</v>
          </cell>
          <cell r="L74">
            <v>698</v>
          </cell>
          <cell r="M74">
            <v>739.8</v>
          </cell>
          <cell r="N74">
            <v>738.9</v>
          </cell>
          <cell r="O74">
            <v>741.7</v>
          </cell>
          <cell r="P74">
            <v>739.6</v>
          </cell>
          <cell r="Q74">
            <v>741.29425900000001</v>
          </cell>
          <cell r="R74">
            <v>741.29425900000001</v>
          </cell>
          <cell r="S74">
            <v>748.3</v>
          </cell>
          <cell r="T74">
            <v>749.1</v>
          </cell>
          <cell r="U74">
            <v>748.3</v>
          </cell>
          <cell r="V74">
            <v>751</v>
          </cell>
          <cell r="W74">
            <v>749.5</v>
          </cell>
          <cell r="X74">
            <v>750.3</v>
          </cell>
          <cell r="Y74">
            <v>749.72283900000002</v>
          </cell>
          <cell r="Z74">
            <v>755.2</v>
          </cell>
          <cell r="AA74">
            <v>755.2</v>
          </cell>
          <cell r="AB74">
            <v>756.18753200000003</v>
          </cell>
          <cell r="AC74">
            <v>756.6</v>
          </cell>
          <cell r="AD74">
            <v>756.3</v>
          </cell>
          <cell r="AE74">
            <v>757.3</v>
          </cell>
          <cell r="AF74">
            <v>756.53089699999998</v>
          </cell>
          <cell r="AG74">
            <v>755.6</v>
          </cell>
          <cell r="AH74">
            <v>757.6</v>
          </cell>
          <cell r="AI74">
            <v>756.8</v>
          </cell>
          <cell r="AJ74">
            <v>758.8</v>
          </cell>
          <cell r="AK74">
            <v>757.6</v>
          </cell>
          <cell r="AL74">
            <v>760</v>
          </cell>
          <cell r="AM74">
            <v>758.09821099999999</v>
          </cell>
          <cell r="AN74">
            <v>0</v>
          </cell>
          <cell r="AO74">
            <v>0</v>
          </cell>
          <cell r="AP74">
            <v>0</v>
          </cell>
          <cell r="AQ74">
            <v>0</v>
          </cell>
          <cell r="AR74">
            <v>0</v>
          </cell>
          <cell r="AS74">
            <v>0</v>
          </cell>
          <cell r="AT74">
            <v>0</v>
          </cell>
          <cell r="AU74">
            <v>761.4</v>
          </cell>
          <cell r="AV74">
            <v>757.4</v>
          </cell>
          <cell r="AW74">
            <v>759.3</v>
          </cell>
          <cell r="AX74">
            <v>752.2</v>
          </cell>
          <cell r="AY74">
            <v>756.9</v>
          </cell>
          <cell r="AZ74">
            <v>747.4</v>
          </cell>
          <cell r="BA74">
            <v>754.54467599999998</v>
          </cell>
          <cell r="BB74">
            <v>748.9</v>
          </cell>
          <cell r="BC74">
            <v>746.7</v>
          </cell>
          <cell r="BD74">
            <v>747.8</v>
          </cell>
          <cell r="BE74">
            <v>740.4</v>
          </cell>
          <cell r="BF74">
            <v>745.4</v>
          </cell>
          <cell r="BG74">
            <v>736.7</v>
          </cell>
          <cell r="BH74">
            <v>743.25570800000003</v>
          </cell>
          <cell r="BI74">
            <v>736.4</v>
          </cell>
          <cell r="BJ74">
            <v>734.1</v>
          </cell>
          <cell r="BK74">
            <v>735.21914300000003</v>
          </cell>
          <cell r="BL74">
            <v>732.7</v>
          </cell>
          <cell r="BM74">
            <v>734.4</v>
          </cell>
          <cell r="BN74">
            <v>732.643598</v>
          </cell>
          <cell r="BO74">
            <v>734.59969599999988</v>
          </cell>
          <cell r="BP74">
            <v>728.40005748352121</v>
          </cell>
          <cell r="BQ74">
            <v>723.55476134866717</v>
          </cell>
          <cell r="BR74">
            <v>718.81010682789235</v>
          </cell>
          <cell r="BS74">
            <v>714.16400349489436</v>
          </cell>
        </row>
        <row r="75">
          <cell r="A75" t="str">
            <v>Average shares outstanding (diluted), mn</v>
          </cell>
          <cell r="B75">
            <v>463.35702600000002</v>
          </cell>
          <cell r="C75">
            <v>446.802099</v>
          </cell>
          <cell r="D75">
            <v>721.64622899999995</v>
          </cell>
          <cell r="E75">
            <v>686.82152299999996</v>
          </cell>
          <cell r="F75">
            <v>686.82152299999996</v>
          </cell>
          <cell r="G75">
            <v>686.82152299999996</v>
          </cell>
          <cell r="H75">
            <v>693.5</v>
          </cell>
          <cell r="I75">
            <v>739.6</v>
          </cell>
          <cell r="J75">
            <v>686.82152299999996</v>
          </cell>
          <cell r="K75">
            <v>686.82152299999996</v>
          </cell>
          <cell r="L75">
            <v>698</v>
          </cell>
          <cell r="M75">
            <v>739.8</v>
          </cell>
          <cell r="N75">
            <v>738.9</v>
          </cell>
          <cell r="O75">
            <v>741.7</v>
          </cell>
          <cell r="P75">
            <v>739.6</v>
          </cell>
          <cell r="Q75">
            <v>741.29425900000001</v>
          </cell>
          <cell r="R75">
            <v>741.29425900000001</v>
          </cell>
          <cell r="S75">
            <v>748.3</v>
          </cell>
          <cell r="T75">
            <v>749.1</v>
          </cell>
          <cell r="U75">
            <v>748.3</v>
          </cell>
          <cell r="V75">
            <v>751</v>
          </cell>
          <cell r="W75">
            <v>749.5</v>
          </cell>
          <cell r="X75">
            <v>750.3</v>
          </cell>
          <cell r="Y75">
            <v>749.72283900000002</v>
          </cell>
          <cell r="Z75">
            <v>755.2</v>
          </cell>
          <cell r="AA75">
            <v>755.2</v>
          </cell>
          <cell r="AB75">
            <v>756.18753200000003</v>
          </cell>
          <cell r="AC75">
            <v>756.6</v>
          </cell>
          <cell r="AD75">
            <v>756.3</v>
          </cell>
          <cell r="AE75">
            <v>757.3</v>
          </cell>
          <cell r="AF75">
            <v>756.53089699999998</v>
          </cell>
          <cell r="AG75">
            <v>755.6</v>
          </cell>
          <cell r="AH75">
            <v>757.6</v>
          </cell>
          <cell r="AI75">
            <v>756.8</v>
          </cell>
          <cell r="AJ75">
            <v>758.8</v>
          </cell>
          <cell r="AK75">
            <v>757.6</v>
          </cell>
          <cell r="AL75">
            <v>760</v>
          </cell>
          <cell r="AM75">
            <v>758.09821099999999</v>
          </cell>
          <cell r="AN75">
            <v>0</v>
          </cell>
          <cell r="AO75">
            <v>0</v>
          </cell>
          <cell r="AP75">
            <v>0</v>
          </cell>
          <cell r="AQ75">
            <v>0</v>
          </cell>
          <cell r="AR75">
            <v>0</v>
          </cell>
          <cell r="AS75">
            <v>0</v>
          </cell>
          <cell r="AT75">
            <v>0</v>
          </cell>
          <cell r="AU75">
            <v>761.4</v>
          </cell>
          <cell r="AV75">
            <v>757.4</v>
          </cell>
          <cell r="AW75">
            <v>759.3</v>
          </cell>
          <cell r="AX75">
            <v>752.2</v>
          </cell>
          <cell r="AY75">
            <v>756.9</v>
          </cell>
          <cell r="AZ75">
            <v>747.4</v>
          </cell>
          <cell r="BA75">
            <v>754.54467599999998</v>
          </cell>
          <cell r="BB75">
            <v>748.9</v>
          </cell>
          <cell r="BC75">
            <v>746.7</v>
          </cell>
          <cell r="BD75">
            <v>747.8</v>
          </cell>
          <cell r="BE75">
            <v>740.4</v>
          </cell>
          <cell r="BF75">
            <v>745.4</v>
          </cell>
          <cell r="BG75">
            <v>736.7</v>
          </cell>
          <cell r="BH75">
            <v>743.25570800000003</v>
          </cell>
          <cell r="BI75">
            <v>736.4</v>
          </cell>
          <cell r="BJ75">
            <v>734.1</v>
          </cell>
          <cell r="BK75">
            <v>735.21914300000003</v>
          </cell>
          <cell r="BL75">
            <v>732.7</v>
          </cell>
          <cell r="BM75">
            <v>734.4</v>
          </cell>
          <cell r="BN75">
            <v>729.8</v>
          </cell>
          <cell r="BO75">
            <v>734.19649600000002</v>
          </cell>
          <cell r="BP75">
            <v>736.9</v>
          </cell>
          <cell r="BQ75">
            <v>735.7</v>
          </cell>
          <cell r="BR75">
            <v>736.3</v>
          </cell>
          <cell r="BS75">
            <v>735.18074532075457</v>
          </cell>
          <cell r="BT75">
            <v>735.92691510691816</v>
          </cell>
          <cell r="BU75">
            <v>734.62036796226403</v>
          </cell>
          <cell r="BV75">
            <v>735.00055664150932</v>
          </cell>
          <cell r="BW75">
            <v>734.09908913626816</v>
          </cell>
          <cell r="BX75">
            <v>734.00513774252647</v>
          </cell>
          <cell r="BY75">
            <v>734.65888645202483</v>
          </cell>
          <cell r="BZ75">
            <v>736.00495007193081</v>
          </cell>
          <cell r="CA75">
            <v>729.35523433333333</v>
          </cell>
          <cell r="CB75">
            <v>727.76634544444437</v>
          </cell>
          <cell r="CC75">
            <v>728.95801211111097</v>
          </cell>
          <cell r="CD75">
            <v>726.16089276954722</v>
          </cell>
          <cell r="CE75">
            <v>724.09689337921031</v>
          </cell>
          <cell r="CF75">
            <v>722.71170875852818</v>
          </cell>
          <cell r="CG75">
            <v>721.95505633197047</v>
          </cell>
        </row>
        <row r="76">
          <cell r="A76" t="str">
            <v>Diluted EPS (RB Definition) - pre-exceptionals, pre-convertibles interest</v>
          </cell>
          <cell r="B76">
            <v>52.939738956283755</v>
          </cell>
          <cell r="C76">
            <v>47.716875206532947</v>
          </cell>
          <cell r="D76">
            <v>36.208877632754877</v>
          </cell>
          <cell r="E76">
            <v>5.5327328465214691</v>
          </cell>
          <cell r="F76">
            <v>5.0959381481118786</v>
          </cell>
          <cell r="G76">
            <v>10.628670994633348</v>
          </cell>
          <cell r="H76">
            <v>3.028118240807498</v>
          </cell>
          <cell r="I76">
            <v>13.25040562466198</v>
          </cell>
          <cell r="J76">
            <v>-19.655761428431536</v>
          </cell>
          <cell r="K76">
            <v>28.974048327836112</v>
          </cell>
          <cell r="L76">
            <v>6.5902578796561597</v>
          </cell>
          <cell r="M76">
            <v>10.002703433360368</v>
          </cell>
          <cell r="N76">
            <v>15.969684666395995</v>
          </cell>
          <cell r="O76">
            <v>11.689362275852776</v>
          </cell>
          <cell r="P76">
            <v>27.704164413196334</v>
          </cell>
          <cell r="Q76">
            <v>14.717502351518942</v>
          </cell>
          <cell r="R76">
            <v>38.850968627291095</v>
          </cell>
          <cell r="S76">
            <v>7.2163570760390217</v>
          </cell>
          <cell r="T76">
            <v>13.482846081965025</v>
          </cell>
          <cell r="U76">
            <v>20.71361753307497</v>
          </cell>
          <cell r="V76">
            <v>9.0545938748335555</v>
          </cell>
          <cell r="W76">
            <v>29.753168779186122</v>
          </cell>
          <cell r="X76">
            <v>14.9</v>
          </cell>
          <cell r="Y76">
            <v>43.882883498497769</v>
          </cell>
          <cell r="Z76">
            <v>9.6999999999999993</v>
          </cell>
          <cell r="AA76">
            <v>14.1</v>
          </cell>
          <cell r="AB76">
            <v>23.7</v>
          </cell>
          <cell r="AC76">
            <v>12.556172349986783</v>
          </cell>
          <cell r="AD76">
            <v>35.435673674467807</v>
          </cell>
          <cell r="AE76">
            <v>18.899999999999999</v>
          </cell>
          <cell r="AF76">
            <v>55.701624569604334</v>
          </cell>
          <cell r="AG76">
            <v>11.282424563260985</v>
          </cell>
          <cell r="AH76">
            <v>15.817575436739016</v>
          </cell>
          <cell r="AI76">
            <v>27.1</v>
          </cell>
          <cell r="AJ76">
            <v>16.209804955192411</v>
          </cell>
          <cell r="AK76">
            <v>42.5026399155227</v>
          </cell>
          <cell r="AL76">
            <v>22.368421052631579</v>
          </cell>
          <cell r="AM76">
            <v>66.218333286635328</v>
          </cell>
          <cell r="AU76">
            <v>13.9</v>
          </cell>
          <cell r="AV76">
            <v>17.2</v>
          </cell>
          <cell r="AW76">
            <v>31.6</v>
          </cell>
          <cell r="AX76">
            <v>19.8</v>
          </cell>
          <cell r="AY76">
            <v>51.5</v>
          </cell>
          <cell r="AZ76">
            <v>26.5</v>
          </cell>
          <cell r="BA76">
            <v>76.602488677555797</v>
          </cell>
          <cell r="BB76">
            <v>16.557617839497933</v>
          </cell>
          <cell r="BC76">
            <v>19.284853354760948</v>
          </cell>
          <cell r="BD76">
            <v>35.838459481144689</v>
          </cell>
          <cell r="BE76">
            <v>23.500810372771475</v>
          </cell>
          <cell r="BF76">
            <v>59.297021733297562</v>
          </cell>
          <cell r="BG76">
            <v>30.813085380751996</v>
          </cell>
          <cell r="BH76">
            <v>90.009399564543941</v>
          </cell>
          <cell r="BI76">
            <v>19.147202607278654</v>
          </cell>
          <cell r="BJ76">
            <v>22.067838169186761</v>
          </cell>
          <cell r="BK76">
            <v>41.212202223630072</v>
          </cell>
          <cell r="BL76">
            <v>26.204449297120235</v>
          </cell>
          <cell r="BM76">
            <v>67.401960784313729</v>
          </cell>
          <cell r="BN76">
            <v>39.881280969682983</v>
          </cell>
          <cell r="BO76">
            <v>107.05580921214313</v>
          </cell>
          <cell r="BP76">
            <v>24.290948568326776</v>
          </cell>
          <cell r="BQ76">
            <v>29.359793394046484</v>
          </cell>
          <cell r="BR76">
            <v>53.64661143555616</v>
          </cell>
          <cell r="BS76">
            <v>29.657753030663226</v>
          </cell>
          <cell r="BT76">
            <v>83.301490568143464</v>
          </cell>
          <cell r="BU76">
            <v>40.434184460472743</v>
          </cell>
          <cell r="BV76">
            <v>123.81974900818555</v>
          </cell>
          <cell r="BW76">
            <v>134.45096152254709</v>
          </cell>
          <cell r="BX76">
            <v>147.1769383116816</v>
          </cell>
          <cell r="BY76">
            <v>148.3500680087746</v>
          </cell>
          <cell r="BZ76">
            <v>160.50985230594705</v>
          </cell>
          <cell r="CA76">
            <v>94.315309528789314</v>
          </cell>
          <cell r="CB76">
            <v>49.724503527387341</v>
          </cell>
          <cell r="CC76">
            <v>144.00991984399232</v>
          </cell>
          <cell r="CD76">
            <v>159.23203842306762</v>
          </cell>
          <cell r="CE76">
            <v>160.13690847496534</v>
          </cell>
          <cell r="CF76">
            <v>174.04657462304911</v>
          </cell>
          <cell r="CG76">
            <v>188.74141697106461</v>
          </cell>
        </row>
        <row r="77">
          <cell r="A77" t="str">
            <v>Diluted EPS growth %</v>
          </cell>
          <cell r="D77">
            <v>-0.24117248927068269</v>
          </cell>
          <cell r="K77">
            <v>-0.19980816247046751</v>
          </cell>
          <cell r="R77">
            <v>0.34088851470458725</v>
          </cell>
          <cell r="Y77">
            <v>0.12951838909035529</v>
          </cell>
          <cell r="AE77">
            <v>0.26845637583892601</v>
          </cell>
          <cell r="AF77">
            <v>0.26932462338103091</v>
          </cell>
          <cell r="AG77">
            <v>0.16313655291350382</v>
          </cell>
          <cell r="AH77">
            <v>0.12181386076163236</v>
          </cell>
          <cell r="AI77">
            <v>0.14345991561181437</v>
          </cell>
          <cell r="AJ77">
            <v>0.29098299253669246</v>
          </cell>
          <cell r="AK77">
            <v>0.1994308420936497</v>
          </cell>
          <cell r="AL77">
            <v>0.1835143414090783</v>
          </cell>
          <cell r="AM77">
            <v>0.18880434454634965</v>
          </cell>
          <cell r="AU77">
            <v>0.2320046920821115</v>
          </cell>
          <cell r="AV77">
            <v>8.739800665341324E-2</v>
          </cell>
          <cell r="AW77">
            <v>0.16605166051660514</v>
          </cell>
          <cell r="AX77">
            <v>0.22148292682926818</v>
          </cell>
          <cell r="AY77">
            <v>0.21168944099378884</v>
          </cell>
          <cell r="AZ77">
            <v>0.18470588235294128</v>
          </cell>
          <cell r="BA77">
            <v>0.15681692479288478</v>
          </cell>
          <cell r="BB77">
            <v>0.19119552802143391</v>
          </cell>
          <cell r="BC77">
            <v>0.12121240434656677</v>
          </cell>
          <cell r="BD77">
            <v>0.13412846459318639</v>
          </cell>
          <cell r="BE77">
            <v>0.18690961478643819</v>
          </cell>
          <cell r="BF77">
            <v>0.15139848025820513</v>
          </cell>
          <cell r="BG77">
            <v>0.16275793889630163</v>
          </cell>
          <cell r="BH77">
            <v>0.17501926005853519</v>
          </cell>
          <cell r="BI77">
            <v>0.15639838972507913</v>
          </cell>
          <cell r="BJ77">
            <v>0.1443093583980386</v>
          </cell>
          <cell r="BK77">
            <v>0.149943463538454</v>
          </cell>
          <cell r="BL77">
            <v>0.11504449767746094</v>
          </cell>
          <cell r="BM77">
            <v>0.13668374589654864</v>
          </cell>
          <cell r="BN77">
            <v>0.29429690265927144</v>
          </cell>
          <cell r="BO77">
            <v>0.18938477236897411</v>
          </cell>
          <cell r="BP77">
            <v>0.26864216494438553</v>
          </cell>
          <cell r="BQ77">
            <v>0.33043360065243976</v>
          </cell>
          <cell r="BR77">
            <v>0.30171668925754469</v>
          </cell>
          <cell r="BS77">
            <v>0.13178310653994529</v>
          </cell>
          <cell r="BT77">
            <v>0.23589120552009213</v>
          </cell>
          <cell r="BU77">
            <v>1.3863734497647329E-2</v>
          </cell>
          <cell r="BV77">
            <v>0.15659065976347719</v>
          </cell>
          <cell r="BW77">
            <v>8.5860394642366167E-2</v>
          </cell>
          <cell r="BX77">
            <v>9.4651437557777385E-2</v>
          </cell>
          <cell r="BY77">
            <v>7.970879884786175E-3</v>
          </cell>
          <cell r="BZ77">
            <v>8.1966826577074547E-2</v>
          </cell>
          <cell r="CA77">
            <v>0.13039898712563636</v>
          </cell>
          <cell r="CB77">
            <v>0.24532107305965556</v>
          </cell>
          <cell r="CC77">
            <v>0.16735554914422957</v>
          </cell>
          <cell r="CD77">
            <v>0.10570187522891206</v>
          </cell>
          <cell r="CE77">
            <v>5.6827134844152916E-3</v>
          </cell>
          <cell r="CF77">
            <v>8.6861088305937306E-2</v>
          </cell>
          <cell r="CG77">
            <v>8.4430517405135186E-2</v>
          </cell>
        </row>
        <row r="78">
          <cell r="A78" t="str">
            <v>Reported Profit for the period</v>
          </cell>
          <cell r="B78">
            <v>245.29999999999987</v>
          </cell>
          <cell r="C78">
            <v>216.39999999999978</v>
          </cell>
          <cell r="D78">
            <v>247.29999999999998</v>
          </cell>
          <cell r="E78">
            <v>38</v>
          </cell>
          <cell r="F78">
            <v>35</v>
          </cell>
          <cell r="G78">
            <v>73</v>
          </cell>
          <cell r="H78">
            <v>21</v>
          </cell>
          <cell r="I78">
            <v>98</v>
          </cell>
          <cell r="J78">
            <v>-135</v>
          </cell>
          <cell r="K78">
            <v>-37</v>
          </cell>
          <cell r="L78">
            <v>46</v>
          </cell>
          <cell r="M78">
            <v>74</v>
          </cell>
          <cell r="N78">
            <v>118</v>
          </cell>
          <cell r="O78">
            <v>86.700000000000045</v>
          </cell>
          <cell r="P78">
            <v>204.90000000000009</v>
          </cell>
          <cell r="Q78">
            <v>109.09999999999991</v>
          </cell>
          <cell r="R78">
            <v>314</v>
          </cell>
          <cell r="S78">
            <v>54</v>
          </cell>
          <cell r="T78">
            <v>101</v>
          </cell>
          <cell r="U78">
            <v>155</v>
          </cell>
          <cell r="V78">
            <v>68</v>
          </cell>
          <cell r="W78">
            <v>223</v>
          </cell>
          <cell r="X78">
            <v>109</v>
          </cell>
          <cell r="Y78">
            <v>332</v>
          </cell>
          <cell r="Z78">
            <v>70</v>
          </cell>
          <cell r="AA78">
            <v>103</v>
          </cell>
          <cell r="AB78">
            <v>173</v>
          </cell>
          <cell r="AC78">
            <v>95</v>
          </cell>
          <cell r="AD78">
            <v>268</v>
          </cell>
          <cell r="AE78">
            <v>123</v>
          </cell>
          <cell r="AF78">
            <v>408.40000000000009</v>
          </cell>
          <cell r="AG78">
            <v>82</v>
          </cell>
          <cell r="AH78">
            <v>117</v>
          </cell>
          <cell r="AI78">
            <v>199</v>
          </cell>
          <cell r="AJ78">
            <v>123</v>
          </cell>
          <cell r="AK78">
            <v>322</v>
          </cell>
          <cell r="AL78">
            <v>167</v>
          </cell>
          <cell r="AM78">
            <v>489</v>
          </cell>
          <cell r="AU78">
            <v>103</v>
          </cell>
          <cell r="AV78">
            <v>127</v>
          </cell>
          <cell r="AW78">
            <v>230</v>
          </cell>
          <cell r="AX78">
            <v>150</v>
          </cell>
          <cell r="AY78">
            <v>380</v>
          </cell>
          <cell r="AZ78">
            <v>197</v>
          </cell>
          <cell r="BA78">
            <v>577</v>
          </cell>
          <cell r="BB78">
            <v>124</v>
          </cell>
          <cell r="BC78">
            <v>144</v>
          </cell>
          <cell r="BD78">
            <v>268</v>
          </cell>
          <cell r="BE78">
            <v>174</v>
          </cell>
          <cell r="BF78">
            <v>442</v>
          </cell>
          <cell r="BG78">
            <v>227</v>
          </cell>
          <cell r="BH78">
            <v>669</v>
          </cell>
          <cell r="BI78">
            <v>110</v>
          </cell>
          <cell r="BJ78">
            <v>151</v>
          </cell>
          <cell r="BK78">
            <v>261</v>
          </cell>
          <cell r="BL78">
            <v>151.73966756521671</v>
          </cell>
          <cell r="BM78">
            <v>412.73966756521668</v>
          </cell>
          <cell r="BN78">
            <v>220.80772756138543</v>
          </cell>
          <cell r="BO78">
            <v>633.54739512660194</v>
          </cell>
          <cell r="BP78">
            <v>849.07181663963092</v>
          </cell>
          <cell r="BQ78">
            <v>938.27095130486543</v>
          </cell>
          <cell r="BR78">
            <v>1019.1566559215805</v>
          </cell>
          <cell r="BS78">
            <v>1106.2729926044979</v>
          </cell>
        </row>
        <row r="79">
          <cell r="A79" t="str">
            <v>Reported Profit for the period</v>
          </cell>
          <cell r="B79">
            <v>245.29999999999987</v>
          </cell>
          <cell r="C79">
            <v>216.39999999999978</v>
          </cell>
          <cell r="D79">
            <v>247.29999999999998</v>
          </cell>
          <cell r="E79">
            <v>38</v>
          </cell>
          <cell r="F79">
            <v>35</v>
          </cell>
          <cell r="G79">
            <v>73</v>
          </cell>
          <cell r="H79">
            <v>21</v>
          </cell>
          <cell r="I79">
            <v>98</v>
          </cell>
          <cell r="J79">
            <v>-135</v>
          </cell>
          <cell r="K79">
            <v>-37</v>
          </cell>
          <cell r="L79">
            <v>46</v>
          </cell>
          <cell r="M79">
            <v>74</v>
          </cell>
          <cell r="N79">
            <v>118</v>
          </cell>
          <cell r="O79">
            <v>86.700000000000045</v>
          </cell>
          <cell r="P79">
            <v>204.90000000000009</v>
          </cell>
          <cell r="Q79">
            <v>109.09999999999991</v>
          </cell>
          <cell r="R79">
            <v>314</v>
          </cell>
          <cell r="S79">
            <v>54</v>
          </cell>
          <cell r="T79">
            <v>101</v>
          </cell>
          <cell r="U79">
            <v>155</v>
          </cell>
          <cell r="V79">
            <v>68</v>
          </cell>
          <cell r="W79">
            <v>223</v>
          </cell>
          <cell r="X79">
            <v>109</v>
          </cell>
          <cell r="Y79">
            <v>332</v>
          </cell>
          <cell r="Z79">
            <v>70</v>
          </cell>
          <cell r="AA79">
            <v>103</v>
          </cell>
          <cell r="AB79">
            <v>173</v>
          </cell>
          <cell r="AC79">
            <v>95</v>
          </cell>
          <cell r="AD79">
            <v>268</v>
          </cell>
          <cell r="AE79">
            <v>123</v>
          </cell>
          <cell r="AF79">
            <v>408.40000000000009</v>
          </cell>
          <cell r="AG79">
            <v>82</v>
          </cell>
          <cell r="AH79">
            <v>117</v>
          </cell>
          <cell r="AI79">
            <v>199</v>
          </cell>
          <cell r="AJ79">
            <v>123</v>
          </cell>
          <cell r="AK79">
            <v>322</v>
          </cell>
          <cell r="AL79">
            <v>167</v>
          </cell>
          <cell r="AM79">
            <v>489</v>
          </cell>
          <cell r="AU79">
            <v>103</v>
          </cell>
          <cell r="AV79">
            <v>127</v>
          </cell>
          <cell r="AW79">
            <v>230</v>
          </cell>
          <cell r="AX79">
            <v>150</v>
          </cell>
          <cell r="AY79">
            <v>380</v>
          </cell>
          <cell r="AZ79">
            <v>193</v>
          </cell>
          <cell r="BA79">
            <v>573</v>
          </cell>
          <cell r="BB79">
            <v>124</v>
          </cell>
          <cell r="BC79">
            <v>144</v>
          </cell>
          <cell r="BD79">
            <v>268</v>
          </cell>
          <cell r="BE79">
            <v>174</v>
          </cell>
          <cell r="BF79">
            <v>442</v>
          </cell>
          <cell r="BG79">
            <v>225</v>
          </cell>
          <cell r="BH79">
            <v>667</v>
          </cell>
          <cell r="BI79">
            <v>110</v>
          </cell>
          <cell r="BJ79">
            <v>151</v>
          </cell>
          <cell r="BK79">
            <v>261</v>
          </cell>
          <cell r="BL79">
            <v>157</v>
          </cell>
          <cell r="BM79">
            <v>418</v>
          </cell>
          <cell r="BN79">
            <v>228.10017410297803</v>
          </cell>
          <cell r="BO79">
            <v>646.1001741029786</v>
          </cell>
          <cell r="BP79">
            <v>821.66365465717388</v>
          </cell>
          <cell r="BQ79">
            <v>912.04524169351612</v>
          </cell>
          <cell r="BR79">
            <v>982.15836936593576</v>
          </cell>
          <cell r="BS79">
            <v>1056.7395011463477</v>
          </cell>
        </row>
        <row r="80">
          <cell r="A80" t="str">
            <v>Reported Profit for the period</v>
          </cell>
          <cell r="B80">
            <v>245.29999999999987</v>
          </cell>
          <cell r="C80">
            <v>216.39999999999978</v>
          </cell>
          <cell r="D80">
            <v>247.29999999999998</v>
          </cell>
          <cell r="E80">
            <v>38</v>
          </cell>
          <cell r="F80">
            <v>35</v>
          </cell>
          <cell r="G80">
            <v>73</v>
          </cell>
          <cell r="H80">
            <v>21</v>
          </cell>
          <cell r="I80">
            <v>98</v>
          </cell>
          <cell r="J80">
            <v>-135</v>
          </cell>
          <cell r="K80">
            <v>-37</v>
          </cell>
          <cell r="L80">
            <v>46</v>
          </cell>
          <cell r="M80">
            <v>74</v>
          </cell>
          <cell r="N80">
            <v>118</v>
          </cell>
          <cell r="O80">
            <v>86.700000000000045</v>
          </cell>
          <cell r="P80">
            <v>204.90000000000009</v>
          </cell>
          <cell r="Q80">
            <v>109.09999999999991</v>
          </cell>
          <cell r="R80">
            <v>314</v>
          </cell>
          <cell r="S80">
            <v>54</v>
          </cell>
          <cell r="T80">
            <v>101</v>
          </cell>
          <cell r="U80">
            <v>155</v>
          </cell>
          <cell r="V80">
            <v>68</v>
          </cell>
          <cell r="W80">
            <v>223</v>
          </cell>
          <cell r="X80">
            <v>109</v>
          </cell>
          <cell r="Y80">
            <v>332</v>
          </cell>
          <cell r="Z80">
            <v>70</v>
          </cell>
          <cell r="AA80">
            <v>103</v>
          </cell>
          <cell r="AB80">
            <v>173</v>
          </cell>
          <cell r="AC80">
            <v>95</v>
          </cell>
          <cell r="AD80">
            <v>268</v>
          </cell>
          <cell r="AE80">
            <v>123</v>
          </cell>
          <cell r="AF80">
            <v>408.40000000000009</v>
          </cell>
          <cell r="AG80">
            <v>82</v>
          </cell>
          <cell r="AH80">
            <v>117</v>
          </cell>
          <cell r="AI80">
            <v>199</v>
          </cell>
          <cell r="AJ80">
            <v>123</v>
          </cell>
          <cell r="AK80">
            <v>322</v>
          </cell>
          <cell r="AL80">
            <v>167</v>
          </cell>
          <cell r="AM80">
            <v>489</v>
          </cell>
          <cell r="AU80">
            <v>103</v>
          </cell>
          <cell r="AV80">
            <v>127</v>
          </cell>
          <cell r="AW80">
            <v>230</v>
          </cell>
          <cell r="AX80">
            <v>150</v>
          </cell>
          <cell r="AY80">
            <v>380</v>
          </cell>
          <cell r="AZ80">
            <v>193</v>
          </cell>
          <cell r="BA80">
            <v>573</v>
          </cell>
          <cell r="BB80">
            <v>124</v>
          </cell>
          <cell r="BC80">
            <v>144</v>
          </cell>
          <cell r="BD80">
            <v>268</v>
          </cell>
          <cell r="BE80">
            <v>174</v>
          </cell>
          <cell r="BF80">
            <v>442</v>
          </cell>
          <cell r="BG80">
            <v>227</v>
          </cell>
          <cell r="BH80">
            <v>669</v>
          </cell>
          <cell r="BI80">
            <v>110</v>
          </cell>
          <cell r="BJ80">
            <v>151</v>
          </cell>
          <cell r="BK80">
            <v>261</v>
          </cell>
          <cell r="BL80">
            <v>157</v>
          </cell>
          <cell r="BM80">
            <v>418</v>
          </cell>
          <cell r="BN80">
            <v>256</v>
          </cell>
          <cell r="BO80">
            <v>674</v>
          </cell>
          <cell r="BP80">
            <v>179</v>
          </cell>
          <cell r="BQ80">
            <v>216</v>
          </cell>
          <cell r="BR80">
            <v>395</v>
          </cell>
          <cell r="BS80">
            <v>218.03808977621858</v>
          </cell>
          <cell r="BT80">
            <v>613.03808977621861</v>
          </cell>
          <cell r="BU80">
            <v>297.03775466606544</v>
          </cell>
          <cell r="BV80">
            <v>910.0758444422836</v>
          </cell>
          <cell r="BW80">
            <v>987.0032838719726</v>
          </cell>
          <cell r="BX80">
            <v>1080.2862887798917</v>
          </cell>
          <cell r="BY80">
            <v>1089.866957684085</v>
          </cell>
          <cell r="BZ80">
            <v>1181.3604583249155</v>
          </cell>
          <cell r="CA80">
            <v>665.09364682591001</v>
          </cell>
          <cell r="CB80">
            <v>361.8782021116607</v>
          </cell>
          <cell r="CC80">
            <v>1026.9718489375707</v>
          </cell>
          <cell r="CD80">
            <v>1156.2807917880964</v>
          </cell>
          <cell r="CE80">
            <v>1159.5463794207333</v>
          </cell>
          <cell r="CF80">
            <v>1257.8549734939252</v>
          </cell>
          <cell r="CG80">
            <v>1362.6282032152087</v>
          </cell>
        </row>
        <row r="81">
          <cell r="A81" t="str">
            <v>Goodwill amortization</v>
          </cell>
          <cell r="B81">
            <v>3.2</v>
          </cell>
          <cell r="C81">
            <v>2.7</v>
          </cell>
          <cell r="D81">
            <v>2.8</v>
          </cell>
          <cell r="E81">
            <v>-0.75</v>
          </cell>
          <cell r="F81">
            <v>-0.75</v>
          </cell>
          <cell r="G81">
            <v>-1.5</v>
          </cell>
          <cell r="H81">
            <v>-0.75</v>
          </cell>
          <cell r="I81">
            <v>-2.25</v>
          </cell>
          <cell r="J81">
            <v>-0.75</v>
          </cell>
          <cell r="K81">
            <v>3</v>
          </cell>
          <cell r="L81">
            <v>-1</v>
          </cell>
          <cell r="M81">
            <v>-1</v>
          </cell>
          <cell r="N81">
            <v>-2</v>
          </cell>
          <cell r="O81">
            <v>-1</v>
          </cell>
          <cell r="P81">
            <v>-3</v>
          </cell>
          <cell r="Q81">
            <v>-1</v>
          </cell>
          <cell r="R81">
            <v>4</v>
          </cell>
          <cell r="S81">
            <v>-0.5</v>
          </cell>
          <cell r="T81">
            <v>-0.5</v>
          </cell>
          <cell r="U81">
            <v>-1</v>
          </cell>
          <cell r="V81">
            <v>-0.5</v>
          </cell>
          <cell r="W81">
            <v>-1.5</v>
          </cell>
          <cell r="X81">
            <v>-1</v>
          </cell>
          <cell r="Y81">
            <v>2</v>
          </cell>
          <cell r="Z81">
            <v>-1.75</v>
          </cell>
          <cell r="AA81">
            <v>-1.75</v>
          </cell>
          <cell r="AB81">
            <v>-3.5</v>
          </cell>
          <cell r="AC81">
            <v>0</v>
          </cell>
          <cell r="AD81">
            <v>-3.5</v>
          </cell>
          <cell r="AE81">
            <v>7.5</v>
          </cell>
          <cell r="AF81">
            <v>4</v>
          </cell>
          <cell r="AG81">
            <v>-1.75</v>
          </cell>
          <cell r="AH81">
            <v>-1.75</v>
          </cell>
          <cell r="AI81">
            <v>-3.5</v>
          </cell>
          <cell r="AJ81">
            <v>-1.75</v>
          </cell>
          <cell r="AK81">
            <v>-3.5</v>
          </cell>
          <cell r="AL81">
            <v>0</v>
          </cell>
          <cell r="AM81">
            <v>7</v>
          </cell>
          <cell r="AU81">
            <v>0.75</v>
          </cell>
          <cell r="AV81">
            <v>0.75</v>
          </cell>
          <cell r="AW81">
            <v>1.5</v>
          </cell>
          <cell r="AX81">
            <v>0.75</v>
          </cell>
          <cell r="AY81">
            <v>2.25</v>
          </cell>
          <cell r="AZ81">
            <v>0.75</v>
          </cell>
          <cell r="BA81">
            <v>3</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row>
        <row r="82">
          <cell r="A82" t="str">
            <v>Other intangibles amortisation (indefinite life)</v>
          </cell>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1</v>
          </cell>
          <cell r="S82">
            <v>0</v>
          </cell>
          <cell r="T82">
            <v>0</v>
          </cell>
          <cell r="U82">
            <v>0</v>
          </cell>
          <cell r="V82">
            <v>0</v>
          </cell>
          <cell r="W82">
            <v>0</v>
          </cell>
          <cell r="X82">
            <v>-7</v>
          </cell>
          <cell r="Y82">
            <v>2</v>
          </cell>
          <cell r="Z82">
            <v>0</v>
          </cell>
          <cell r="AA82">
            <v>0</v>
          </cell>
          <cell r="AB82">
            <v>0</v>
          </cell>
          <cell r="AC82">
            <v>0</v>
          </cell>
          <cell r="AD82">
            <v>0</v>
          </cell>
          <cell r="AE82">
            <v>0</v>
          </cell>
          <cell r="AF82">
            <v>3</v>
          </cell>
          <cell r="AG82">
            <v>0</v>
          </cell>
          <cell r="AH82">
            <v>0</v>
          </cell>
          <cell r="AI82">
            <v>0</v>
          </cell>
          <cell r="AJ82">
            <v>0</v>
          </cell>
          <cell r="AK82">
            <v>0</v>
          </cell>
          <cell r="AL82">
            <v>0</v>
          </cell>
          <cell r="AM82">
            <v>2</v>
          </cell>
          <cell r="AU82">
            <v>0</v>
          </cell>
          <cell r="AV82">
            <v>0</v>
          </cell>
          <cell r="AW82">
            <v>0</v>
          </cell>
          <cell r="AX82">
            <v>0</v>
          </cell>
          <cell r="AY82">
            <v>0</v>
          </cell>
          <cell r="AZ82">
            <v>0</v>
          </cell>
          <cell r="BA82">
            <v>9</v>
          </cell>
          <cell r="BB82">
            <v>2.25</v>
          </cell>
          <cell r="BC82">
            <v>2.25</v>
          </cell>
          <cell r="BD82">
            <v>4.5</v>
          </cell>
          <cell r="BE82">
            <v>2.25</v>
          </cell>
          <cell r="BF82">
            <v>6.75</v>
          </cell>
          <cell r="BG82">
            <v>2.25</v>
          </cell>
          <cell r="BH82">
            <v>9</v>
          </cell>
          <cell r="BI82">
            <v>2.25</v>
          </cell>
          <cell r="BJ82">
            <v>2.25</v>
          </cell>
          <cell r="BK82">
            <v>4.5</v>
          </cell>
          <cell r="BL82">
            <v>2.25</v>
          </cell>
          <cell r="BM82">
            <v>6.75</v>
          </cell>
          <cell r="BN82">
            <v>2.25</v>
          </cell>
          <cell r="BO82">
            <v>9</v>
          </cell>
          <cell r="BP82">
            <v>2.25</v>
          </cell>
          <cell r="BQ82">
            <v>2.25</v>
          </cell>
          <cell r="BR82">
            <v>4.5</v>
          </cell>
          <cell r="BS82">
            <v>2.25</v>
          </cell>
          <cell r="BT82">
            <v>6.75</v>
          </cell>
          <cell r="BU82">
            <v>2.25</v>
          </cell>
          <cell r="BV82">
            <v>9</v>
          </cell>
          <cell r="BW82">
            <v>9</v>
          </cell>
          <cell r="BX82">
            <v>9</v>
          </cell>
          <cell r="BY82">
            <v>9</v>
          </cell>
          <cell r="BZ82">
            <v>9</v>
          </cell>
          <cell r="CA82">
            <v>9</v>
          </cell>
          <cell r="CB82">
            <v>9</v>
          </cell>
          <cell r="CC82">
            <v>9</v>
          </cell>
          <cell r="CD82">
            <v>9</v>
          </cell>
          <cell r="CE82">
            <v>9</v>
          </cell>
          <cell r="CF82">
            <v>9</v>
          </cell>
          <cell r="CG82">
            <v>9</v>
          </cell>
        </row>
        <row r="83">
          <cell r="A83" t="str">
            <v>Non-operating items</v>
          </cell>
          <cell r="B83">
            <v>-38.299999999999997</v>
          </cell>
          <cell r="C83">
            <v>-3.2</v>
          </cell>
          <cell r="D83">
            <v>1.2999999999999998</v>
          </cell>
          <cell r="E83">
            <v>0</v>
          </cell>
          <cell r="F83">
            <v>0</v>
          </cell>
          <cell r="G83">
            <v>0</v>
          </cell>
          <cell r="H83">
            <v>0</v>
          </cell>
          <cell r="I83">
            <v>0</v>
          </cell>
          <cell r="J83">
            <v>0</v>
          </cell>
          <cell r="K83">
            <v>236</v>
          </cell>
          <cell r="L83">
            <v>0</v>
          </cell>
          <cell r="M83">
            <v>0</v>
          </cell>
          <cell r="N83">
            <v>0</v>
          </cell>
          <cell r="O83">
            <v>0</v>
          </cell>
          <cell r="P83">
            <v>0</v>
          </cell>
          <cell r="Q83">
            <v>0</v>
          </cell>
          <cell r="R83">
            <v>-56</v>
          </cell>
          <cell r="S83">
            <v>0</v>
          </cell>
          <cell r="T83">
            <v>0</v>
          </cell>
          <cell r="U83">
            <v>0</v>
          </cell>
          <cell r="V83">
            <v>0</v>
          </cell>
          <cell r="W83">
            <v>0</v>
          </cell>
          <cell r="X83">
            <v>-7</v>
          </cell>
          <cell r="Y83">
            <v>-24</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42</v>
          </cell>
          <cell r="BJ83">
            <v>15</v>
          </cell>
          <cell r="BK83">
            <v>57</v>
          </cell>
          <cell r="BL83">
            <v>47</v>
          </cell>
          <cell r="BM83">
            <v>104</v>
          </cell>
          <cell r="BN83">
            <v>45</v>
          </cell>
          <cell r="BO83">
            <v>149</v>
          </cell>
          <cell r="BP83">
            <v>0</v>
          </cell>
          <cell r="BQ83">
            <v>0</v>
          </cell>
          <cell r="BR83">
            <v>0</v>
          </cell>
          <cell r="BS83">
            <v>0</v>
          </cell>
          <cell r="BT83">
            <v>0</v>
          </cell>
          <cell r="BU83">
            <v>0</v>
          </cell>
          <cell r="BV83">
            <v>0</v>
          </cell>
          <cell r="BW83">
            <v>0</v>
          </cell>
          <cell r="BX83">
            <v>0</v>
          </cell>
          <cell r="BY83">
            <v>0</v>
          </cell>
          <cell r="BZ83">
            <v>0</v>
          </cell>
          <cell r="CA83">
            <v>30</v>
          </cell>
          <cell r="CB83">
            <v>0</v>
          </cell>
          <cell r="CC83">
            <v>30</v>
          </cell>
          <cell r="CD83">
            <v>0</v>
          </cell>
          <cell r="CE83">
            <v>0</v>
          </cell>
          <cell r="CF83">
            <v>0</v>
          </cell>
          <cell r="CG83">
            <v>0</v>
          </cell>
        </row>
        <row r="84">
          <cell r="A84" t="str">
            <v>Related taxation</v>
          </cell>
          <cell r="B84">
            <v>0</v>
          </cell>
          <cell r="C84">
            <v>0</v>
          </cell>
          <cell r="D84">
            <v>0</v>
          </cell>
          <cell r="E84">
            <v>0</v>
          </cell>
          <cell r="F84">
            <v>0</v>
          </cell>
          <cell r="G84">
            <v>0</v>
          </cell>
          <cell r="H84">
            <v>0</v>
          </cell>
          <cell r="I84">
            <v>0</v>
          </cell>
          <cell r="J84">
            <v>0</v>
          </cell>
          <cell r="K84">
            <v>-11.621993127147768</v>
          </cell>
          <cell r="L84">
            <v>0</v>
          </cell>
          <cell r="M84">
            <v>0</v>
          </cell>
          <cell r="N84">
            <v>0</v>
          </cell>
          <cell r="O84">
            <v>0</v>
          </cell>
          <cell r="P84">
            <v>0</v>
          </cell>
          <cell r="Q84">
            <v>0</v>
          </cell>
          <cell r="R84">
            <v>17</v>
          </cell>
          <cell r="S84">
            <v>0</v>
          </cell>
          <cell r="T84">
            <v>0</v>
          </cell>
          <cell r="U84">
            <v>0</v>
          </cell>
          <cell r="V84">
            <v>0</v>
          </cell>
          <cell r="W84">
            <v>0</v>
          </cell>
          <cell r="X84">
            <v>0</v>
          </cell>
          <cell r="Y84">
            <v>8</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-11</v>
          </cell>
          <cell r="BJ84">
            <v>-4</v>
          </cell>
          <cell r="BK84">
            <v>-15</v>
          </cell>
          <cell r="BL84">
            <v>-12</v>
          </cell>
          <cell r="BM84">
            <v>-27</v>
          </cell>
          <cell r="BN84">
            <v>-9.9464114832535913</v>
          </cell>
          <cell r="BO84">
            <v>-37</v>
          </cell>
          <cell r="BP84">
            <v>0</v>
          </cell>
          <cell r="BQ84">
            <v>0</v>
          </cell>
          <cell r="BR84">
            <v>0</v>
          </cell>
          <cell r="BS84">
            <v>0</v>
          </cell>
          <cell r="BT84">
            <v>0</v>
          </cell>
          <cell r="BU84">
            <v>0</v>
          </cell>
          <cell r="BV84">
            <v>0</v>
          </cell>
          <cell r="BW84">
            <v>0</v>
          </cell>
          <cell r="BX84">
            <v>0</v>
          </cell>
          <cell r="BY84">
            <v>0</v>
          </cell>
          <cell r="BZ84">
            <v>0</v>
          </cell>
          <cell r="CA84">
            <v>-7.1999999999999993</v>
          </cell>
          <cell r="CB84">
            <v>0</v>
          </cell>
          <cell r="CC84">
            <v>-7.1999999999999993</v>
          </cell>
          <cell r="CD84">
            <v>0</v>
          </cell>
          <cell r="CE84">
            <v>0</v>
          </cell>
          <cell r="CF84">
            <v>0</v>
          </cell>
          <cell r="CG84">
            <v>0</v>
          </cell>
        </row>
        <row r="85">
          <cell r="A85" t="str">
            <v>Impact of dilution</v>
          </cell>
          <cell r="B85">
            <v>0</v>
          </cell>
          <cell r="C85">
            <v>0</v>
          </cell>
          <cell r="D85">
            <v>12.7</v>
          </cell>
          <cell r="E85">
            <v>0</v>
          </cell>
          <cell r="F85">
            <v>0</v>
          </cell>
          <cell r="G85">
            <v>0</v>
          </cell>
          <cell r="H85">
            <v>0</v>
          </cell>
          <cell r="I85">
            <v>0</v>
          </cell>
          <cell r="J85">
            <v>0</v>
          </cell>
          <cell r="K85">
            <v>0</v>
          </cell>
          <cell r="L85">
            <v>0</v>
          </cell>
          <cell r="M85">
            <v>0</v>
          </cell>
          <cell r="N85">
            <v>0</v>
          </cell>
          <cell r="O85">
            <v>0</v>
          </cell>
          <cell r="P85">
            <v>0</v>
          </cell>
          <cell r="Q85">
            <v>0</v>
          </cell>
          <cell r="R85">
            <v>13</v>
          </cell>
          <cell r="S85">
            <v>0</v>
          </cell>
          <cell r="T85">
            <v>0</v>
          </cell>
          <cell r="U85">
            <v>0</v>
          </cell>
          <cell r="V85">
            <v>0</v>
          </cell>
          <cell r="W85">
            <v>0</v>
          </cell>
          <cell r="X85">
            <v>0</v>
          </cell>
          <cell r="Y85">
            <v>13</v>
          </cell>
          <cell r="Z85">
            <v>0</v>
          </cell>
          <cell r="AA85">
            <v>0</v>
          </cell>
          <cell r="AB85">
            <v>0</v>
          </cell>
          <cell r="AC85">
            <v>0</v>
          </cell>
          <cell r="AD85">
            <v>0</v>
          </cell>
          <cell r="AE85">
            <v>0</v>
          </cell>
          <cell r="AF85">
            <v>13</v>
          </cell>
          <cell r="AG85">
            <v>0</v>
          </cell>
          <cell r="AH85">
            <v>0</v>
          </cell>
          <cell r="AI85">
            <v>0</v>
          </cell>
          <cell r="AJ85">
            <v>0</v>
          </cell>
          <cell r="AK85">
            <v>0</v>
          </cell>
          <cell r="AL85">
            <v>0</v>
          </cell>
          <cell r="AM85">
            <v>13</v>
          </cell>
          <cell r="AN85">
            <v>0</v>
          </cell>
          <cell r="AO85">
            <v>0</v>
          </cell>
          <cell r="AP85">
            <v>0</v>
          </cell>
          <cell r="AQ85">
            <v>0</v>
          </cell>
          <cell r="AR85">
            <v>0</v>
          </cell>
          <cell r="AS85">
            <v>0</v>
          </cell>
          <cell r="AT85">
            <v>0</v>
          </cell>
          <cell r="AU85">
            <v>0</v>
          </cell>
          <cell r="AV85">
            <v>0</v>
          </cell>
          <cell r="AW85">
            <v>0</v>
          </cell>
          <cell r="AX85">
            <v>0</v>
          </cell>
          <cell r="AY85">
            <v>0</v>
          </cell>
          <cell r="AZ85">
            <v>0</v>
          </cell>
          <cell r="BA85">
            <v>5</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row>
        <row r="86">
          <cell r="A86" t="str">
            <v>ModelWare Net Income</v>
          </cell>
          <cell r="B86">
            <v>210.19999999999987</v>
          </cell>
          <cell r="C86">
            <v>215.89999999999978</v>
          </cell>
          <cell r="D86">
            <v>264.10000000000002</v>
          </cell>
          <cell r="E86">
            <v>37.25</v>
          </cell>
          <cell r="F86">
            <v>34.25</v>
          </cell>
          <cell r="G86">
            <v>71.5</v>
          </cell>
          <cell r="H86">
            <v>20.25</v>
          </cell>
          <cell r="I86">
            <v>95.75</v>
          </cell>
          <cell r="J86">
            <v>-135.75</v>
          </cell>
          <cell r="K86">
            <v>190.37800687285224</v>
          </cell>
          <cell r="L86">
            <v>45</v>
          </cell>
          <cell r="M86">
            <v>73</v>
          </cell>
          <cell r="N86">
            <v>116</v>
          </cell>
          <cell r="O86">
            <v>85.700000000000045</v>
          </cell>
          <cell r="P86">
            <v>201.90000000000009</v>
          </cell>
          <cell r="Q86">
            <v>108.09999999999991</v>
          </cell>
          <cell r="R86">
            <v>293</v>
          </cell>
          <cell r="S86">
            <v>53.5</v>
          </cell>
          <cell r="T86">
            <v>100.5</v>
          </cell>
          <cell r="U86">
            <v>154</v>
          </cell>
          <cell r="V86">
            <v>67.5</v>
          </cell>
          <cell r="W86">
            <v>221.5</v>
          </cell>
          <cell r="X86">
            <v>101</v>
          </cell>
          <cell r="Y86">
            <v>333</v>
          </cell>
          <cell r="Z86">
            <v>68.25</v>
          </cell>
          <cell r="AA86">
            <v>101.25</v>
          </cell>
          <cell r="AB86">
            <v>169.5</v>
          </cell>
          <cell r="AC86">
            <v>95</v>
          </cell>
          <cell r="AD86">
            <v>264.5</v>
          </cell>
          <cell r="AE86">
            <v>130.5</v>
          </cell>
          <cell r="AF86">
            <v>428.40000000000009</v>
          </cell>
          <cell r="AG86">
            <v>80.25</v>
          </cell>
          <cell r="AH86">
            <v>115.25</v>
          </cell>
          <cell r="AI86">
            <v>195.5</v>
          </cell>
          <cell r="AJ86">
            <v>121.25</v>
          </cell>
          <cell r="AK86">
            <v>318.5</v>
          </cell>
          <cell r="AL86">
            <v>167</v>
          </cell>
          <cell r="AM86">
            <v>511</v>
          </cell>
          <cell r="AN86">
            <v>0</v>
          </cell>
          <cell r="AO86">
            <v>0</v>
          </cell>
          <cell r="AP86">
            <v>0</v>
          </cell>
          <cell r="AQ86">
            <v>0</v>
          </cell>
          <cell r="AR86">
            <v>0</v>
          </cell>
          <cell r="AS86">
            <v>0</v>
          </cell>
          <cell r="AT86">
            <v>0</v>
          </cell>
          <cell r="AU86">
            <v>103.75</v>
          </cell>
          <cell r="AV86">
            <v>127.75</v>
          </cell>
          <cell r="AW86">
            <v>231.5</v>
          </cell>
          <cell r="AX86">
            <v>150.75</v>
          </cell>
          <cell r="AY86">
            <v>382.25</v>
          </cell>
          <cell r="AZ86">
            <v>193.75</v>
          </cell>
          <cell r="BA86">
            <v>590</v>
          </cell>
          <cell r="BB86">
            <v>126.25</v>
          </cell>
          <cell r="BC86">
            <v>146.25</v>
          </cell>
          <cell r="BD86">
            <v>272.5</v>
          </cell>
          <cell r="BE86">
            <v>176.25</v>
          </cell>
          <cell r="BF86">
            <v>448.75</v>
          </cell>
          <cell r="BG86">
            <v>229.25</v>
          </cell>
          <cell r="BH86">
            <v>678</v>
          </cell>
          <cell r="BI86">
            <v>143.25</v>
          </cell>
          <cell r="BJ86">
            <v>164.25</v>
          </cell>
          <cell r="BK86">
            <v>307.5</v>
          </cell>
          <cell r="BL86">
            <v>194.25</v>
          </cell>
          <cell r="BM86">
            <v>501.75</v>
          </cell>
          <cell r="BN86">
            <v>293.3035885167464</v>
          </cell>
          <cell r="BO86">
            <v>795</v>
          </cell>
          <cell r="BP86">
            <v>181.25</v>
          </cell>
          <cell r="BQ86">
            <v>218.25</v>
          </cell>
          <cell r="BR86">
            <v>399.5</v>
          </cell>
          <cell r="BS86">
            <v>220.28808977621858</v>
          </cell>
          <cell r="BT86">
            <v>619.78808977621861</v>
          </cell>
          <cell r="BU86">
            <v>299.28775466606544</v>
          </cell>
          <cell r="BV86">
            <v>919.0758444422836</v>
          </cell>
          <cell r="BW86">
            <v>996.0032838719726</v>
          </cell>
          <cell r="BX86">
            <v>1089.2862887798917</v>
          </cell>
          <cell r="BY86">
            <v>1098.866957684085</v>
          </cell>
          <cell r="BZ86">
            <v>1190.3604583249155</v>
          </cell>
          <cell r="CA86">
            <v>696.89364682590997</v>
          </cell>
          <cell r="CB86">
            <v>370.8782021116607</v>
          </cell>
          <cell r="CC86">
            <v>1058.7718489375707</v>
          </cell>
          <cell r="CD86">
            <v>1165.2807917880964</v>
          </cell>
          <cell r="CE86">
            <v>1168.5463794207333</v>
          </cell>
          <cell r="CF86">
            <v>1266.8549734939252</v>
          </cell>
          <cell r="CG86">
            <v>1371.6282032152087</v>
          </cell>
        </row>
        <row r="87">
          <cell r="A87" t="str">
            <v>Average shares outstanding (diluted), mn</v>
          </cell>
          <cell r="B87">
            <v>463.35702600000002</v>
          </cell>
          <cell r="C87">
            <v>446.802099</v>
          </cell>
          <cell r="D87">
            <v>721.64622899999995</v>
          </cell>
          <cell r="E87">
            <v>686.82152299999996</v>
          </cell>
          <cell r="F87">
            <v>686.82152299999996</v>
          </cell>
          <cell r="G87">
            <v>686.82152299999996</v>
          </cell>
          <cell r="H87">
            <v>693.5</v>
          </cell>
          <cell r="I87">
            <v>739.6</v>
          </cell>
          <cell r="J87">
            <v>686.82152299999996</v>
          </cell>
          <cell r="K87">
            <v>686.82152299999996</v>
          </cell>
          <cell r="L87">
            <v>698</v>
          </cell>
          <cell r="M87">
            <v>739.8</v>
          </cell>
          <cell r="N87">
            <v>738.9</v>
          </cell>
          <cell r="O87">
            <v>741.7</v>
          </cell>
          <cell r="P87">
            <v>739.6</v>
          </cell>
          <cell r="Q87">
            <v>741.29425900000001</v>
          </cell>
          <cell r="R87">
            <v>741.29425900000001</v>
          </cell>
          <cell r="S87">
            <v>748.3</v>
          </cell>
          <cell r="T87">
            <v>749.1</v>
          </cell>
          <cell r="U87">
            <v>748.3</v>
          </cell>
          <cell r="V87">
            <v>751</v>
          </cell>
          <cell r="W87">
            <v>749.5</v>
          </cell>
          <cell r="X87">
            <v>750.3</v>
          </cell>
          <cell r="Y87">
            <v>749.72283900000002</v>
          </cell>
          <cell r="Z87">
            <v>755.2</v>
          </cell>
          <cell r="AA87">
            <v>755.2</v>
          </cell>
          <cell r="AB87">
            <v>756.18753200000003</v>
          </cell>
          <cell r="AC87">
            <v>756.6</v>
          </cell>
          <cell r="AD87">
            <v>756.3</v>
          </cell>
          <cell r="AE87">
            <v>757.3</v>
          </cell>
          <cell r="AF87">
            <v>756.53089699999998</v>
          </cell>
          <cell r="AG87">
            <v>755.6</v>
          </cell>
          <cell r="AH87">
            <v>757.6</v>
          </cell>
          <cell r="AI87">
            <v>756.8</v>
          </cell>
          <cell r="AJ87">
            <v>758.8</v>
          </cell>
          <cell r="AK87">
            <v>757.6</v>
          </cell>
          <cell r="AL87">
            <v>760</v>
          </cell>
          <cell r="AM87">
            <v>758.09821099999999</v>
          </cell>
          <cell r="AN87">
            <v>0</v>
          </cell>
          <cell r="AO87">
            <v>0</v>
          </cell>
          <cell r="AP87">
            <v>0</v>
          </cell>
          <cell r="AQ87">
            <v>0</v>
          </cell>
          <cell r="AR87">
            <v>0</v>
          </cell>
          <cell r="AS87">
            <v>0</v>
          </cell>
          <cell r="AT87">
            <v>0</v>
          </cell>
          <cell r="AU87">
            <v>761.4</v>
          </cell>
          <cell r="AV87">
            <v>757.4</v>
          </cell>
          <cell r="AW87">
            <v>759.3</v>
          </cell>
          <cell r="AX87">
            <v>752.2</v>
          </cell>
          <cell r="AY87">
            <v>756.9</v>
          </cell>
          <cell r="AZ87">
            <v>747.4</v>
          </cell>
          <cell r="BA87">
            <v>754.54467599999998</v>
          </cell>
          <cell r="BB87">
            <v>748.9</v>
          </cell>
          <cell r="BC87">
            <v>746.7</v>
          </cell>
          <cell r="BD87">
            <v>747.8</v>
          </cell>
          <cell r="BE87">
            <v>740.4</v>
          </cell>
          <cell r="BF87">
            <v>745.4</v>
          </cell>
          <cell r="BG87">
            <v>736.7</v>
          </cell>
          <cell r="BH87">
            <v>743.25570800000003</v>
          </cell>
          <cell r="BI87">
            <v>736.4</v>
          </cell>
          <cell r="BJ87">
            <v>734.1</v>
          </cell>
          <cell r="BK87">
            <v>735.21914300000003</v>
          </cell>
          <cell r="BL87">
            <v>732.7</v>
          </cell>
          <cell r="BM87">
            <v>734.4</v>
          </cell>
          <cell r="BN87">
            <v>732.643598</v>
          </cell>
          <cell r="BO87">
            <v>734.59969599999988</v>
          </cell>
          <cell r="BP87">
            <v>728.40005748352121</v>
          </cell>
          <cell r="BQ87">
            <v>723.55476134866717</v>
          </cell>
          <cell r="BR87">
            <v>718.81010682789235</v>
          </cell>
          <cell r="BS87">
            <v>714.16400349489436</v>
          </cell>
          <cell r="BT87">
            <v>11.352086111127079</v>
          </cell>
          <cell r="CA87" t="str">
            <v>CAGR 2007-2010e</v>
          </cell>
          <cell r="CB87" t="str">
            <v>CAGR 2007-2010e</v>
          </cell>
          <cell r="CC87" t="str">
            <v>CAGR 2007-2010e</v>
          </cell>
          <cell r="CE87" t="str">
            <v>CAGR 2006-2009e</v>
          </cell>
          <cell r="CH87" t="str">
            <v>CAGR 2007-2010e</v>
          </cell>
        </row>
        <row r="88">
          <cell r="A88" t="str">
            <v>Average shares outstanding (diluted), mn</v>
          </cell>
          <cell r="B88">
            <v>463.35702600000002</v>
          </cell>
          <cell r="C88">
            <v>446.802099</v>
          </cell>
          <cell r="D88">
            <v>721.64622899999995</v>
          </cell>
          <cell r="E88">
            <v>686.82152299999996</v>
          </cell>
          <cell r="F88">
            <v>686.82152299999996</v>
          </cell>
          <cell r="G88">
            <v>686.82152299999996</v>
          </cell>
          <cell r="H88">
            <v>693.5</v>
          </cell>
          <cell r="I88">
            <v>739.6</v>
          </cell>
          <cell r="J88">
            <v>686.82152299999996</v>
          </cell>
          <cell r="K88">
            <v>686.82152299999996</v>
          </cell>
          <cell r="L88">
            <v>698</v>
          </cell>
          <cell r="M88">
            <v>739.8</v>
          </cell>
          <cell r="N88">
            <v>738.9</v>
          </cell>
          <cell r="O88">
            <v>741.7</v>
          </cell>
          <cell r="P88">
            <v>739.6</v>
          </cell>
          <cell r="Q88">
            <v>741.29425900000001</v>
          </cell>
          <cell r="R88">
            <v>741.29425900000001</v>
          </cell>
          <cell r="S88">
            <v>748.3</v>
          </cell>
          <cell r="T88">
            <v>749.1</v>
          </cell>
          <cell r="U88">
            <v>748.3</v>
          </cell>
          <cell r="V88">
            <v>751</v>
          </cell>
          <cell r="W88">
            <v>749.5</v>
          </cell>
          <cell r="X88">
            <v>750.3</v>
          </cell>
          <cell r="Y88">
            <v>749.72283900000002</v>
          </cell>
          <cell r="Z88">
            <v>755.2</v>
          </cell>
          <cell r="AA88">
            <v>755.2</v>
          </cell>
          <cell r="AB88">
            <v>756.18753200000003</v>
          </cell>
          <cell r="AC88">
            <v>756.6</v>
          </cell>
          <cell r="AD88">
            <v>756.3</v>
          </cell>
          <cell r="AE88">
            <v>757.3</v>
          </cell>
          <cell r="AF88">
            <v>756.53089699999998</v>
          </cell>
          <cell r="AG88">
            <v>755.6</v>
          </cell>
          <cell r="AH88">
            <v>757.6</v>
          </cell>
          <cell r="AI88">
            <v>756.8</v>
          </cell>
          <cell r="AJ88">
            <v>758.8</v>
          </cell>
          <cell r="AK88">
            <v>757.6</v>
          </cell>
          <cell r="AL88">
            <v>760</v>
          </cell>
          <cell r="AM88">
            <v>758.09821099999999</v>
          </cell>
          <cell r="AN88">
            <v>0</v>
          </cell>
          <cell r="AO88">
            <v>0</v>
          </cell>
          <cell r="AP88">
            <v>0</v>
          </cell>
          <cell r="AQ88">
            <v>0</v>
          </cell>
          <cell r="AR88">
            <v>0</v>
          </cell>
          <cell r="AS88">
            <v>0</v>
          </cell>
          <cell r="AT88">
            <v>0</v>
          </cell>
          <cell r="AU88">
            <v>761.4</v>
          </cell>
          <cell r="AV88">
            <v>757.4</v>
          </cell>
          <cell r="AW88">
            <v>759.3</v>
          </cell>
          <cell r="AX88">
            <v>752.2</v>
          </cell>
          <cell r="AY88">
            <v>756.9</v>
          </cell>
          <cell r="AZ88">
            <v>747.4</v>
          </cell>
          <cell r="BA88">
            <v>754.54467599999998</v>
          </cell>
          <cell r="BB88">
            <v>748.9</v>
          </cell>
          <cell r="BC88">
            <v>746.7</v>
          </cell>
          <cell r="BD88">
            <v>747.8</v>
          </cell>
          <cell r="BE88">
            <v>740.4</v>
          </cell>
          <cell r="BF88">
            <v>745.4</v>
          </cell>
          <cell r="BG88">
            <v>736.7</v>
          </cell>
          <cell r="BH88">
            <v>743.25570800000003</v>
          </cell>
          <cell r="BI88">
            <v>736.4</v>
          </cell>
          <cell r="BJ88">
            <v>734.1</v>
          </cell>
          <cell r="BK88">
            <v>735.21914300000003</v>
          </cell>
          <cell r="BL88">
            <v>732.7</v>
          </cell>
          <cell r="BM88">
            <v>734.4</v>
          </cell>
          <cell r="BN88">
            <v>729.8</v>
          </cell>
          <cell r="BO88">
            <v>734.19649600000002</v>
          </cell>
          <cell r="BP88">
            <v>736.9</v>
          </cell>
          <cell r="BQ88">
            <v>735.7</v>
          </cell>
          <cell r="BR88">
            <v>736.3</v>
          </cell>
          <cell r="BS88">
            <v>735.18074532075457</v>
          </cell>
          <cell r="BT88">
            <v>735.92691510691816</v>
          </cell>
          <cell r="BU88">
            <v>734.62036796226403</v>
          </cell>
          <cell r="BV88">
            <v>735.00055664150932</v>
          </cell>
          <cell r="BW88">
            <v>734.09908913626816</v>
          </cell>
          <cell r="BX88">
            <v>734.00513774252647</v>
          </cell>
          <cell r="BY88">
            <v>734.65888645202483</v>
          </cell>
          <cell r="BZ88">
            <v>736.00495007193081</v>
          </cell>
          <cell r="CA88">
            <v>6.1529085442063591</v>
          </cell>
          <cell r="CB88">
            <v>727.76634544444437</v>
          </cell>
          <cell r="CC88">
            <v>8.9405658320813153</v>
          </cell>
          <cell r="CD88">
            <v>726.16089276954722</v>
          </cell>
          <cell r="CE88">
            <v>11.078337740573074</v>
          </cell>
          <cell r="CF88">
            <v>722.71170875852818</v>
          </cell>
          <cell r="CG88">
            <v>721.95505633197047</v>
          </cell>
          <cell r="CH88">
            <v>9.0069359381786498</v>
          </cell>
        </row>
        <row r="89">
          <cell r="A89" t="str">
            <v>ModelWare EPS (diluted) (p)</v>
          </cell>
          <cell r="B89">
            <v>45.364586745254158</v>
          </cell>
          <cell r="C89">
            <v>48.321169592356767</v>
          </cell>
          <cell r="D89">
            <v>36.596879383125</v>
          </cell>
          <cell r="E89">
            <v>5.4235341719190711</v>
          </cell>
          <cell r="F89">
            <v>4.9867394735094814</v>
          </cell>
          <cell r="G89">
            <v>10.410273645428553</v>
          </cell>
          <cell r="H89">
            <v>2.9199711607786587</v>
          </cell>
          <cell r="I89">
            <v>12.946187128177392</v>
          </cell>
          <cell r="J89">
            <v>-19.764960103033928</v>
          </cell>
          <cell r="K89">
            <v>27.71870136528209</v>
          </cell>
          <cell r="L89">
            <v>6.4469914040114613</v>
          </cell>
          <cell r="M89">
            <v>9.867531765341985</v>
          </cell>
          <cell r="N89">
            <v>15.699012044931656</v>
          </cell>
          <cell r="O89">
            <v>11.554536874747209</v>
          </cell>
          <cell r="P89">
            <v>27.298539751216889</v>
          </cell>
          <cell r="Q89">
            <v>14.582603154896404</v>
          </cell>
          <cell r="R89">
            <v>39.525464610403787</v>
          </cell>
          <cell r="S89">
            <v>7.1495389549645862</v>
          </cell>
          <cell r="T89">
            <v>13.41609931918302</v>
          </cell>
          <cell r="U89">
            <v>20.579981290926099</v>
          </cell>
          <cell r="V89">
            <v>8.9880159786950724</v>
          </cell>
          <cell r="W89">
            <v>29.553035356904605</v>
          </cell>
          <cell r="X89">
            <v>13.461282153805145</v>
          </cell>
          <cell r="Y89">
            <v>44.416413996959747</v>
          </cell>
          <cell r="Z89">
            <v>9.0373411016949152</v>
          </cell>
          <cell r="AA89">
            <v>13.407044491525422</v>
          </cell>
          <cell r="AB89">
            <v>22.415074677533823</v>
          </cell>
          <cell r="AC89">
            <v>12.556172349986783</v>
          </cell>
          <cell r="AD89">
            <v>34.97289435409229</v>
          </cell>
          <cell r="AE89">
            <v>17.232272547207184</v>
          </cell>
          <cell r="AF89">
            <v>56.626900725245612</v>
          </cell>
          <cell r="AG89">
            <v>10.620698782424563</v>
          </cell>
          <cell r="AH89">
            <v>15.212513199577613</v>
          </cell>
          <cell r="AI89">
            <v>25.832452431289642</v>
          </cell>
          <cell r="AJ89">
            <v>15.979177648919347</v>
          </cell>
          <cell r="AK89">
            <v>42.040654699049625</v>
          </cell>
          <cell r="AL89">
            <v>21.973684210526315</v>
          </cell>
          <cell r="AM89">
            <v>67.405514560698521</v>
          </cell>
          <cell r="AU89">
            <v>13.626214867349621</v>
          </cell>
          <cell r="AV89">
            <v>16.866913123844732</v>
          </cell>
          <cell r="AW89">
            <v>30.488607928355066</v>
          </cell>
          <cell r="AX89">
            <v>20.041212443499067</v>
          </cell>
          <cell r="AY89">
            <v>50.502047826661375</v>
          </cell>
          <cell r="AZ89">
            <v>27.690803937625681</v>
          </cell>
          <cell r="BA89">
            <v>78.192851764287056</v>
          </cell>
          <cell r="BB89">
            <v>16.858058485779143</v>
          </cell>
          <cell r="BC89">
            <v>19.586179188429085</v>
          </cell>
          <cell r="BD89">
            <v>36.440224658999739</v>
          </cell>
          <cell r="BE89">
            <v>23.804700162074553</v>
          </cell>
          <cell r="BF89">
            <v>60.202575798229141</v>
          </cell>
          <cell r="BG89">
            <v>31.118501425274875</v>
          </cell>
          <cell r="BH89">
            <v>91.220288347923457</v>
          </cell>
          <cell r="BI89">
            <v>19.45274307441608</v>
          </cell>
          <cell r="BJ89">
            <v>22.374335921536577</v>
          </cell>
          <cell r="BK89">
            <v>41.824264632891911</v>
          </cell>
          <cell r="BL89">
            <v>26.511532687320866</v>
          </cell>
          <cell r="BM89">
            <v>68.321078431372555</v>
          </cell>
          <cell r="BN89">
            <v>40.189584614517187</v>
          </cell>
          <cell r="BO89">
            <v>108.28163908861804</v>
          </cell>
          <cell r="BP89">
            <v>24.596281720721944</v>
          </cell>
          <cell r="BQ89">
            <v>29.665624575234467</v>
          </cell>
          <cell r="BR89">
            <v>54.257775363303004</v>
          </cell>
          <cell r="BS89">
            <v>29.963800218966334</v>
          </cell>
          <cell r="BT89">
            <v>84.218701212493841</v>
          </cell>
          <cell r="BU89">
            <v>40.740465105296295</v>
          </cell>
          <cell r="BV89">
            <v>125.04423787675518</v>
          </cell>
          <cell r="BW89">
            <v>135.67695405314529</v>
          </cell>
          <cell r="BX89">
            <v>148.40308776721264</v>
          </cell>
          <cell r="BY89">
            <v>149.57512635435111</v>
          </cell>
          <cell r="BZ89">
            <v>161.73267016866936</v>
          </cell>
          <cell r="CA89" t="str">
            <v>CAGR 2005-2010e</v>
          </cell>
          <cell r="CB89">
            <v>50.961164174906536</v>
          </cell>
          <cell r="CC89">
            <v>145.24455885618116</v>
          </cell>
          <cell r="CD89">
            <v>160.47143317560992</v>
          </cell>
          <cell r="CE89">
            <v>161.37983605583076</v>
          </cell>
          <cell r="CF89">
            <v>175.29188445972801</v>
          </cell>
          <cell r="CG89">
            <v>189.98803196753354</v>
          </cell>
          <cell r="CH89" t="str">
            <v>CAGR 2005-2010e</v>
          </cell>
        </row>
        <row r="90">
          <cell r="A90" t="str">
            <v>Growth %</v>
          </cell>
          <cell r="C90">
            <v>7.1950911838295051E-2</v>
          </cell>
          <cell r="D90">
            <v>-0.25733087678325728</v>
          </cell>
          <cell r="K90">
            <v>-0.24259385410704393</v>
          </cell>
          <cell r="R90">
            <v>0.42594936499838232</v>
          </cell>
          <cell r="S90">
            <v>0.10897293123672913</v>
          </cell>
          <cell r="T90">
            <v>0.35962058579884904</v>
          </cell>
          <cell r="U90">
            <v>0.31090932550562878</v>
          </cell>
          <cell r="V90">
            <v>-0.22212235106206168</v>
          </cell>
          <cell r="W90">
            <v>8.2586674094434542E-2</v>
          </cell>
          <cell r="X90">
            <v>-7.6894432988444339E-2</v>
          </cell>
          <cell r="Y90">
            <v>0.12374173042025616</v>
          </cell>
          <cell r="Z90">
            <v>0.26404529839220658</v>
          </cell>
          <cell r="AA90">
            <v>-6.7492252719469903E-4</v>
          </cell>
          <cell r="AB90">
            <v>8.9168855921984314E-2</v>
          </cell>
          <cell r="AC90">
            <v>0.39699043479112217</v>
          </cell>
          <cell r="AD90">
            <v>0.18339432588677962</v>
          </cell>
          <cell r="AE90">
            <v>0.28013604872965847</v>
          </cell>
          <cell r="AF90">
            <v>0.27490933259766659</v>
          </cell>
          <cell r="AG90">
            <v>0.17520171728747691</v>
          </cell>
          <cell r="AH90">
            <v>0.13466567588355693</v>
          </cell>
          <cell r="AI90">
            <v>0.15245890557665587</v>
          </cell>
          <cell r="AJ90">
            <v>0.27261534833393442</v>
          </cell>
          <cell r="AK90">
            <v>0.20209251980685194</v>
          </cell>
          <cell r="AL90">
            <v>0.27514720709820506</v>
          </cell>
          <cell r="AM90">
            <v>0.19034440694098498</v>
          </cell>
          <cell r="AU90">
            <v>0.2829866609058409</v>
          </cell>
          <cell r="AV90">
            <v>0.10875257116050063</v>
          </cell>
          <cell r="AW90">
            <v>0.18024442353857362</v>
          </cell>
          <cell r="AX90">
            <v>0.25420800017543033</v>
          </cell>
          <cell r="AY90">
            <v>0.20126692098834109</v>
          </cell>
          <cell r="AZ90">
            <v>0.26018029895781547</v>
          </cell>
          <cell r="BA90">
            <v>0.16003641948129577</v>
          </cell>
          <cell r="BB90">
            <v>0.23717838371780608</v>
          </cell>
          <cell r="BC90">
            <v>0.16121895243179551</v>
          </cell>
          <cell r="BD90">
            <v>0.19520788697963276</v>
          </cell>
          <cell r="BE90">
            <v>0.18778742699253614</v>
          </cell>
          <cell r="BF90">
            <v>0.19208187368684482</v>
          </cell>
          <cell r="BG90">
            <v>0.12378468661907327</v>
          </cell>
          <cell r="BH90">
            <v>0.16660649010356732</v>
          </cell>
          <cell r="BI90">
            <v>0.15391360700437251</v>
          </cell>
          <cell r="BJ90">
            <v>0.14235327402470865</v>
          </cell>
          <cell r="BK90">
            <v>0.1477499116505161</v>
          </cell>
          <cell r="BL90">
            <v>0.11371000293290034</v>
          </cell>
          <cell r="BM90">
            <v>0.13485307772133925</v>
          </cell>
          <cell r="BN90">
            <v>0.29150128617294713</v>
          </cell>
          <cell r="BO90">
            <v>0.18703460655178872</v>
          </cell>
          <cell r="BP90">
            <v>0.26441199714761865</v>
          </cell>
          <cell r="BQ90">
            <v>0.32587732119815049</v>
          </cell>
          <cell r="BR90">
            <v>0.29727984077054148</v>
          </cell>
          <cell r="BS90">
            <v>0.13021757634165421</v>
          </cell>
          <cell r="BT90">
            <v>0.23268986886807119</v>
          </cell>
          <cell r="BU90">
            <v>1.3707046142998003E-2</v>
          </cell>
          <cell r="BV90">
            <v>0.15480555086923431</v>
          </cell>
          <cell r="BW90">
            <v>8.5031636458689386E-2</v>
          </cell>
          <cell r="BX90">
            <v>9.3797312910506969E-2</v>
          </cell>
          <cell r="BY90">
            <v>7.8976698178743199E-3</v>
          </cell>
          <cell r="BZ90">
            <v>8.1280518430025595E-2</v>
          </cell>
          <cell r="CA90">
            <v>10.39606348134452</v>
          </cell>
          <cell r="CB90">
            <v>0.26653326873275729</v>
          </cell>
          <cell r="CC90">
            <v>0.16577033235114325</v>
          </cell>
          <cell r="CD90">
            <v>0.10483610841839641</v>
          </cell>
          <cell r="CE90">
            <v>5.660838581947214E-3</v>
          </cell>
          <cell r="CF90">
            <v>8.6206856717119473E-2</v>
          </cell>
          <cell r="CG90">
            <v>8.3838151167699104E-2</v>
          </cell>
          <cell r="CH90">
            <v>12.086050332091691</v>
          </cell>
        </row>
        <row r="92">
          <cell r="A92" t="str">
            <v>Normalized EPS (Pre-converts Interest / Basic)</v>
          </cell>
          <cell r="B92">
            <v>48.980163199537564</v>
          </cell>
          <cell r="C92">
            <v>52.504330603732797</v>
          </cell>
          <cell r="D92">
            <v>38.993345174556225</v>
          </cell>
          <cell r="E92">
            <v>5.5943661599923828</v>
          </cell>
          <cell r="F92">
            <v>5.5943661599923828</v>
          </cell>
          <cell r="G92">
            <v>11.188732319984766</v>
          </cell>
          <cell r="H92">
            <v>3.2074646449919815</v>
          </cell>
          <cell r="I92">
            <v>14.5344653907037</v>
          </cell>
          <cell r="J92">
            <v>-17.960859776817649</v>
          </cell>
          <cell r="K92">
            <v>29.29681225890748</v>
          </cell>
          <cell r="L92">
            <v>6.4906966681090443</v>
          </cell>
          <cell r="M92">
            <v>10.217297452870918</v>
          </cell>
          <cell r="N92">
            <v>16.712289295490564</v>
          </cell>
          <cell r="O92">
            <v>6.7039908125179499</v>
          </cell>
          <cell r="P92">
            <v>23.730033098287535</v>
          </cell>
          <cell r="Q92">
            <v>13.381477388033394</v>
          </cell>
          <cell r="R92">
            <v>41.394903198212909</v>
          </cell>
          <cell r="S92">
            <v>7.7286389008157999</v>
          </cell>
          <cell r="T92">
            <v>11.142857142857142</v>
          </cell>
          <cell r="U92">
            <v>18.873319988561622</v>
          </cell>
          <cell r="V92">
            <v>8.9871611982881596</v>
          </cell>
          <cell r="W92">
            <v>27.861123017573941</v>
          </cell>
          <cell r="X92">
            <v>16.528925619834713</v>
          </cell>
          <cell r="Y92">
            <v>46.973855626962688</v>
          </cell>
          <cell r="Z92">
            <v>9.9559095434504332</v>
          </cell>
          <cell r="AA92">
            <v>14.630681818181818</v>
          </cell>
          <cell r="AB92">
            <v>24.589927145987247</v>
          </cell>
          <cell r="AC92">
            <v>13.480913864055626</v>
          </cell>
          <cell r="AD92">
            <v>38.073589998579344</v>
          </cell>
          <cell r="AE92">
            <v>19.899999999999999</v>
          </cell>
          <cell r="AF92">
            <v>59.827980727110273</v>
          </cell>
          <cell r="AG92">
            <v>11.616376257260235</v>
          </cell>
          <cell r="AH92">
            <v>16.560509554140125</v>
          </cell>
          <cell r="AI92">
            <v>28.177360558132968</v>
          </cell>
          <cell r="AJ92">
            <v>17.382702091577162</v>
          </cell>
          <cell r="AK92">
            <v>45.563888495825665</v>
          </cell>
          <cell r="AL92">
            <v>23.57758012141748</v>
          </cell>
          <cell r="AM92">
            <v>71.015518476611774</v>
          </cell>
          <cell r="AU92">
            <v>14.55007769458963</v>
          </cell>
          <cell r="AV92">
            <v>18.032088598608549</v>
          </cell>
          <cell r="AW92">
            <v>32.574161714357849</v>
          </cell>
          <cell r="AX92">
            <v>20.813098376578328</v>
          </cell>
          <cell r="AY92">
            <v>53.445850914205337</v>
          </cell>
          <cell r="AZ92">
            <v>26.573041442929917</v>
          </cell>
          <cell r="BA92">
            <v>80.855467973493958</v>
          </cell>
          <cell r="BD92">
            <v>-131.12460881999999</v>
          </cell>
          <cell r="BG92">
            <v>-130.87539118000001</v>
          </cell>
          <cell r="BH92">
            <v>91.739099694619512</v>
          </cell>
          <cell r="BI92">
            <v>19.518272425249169</v>
          </cell>
          <cell r="BJ92">
            <v>22.453222453222455</v>
          </cell>
          <cell r="BK92">
            <v>41.969771293003326</v>
          </cell>
          <cell r="BL92">
            <v>26.618605295993348</v>
          </cell>
          <cell r="BM92">
            <v>68.588055978938613</v>
          </cell>
          <cell r="BN92">
            <v>36.593188477935058</v>
          </cell>
          <cell r="BO92">
            <v>105.12373888689386</v>
          </cell>
          <cell r="BP92">
            <v>114.96416238426941</v>
          </cell>
          <cell r="BQ92">
            <v>128.48104156520307</v>
          </cell>
          <cell r="BR92">
            <v>139.28896002156179</v>
          </cell>
          <cell r="BS92">
            <v>150.86002703295068</v>
          </cell>
          <cell r="CD92" t="str">
            <v>mstag:commonDividends</v>
          </cell>
          <cell r="CE92">
            <v>6</v>
          </cell>
          <cell r="CF92" t="str">
            <v>ISO4217:GBP</v>
          </cell>
          <cell r="CG92" t="b">
            <v>1</v>
          </cell>
          <cell r="CH92" t="b">
            <v>0</v>
          </cell>
        </row>
        <row r="93">
          <cell r="A93" t="str">
            <v>Normalized EPS (Pre-converts Interest / Basic)</v>
          </cell>
          <cell r="B93">
            <v>48.980163199537564</v>
          </cell>
          <cell r="C93">
            <v>52.504330603732797</v>
          </cell>
          <cell r="D93">
            <v>38.993345174556225</v>
          </cell>
          <cell r="E93">
            <v>5.5943661599923828</v>
          </cell>
          <cell r="F93">
            <v>5.5943661599923828</v>
          </cell>
          <cell r="G93">
            <v>11.188732319984766</v>
          </cell>
          <cell r="H93">
            <v>3.2074646449919815</v>
          </cell>
          <cell r="I93">
            <v>14.5344653907037</v>
          </cell>
          <cell r="J93">
            <v>-17.960859776817649</v>
          </cell>
          <cell r="K93">
            <v>29.29681225890748</v>
          </cell>
          <cell r="L93">
            <v>6.4906966681090443</v>
          </cell>
          <cell r="M93">
            <v>10.217297452870918</v>
          </cell>
          <cell r="N93">
            <v>16.712289295490564</v>
          </cell>
          <cell r="O93">
            <v>6.7039908125179499</v>
          </cell>
          <cell r="P93">
            <v>23.730033098287535</v>
          </cell>
          <cell r="Q93">
            <v>13.381477388033394</v>
          </cell>
          <cell r="R93">
            <v>41.394903198212909</v>
          </cell>
          <cell r="S93">
            <v>7.7286389008157999</v>
          </cell>
          <cell r="T93">
            <v>11.142857142857142</v>
          </cell>
          <cell r="U93">
            <v>18.873319988561622</v>
          </cell>
          <cell r="V93">
            <v>8.9871611982881596</v>
          </cell>
          <cell r="W93">
            <v>27.861123017573941</v>
          </cell>
          <cell r="X93">
            <v>16.528925619834713</v>
          </cell>
          <cell r="Y93">
            <v>46.973855626962688</v>
          </cell>
          <cell r="Z93">
            <v>9.9559095434504332</v>
          </cell>
          <cell r="AA93">
            <v>14.630681818181818</v>
          </cell>
          <cell r="AB93">
            <v>24.589927145987247</v>
          </cell>
          <cell r="AC93">
            <v>13.480913864055626</v>
          </cell>
          <cell r="AD93">
            <v>38.073589998579344</v>
          </cell>
          <cell r="AE93">
            <v>19.899999999999999</v>
          </cell>
          <cell r="AF93">
            <v>59.827980727110273</v>
          </cell>
          <cell r="AG93">
            <v>11.616376257260235</v>
          </cell>
          <cell r="AH93">
            <v>16.560509554140125</v>
          </cell>
          <cell r="AI93">
            <v>28.177360558132968</v>
          </cell>
          <cell r="AJ93">
            <v>17.382702091577162</v>
          </cell>
          <cell r="AK93">
            <v>45.563888495825665</v>
          </cell>
          <cell r="AL93">
            <v>23.57758012141748</v>
          </cell>
          <cell r="AM93">
            <v>71.015518476611774</v>
          </cell>
          <cell r="AU93">
            <v>14.55007769458963</v>
          </cell>
          <cell r="AV93">
            <v>18.032088598608549</v>
          </cell>
          <cell r="AW93">
            <v>32.574161714357849</v>
          </cell>
          <cell r="AX93">
            <v>20.813098376578328</v>
          </cell>
          <cell r="AY93">
            <v>53.445850914205337</v>
          </cell>
          <cell r="AZ93">
            <v>26.573041442929917</v>
          </cell>
          <cell r="BA93">
            <v>80.855467973493958</v>
          </cell>
          <cell r="BD93">
            <v>18</v>
          </cell>
          <cell r="BG93">
            <v>21</v>
          </cell>
          <cell r="BH93">
            <v>92.014179453823772</v>
          </cell>
          <cell r="BI93">
            <v>19.518272425249169</v>
          </cell>
          <cell r="BJ93">
            <v>22.453222453222455</v>
          </cell>
          <cell r="BK93">
            <v>41.969771293003326</v>
          </cell>
          <cell r="BL93">
            <v>26.618605295993348</v>
          </cell>
          <cell r="BM93">
            <v>68.588055978938613</v>
          </cell>
          <cell r="BN93">
            <v>40.559307206904464</v>
          </cell>
          <cell r="BO93">
            <v>109.06281917091805</v>
          </cell>
          <cell r="BP93">
            <v>24.979067820262348</v>
          </cell>
          <cell r="BQ93">
            <v>30.1381331100879</v>
          </cell>
          <cell r="BR93">
            <v>55.121406642478362</v>
          </cell>
          <cell r="BS93">
            <v>30.474347660952176</v>
          </cell>
          <cell r="BT93">
            <v>85.592718850101363</v>
          </cell>
          <cell r="BU93">
            <v>41.548369297787872</v>
          </cell>
          <cell r="BV93">
            <v>127.22985268112836</v>
          </cell>
          <cell r="BW93">
            <v>138.15853055821944</v>
          </cell>
          <cell r="BX93">
            <v>151.23596789377766</v>
          </cell>
          <cell r="BY93">
            <v>152.43771052242417</v>
          </cell>
          <cell r="BZ93">
            <v>164.92423488156604</v>
          </cell>
          <cell r="CA93">
            <v>188.11428286833024</v>
          </cell>
          <cell r="CC93">
            <v>147.77775338461879</v>
          </cell>
          <cell r="CD93">
            <v>163.414608075681</v>
          </cell>
          <cell r="CE93">
            <v>164.35555227637678</v>
          </cell>
          <cell r="CF93">
            <v>178.64067437052913</v>
          </cell>
          <cell r="CG93">
            <v>193.72875832649598</v>
          </cell>
        </row>
        <row r="94">
          <cell r="A94" t="str">
            <v>Normalized EPS growth</v>
          </cell>
          <cell r="B94">
            <v>0.22</v>
          </cell>
          <cell r="C94">
            <v>7.1950911838295051E-2</v>
          </cell>
          <cell r="D94">
            <v>-0.25733087678325728</v>
          </cell>
          <cell r="E94">
            <v>0</v>
          </cell>
          <cell r="F94">
            <v>0</v>
          </cell>
          <cell r="G94">
            <v>0</v>
          </cell>
          <cell r="H94">
            <v>0</v>
          </cell>
          <cell r="I94">
            <v>0</v>
          </cell>
          <cell r="J94">
            <v>0</v>
          </cell>
          <cell r="K94">
            <v>-0.24867148156285623</v>
          </cell>
          <cell r="L94">
            <v>0</v>
          </cell>
          <cell r="M94">
            <v>0</v>
          </cell>
          <cell r="N94">
            <v>0</v>
          </cell>
          <cell r="O94">
            <v>0</v>
          </cell>
          <cell r="P94">
            <v>0</v>
          </cell>
          <cell r="Q94">
            <v>0</v>
          </cell>
          <cell r="R94">
            <v>0.41294905508455426</v>
          </cell>
          <cell r="S94">
            <v>0</v>
          </cell>
          <cell r="T94">
            <v>0</v>
          </cell>
          <cell r="U94">
            <v>0</v>
          </cell>
          <cell r="V94">
            <v>0</v>
          </cell>
          <cell r="W94">
            <v>0</v>
          </cell>
          <cell r="X94">
            <v>0</v>
          </cell>
          <cell r="Y94">
            <v>0.13477389721231758</v>
          </cell>
          <cell r="Z94">
            <v>0</v>
          </cell>
          <cell r="AA94">
            <v>0.127</v>
          </cell>
          <cell r="AB94">
            <v>0.127</v>
          </cell>
          <cell r="AC94">
            <v>0</v>
          </cell>
          <cell r="AD94">
            <v>0</v>
          </cell>
          <cell r="AE94">
            <v>0.20394999999999985</v>
          </cell>
          <cell r="AF94">
            <v>0.27364424164426904</v>
          </cell>
          <cell r="AG94">
            <v>0.16678202092566741</v>
          </cell>
          <cell r="AH94">
            <v>0.13190278894316965</v>
          </cell>
          <cell r="AI94">
            <v>0.14589036359675189</v>
          </cell>
          <cell r="AJ94">
            <v>0.28943054357204478</v>
          </cell>
          <cell r="AK94">
            <v>0.19673213105267484</v>
          </cell>
          <cell r="AL94">
            <v>0.18480302117675795</v>
          </cell>
          <cell r="AM94">
            <v>0.18699507510591973</v>
          </cell>
          <cell r="AU94">
            <v>0.25254876153790495</v>
          </cell>
          <cell r="AV94">
            <v>8.8860734608285696E-2</v>
          </cell>
          <cell r="AW94">
            <v>0.1560402063619053</v>
          </cell>
          <cell r="AX94">
            <v>0.19734539928998585</v>
          </cell>
          <cell r="AY94">
            <v>0.17298704475369298</v>
          </cell>
          <cell r="AZ94">
            <v>0.12704702119923716</v>
          </cell>
          <cell r="BA94">
            <v>0.13856055279132917</v>
          </cell>
          <cell r="BD94">
            <v>0.18</v>
          </cell>
          <cell r="BG94">
            <v>0.21</v>
          </cell>
          <cell r="BH94">
            <v>0.1380081243730833</v>
          </cell>
          <cell r="BO94">
            <v>0.18528274466273897</v>
          </cell>
          <cell r="BP94">
            <v>0.27977862364237738</v>
          </cell>
          <cell r="BQ94">
            <v>0.34226315055113687</v>
          </cell>
          <cell r="BR94">
            <v>0.31335970972201865</v>
          </cell>
          <cell r="BS94">
            <v>0.14485140457525025</v>
          </cell>
          <cell r="BT94">
            <v>0.2479245493761244</v>
          </cell>
          <cell r="BU94">
            <v>2.4385576554301736E-2</v>
          </cell>
          <cell r="BV94">
            <v>0.16657403181316832</v>
          </cell>
          <cell r="BW94">
            <v>8.5897119636546559E-2</v>
          </cell>
          <cell r="BX94">
            <v>9.4655301288453009E-2</v>
          </cell>
          <cell r="BY94">
            <v>7.9461430067386818E-3</v>
          </cell>
          <cell r="BZ94">
            <v>8.1912305795914353E-2</v>
          </cell>
          <cell r="CA94">
            <v>8.4636229318286738E-2</v>
          </cell>
          <cell r="CC94">
            <v>0.1675897924142804</v>
          </cell>
          <cell r="CD94" t="str">
            <v>mstag:dividendsPerShare</v>
          </cell>
          <cell r="CE94">
            <v>0</v>
          </cell>
          <cell r="CF94" t="str">
            <v>ISO4217:GBP</v>
          </cell>
          <cell r="CG94" t="b">
            <v>0</v>
          </cell>
          <cell r="CH94" t="b">
            <v>0</v>
          </cell>
        </row>
        <row r="95">
          <cell r="A95" t="str">
            <v>DPS growth</v>
          </cell>
          <cell r="AI95">
            <v>0.10236220472440949</v>
          </cell>
          <cell r="AM95">
            <v>9.8039215686274606E-2</v>
          </cell>
          <cell r="AW95">
            <v>0.14285714285714279</v>
          </cell>
          <cell r="BA95">
            <v>0.21428571428571419</v>
          </cell>
          <cell r="BD95">
            <v>0.125</v>
          </cell>
          <cell r="BG95">
            <v>0.16666666666666674</v>
          </cell>
          <cell r="BH95">
            <v>0.14705882352941169</v>
          </cell>
          <cell r="BO95">
            <v>0.12740429065841197</v>
          </cell>
          <cell r="BP95">
            <v>0.14870075414795203</v>
          </cell>
          <cell r="BQ95">
            <v>0.1124548941086527</v>
          </cell>
          <cell r="BR95">
            <v>9.3376927447905669E-2</v>
          </cell>
          <cell r="BS95">
            <v>9.2540596744146164E-2</v>
          </cell>
        </row>
        <row r="96">
          <cell r="A96" t="str">
            <v>Ordinary dividends</v>
          </cell>
          <cell r="B96">
            <v>-96.2</v>
          </cell>
          <cell r="C96">
            <v>-97.6</v>
          </cell>
          <cell r="D96">
            <v>-126.5</v>
          </cell>
          <cell r="E96">
            <v>0</v>
          </cell>
          <cell r="F96">
            <v>-65</v>
          </cell>
          <cell r="G96">
            <v>-65</v>
          </cell>
          <cell r="H96">
            <v>0</v>
          </cell>
          <cell r="I96">
            <v>-65</v>
          </cell>
          <cell r="J96">
            <v>-88</v>
          </cell>
          <cell r="K96">
            <v>-153</v>
          </cell>
          <cell r="L96">
            <v>0</v>
          </cell>
          <cell r="M96">
            <v>-88</v>
          </cell>
          <cell r="N96">
            <v>-88.150700000000001</v>
          </cell>
          <cell r="O96">
            <v>0</v>
          </cell>
          <cell r="P96">
            <v>-88</v>
          </cell>
          <cell r="Q96">
            <v>-88</v>
          </cell>
          <cell r="R96">
            <v>-178</v>
          </cell>
          <cell r="S96">
            <v>0</v>
          </cell>
          <cell r="T96">
            <v>-89</v>
          </cell>
          <cell r="U96">
            <v>-89</v>
          </cell>
          <cell r="V96">
            <v>0</v>
          </cell>
          <cell r="W96">
            <v>-89</v>
          </cell>
          <cell r="X96">
            <v>-90</v>
          </cell>
          <cell r="Y96">
            <v>-179</v>
          </cell>
          <cell r="Z96">
            <v>0</v>
          </cell>
          <cell r="AA96">
            <v>-90</v>
          </cell>
          <cell r="AB96">
            <v>-90</v>
          </cell>
          <cell r="AC96">
            <v>0</v>
          </cell>
          <cell r="AD96">
            <v>-90</v>
          </cell>
          <cell r="AE96">
            <v>-91</v>
          </cell>
          <cell r="AF96">
            <v>-181</v>
          </cell>
          <cell r="AH96">
            <v>-99</v>
          </cell>
          <cell r="AI96">
            <v>-99</v>
          </cell>
          <cell r="AK96">
            <v>-99</v>
          </cell>
          <cell r="AL96">
            <v>-99</v>
          </cell>
          <cell r="AM96">
            <v>-198</v>
          </cell>
          <cell r="AV96">
            <v>-99</v>
          </cell>
          <cell r="AW96">
            <v>-99</v>
          </cell>
          <cell r="AX96">
            <v>-117</v>
          </cell>
          <cell r="BA96">
            <v>-216</v>
          </cell>
          <cell r="BD96">
            <v>-131.12460881999999</v>
          </cell>
          <cell r="BG96">
            <v>-130.87539118000001</v>
          </cell>
          <cell r="BH96">
            <v>-262</v>
          </cell>
          <cell r="BK96">
            <v>-147.8665</v>
          </cell>
          <cell r="BN96">
            <v>-173.6670243350849</v>
          </cell>
          <cell r="BO96">
            <v>-321.53352433508491</v>
          </cell>
          <cell r="BP96">
            <v>-349.17457011690198</v>
          </cell>
          <cell r="BQ96">
            <v>-387.55223044110454</v>
          </cell>
          <cell r="BR96">
            <v>-417.31209643248047</v>
          </cell>
          <cell r="BS96">
            <v>-448.96579548188731</v>
          </cell>
          <cell r="CD96" t="str">
            <v>mstag:commonDividends</v>
          </cell>
          <cell r="CE96">
            <v>6</v>
          </cell>
          <cell r="CF96" t="str">
            <v>ISO4217:GBP</v>
          </cell>
          <cell r="CG96" t="b">
            <v>1</v>
          </cell>
          <cell r="CH96" t="b">
            <v>0</v>
          </cell>
        </row>
        <row r="97">
          <cell r="A97" t="str">
            <v>Ordinary dividends</v>
          </cell>
          <cell r="B97">
            <v>-96.2</v>
          </cell>
          <cell r="C97">
            <v>-97.6</v>
          </cell>
          <cell r="D97">
            <v>-126.5</v>
          </cell>
          <cell r="E97">
            <v>0</v>
          </cell>
          <cell r="F97">
            <v>-65</v>
          </cell>
          <cell r="G97">
            <v>-65</v>
          </cell>
          <cell r="H97">
            <v>0</v>
          </cell>
          <cell r="I97">
            <v>-65</v>
          </cell>
          <cell r="J97">
            <v>-88</v>
          </cell>
          <cell r="K97">
            <v>-153</v>
          </cell>
          <cell r="L97">
            <v>0</v>
          </cell>
          <cell r="M97">
            <v>-88</v>
          </cell>
          <cell r="N97">
            <v>-88.150700000000001</v>
          </cell>
          <cell r="O97">
            <v>0</v>
          </cell>
          <cell r="P97">
            <v>-88</v>
          </cell>
          <cell r="Q97">
            <v>-88</v>
          </cell>
          <cell r="R97">
            <v>-178</v>
          </cell>
          <cell r="S97">
            <v>0</v>
          </cell>
          <cell r="T97">
            <v>-89</v>
          </cell>
          <cell r="U97">
            <v>-89</v>
          </cell>
          <cell r="V97">
            <v>0</v>
          </cell>
          <cell r="W97">
            <v>-89</v>
          </cell>
          <cell r="X97">
            <v>-90</v>
          </cell>
          <cell r="Y97">
            <v>-179</v>
          </cell>
          <cell r="Z97">
            <v>0</v>
          </cell>
          <cell r="AA97">
            <v>-90</v>
          </cell>
          <cell r="AB97">
            <v>-90</v>
          </cell>
          <cell r="AC97">
            <v>0</v>
          </cell>
          <cell r="AD97">
            <v>-90</v>
          </cell>
          <cell r="AE97">
            <v>-91</v>
          </cell>
          <cell r="AF97">
            <v>-181</v>
          </cell>
          <cell r="AG97">
            <v>82</v>
          </cell>
          <cell r="AH97">
            <v>-99</v>
          </cell>
          <cell r="AI97">
            <v>-99</v>
          </cell>
          <cell r="AJ97">
            <v>123</v>
          </cell>
          <cell r="AK97">
            <v>-99</v>
          </cell>
          <cell r="AL97">
            <v>-99</v>
          </cell>
          <cell r="AM97">
            <v>-198</v>
          </cell>
          <cell r="AU97">
            <v>103</v>
          </cell>
          <cell r="AV97">
            <v>-99</v>
          </cell>
          <cell r="AW97">
            <v>-99</v>
          </cell>
          <cell r="AX97">
            <v>-117</v>
          </cell>
          <cell r="AY97">
            <v>380</v>
          </cell>
          <cell r="AZ97">
            <v>18</v>
          </cell>
          <cell r="BA97">
            <v>-216</v>
          </cell>
          <cell r="BD97">
            <v>-131.12460881999999</v>
          </cell>
          <cell r="BG97">
            <v>-130.87539118000001</v>
          </cell>
          <cell r="BH97">
            <v>-262</v>
          </cell>
          <cell r="BK97">
            <v>-147.8665</v>
          </cell>
          <cell r="BN97">
            <v>-152.1335</v>
          </cell>
          <cell r="BO97">
            <v>-300</v>
          </cell>
          <cell r="BP97">
            <v>49.023140765289</v>
          </cell>
          <cell r="BQ97">
            <v>54.77999678308079</v>
          </cell>
          <cell r="BR97">
            <v>59.380571512928014</v>
          </cell>
          <cell r="BS97">
            <v>64.305335978552492</v>
          </cell>
          <cell r="BV97">
            <v>-376.07850118494855</v>
          </cell>
          <cell r="BW97">
            <v>-408.09321613797823</v>
          </cell>
          <cell r="BX97">
            <v>-446.90390205080121</v>
          </cell>
          <cell r="BY97">
            <v>-451.1049601438491</v>
          </cell>
          <cell r="BZ97">
            <v>-489.22592938754707</v>
          </cell>
          <cell r="CA97">
            <v>-574.52809287205719</v>
          </cell>
          <cell r="CC97">
            <v>-455.07107280578481</v>
          </cell>
          <cell r="CD97">
            <v>-501.45746645642396</v>
          </cell>
          <cell r="CE97">
            <v>-503.08516132674521</v>
          </cell>
          <cell r="CF97">
            <v>-545.96207595977921</v>
          </cell>
          <cell r="CG97">
            <v>-591.67550894420481</v>
          </cell>
          <cell r="CK97" t="str">
            <v>mstag:commonDividends</v>
          </cell>
          <cell r="CL97">
            <v>6</v>
          </cell>
          <cell r="CM97" t="str">
            <v>ISO4217:GBP</v>
          </cell>
          <cell r="CN97" t="b">
            <v>1</v>
          </cell>
          <cell r="CO97" t="b">
            <v>0</v>
          </cell>
          <cell r="CP97" t="b">
            <v>0</v>
          </cell>
          <cell r="CR97" t="str">
            <v>mstag:commonDividends</v>
          </cell>
          <cell r="CS97">
            <v>6</v>
          </cell>
          <cell r="CT97" t="str">
            <v>ISO4217:GBP</v>
          </cell>
          <cell r="CU97" t="b">
            <v>1</v>
          </cell>
          <cell r="CV97" t="b">
            <v>0</v>
          </cell>
        </row>
        <row r="98">
          <cell r="A98" t="str">
            <v>DPS (p)</v>
          </cell>
          <cell r="B98">
            <v>22</v>
          </cell>
          <cell r="C98">
            <v>24</v>
          </cell>
          <cell r="D98">
            <v>25.5</v>
          </cell>
          <cell r="E98">
            <v>0</v>
          </cell>
          <cell r="F98">
            <v>0</v>
          </cell>
          <cell r="G98">
            <v>0</v>
          </cell>
          <cell r="H98">
            <v>0</v>
          </cell>
          <cell r="I98">
            <v>0</v>
          </cell>
          <cell r="J98">
            <v>0</v>
          </cell>
          <cell r="K98">
            <v>25.5</v>
          </cell>
          <cell r="L98">
            <v>0</v>
          </cell>
          <cell r="M98">
            <v>0</v>
          </cell>
          <cell r="N98">
            <v>0</v>
          </cell>
          <cell r="O98">
            <v>0</v>
          </cell>
          <cell r="P98">
            <v>0</v>
          </cell>
          <cell r="Q98">
            <v>0</v>
          </cell>
          <cell r="R98">
            <v>25.584349893339919</v>
          </cell>
          <cell r="S98">
            <v>0</v>
          </cell>
          <cell r="T98">
            <v>0</v>
          </cell>
          <cell r="U98">
            <v>0</v>
          </cell>
          <cell r="V98">
            <v>0</v>
          </cell>
          <cell r="W98">
            <v>0</v>
          </cell>
          <cell r="X98">
            <v>0</v>
          </cell>
          <cell r="Y98">
            <v>25.557204125307965</v>
          </cell>
          <cell r="Z98">
            <v>0</v>
          </cell>
          <cell r="AA98">
            <v>12.7</v>
          </cell>
          <cell r="AB98">
            <v>12.7</v>
          </cell>
          <cell r="AC98">
            <v>0</v>
          </cell>
          <cell r="AD98">
            <v>0</v>
          </cell>
          <cell r="AE98">
            <v>12.8</v>
          </cell>
          <cell r="AF98">
            <v>25.5</v>
          </cell>
          <cell r="AG98">
            <v>0</v>
          </cell>
          <cell r="AH98">
            <v>14</v>
          </cell>
          <cell r="AI98">
            <v>14</v>
          </cell>
          <cell r="AJ98">
            <v>0</v>
          </cell>
          <cell r="AK98">
            <v>14</v>
          </cell>
          <cell r="AL98">
            <v>0</v>
          </cell>
          <cell r="AM98">
            <v>28</v>
          </cell>
          <cell r="AU98">
            <v>0</v>
          </cell>
          <cell r="AV98">
            <v>16</v>
          </cell>
          <cell r="AW98">
            <v>16</v>
          </cell>
          <cell r="AX98">
            <v>0</v>
          </cell>
          <cell r="AY98">
            <v>0</v>
          </cell>
          <cell r="AZ98">
            <v>18</v>
          </cell>
          <cell r="BA98">
            <v>34</v>
          </cell>
          <cell r="BD98">
            <v>18</v>
          </cell>
          <cell r="BG98">
            <v>21</v>
          </cell>
          <cell r="BH98">
            <v>39</v>
          </cell>
          <cell r="BK98">
            <v>20.5</v>
          </cell>
          <cell r="BO98">
            <v>45.5</v>
          </cell>
          <cell r="BP98">
            <v>0.49023140765288997</v>
          </cell>
          <cell r="BQ98">
            <v>0.54779996783080787</v>
          </cell>
          <cell r="BR98">
            <v>25</v>
          </cell>
          <cell r="BS98">
            <v>0.64305335978552491</v>
          </cell>
          <cell r="BV98">
            <v>52.62487501923821</v>
          </cell>
          <cell r="BW98">
            <v>57.143267556395195</v>
          </cell>
          <cell r="BX98">
            <v>62.551959977356709</v>
          </cell>
          <cell r="BY98">
            <v>63.050554136894171</v>
          </cell>
          <cell r="BZ98">
            <v>68.218607973421427</v>
          </cell>
          <cell r="CA98">
            <v>81.708703692872504</v>
          </cell>
          <cell r="CC98">
            <v>64.204555202932625</v>
          </cell>
          <cell r="CD98" t="str">
            <v>mstag:dividendsPerShare</v>
          </cell>
          <cell r="CE98">
            <v>0</v>
          </cell>
          <cell r="CF98" t="str">
            <v>ISO4217:GBP</v>
          </cell>
          <cell r="CG98" t="b">
            <v>0</v>
          </cell>
          <cell r="CH98" t="b">
            <v>0</v>
          </cell>
        </row>
        <row r="99">
          <cell r="A99" t="str">
            <v>DPS (£)</v>
          </cell>
          <cell r="B99">
            <v>0.22</v>
          </cell>
          <cell r="C99">
            <v>0.24</v>
          </cell>
          <cell r="D99">
            <v>0.255</v>
          </cell>
          <cell r="E99">
            <v>0</v>
          </cell>
          <cell r="F99">
            <v>0</v>
          </cell>
          <cell r="G99">
            <v>0</v>
          </cell>
          <cell r="H99">
            <v>0</v>
          </cell>
          <cell r="I99">
            <v>0</v>
          </cell>
          <cell r="J99">
            <v>0</v>
          </cell>
          <cell r="K99">
            <v>0.255</v>
          </cell>
          <cell r="L99">
            <v>0</v>
          </cell>
          <cell r="M99">
            <v>0</v>
          </cell>
          <cell r="N99">
            <v>0</v>
          </cell>
          <cell r="O99">
            <v>0</v>
          </cell>
          <cell r="P99">
            <v>0</v>
          </cell>
          <cell r="Q99">
            <v>0</v>
          </cell>
          <cell r="R99">
            <v>0.25584349893339919</v>
          </cell>
          <cell r="S99">
            <v>0</v>
          </cell>
          <cell r="T99">
            <v>0</v>
          </cell>
          <cell r="U99">
            <v>0</v>
          </cell>
          <cell r="V99">
            <v>0</v>
          </cell>
          <cell r="W99">
            <v>0</v>
          </cell>
          <cell r="X99">
            <v>0</v>
          </cell>
          <cell r="Y99">
            <v>0.25557204125307964</v>
          </cell>
          <cell r="Z99">
            <v>0</v>
          </cell>
          <cell r="AA99">
            <v>0.127</v>
          </cell>
          <cell r="AB99">
            <v>0.127</v>
          </cell>
          <cell r="AC99">
            <v>0</v>
          </cell>
          <cell r="AD99">
            <v>0</v>
          </cell>
          <cell r="AE99">
            <v>0.128</v>
          </cell>
          <cell r="AF99">
            <v>0.255</v>
          </cell>
          <cell r="AG99">
            <v>0</v>
          </cell>
          <cell r="AH99">
            <v>0.14000000000000001</v>
          </cell>
          <cell r="AI99">
            <v>0.14000000000000001</v>
          </cell>
          <cell r="AJ99">
            <v>0</v>
          </cell>
          <cell r="AK99">
            <v>0.14000000000000001</v>
          </cell>
          <cell r="AL99">
            <v>0</v>
          </cell>
          <cell r="AM99">
            <v>0.28000000000000003</v>
          </cell>
          <cell r="AU99">
            <v>0</v>
          </cell>
          <cell r="AV99">
            <v>0.16</v>
          </cell>
          <cell r="AW99">
            <v>0.16</v>
          </cell>
          <cell r="AX99">
            <v>0</v>
          </cell>
          <cell r="AY99">
            <v>0</v>
          </cell>
          <cell r="AZ99">
            <v>0.18</v>
          </cell>
          <cell r="BA99">
            <v>0.34</v>
          </cell>
          <cell r="BD99">
            <v>0.18</v>
          </cell>
          <cell r="BG99">
            <v>0.21</v>
          </cell>
          <cell r="BH99">
            <v>0.39</v>
          </cell>
          <cell r="BK99">
            <v>0.20499999999999999</v>
          </cell>
          <cell r="BO99">
            <v>0.45500000000000002</v>
          </cell>
          <cell r="BP99">
            <v>9.3431283457985653E-2</v>
          </cell>
          <cell r="BQ99">
            <v>0.11743139929271834</v>
          </cell>
          <cell r="BR99">
            <v>0.25</v>
          </cell>
          <cell r="BS99">
            <v>8.2935619178947859E-2</v>
          </cell>
          <cell r="BV99">
            <v>0.52624875019238215</v>
          </cell>
          <cell r="BW99">
            <v>0.57143267556395194</v>
          </cell>
          <cell r="BX99">
            <v>0.62551959977356708</v>
          </cell>
          <cell r="BY99">
            <v>0.63050554136894166</v>
          </cell>
          <cell r="BZ99">
            <v>0.6821860797342143</v>
          </cell>
          <cell r="CA99">
            <v>0.81708703692872509</v>
          </cell>
          <cell r="CC99">
            <v>0.64204555202932623</v>
          </cell>
          <cell r="CD99">
            <v>0.70991097086120802</v>
          </cell>
          <cell r="CE99">
            <v>0.71394519150805535</v>
          </cell>
          <cell r="CF99">
            <v>0.775959247833236</v>
          </cell>
          <cell r="CG99">
            <v>0.84147388861309547</v>
          </cell>
          <cell r="CK99" t="str">
            <v>mstag:dividendsPerShare</v>
          </cell>
          <cell r="CL99">
            <v>0</v>
          </cell>
          <cell r="CM99" t="str">
            <v>ISO4217:GBP</v>
          </cell>
          <cell r="CN99" t="b">
            <v>0</v>
          </cell>
          <cell r="CO99" t="b">
            <v>0</v>
          </cell>
          <cell r="CP99" t="b">
            <v>0</v>
          </cell>
          <cell r="CR99" t="str">
            <v>mstag:dividendsPerShare</v>
          </cell>
          <cell r="CS99">
            <v>0</v>
          </cell>
          <cell r="CT99" t="str">
            <v>ISO4217:GBP</v>
          </cell>
          <cell r="CU99" t="b">
            <v>0</v>
          </cell>
          <cell r="CV99" t="b">
            <v>0</v>
          </cell>
        </row>
        <row r="100">
          <cell r="A100" t="str">
            <v>DPS growth %</v>
          </cell>
          <cell r="B100">
            <v>0.44916142705314033</v>
          </cell>
          <cell r="C100">
            <v>0.45710515159474713</v>
          </cell>
          <cell r="D100">
            <v>0.65395774293915043</v>
          </cell>
          <cell r="E100">
            <v>0</v>
          </cell>
          <cell r="F100">
            <v>0</v>
          </cell>
          <cell r="G100">
            <v>0</v>
          </cell>
          <cell r="H100">
            <v>0</v>
          </cell>
          <cell r="I100">
            <v>0</v>
          </cell>
          <cell r="J100">
            <v>0</v>
          </cell>
          <cell r="K100">
            <v>0.87040186402010045</v>
          </cell>
          <cell r="R100">
            <v>0.61805555555555547</v>
          </cell>
          <cell r="Y100">
            <v>0.54407294832826747</v>
          </cell>
          <cell r="AF100">
            <v>0.42622197323208344</v>
          </cell>
          <cell r="AI100">
            <v>0.10236220472440949</v>
          </cell>
          <cell r="AM100">
            <v>9.8039215686274606E-2</v>
          </cell>
          <cell r="AW100">
            <v>0.14285714285714279</v>
          </cell>
          <cell r="BA100">
            <v>0.21428571428571419</v>
          </cell>
          <cell r="BD100">
            <v>0.125</v>
          </cell>
          <cell r="BG100">
            <v>0.16666666666666674</v>
          </cell>
          <cell r="BH100">
            <v>0.14705882352941169</v>
          </cell>
          <cell r="BO100">
            <v>0.16666666666666666</v>
          </cell>
          <cell r="BP100">
            <v>0.43458729553223391</v>
          </cell>
          <cell r="BQ100">
            <v>0.43458729553223391</v>
          </cell>
          <cell r="BR100">
            <v>0.21951219512195122</v>
          </cell>
          <cell r="BS100">
            <v>0.43458729553223391</v>
          </cell>
          <cell r="BV100">
            <v>0.15659065976347716</v>
          </cell>
          <cell r="BW100">
            <v>8.586039464236607E-2</v>
          </cell>
          <cell r="BX100">
            <v>9.4651437557777537E-2</v>
          </cell>
          <cell r="BY100">
            <v>7.9708798847861542E-3</v>
          </cell>
          <cell r="BZ100">
            <v>8.1966826577074575E-2</v>
          </cell>
          <cell r="CA100">
            <v>8.4606223511149381E-2</v>
          </cell>
          <cell r="CC100">
            <v>0.16735554914422954</v>
          </cell>
          <cell r="CD100">
            <v>0.10570187522891202</v>
          </cell>
          <cell r="CE100">
            <v>5.6827134844152812E-3</v>
          </cell>
          <cell r="CF100">
            <v>8.6861088305937431E-2</v>
          </cell>
          <cell r="CG100">
            <v>8.4430517405135075E-2</v>
          </cell>
        </row>
        <row r="101">
          <cell r="A101" t="str">
            <v>Payout Ratio %</v>
          </cell>
          <cell r="B101">
            <v>0.44916142705314033</v>
          </cell>
          <cell r="C101">
            <v>0.45710515159474713</v>
          </cell>
          <cell r="D101">
            <v>0.65395774293915043</v>
          </cell>
          <cell r="E101">
            <v>0</v>
          </cell>
          <cell r="F101">
            <v>0</v>
          </cell>
          <cell r="G101">
            <v>0</v>
          </cell>
          <cell r="H101">
            <v>0</v>
          </cell>
          <cell r="I101">
            <v>0</v>
          </cell>
          <cell r="J101">
            <v>0</v>
          </cell>
          <cell r="K101">
            <v>0.87040186402010045</v>
          </cell>
          <cell r="L101">
            <v>46</v>
          </cell>
          <cell r="M101">
            <v>-14</v>
          </cell>
          <cell r="N101">
            <v>29.849299999999999</v>
          </cell>
          <cell r="O101">
            <v>86.700000000000045</v>
          </cell>
          <cell r="P101">
            <v>116.90000000000009</v>
          </cell>
          <cell r="Q101">
            <v>21.099999999999909</v>
          </cell>
          <cell r="R101">
            <v>0.61805555555555547</v>
          </cell>
          <cell r="S101">
            <v>54</v>
          </cell>
          <cell r="T101">
            <v>12</v>
          </cell>
          <cell r="U101">
            <v>66</v>
          </cell>
          <cell r="V101">
            <v>68</v>
          </cell>
          <cell r="W101">
            <v>134</v>
          </cell>
          <cell r="X101">
            <v>19</v>
          </cell>
          <cell r="Y101">
            <v>0.54407294832826747</v>
          </cell>
          <cell r="Z101">
            <v>70</v>
          </cell>
          <cell r="AA101">
            <v>13</v>
          </cell>
          <cell r="AB101">
            <v>83</v>
          </cell>
          <cell r="AC101">
            <v>95</v>
          </cell>
          <cell r="AD101">
            <v>178</v>
          </cell>
          <cell r="AE101">
            <v>32</v>
          </cell>
          <cell r="AF101">
            <v>0.42622197323208344</v>
          </cell>
          <cell r="AG101">
            <v>82</v>
          </cell>
          <cell r="AH101">
            <v>18</v>
          </cell>
          <cell r="AI101">
            <v>0.49685278261306531</v>
          </cell>
          <cell r="AJ101">
            <v>123</v>
          </cell>
          <cell r="AK101">
            <v>223</v>
          </cell>
          <cell r="AL101">
            <v>68</v>
          </cell>
          <cell r="AM101">
            <v>0.42284362366533873</v>
          </cell>
          <cell r="AU101">
            <v>103</v>
          </cell>
          <cell r="AV101">
            <v>28</v>
          </cell>
          <cell r="AW101">
            <v>0.50632911392405056</v>
          </cell>
          <cell r="AX101">
            <v>33</v>
          </cell>
          <cell r="AY101">
            <v>380</v>
          </cell>
          <cell r="AZ101">
            <v>193</v>
          </cell>
          <cell r="BA101">
            <v>0.44384980941176466</v>
          </cell>
          <cell r="BD101">
            <v>0.50225373134328366</v>
          </cell>
          <cell r="BH101">
            <v>0.43328808089686099</v>
          </cell>
          <cell r="BO101">
            <v>0.42501196651399487</v>
          </cell>
          <cell r="BP101">
            <v>472.4890845402719</v>
          </cell>
          <cell r="BQ101">
            <v>524.49301125241163</v>
          </cell>
          <cell r="BR101">
            <v>564.84627293345534</v>
          </cell>
          <cell r="BS101">
            <v>607.77370566446041</v>
          </cell>
          <cell r="BV101">
            <v>0.42501196651399487</v>
          </cell>
          <cell r="BW101">
            <v>0.42501196651399487</v>
          </cell>
          <cell r="BX101">
            <v>0.42501196651399487</v>
          </cell>
          <cell r="BY101">
            <v>0.42501196651399487</v>
          </cell>
          <cell r="BZ101">
            <v>0.42501196651399487</v>
          </cell>
          <cell r="CA101">
            <v>0.44583425414364641</v>
          </cell>
          <cell r="CC101">
            <v>0.44583425414364641</v>
          </cell>
          <cell r="CD101">
            <v>0.44583425414364641</v>
          </cell>
          <cell r="CE101">
            <v>0.44583425414364641</v>
          </cell>
          <cell r="CF101">
            <v>0.44583425414364641</v>
          </cell>
          <cell r="CG101">
            <v>0.44583425414364641</v>
          </cell>
        </row>
        <row r="102">
          <cell r="A102" t="str">
            <v xml:space="preserve">Retained Profit / Loss </v>
          </cell>
          <cell r="B102">
            <v>149.09999999999985</v>
          </cell>
          <cell r="C102">
            <v>118.79999999999978</v>
          </cell>
          <cell r="D102">
            <v>120.79999999999998</v>
          </cell>
          <cell r="E102">
            <v>38</v>
          </cell>
          <cell r="F102">
            <v>-30</v>
          </cell>
          <cell r="G102">
            <v>8</v>
          </cell>
          <cell r="H102">
            <v>21</v>
          </cell>
          <cell r="I102">
            <v>33</v>
          </cell>
          <cell r="J102">
            <v>-223</v>
          </cell>
          <cell r="K102">
            <v>-190</v>
          </cell>
          <cell r="L102">
            <v>46</v>
          </cell>
          <cell r="M102">
            <v>-14</v>
          </cell>
          <cell r="N102">
            <v>29.849299999999999</v>
          </cell>
          <cell r="O102">
            <v>86.700000000000045</v>
          </cell>
          <cell r="P102">
            <v>116.90000000000009</v>
          </cell>
          <cell r="Q102">
            <v>21.099999999999909</v>
          </cell>
          <cell r="R102">
            <v>136</v>
          </cell>
          <cell r="S102">
            <v>54</v>
          </cell>
          <cell r="T102">
            <v>12</v>
          </cell>
          <cell r="U102">
            <v>66</v>
          </cell>
          <cell r="V102">
            <v>68</v>
          </cell>
          <cell r="W102">
            <v>134</v>
          </cell>
          <cell r="X102">
            <v>19</v>
          </cell>
          <cell r="Y102">
            <v>153</v>
          </cell>
          <cell r="Z102">
            <v>70</v>
          </cell>
          <cell r="AA102">
            <v>13</v>
          </cell>
          <cell r="AB102">
            <v>83</v>
          </cell>
          <cell r="AC102">
            <v>95</v>
          </cell>
          <cell r="AD102">
            <v>178</v>
          </cell>
          <cell r="AE102">
            <v>32</v>
          </cell>
          <cell r="AF102">
            <v>227.40000000000009</v>
          </cell>
          <cell r="AG102">
            <v>82</v>
          </cell>
          <cell r="AH102">
            <v>18</v>
          </cell>
          <cell r="AI102">
            <v>100</v>
          </cell>
          <cell r="AJ102">
            <v>123</v>
          </cell>
          <cell r="AK102">
            <v>223</v>
          </cell>
          <cell r="AL102">
            <v>68</v>
          </cell>
          <cell r="AM102">
            <v>291</v>
          </cell>
          <cell r="AU102">
            <v>103</v>
          </cell>
          <cell r="AV102">
            <v>28</v>
          </cell>
          <cell r="AW102">
            <v>131</v>
          </cell>
          <cell r="AX102">
            <v>33</v>
          </cell>
          <cell r="AY102">
            <v>380</v>
          </cell>
          <cell r="AZ102">
            <v>193</v>
          </cell>
          <cell r="BA102">
            <v>357</v>
          </cell>
          <cell r="BB102">
            <v>0</v>
          </cell>
          <cell r="BC102">
            <v>0</v>
          </cell>
          <cell r="BD102">
            <v>0</v>
          </cell>
          <cell r="BE102">
            <v>0</v>
          </cell>
          <cell r="BF102">
            <v>0</v>
          </cell>
          <cell r="BG102">
            <v>0</v>
          </cell>
          <cell r="BH102">
            <v>407</v>
          </cell>
          <cell r="BO102">
            <v>374</v>
          </cell>
          <cell r="BP102">
            <v>0</v>
          </cell>
          <cell r="BQ102">
            <v>0</v>
          </cell>
          <cell r="BR102">
            <v>0</v>
          </cell>
          <cell r="BS102">
            <v>0</v>
          </cell>
          <cell r="BV102">
            <v>533.99734325733505</v>
          </cell>
          <cell r="BW102">
            <v>578.91006773399431</v>
          </cell>
          <cell r="BX102">
            <v>633.38238672909051</v>
          </cell>
          <cell r="BY102">
            <v>638.76199754023594</v>
          </cell>
          <cell r="BZ102">
            <v>692.13452893736849</v>
          </cell>
          <cell r="CA102">
            <v>748.60962544228414</v>
          </cell>
          <cell r="CC102">
            <v>571.90077613178596</v>
          </cell>
          <cell r="CD102" t="str">
            <v>mstag:adjustmentToNetIncomeForDilutiveItems</v>
          </cell>
          <cell r="CE102">
            <v>6</v>
          </cell>
          <cell r="CF102" t="str">
            <v>ISO4217:GBP</v>
          </cell>
          <cell r="CG102" t="b">
            <v>0</v>
          </cell>
          <cell r="CH102" t="b">
            <v>0</v>
          </cell>
        </row>
        <row r="104">
          <cell r="A104" t="str">
            <v>Shares</v>
          </cell>
          <cell r="AL104">
            <v>4.6449999999999321</v>
          </cell>
          <cell r="AU104">
            <v>4.6883520000000818</v>
          </cell>
          <cell r="AV104">
            <v>4.9333520000001041</v>
          </cell>
          <cell r="AW104">
            <v>9.6217040000001859</v>
          </cell>
          <cell r="AX104">
            <v>35.383967000000098</v>
          </cell>
          <cell r="AY104">
            <v>45.005671000000284</v>
          </cell>
          <cell r="AZ104">
            <v>4.8</v>
          </cell>
          <cell r="BA104">
            <v>36.200000000000003</v>
          </cell>
          <cell r="BB104">
            <v>9.9</v>
          </cell>
          <cell r="BC104">
            <v>4.0999999999999996</v>
          </cell>
          <cell r="BD104">
            <v>14</v>
          </cell>
          <cell r="BE104">
            <v>-0.2518085000000001</v>
          </cell>
          <cell r="BF104">
            <v>13.748191500000001</v>
          </cell>
          <cell r="BG104">
            <v>-0.25180850000000099</v>
          </cell>
          <cell r="BH104">
            <v>13.496383</v>
          </cell>
          <cell r="BI104">
            <v>1.2</v>
          </cell>
          <cell r="BJ104">
            <v>2.5</v>
          </cell>
          <cell r="BK104">
            <v>3.7</v>
          </cell>
          <cell r="BL104">
            <v>3.8</v>
          </cell>
          <cell r="BM104">
            <v>7.5</v>
          </cell>
          <cell r="BN104">
            <v>2.5</v>
          </cell>
          <cell r="BO104">
            <v>10</v>
          </cell>
          <cell r="BP104">
            <v>10</v>
          </cell>
          <cell r="BQ104">
            <v>10</v>
          </cell>
          <cell r="BR104">
            <v>10</v>
          </cell>
          <cell r="BS104">
            <v>10</v>
          </cell>
        </row>
        <row r="105">
          <cell r="A105" t="str">
            <v>Shares</v>
          </cell>
          <cell r="AL105">
            <v>-1.9450000000000001</v>
          </cell>
          <cell r="AU105">
            <v>-4.4550000000000001</v>
          </cell>
          <cell r="AV105">
            <v>-5.0999999999999996</v>
          </cell>
          <cell r="AW105">
            <v>-9.5549999999999997</v>
          </cell>
          <cell r="AX105">
            <v>-5.9865500000000003</v>
          </cell>
          <cell r="AY105">
            <v>-15.541550000000001</v>
          </cell>
          <cell r="AZ105">
            <v>-3.8134499999999996</v>
          </cell>
          <cell r="BA105">
            <v>-19.355</v>
          </cell>
          <cell r="BB105">
            <v>-2.5</v>
          </cell>
          <cell r="BC105">
            <v>-7.1</v>
          </cell>
          <cell r="BD105">
            <v>-9.6</v>
          </cell>
          <cell r="BE105">
            <v>-3.8999999999999995</v>
          </cell>
          <cell r="BF105">
            <v>-13.5</v>
          </cell>
          <cell r="BG105">
            <v>-3.8999999999999986</v>
          </cell>
          <cell r="BH105">
            <v>-17.399999999999999</v>
          </cell>
          <cell r="BI105">
            <v>-2.2000000000000002</v>
          </cell>
          <cell r="BJ105">
            <v>-2.4</v>
          </cell>
          <cell r="BK105">
            <v>-4.5999999999999996</v>
          </cell>
          <cell r="BL105">
            <v>-5.2</v>
          </cell>
          <cell r="BM105">
            <v>-9.8000000000000007</v>
          </cell>
          <cell r="BN105">
            <v>-5.1999999999999993</v>
          </cell>
          <cell r="BO105">
            <v>-15</v>
          </cell>
          <cell r="BP105">
            <v>-14.896145032957431</v>
          </cell>
          <cell r="BQ105">
            <v>-14.794447236750747</v>
          </cell>
          <cell r="BR105">
            <v>-14.69486180479873</v>
          </cell>
          <cell r="BS105">
            <v>-14.597344861197374</v>
          </cell>
        </row>
        <row r="106">
          <cell r="A106" t="str">
            <v>Dilution for convertible bonds outstanding</v>
          </cell>
          <cell r="D106">
            <v>12.7</v>
          </cell>
          <cell r="K106">
            <v>12.7</v>
          </cell>
          <cell r="R106">
            <v>13</v>
          </cell>
          <cell r="Y106">
            <v>13</v>
          </cell>
          <cell r="AB106">
            <v>5.9195138690306681E-3</v>
          </cell>
          <cell r="AF106">
            <v>13</v>
          </cell>
          <cell r="AG106">
            <v>3.25</v>
          </cell>
          <cell r="AH106">
            <v>3.5511363636364646E-3</v>
          </cell>
          <cell r="AI106">
            <v>6.5</v>
          </cell>
          <cell r="AJ106">
            <v>3.8386340299449984E-3</v>
          </cell>
          <cell r="AK106">
            <v>3.977837761045766E-3</v>
          </cell>
          <cell r="AL106">
            <v>3</v>
          </cell>
          <cell r="AM106">
            <v>13</v>
          </cell>
          <cell r="AU106">
            <v>1.25</v>
          </cell>
          <cell r="AV106">
            <v>1.25</v>
          </cell>
          <cell r="AW106">
            <v>2.5</v>
          </cell>
          <cell r="AX106">
            <v>1.0643999999999778</v>
          </cell>
          <cell r="AY106">
            <v>3.5643999999999778</v>
          </cell>
          <cell r="AZ106">
            <v>1.4356000000000222</v>
          </cell>
          <cell r="BA106">
            <v>5</v>
          </cell>
          <cell r="BB106">
            <v>0</v>
          </cell>
          <cell r="BC106">
            <v>0</v>
          </cell>
          <cell r="BD106">
            <v>0</v>
          </cell>
          <cell r="BE106">
            <v>0</v>
          </cell>
          <cell r="BF106">
            <v>0</v>
          </cell>
          <cell r="BG106">
            <v>0</v>
          </cell>
          <cell r="BH106">
            <v>0</v>
          </cell>
          <cell r="BI106">
            <v>-3.0258773512468209E-3</v>
          </cell>
          <cell r="BJ106">
            <v>-3.3222591362126247E-3</v>
          </cell>
          <cell r="BK106">
            <v>-6.3268344616978969E-3</v>
          </cell>
          <cell r="BL106">
            <v>-7.2027330271820901E-3</v>
          </cell>
          <cell r="BM106">
            <v>-1.3595375722543353E-2</v>
          </cell>
          <cell r="BN106">
            <v>-7.2367963259341713E-3</v>
          </cell>
          <cell r="BO106">
            <v>0</v>
          </cell>
          <cell r="BP106">
            <v>0</v>
          </cell>
          <cell r="BQ106">
            <v>0</v>
          </cell>
          <cell r="BR106">
            <v>0</v>
          </cell>
          <cell r="BS106">
            <v>0</v>
          </cell>
          <cell r="CD106" t="str">
            <v>mstag:adjustmentToNetIncomeForDilutiveItems</v>
          </cell>
          <cell r="CE106">
            <v>6</v>
          </cell>
          <cell r="CF106" t="str">
            <v>ISO4217:GBP</v>
          </cell>
          <cell r="CG106" t="b">
            <v>0</v>
          </cell>
          <cell r="CH106" t="b">
            <v>0</v>
          </cell>
        </row>
        <row r="107">
          <cell r="A107" t="str">
            <v>Dilution for convertible bonds outstanding</v>
          </cell>
          <cell r="D107">
            <v>12.7</v>
          </cell>
          <cell r="K107">
            <v>12.7</v>
          </cell>
          <cell r="R107">
            <v>13</v>
          </cell>
          <cell r="Y107">
            <v>13</v>
          </cell>
          <cell r="AF107">
            <v>13</v>
          </cell>
          <cell r="AG107">
            <v>3.25</v>
          </cell>
          <cell r="AH107">
            <v>2.5</v>
          </cell>
          <cell r="AI107">
            <v>6.5</v>
          </cell>
          <cell r="AJ107">
            <v>2.8999999999999773</v>
          </cell>
          <cell r="AK107">
            <v>2.8000000000000682</v>
          </cell>
          <cell r="AL107">
            <v>3</v>
          </cell>
          <cell r="AM107">
            <v>13</v>
          </cell>
          <cell r="AU107">
            <v>1.25</v>
          </cell>
          <cell r="AV107">
            <v>1.25</v>
          </cell>
          <cell r="AW107">
            <v>2.5</v>
          </cell>
          <cell r="AX107">
            <v>1.0643999999999778</v>
          </cell>
          <cell r="AY107">
            <v>3.5643999999999778</v>
          </cell>
          <cell r="AZ107">
            <v>1.4356000000000222</v>
          </cell>
          <cell r="BA107">
            <v>5</v>
          </cell>
          <cell r="BB107">
            <v>0</v>
          </cell>
          <cell r="BC107">
            <v>0</v>
          </cell>
          <cell r="BD107">
            <v>0</v>
          </cell>
          <cell r="BE107">
            <v>0</v>
          </cell>
          <cell r="BF107">
            <v>0</v>
          </cell>
          <cell r="BG107">
            <v>0</v>
          </cell>
          <cell r="BH107">
            <v>0</v>
          </cell>
          <cell r="BI107">
            <v>-1.0000000000000002</v>
          </cell>
          <cell r="BJ107">
            <v>0.10000000000000009</v>
          </cell>
          <cell r="BK107">
            <v>-0.89999999999999947</v>
          </cell>
          <cell r="BL107">
            <v>-1.4000000000000004</v>
          </cell>
          <cell r="BM107">
            <v>-2.3000000000000007</v>
          </cell>
          <cell r="BN107">
            <v>-2.6999999999999993</v>
          </cell>
          <cell r="BO107">
            <v>0</v>
          </cell>
          <cell r="BP107">
            <v>-4.8961450329574312</v>
          </cell>
          <cell r="BQ107">
            <v>-4.7944472367507469</v>
          </cell>
          <cell r="BR107">
            <v>-4.6948618047987303</v>
          </cell>
          <cell r="BS107">
            <v>-4.5973448611973744</v>
          </cell>
          <cell r="BV107">
            <v>0</v>
          </cell>
          <cell r="BW107">
            <v>0</v>
          </cell>
          <cell r="BX107">
            <v>0</v>
          </cell>
          <cell r="BY107">
            <v>0</v>
          </cell>
          <cell r="BZ107">
            <v>0</v>
          </cell>
          <cell r="CA107">
            <v>0</v>
          </cell>
          <cell r="CC107">
            <v>0</v>
          </cell>
          <cell r="CD107">
            <v>0</v>
          </cell>
          <cell r="CE107">
            <v>0</v>
          </cell>
          <cell r="CF107">
            <v>0</v>
          </cell>
          <cell r="CG107">
            <v>0</v>
          </cell>
          <cell r="CK107" t="str">
            <v>mstag:adjustmentToNetIncomeForDilutiveItems</v>
          </cell>
          <cell r="CL107">
            <v>6</v>
          </cell>
          <cell r="CM107" t="str">
            <v>ISO4217:GBP</v>
          </cell>
          <cell r="CN107" t="b">
            <v>0</v>
          </cell>
          <cell r="CO107" t="b">
            <v>0</v>
          </cell>
          <cell r="CP107" t="b">
            <v>0</v>
          </cell>
          <cell r="CR107" t="str">
            <v>mstag:adjustmentToNetIncomeForDilutiveItems</v>
          </cell>
          <cell r="CS107">
            <v>6</v>
          </cell>
          <cell r="CT107" t="str">
            <v>ISO4217:GBP</v>
          </cell>
          <cell r="CU107" t="b">
            <v>0</v>
          </cell>
          <cell r="CV107" t="b">
            <v>0</v>
          </cell>
        </row>
        <row r="108">
          <cell r="A108" t="str">
            <v>Shares issued</v>
          </cell>
          <cell r="B108">
            <v>422.62007</v>
          </cell>
          <cell r="C108">
            <v>406.06174299999998</v>
          </cell>
          <cell r="D108">
            <v>670.11434599999995</v>
          </cell>
          <cell r="K108">
            <v>679.25478799999996</v>
          </cell>
          <cell r="R108">
            <v>695.73782700000004</v>
          </cell>
          <cell r="Y108">
            <v>700.38960099999997</v>
          </cell>
          <cell r="AF108">
            <v>704.35270400000002</v>
          </cell>
          <cell r="AL108">
            <v>4.6449999999999321</v>
          </cell>
          <cell r="AM108">
            <v>707.7</v>
          </cell>
          <cell r="AU108">
            <v>4.6883520000000818</v>
          </cell>
          <cell r="AV108">
            <v>4.9333520000001041</v>
          </cell>
          <cell r="AW108">
            <v>9.6217040000001859</v>
          </cell>
          <cell r="AX108">
            <v>35.383967000000098</v>
          </cell>
          <cell r="AY108">
            <v>45.005671000000284</v>
          </cell>
          <cell r="AZ108">
            <v>4.8</v>
          </cell>
          <cell r="BA108">
            <v>36.200000000000003</v>
          </cell>
          <cell r="BB108">
            <v>9.9</v>
          </cell>
          <cell r="BC108">
            <v>4.0999999999999996</v>
          </cell>
          <cell r="BD108">
            <v>14</v>
          </cell>
          <cell r="BE108">
            <v>-0.2518085000000001</v>
          </cell>
          <cell r="BF108">
            <v>13.748191500000001</v>
          </cell>
          <cell r="BG108">
            <v>-0.25180850000000099</v>
          </cell>
          <cell r="BH108">
            <v>13.496383</v>
          </cell>
          <cell r="BI108">
            <v>1.2</v>
          </cell>
          <cell r="BJ108">
            <v>2.5</v>
          </cell>
          <cell r="BK108">
            <v>3.7</v>
          </cell>
          <cell r="BL108">
            <v>2.7</v>
          </cell>
          <cell r="BM108">
            <v>6.4</v>
          </cell>
          <cell r="BN108">
            <v>3.5999999999999996</v>
          </cell>
          <cell r="BO108">
            <v>10</v>
          </cell>
          <cell r="BP108">
            <v>10</v>
          </cell>
          <cell r="BQ108">
            <v>10</v>
          </cell>
          <cell r="BR108">
            <v>10</v>
          </cell>
          <cell r="BS108">
            <v>10</v>
          </cell>
          <cell r="CD108" t="str">
            <v>mstag:periodEndBasicSharesOutstanding</v>
          </cell>
          <cell r="CE108">
            <v>6</v>
          </cell>
          <cell r="CF108" t="str">
            <v>ms_eqr_gcim_Decimal:ms_eqr_gcim_decimal</v>
          </cell>
          <cell r="CG108" t="b">
            <v>0</v>
          </cell>
          <cell r="CH108" t="b">
            <v>0</v>
          </cell>
        </row>
        <row r="109">
          <cell r="A109" t="str">
            <v>Shares issued</v>
          </cell>
          <cell r="AL109">
            <v>4.6449999999999321</v>
          </cell>
          <cell r="AU109">
            <v>4.6883520000000818</v>
          </cell>
          <cell r="AV109">
            <v>4.9333520000001041</v>
          </cell>
          <cell r="AW109">
            <v>9.6217040000001859</v>
          </cell>
          <cell r="AX109">
            <v>35.383967000000098</v>
          </cell>
          <cell r="AY109">
            <v>45.005671000000284</v>
          </cell>
          <cell r="AZ109">
            <v>4.8</v>
          </cell>
          <cell r="BA109">
            <v>36.200000000000003</v>
          </cell>
          <cell r="BB109">
            <v>9.9</v>
          </cell>
          <cell r="BC109">
            <v>4.0999999999999996</v>
          </cell>
          <cell r="BD109">
            <v>14</v>
          </cell>
          <cell r="BE109">
            <v>-0.2518085000000001</v>
          </cell>
          <cell r="BF109">
            <v>13.748191500000001</v>
          </cell>
          <cell r="BG109">
            <v>-0.25180850000000099</v>
          </cell>
          <cell r="BH109">
            <v>13.496383</v>
          </cell>
          <cell r="BI109">
            <v>1.2</v>
          </cell>
          <cell r="BJ109">
            <v>2.5</v>
          </cell>
          <cell r="BK109">
            <v>3.7</v>
          </cell>
          <cell r="BL109">
            <v>2.7</v>
          </cell>
          <cell r="BM109">
            <v>6.4</v>
          </cell>
          <cell r="BN109">
            <v>1.2999999999999998</v>
          </cell>
          <cell r="BO109">
            <v>7.7</v>
          </cell>
          <cell r="BP109">
            <v>1.6</v>
          </cell>
          <cell r="BQ109">
            <v>3.4999999999999996</v>
          </cell>
          <cell r="BR109">
            <v>5.0999999999999996</v>
          </cell>
          <cell r="BS109">
            <v>2.4500000000000002</v>
          </cell>
          <cell r="BT109">
            <v>7.55</v>
          </cell>
          <cell r="BU109">
            <v>2.4500000000000002</v>
          </cell>
          <cell r="BV109">
            <v>10</v>
          </cell>
          <cell r="BW109">
            <v>10</v>
          </cell>
          <cell r="BX109">
            <v>10</v>
          </cell>
          <cell r="BY109">
            <v>10</v>
          </cell>
          <cell r="BZ109">
            <v>10</v>
          </cell>
          <cell r="CA109">
            <v>5.3249999999999993</v>
          </cell>
          <cell r="CB109">
            <v>1.7750000000000004</v>
          </cell>
          <cell r="CC109">
            <v>7.1</v>
          </cell>
          <cell r="CD109">
            <v>7.1</v>
          </cell>
          <cell r="CE109">
            <v>7.1</v>
          </cell>
          <cell r="CF109">
            <v>7.1</v>
          </cell>
          <cell r="CG109">
            <v>7.1</v>
          </cell>
        </row>
        <row r="110">
          <cell r="A110" t="str">
            <v>Share buyback</v>
          </cell>
          <cell r="B110">
            <v>422.62007</v>
          </cell>
          <cell r="C110">
            <v>406.06174299999998</v>
          </cell>
          <cell r="D110">
            <v>670.11434599999995</v>
          </cell>
          <cell r="E110">
            <v>679.25478799999996</v>
          </cell>
          <cell r="F110">
            <v>679.25478799999996</v>
          </cell>
          <cell r="G110">
            <v>679.25478799999996</v>
          </cell>
          <cell r="H110">
            <v>685.9</v>
          </cell>
          <cell r="I110">
            <v>694.9</v>
          </cell>
          <cell r="J110">
            <v>679.25478799999996</v>
          </cell>
          <cell r="K110">
            <v>679.25478799999996</v>
          </cell>
          <cell r="L110">
            <v>693.3</v>
          </cell>
          <cell r="M110">
            <v>694.9</v>
          </cell>
          <cell r="N110">
            <v>694.1</v>
          </cell>
          <cell r="O110">
            <v>696.6</v>
          </cell>
          <cell r="P110">
            <v>694.9</v>
          </cell>
          <cell r="Q110">
            <v>695.73782700000004</v>
          </cell>
          <cell r="R110">
            <v>695.73782700000004</v>
          </cell>
          <cell r="S110">
            <v>698.7</v>
          </cell>
          <cell r="T110">
            <v>700</v>
          </cell>
          <cell r="U110">
            <v>699.4</v>
          </cell>
          <cell r="V110">
            <v>701</v>
          </cell>
          <cell r="W110">
            <v>699.9</v>
          </cell>
          <cell r="X110">
            <v>701.8</v>
          </cell>
          <cell r="Y110">
            <v>6.6861018899291302E-3</v>
          </cell>
          <cell r="Z110">
            <v>703.1</v>
          </cell>
          <cell r="AA110">
            <v>704</v>
          </cell>
          <cell r="AB110">
            <v>5.9195138690306681E-3</v>
          </cell>
          <cell r="AC110">
            <v>704.7</v>
          </cell>
          <cell r="AD110">
            <v>703.9</v>
          </cell>
          <cell r="AE110">
            <v>705.6</v>
          </cell>
          <cell r="AF110">
            <v>5.6584263877441643E-3</v>
          </cell>
          <cell r="AG110">
            <v>3.9823638173801523E-3</v>
          </cell>
          <cell r="AH110">
            <v>3.5511363636364646E-3</v>
          </cell>
          <cell r="AI110">
            <v>3.8386340299449984E-3</v>
          </cell>
          <cell r="AJ110">
            <v>3.8386340299449984E-3</v>
          </cell>
          <cell r="AK110">
            <v>3.977837761045766E-3</v>
          </cell>
          <cell r="AL110">
            <v>-1.9450000000000001</v>
          </cell>
          <cell r="AM110">
            <v>3.5991130375498948E-3</v>
          </cell>
          <cell r="AU110">
            <v>-4.4550000000000001</v>
          </cell>
          <cell r="AV110">
            <v>-5.0999999999999996</v>
          </cell>
          <cell r="AW110">
            <v>-9.5549999999999997</v>
          </cell>
          <cell r="AX110">
            <v>-5.9865500000000003</v>
          </cell>
          <cell r="AY110">
            <v>-15.541550000000001</v>
          </cell>
          <cell r="AZ110">
            <v>-3.8134499999999996</v>
          </cell>
          <cell r="BA110">
            <v>-19.355</v>
          </cell>
          <cell r="BB110">
            <v>-2.5</v>
          </cell>
          <cell r="BC110">
            <v>-7.1</v>
          </cell>
          <cell r="BD110">
            <v>-9.6</v>
          </cell>
          <cell r="BE110">
            <v>-3.8999999999999995</v>
          </cell>
          <cell r="BF110">
            <v>-13.5</v>
          </cell>
          <cell r="BG110">
            <v>-3.8999999999999986</v>
          </cell>
          <cell r="BH110">
            <v>-17.399999999999999</v>
          </cell>
          <cell r="BI110">
            <v>-2.2000000000000002</v>
          </cell>
          <cell r="BJ110">
            <v>-2.4</v>
          </cell>
          <cell r="BK110">
            <v>-4.5999999999999996</v>
          </cell>
          <cell r="BL110">
            <v>-4.3</v>
          </cell>
          <cell r="BM110">
            <v>-8.8999999999999986</v>
          </cell>
          <cell r="BN110">
            <v>-5.0000000000000018</v>
          </cell>
          <cell r="BO110">
            <v>-13.9</v>
          </cell>
          <cell r="BP110">
            <v>-1.6</v>
          </cell>
          <cell r="BQ110">
            <v>-3.6999999999999997</v>
          </cell>
          <cell r="BR110">
            <v>-5.3</v>
          </cell>
          <cell r="BS110">
            <v>-3.0103773584905658</v>
          </cell>
          <cell r="BT110">
            <v>-8.310377358490566</v>
          </cell>
          <cell r="BU110">
            <v>-3.0103773584905653</v>
          </cell>
          <cell r="BV110">
            <v>-11.320754716981131</v>
          </cell>
          <cell r="BW110">
            <v>-10.482180293501047</v>
          </cell>
          <cell r="BX110">
            <v>-9.7057224939824511</v>
          </cell>
          <cell r="BY110">
            <v>-8.9867800870207866</v>
          </cell>
          <cell r="BZ110">
            <v>-8.3210926731673958</v>
          </cell>
          <cell r="CA110">
            <v>-7.7083333333333321</v>
          </cell>
          <cell r="CB110">
            <v>-2.5694444444444446</v>
          </cell>
          <cell r="CC110">
            <v>-10.277777777777777</v>
          </cell>
          <cell r="CD110" t="str">
            <v>mstag:averageBasicSharesOutstanding</v>
          </cell>
          <cell r="CE110">
            <v>6</v>
          </cell>
          <cell r="CF110" t="str">
            <v>ms_eqr_gcim_Decimal:ms_eqr_gcim_decimal</v>
          </cell>
          <cell r="CG110" t="b">
            <v>0</v>
          </cell>
          <cell r="CH110" t="b">
            <v>0</v>
          </cell>
        </row>
        <row r="111">
          <cell r="A111" t="str">
            <v>Share buyback in %</v>
          </cell>
          <cell r="Y111">
            <v>6.6861018899291302E-3</v>
          </cell>
          <cell r="AB111">
            <v>5.9195138690306681E-3</v>
          </cell>
          <cell r="AF111">
            <v>5.6584263877441643E-3</v>
          </cell>
          <cell r="AG111">
            <v>3.9823638173801523E-3</v>
          </cell>
          <cell r="AH111">
            <v>3.5511363636364646E-3</v>
          </cell>
          <cell r="AI111">
            <v>3.8386340299449984E-3</v>
          </cell>
          <cell r="AJ111">
            <v>3.8386340299449984E-3</v>
          </cell>
          <cell r="AK111">
            <v>3.977837761045766E-3</v>
          </cell>
          <cell r="AL111">
            <v>-2.7487280949689088E-3</v>
          </cell>
          <cell r="AM111">
            <v>3.5991130375498948E-3</v>
          </cell>
          <cell r="AU111">
            <v>-6.293261760135613E-3</v>
          </cell>
          <cell r="AV111">
            <v>-7.2412324293624876E-3</v>
          </cell>
          <cell r="AW111">
            <v>-1.3532439790464749E-2</v>
          </cell>
          <cell r="AX111">
            <v>-8.5000000000000006E-3</v>
          </cell>
          <cell r="AY111">
            <v>-2.1858720112517584E-2</v>
          </cell>
          <cell r="AZ111">
            <v>-5.2505163155720774E-3</v>
          </cell>
          <cell r="BA111">
            <v>-2.7380584862845034E-2</v>
          </cell>
          <cell r="BB111">
            <v>-3.4492273730684329E-3</v>
          </cell>
          <cell r="BC111">
            <v>-9.698128670946592E-3</v>
          </cell>
          <cell r="BD111">
            <v>-1.3178304328610769E-2</v>
          </cell>
          <cell r="BE111">
            <v>-5.3600879604178107E-3</v>
          </cell>
          <cell r="BF111">
            <v>-1.8538862949739082E-2</v>
          </cell>
          <cell r="BG111">
            <v>-5.3889733314909467E-3</v>
          </cell>
          <cell r="BH111">
            <v>-2.3931939050770307E-2</v>
          </cell>
          <cell r="BI111">
            <v>-3.0258773512468209E-3</v>
          </cell>
          <cell r="BJ111">
            <v>-3.3222591362126247E-3</v>
          </cell>
          <cell r="BK111">
            <v>-6.3268344616978969E-3</v>
          </cell>
          <cell r="BL111">
            <v>-5.9561061570928813E-3</v>
          </cell>
          <cell r="BM111">
            <v>-1.2331993903283911E-2</v>
          </cell>
          <cell r="BN111">
            <v>-6.9676700111482746E-3</v>
          </cell>
          <cell r="BO111">
            <v>-1.9287190667630547E-2</v>
          </cell>
          <cell r="BP111">
            <v>-2.2327658386826683E-3</v>
          </cell>
          <cell r="BQ111">
            <v>-5.1625505790428346E-3</v>
          </cell>
          <cell r="BR111">
            <v>-7.3960368406363374E-3</v>
          </cell>
          <cell r="BS111">
            <v>-4.2074889899951038E-3</v>
          </cell>
          <cell r="BT111">
            <v>-1.1602995060929809E-2</v>
          </cell>
          <cell r="BU111">
            <v>-4.2107869538967491E-3</v>
          </cell>
          <cell r="BV111">
            <v>-1.5826570539990238E-2</v>
          </cell>
          <cell r="BW111">
            <v>-1.4672723485936054E-2</v>
          </cell>
          <cell r="BX111">
            <v>-1.35876420050067E-2</v>
          </cell>
          <cell r="BY111">
            <v>-1.2569645971697166E-2</v>
          </cell>
          <cell r="BZ111">
            <v>-1.161669017131851E-2</v>
          </cell>
          <cell r="CA111">
            <v>-1.0740411544456084E-2</v>
          </cell>
          <cell r="CC111">
            <v>-1.4468161927979872E-2</v>
          </cell>
          <cell r="CD111">
            <v>-1.3449403814019894E-2</v>
          </cell>
          <cell r="CE111">
            <v>-1.2489583854563441E-2</v>
          </cell>
          <cell r="CF111">
            <v>-1.1587179508114914E-2</v>
          </cell>
          <cell r="CG111">
            <v>-1.0740411544456084E-2</v>
          </cell>
        </row>
        <row r="112">
          <cell r="A112" t="str">
            <v>Net share increase/(decrease)</v>
          </cell>
          <cell r="B112">
            <v>422.62007</v>
          </cell>
          <cell r="C112">
            <v>406.06174299999998</v>
          </cell>
          <cell r="D112">
            <v>670.11434599999995</v>
          </cell>
          <cell r="K112">
            <v>679.25478799999996</v>
          </cell>
          <cell r="R112">
            <v>695.73782700000004</v>
          </cell>
          <cell r="Y112">
            <v>700.38960099999997</v>
          </cell>
          <cell r="AF112">
            <v>704.35270400000002</v>
          </cell>
          <cell r="AG112">
            <v>2.7999999999999545</v>
          </cell>
          <cell r="AH112">
            <v>2.5</v>
          </cell>
          <cell r="AI112">
            <v>2.7006329999999252</v>
          </cell>
          <cell r="AJ112">
            <v>2.8999999999999773</v>
          </cell>
          <cell r="AK112">
            <v>2.8000000000000682</v>
          </cell>
          <cell r="AL112">
            <v>2.6999999999999318</v>
          </cell>
          <cell r="AM112">
            <v>2.5350449999999682</v>
          </cell>
          <cell r="AU112">
            <v>0.23335200000008172</v>
          </cell>
          <cell r="AV112">
            <v>-0.16664799999989555</v>
          </cell>
          <cell r="AW112">
            <v>6.670400000018617E-2</v>
          </cell>
          <cell r="AX112">
            <v>29.397417000000097</v>
          </cell>
          <cell r="AY112">
            <v>29.464121000000283</v>
          </cell>
          <cell r="AZ112">
            <v>0.98655000000000026</v>
          </cell>
          <cell r="BA112">
            <v>16.845000000000002</v>
          </cell>
          <cell r="BB112">
            <v>7.4</v>
          </cell>
          <cell r="BC112">
            <v>-3</v>
          </cell>
          <cell r="BD112">
            <v>4.4000000000000004</v>
          </cell>
          <cell r="BE112">
            <v>-4.1518084999999996</v>
          </cell>
          <cell r="BF112">
            <v>0.24819150000000079</v>
          </cell>
          <cell r="BG112">
            <v>-4.1518084999999996</v>
          </cell>
          <cell r="BH112">
            <v>-3.9036169999999988</v>
          </cell>
          <cell r="BI112">
            <v>-1.0000000000000002</v>
          </cell>
          <cell r="BJ112">
            <v>0.10000000000000009</v>
          </cell>
          <cell r="BK112">
            <v>-0.89999999999999947</v>
          </cell>
          <cell r="BL112">
            <v>-1.5999999999999996</v>
          </cell>
          <cell r="BM112">
            <v>-2.4999999999999982</v>
          </cell>
          <cell r="BN112">
            <v>-3.700000000000002</v>
          </cell>
          <cell r="BO112">
            <v>-6.2</v>
          </cell>
          <cell r="BP112">
            <v>0</v>
          </cell>
          <cell r="BQ112">
            <v>-0.20000000000000018</v>
          </cell>
          <cell r="BR112">
            <v>-0.20000000000000018</v>
          </cell>
          <cell r="BS112">
            <v>-0.56037735849056558</v>
          </cell>
          <cell r="BT112">
            <v>-0.7603773584905662</v>
          </cell>
          <cell r="BU112">
            <v>-0.56037735849056514</v>
          </cell>
          <cell r="BV112">
            <v>-1.3207547169811313</v>
          </cell>
          <cell r="BW112">
            <v>-0.48218029350104707</v>
          </cell>
          <cell r="BX112">
            <v>0.29427750601754887</v>
          </cell>
          <cell r="BY112">
            <v>1.0132199129792134</v>
          </cell>
          <cell r="BZ112">
            <v>1.6789073268326042</v>
          </cell>
          <cell r="CA112">
            <v>-2.3833333333333329</v>
          </cell>
          <cell r="CB112">
            <v>-0.79444444444444429</v>
          </cell>
          <cell r="CC112">
            <v>-3.1777777777777771</v>
          </cell>
          <cell r="CD112" t="str">
            <v>mstag:periodEndBasicSharesOutstanding</v>
          </cell>
          <cell r="CE112">
            <v>6</v>
          </cell>
          <cell r="CF112" t="str">
            <v>ms_eqr_gcim_Decimal:ms_eqr_gcim_decimal</v>
          </cell>
          <cell r="CG112" t="b">
            <v>0</v>
          </cell>
          <cell r="CH112" t="b">
            <v>0</v>
          </cell>
        </row>
        <row r="113">
          <cell r="A113" t="str">
            <v>Basic Shares Oustanding (End of Period), mn</v>
          </cell>
          <cell r="B113">
            <v>422.62007</v>
          </cell>
          <cell r="C113">
            <v>406.06174299999998</v>
          </cell>
          <cell r="D113">
            <v>670.11434599999995</v>
          </cell>
          <cell r="K113">
            <v>679.25478799999996</v>
          </cell>
          <cell r="R113">
            <v>695.73782700000004</v>
          </cell>
          <cell r="Y113">
            <v>700.38960099999997</v>
          </cell>
          <cell r="AF113">
            <v>704.35270400000002</v>
          </cell>
          <cell r="AM113">
            <v>707.7</v>
          </cell>
          <cell r="AU113">
            <v>707.9</v>
          </cell>
          <cell r="BA113">
            <v>724.54500000000007</v>
          </cell>
          <cell r="BB113">
            <v>731.9</v>
          </cell>
          <cell r="BC113">
            <v>728.9</v>
          </cell>
          <cell r="BD113">
            <v>728.9</v>
          </cell>
          <cell r="BH113">
            <v>722.160934</v>
          </cell>
          <cell r="BI113">
            <v>721.2</v>
          </cell>
          <cell r="BJ113">
            <v>721.30000000000007</v>
          </cell>
          <cell r="BK113">
            <v>721.30000000000007</v>
          </cell>
          <cell r="BL113">
            <v>719.7</v>
          </cell>
          <cell r="BM113">
            <v>719.7</v>
          </cell>
          <cell r="BN113">
            <v>716</v>
          </cell>
          <cell r="BO113">
            <v>715.96093399999995</v>
          </cell>
          <cell r="BP113">
            <v>716</v>
          </cell>
          <cell r="BQ113">
            <v>715.8</v>
          </cell>
          <cell r="BR113">
            <v>715.76093399999991</v>
          </cell>
          <cell r="BS113">
            <v>715.20055664150937</v>
          </cell>
          <cell r="BT113">
            <v>715.20055664150937</v>
          </cell>
          <cell r="BU113">
            <v>714.64017928301882</v>
          </cell>
          <cell r="BV113">
            <v>714.64017928301882</v>
          </cell>
          <cell r="BW113">
            <v>714.15799898951775</v>
          </cell>
          <cell r="BX113">
            <v>714.45227649553533</v>
          </cell>
          <cell r="BY113">
            <v>715.46549640851458</v>
          </cell>
          <cell r="BZ113">
            <v>717.14440373534717</v>
          </cell>
          <cell r="CA113">
            <v>709.57760066666663</v>
          </cell>
          <cell r="CB113">
            <v>708.78315622222215</v>
          </cell>
          <cell r="CC113">
            <v>708.78315622222215</v>
          </cell>
          <cell r="CD113">
            <v>706.36669531687232</v>
          </cell>
          <cell r="CE113">
            <v>704.65515744154845</v>
          </cell>
          <cell r="CF113">
            <v>703.59632607550782</v>
          </cell>
          <cell r="CG113">
            <v>703.14185258843315</v>
          </cell>
          <cell r="CK113" t="str">
            <v>mstag:periodEndBasicSharesOutstanding</v>
          </cell>
          <cell r="CL113">
            <v>6</v>
          </cell>
          <cell r="CM113" t="str">
            <v>ms_eqr_gcim_Decimal:ms_eqr_gcim_decimal</v>
          </cell>
          <cell r="CN113" t="b">
            <v>0</v>
          </cell>
          <cell r="CO113" t="b">
            <v>0</v>
          </cell>
          <cell r="CP113" t="b">
            <v>0</v>
          </cell>
          <cell r="CR113" t="str">
            <v>mstag:periodEndBasicSharesOutstanding</v>
          </cell>
          <cell r="CS113">
            <v>6</v>
          </cell>
          <cell r="CT113" t="str">
            <v>ms_eqr_gcim_Decimal:ms_eqr_gcim_decimal</v>
          </cell>
          <cell r="CU113" t="b">
            <v>0</v>
          </cell>
          <cell r="CV113" t="b">
            <v>0</v>
          </cell>
        </row>
        <row r="114">
          <cell r="A114" t="str">
            <v>Average shares outstanding (basic), mn</v>
          </cell>
          <cell r="B114">
            <v>422.62007</v>
          </cell>
          <cell r="C114">
            <v>406.06174299999998</v>
          </cell>
          <cell r="D114">
            <v>670.11434599999995</v>
          </cell>
          <cell r="E114">
            <v>679.25478799999996</v>
          </cell>
          <cell r="F114">
            <v>679.25478799999996</v>
          </cell>
          <cell r="G114">
            <v>679.25478799999996</v>
          </cell>
          <cell r="H114">
            <v>685.9</v>
          </cell>
          <cell r="I114">
            <v>694.9</v>
          </cell>
          <cell r="J114">
            <v>679.25478799999996</v>
          </cell>
          <cell r="K114">
            <v>679.25478799999996</v>
          </cell>
          <cell r="L114">
            <v>693.3</v>
          </cell>
          <cell r="M114">
            <v>694.9</v>
          </cell>
          <cell r="N114">
            <v>694.1</v>
          </cell>
          <cell r="O114">
            <v>696.6</v>
          </cell>
          <cell r="P114">
            <v>694.9</v>
          </cell>
          <cell r="Q114">
            <v>695.73782700000004</v>
          </cell>
          <cell r="R114">
            <v>695.73782700000004</v>
          </cell>
          <cell r="S114">
            <v>698.7</v>
          </cell>
          <cell r="T114">
            <v>700</v>
          </cell>
          <cell r="U114">
            <v>699.4</v>
          </cell>
          <cell r="V114">
            <v>701</v>
          </cell>
          <cell r="W114">
            <v>699.9</v>
          </cell>
          <cell r="X114">
            <v>701.8</v>
          </cell>
          <cell r="Y114">
            <v>700.38960099999997</v>
          </cell>
          <cell r="Z114">
            <v>703.1</v>
          </cell>
          <cell r="AA114">
            <v>704</v>
          </cell>
          <cell r="AB114">
            <v>703.54010800000003</v>
          </cell>
          <cell r="AC114">
            <v>704.7</v>
          </cell>
          <cell r="AD114">
            <v>703.9</v>
          </cell>
          <cell r="AE114">
            <v>705.6</v>
          </cell>
          <cell r="AF114">
            <v>704.35270400000002</v>
          </cell>
          <cell r="AG114">
            <v>705.9</v>
          </cell>
          <cell r="AH114">
            <v>706.5</v>
          </cell>
          <cell r="AI114">
            <v>706.24074099999996</v>
          </cell>
          <cell r="AJ114">
            <v>707.6</v>
          </cell>
          <cell r="AK114">
            <v>706.7</v>
          </cell>
          <cell r="AL114">
            <v>708.3</v>
          </cell>
          <cell r="AM114">
            <v>706.88774899999999</v>
          </cell>
          <cell r="AU114">
            <v>707.9</v>
          </cell>
          <cell r="AV114">
            <v>704.3</v>
          </cell>
          <cell r="AW114">
            <v>706.08110199999999</v>
          </cell>
          <cell r="AX114">
            <v>720.7</v>
          </cell>
          <cell r="AY114">
            <v>711</v>
          </cell>
          <cell r="AZ114">
            <v>726.3</v>
          </cell>
          <cell r="BA114">
            <v>714.85579700000005</v>
          </cell>
          <cell r="BB114">
            <v>724.8</v>
          </cell>
          <cell r="BC114">
            <v>732.1</v>
          </cell>
          <cell r="BD114">
            <v>728.47004900000002</v>
          </cell>
          <cell r="BE114">
            <v>727.6</v>
          </cell>
          <cell r="BF114">
            <v>728.2</v>
          </cell>
          <cell r="BG114">
            <v>723.7</v>
          </cell>
          <cell r="BH114">
            <v>727.06185500000004</v>
          </cell>
          <cell r="BI114">
            <v>722.4</v>
          </cell>
          <cell r="BJ114">
            <v>721.5</v>
          </cell>
          <cell r="BK114">
            <v>721.94817999999998</v>
          </cell>
          <cell r="BL114">
            <v>721.3</v>
          </cell>
          <cell r="BM114">
            <v>721.7</v>
          </cell>
          <cell r="BN114">
            <v>718.45</v>
          </cell>
          <cell r="BO114">
            <v>720.91249999999991</v>
          </cell>
          <cell r="BP114">
            <v>714.71286148352124</v>
          </cell>
          <cell r="BQ114">
            <v>709.8675653486672</v>
          </cell>
          <cell r="BR114">
            <v>705.12291082789238</v>
          </cell>
          <cell r="BS114">
            <v>700.47680749489439</v>
          </cell>
          <cell r="CD114" t="str">
            <v>mstag:averageBasicSharesOutstanding</v>
          </cell>
          <cell r="CE114">
            <v>6</v>
          </cell>
          <cell r="CF114" t="str">
            <v>ms_eqr_gcim_Decimal:ms_eqr_gcim_decimal</v>
          </cell>
          <cell r="CG114" t="b">
            <v>0</v>
          </cell>
          <cell r="CH114" t="b">
            <v>0</v>
          </cell>
        </row>
        <row r="115">
          <cell r="A115" t="str">
            <v>Average shares outstanding (basic), mn</v>
          </cell>
          <cell r="B115">
            <v>422.62007</v>
          </cell>
          <cell r="C115">
            <v>406.06174299999998</v>
          </cell>
          <cell r="D115">
            <v>670.11434599999995</v>
          </cell>
          <cell r="E115">
            <v>679.25478799999996</v>
          </cell>
          <cell r="F115">
            <v>679.25478799999996</v>
          </cell>
          <cell r="G115">
            <v>679.25478799999996</v>
          </cell>
          <cell r="H115">
            <v>685.9</v>
          </cell>
          <cell r="I115">
            <v>694.9</v>
          </cell>
          <cell r="J115">
            <v>679.25478799999996</v>
          </cell>
          <cell r="K115">
            <v>679.25478799999996</v>
          </cell>
          <cell r="L115">
            <v>693.3</v>
          </cell>
          <cell r="M115">
            <v>694.9</v>
          </cell>
          <cell r="N115">
            <v>694.1</v>
          </cell>
          <cell r="O115">
            <v>696.6</v>
          </cell>
          <cell r="P115">
            <v>694.9</v>
          </cell>
          <cell r="Q115">
            <v>695.73782700000004</v>
          </cell>
          <cell r="R115">
            <v>695.73782700000004</v>
          </cell>
          <cell r="S115">
            <v>698.7</v>
          </cell>
          <cell r="T115">
            <v>700</v>
          </cell>
          <cell r="U115">
            <v>699.4</v>
          </cell>
          <cell r="V115">
            <v>701</v>
          </cell>
          <cell r="W115">
            <v>699.9</v>
          </cell>
          <cell r="X115">
            <v>701.8</v>
          </cell>
          <cell r="Y115">
            <v>700.38960099999997</v>
          </cell>
          <cell r="Z115">
            <v>703.1</v>
          </cell>
          <cell r="AA115">
            <v>704</v>
          </cell>
          <cell r="AB115">
            <v>703.54010800000003</v>
          </cell>
          <cell r="AC115">
            <v>704.7</v>
          </cell>
          <cell r="AD115">
            <v>703.9</v>
          </cell>
          <cell r="AE115">
            <v>705.6</v>
          </cell>
          <cell r="AF115">
            <v>704.35270400000002</v>
          </cell>
          <cell r="AG115">
            <v>705.9</v>
          </cell>
          <cell r="AH115">
            <v>706.5</v>
          </cell>
          <cell r="AI115">
            <v>706.24074099999996</v>
          </cell>
          <cell r="AJ115">
            <v>707.6</v>
          </cell>
          <cell r="AK115">
            <v>706.7</v>
          </cell>
          <cell r="AL115">
            <v>708.3</v>
          </cell>
          <cell r="AM115">
            <v>706.88774899999999</v>
          </cell>
          <cell r="AU115">
            <v>707.9</v>
          </cell>
          <cell r="AV115">
            <v>704.3</v>
          </cell>
          <cell r="AW115">
            <v>706.08110199999999</v>
          </cell>
          <cell r="AX115">
            <v>720.7</v>
          </cell>
          <cell r="AY115">
            <v>711</v>
          </cell>
          <cell r="AZ115">
            <v>726.3</v>
          </cell>
          <cell r="BA115">
            <v>714.85579700000005</v>
          </cell>
          <cell r="BB115">
            <v>724.8</v>
          </cell>
          <cell r="BC115">
            <v>732.1</v>
          </cell>
          <cell r="BD115">
            <v>728.47004900000002</v>
          </cell>
          <cell r="BE115">
            <v>727.6</v>
          </cell>
          <cell r="BF115">
            <v>728.2</v>
          </cell>
          <cell r="BG115">
            <v>723.7</v>
          </cell>
          <cell r="BH115">
            <v>727.06185500000004</v>
          </cell>
          <cell r="BI115">
            <v>722.4</v>
          </cell>
          <cell r="BJ115">
            <v>721.5</v>
          </cell>
          <cell r="BK115">
            <v>721.94817999999998</v>
          </cell>
          <cell r="BL115">
            <v>721.3</v>
          </cell>
          <cell r="BM115">
            <v>721.7</v>
          </cell>
          <cell r="BN115">
            <v>717.6</v>
          </cell>
          <cell r="BO115">
            <v>720.68556999999998</v>
          </cell>
          <cell r="BP115">
            <v>716.6</v>
          </cell>
          <cell r="BQ115">
            <v>716.7</v>
          </cell>
          <cell r="BR115">
            <v>716.6</v>
          </cell>
          <cell r="BS115">
            <v>715.48074532075464</v>
          </cell>
          <cell r="BT115">
            <v>716.22691510691823</v>
          </cell>
          <cell r="BU115">
            <v>714.92036796226409</v>
          </cell>
          <cell r="BV115">
            <v>715.30055664150939</v>
          </cell>
          <cell r="BW115">
            <v>714.39908913626823</v>
          </cell>
          <cell r="BX115">
            <v>714.30513774252654</v>
          </cell>
          <cell r="BY115">
            <v>714.9588864520249</v>
          </cell>
          <cell r="BZ115">
            <v>716.30495007193088</v>
          </cell>
          <cell r="CA115">
            <v>710.76926733333335</v>
          </cell>
          <cell r="CB115">
            <v>709.18037844444439</v>
          </cell>
          <cell r="CC115">
            <v>710.37204511111099</v>
          </cell>
          <cell r="CD115">
            <v>707.57492576954724</v>
          </cell>
          <cell r="CE115">
            <v>705.51092637921033</v>
          </cell>
          <cell r="CF115">
            <v>704.12574175852819</v>
          </cell>
          <cell r="CG115">
            <v>703.36908933197049</v>
          </cell>
          <cell r="CK115" t="str">
            <v>mstag:averageBasicSharesOutstanding</v>
          </cell>
          <cell r="CL115">
            <v>6</v>
          </cell>
          <cell r="CM115" t="str">
            <v>ms_eqr_gcim_Decimal:ms_eqr_gcim_decimal</v>
          </cell>
          <cell r="CN115" t="b">
            <v>0</v>
          </cell>
          <cell r="CO115" t="b">
            <v>0</v>
          </cell>
          <cell r="CP115" t="b">
            <v>0</v>
          </cell>
          <cell r="CR115" t="str">
            <v>mstag:averageBasicSharesOutstanding</v>
          </cell>
          <cell r="CS115">
            <v>6</v>
          </cell>
          <cell r="CT115" t="str">
            <v>ms_eqr_gcim_Decimal:ms_eqr_gcim_decimal</v>
          </cell>
          <cell r="CU115" t="b">
            <v>0</v>
          </cell>
          <cell r="CV115" t="b">
            <v>0</v>
          </cell>
        </row>
        <row r="116">
          <cell r="A116" t="str">
            <v>Diluted shares outstanding (end of period), mn</v>
          </cell>
          <cell r="Y116">
            <v>749.72283900000002</v>
          </cell>
          <cell r="AB116">
            <v>38.949899000000002</v>
          </cell>
          <cell r="AF116">
            <v>756.53089699999998</v>
          </cell>
          <cell r="AG116">
            <v>38.900697000000001</v>
          </cell>
          <cell r="AH116">
            <v>38.900697000000001</v>
          </cell>
          <cell r="AI116">
            <v>38.900697000000001</v>
          </cell>
          <cell r="AJ116">
            <v>38.900697000000001</v>
          </cell>
          <cell r="AK116">
            <v>38.900697000000001</v>
          </cell>
          <cell r="AL116">
            <v>38.900697000000001</v>
          </cell>
          <cell r="AM116">
            <v>758.91046200000005</v>
          </cell>
          <cell r="AU116">
            <v>38.655773000000003</v>
          </cell>
          <cell r="AV116">
            <v>38.655773000000003</v>
          </cell>
          <cell r="AW116">
            <v>38.655773000000003</v>
          </cell>
          <cell r="AX116">
            <v>8.0826580000000021</v>
          </cell>
          <cell r="AY116">
            <v>23.369215500000003</v>
          </cell>
          <cell r="AZ116">
            <v>8.0826580000000021</v>
          </cell>
          <cell r="BA116">
            <v>764.233879</v>
          </cell>
          <cell r="BB116">
            <v>1</v>
          </cell>
          <cell r="BC116">
            <v>1.9706870000000001</v>
          </cell>
          <cell r="BD116">
            <v>3.9740380000000002</v>
          </cell>
          <cell r="BE116">
            <v>3.9740380000000002</v>
          </cell>
          <cell r="BF116">
            <v>3.9740380000000002</v>
          </cell>
          <cell r="BG116">
            <v>3.9740380000000002</v>
          </cell>
          <cell r="BH116">
            <v>738.35478699999999</v>
          </cell>
          <cell r="BO116">
            <v>730.84812999999997</v>
          </cell>
          <cell r="BP116">
            <v>725.95198496704256</v>
          </cell>
          <cell r="BQ116">
            <v>721.15753773029178</v>
          </cell>
          <cell r="BR116">
            <v>716.46267592549304</v>
          </cell>
          <cell r="BS116">
            <v>711.86533106429567</v>
          </cell>
          <cell r="CD116" t="str">
            <v>mstag:periodEndDilutedSharesOutstanding</v>
          </cell>
          <cell r="CE116">
            <v>6</v>
          </cell>
          <cell r="CF116" t="str">
            <v>ms_eqr_gcim_Decimal:ms_eqr_gcim_decimal</v>
          </cell>
          <cell r="CG116" t="b">
            <v>0</v>
          </cell>
          <cell r="CH116" t="b">
            <v>0</v>
          </cell>
        </row>
        <row r="117">
          <cell r="A117" t="str">
            <v>Diluted shares outstanding (end of period), mn</v>
          </cell>
          <cell r="B117">
            <v>463.35702600000002</v>
          </cell>
          <cell r="C117">
            <v>446.802099</v>
          </cell>
          <cell r="D117">
            <v>721.64622899999995</v>
          </cell>
          <cell r="E117">
            <v>686.82152299999996</v>
          </cell>
          <cell r="F117">
            <v>686.82152299999996</v>
          </cell>
          <cell r="G117">
            <v>686.82152299999996</v>
          </cell>
          <cell r="H117">
            <v>693.5</v>
          </cell>
          <cell r="I117">
            <v>739.6</v>
          </cell>
          <cell r="J117">
            <v>686.82152299999996</v>
          </cell>
          <cell r="K117">
            <v>686.82152299999996</v>
          </cell>
          <cell r="L117">
            <v>698</v>
          </cell>
          <cell r="M117">
            <v>739.8</v>
          </cell>
          <cell r="N117">
            <v>738.9</v>
          </cell>
          <cell r="O117">
            <v>741.7</v>
          </cell>
          <cell r="P117">
            <v>739.6</v>
          </cell>
          <cell r="Q117">
            <v>741.29425900000001</v>
          </cell>
          <cell r="R117">
            <v>741.29425900000001</v>
          </cell>
          <cell r="S117">
            <v>748.3</v>
          </cell>
          <cell r="T117">
            <v>749.1</v>
          </cell>
          <cell r="U117">
            <v>748.3</v>
          </cell>
          <cell r="V117">
            <v>751</v>
          </cell>
          <cell r="W117">
            <v>749.5</v>
          </cell>
          <cell r="X117">
            <v>750.3</v>
          </cell>
          <cell r="Y117">
            <v>749.72283900000002</v>
          </cell>
          <cell r="Z117">
            <v>755.2</v>
          </cell>
          <cell r="AA117">
            <v>755.2</v>
          </cell>
          <cell r="AB117">
            <v>756.18753200000003</v>
          </cell>
          <cell r="AC117">
            <v>756.6</v>
          </cell>
          <cell r="AD117">
            <v>756.3</v>
          </cell>
          <cell r="AE117">
            <v>757.3</v>
          </cell>
          <cell r="AF117">
            <v>756.53089699999998</v>
          </cell>
          <cell r="AG117">
            <v>755.6</v>
          </cell>
          <cell r="AH117">
            <v>757.6</v>
          </cell>
          <cell r="AI117">
            <v>756.8</v>
          </cell>
          <cell r="AJ117">
            <v>758.8</v>
          </cell>
          <cell r="AK117">
            <v>757.6</v>
          </cell>
          <cell r="AL117">
            <v>760</v>
          </cell>
          <cell r="AM117">
            <v>758.91046200000005</v>
          </cell>
          <cell r="AU117">
            <v>761.4</v>
          </cell>
          <cell r="AV117">
            <v>757.4</v>
          </cell>
          <cell r="AW117">
            <v>759.3</v>
          </cell>
          <cell r="AX117">
            <v>752.2</v>
          </cell>
          <cell r="AY117">
            <v>756.9</v>
          </cell>
          <cell r="AZ117">
            <v>747.4</v>
          </cell>
          <cell r="BA117">
            <v>764.233879</v>
          </cell>
          <cell r="BB117">
            <v>748.9</v>
          </cell>
          <cell r="BC117">
            <v>746.7</v>
          </cell>
          <cell r="BD117">
            <v>747.8</v>
          </cell>
          <cell r="BE117">
            <v>740.4</v>
          </cell>
          <cell r="BF117">
            <v>745.4</v>
          </cell>
          <cell r="BG117">
            <v>736.7</v>
          </cell>
          <cell r="BH117">
            <v>738.35478699999999</v>
          </cell>
          <cell r="BI117">
            <v>736.4</v>
          </cell>
          <cell r="BJ117">
            <v>734.1</v>
          </cell>
          <cell r="BK117">
            <v>735.21914300000003</v>
          </cell>
          <cell r="BL117">
            <v>733.89350950000016</v>
          </cell>
          <cell r="BM117">
            <v>734.77726516666678</v>
          </cell>
          <cell r="BN117">
            <v>732.05162600000006</v>
          </cell>
          <cell r="BO117">
            <v>729.47185999999999</v>
          </cell>
          <cell r="BP117">
            <v>728.40005748352121</v>
          </cell>
          <cell r="BQ117">
            <v>723.55476134866717</v>
          </cell>
          <cell r="BR117">
            <v>718.81010682789235</v>
          </cell>
          <cell r="BS117">
            <v>714.16400349489436</v>
          </cell>
          <cell r="BV117">
            <v>734.34017928301876</v>
          </cell>
          <cell r="BW117">
            <v>733.85799898951768</v>
          </cell>
          <cell r="BX117">
            <v>734.15227649553526</v>
          </cell>
          <cell r="BY117">
            <v>735.16549640851451</v>
          </cell>
          <cell r="BZ117">
            <v>736.8444037353471</v>
          </cell>
          <cell r="CA117">
            <v>721.72781958843314</v>
          </cell>
          <cell r="CC117">
            <v>727.36912322222213</v>
          </cell>
          <cell r="CD117" t="str">
            <v>mstag:averageDilutedSharesOutstanding</v>
          </cell>
          <cell r="CE117">
            <v>6</v>
          </cell>
          <cell r="CF117" t="str">
            <v>ms_eqr_gcim_Decimal:ms_eqr_gcim_decimal</v>
          </cell>
          <cell r="CG117" t="b">
            <v>0</v>
          </cell>
          <cell r="CH117" t="b">
            <v>0</v>
          </cell>
          <cell r="CK117" t="str">
            <v>mstag:periodEndDilutedSharesOutstanding</v>
          </cell>
          <cell r="CL117">
            <v>6</v>
          </cell>
          <cell r="CM117" t="str">
            <v>ms_eqr_gcim_Decimal:ms_eqr_gcim_decimal</v>
          </cell>
          <cell r="CN117" t="b">
            <v>0</v>
          </cell>
          <cell r="CO117" t="b">
            <v>0</v>
          </cell>
          <cell r="CP117" t="b">
            <v>0</v>
          </cell>
          <cell r="CR117" t="str">
            <v>mstag:periodEndDilutedSharesOutstanding</v>
          </cell>
          <cell r="CS117">
            <v>6</v>
          </cell>
          <cell r="CT117" t="str">
            <v>ms_eqr_gcim_Decimal:ms_eqr_gcim_decimal</v>
          </cell>
          <cell r="CU117" t="b">
            <v>0</v>
          </cell>
          <cell r="CV117" t="b">
            <v>0</v>
          </cell>
        </row>
        <row r="118">
          <cell r="A118" t="str">
            <v>Dilution for Executives options outstanding</v>
          </cell>
          <cell r="Y118">
            <v>9.2353369999999995</v>
          </cell>
          <cell r="AB118">
            <v>12.186731999999999</v>
          </cell>
          <cell r="AF118">
            <v>11.788985</v>
          </cell>
          <cell r="AG118">
            <v>9.6310839999999871</v>
          </cell>
          <cell r="AH118">
            <v>11.031083999999964</v>
          </cell>
          <cell r="AI118">
            <v>10.499650000000001</v>
          </cell>
          <cell r="AJ118">
            <v>11.131083999999873</v>
          </cell>
          <cell r="AK118">
            <v>10.831083999999919</v>
          </cell>
          <cell r="AL118">
            <v>11.631083999999987</v>
          </cell>
          <cell r="AM118">
            <v>11.307188</v>
          </cell>
          <cell r="AU118">
            <v>13.538252</v>
          </cell>
          <cell r="AV118">
            <v>13.538252</v>
          </cell>
          <cell r="AW118">
            <v>13.538252</v>
          </cell>
          <cell r="AX118">
            <v>13.538252</v>
          </cell>
          <cell r="AY118">
            <v>13.538252</v>
          </cell>
          <cell r="AZ118">
            <v>13.538252</v>
          </cell>
          <cell r="BA118">
            <v>12.960413000000001</v>
          </cell>
          <cell r="BB118">
            <v>22.373217000000068</v>
          </cell>
          <cell r="BC118">
            <v>11.90253000000007</v>
          </cell>
          <cell r="BD118">
            <v>14.661062000000015</v>
          </cell>
          <cell r="BE118">
            <v>8.1311110000000326</v>
          </cell>
          <cell r="BF118">
            <v>12.53111100000001</v>
          </cell>
          <cell r="BG118">
            <v>8.3311110000000781</v>
          </cell>
          <cell r="BH118">
            <v>12.960413000000001</v>
          </cell>
          <cell r="BK118">
            <v>12.189273</v>
          </cell>
          <cell r="BL118">
            <v>12.589273</v>
          </cell>
          <cell r="BM118">
            <v>13.973216999999977</v>
          </cell>
          <cell r="BN118">
            <v>12.960413000000001</v>
          </cell>
          <cell r="BO118">
            <v>12.960413000000001</v>
          </cell>
          <cell r="BP118">
            <v>12.960413000000001</v>
          </cell>
          <cell r="BQ118">
            <v>12.960413000000001</v>
          </cell>
          <cell r="BR118">
            <v>12.960413000000001</v>
          </cell>
          <cell r="BS118">
            <v>12.960413000000001</v>
          </cell>
        </row>
        <row r="119">
          <cell r="A119" t="str">
            <v>Dilution for Executives options outstanding</v>
          </cell>
          <cell r="Y119">
            <v>9.2353369999999995</v>
          </cell>
          <cell r="AB119">
            <v>12.186731999999999</v>
          </cell>
          <cell r="AF119">
            <v>11.788985</v>
          </cell>
          <cell r="AG119">
            <v>9.6310839999999871</v>
          </cell>
          <cell r="AH119">
            <v>11.031083999999964</v>
          </cell>
          <cell r="AI119">
            <v>10.499650000000001</v>
          </cell>
          <cell r="AJ119">
            <v>11.131083999999873</v>
          </cell>
          <cell r="AK119">
            <v>10.831083999999919</v>
          </cell>
          <cell r="AL119">
            <v>11.631083999999987</v>
          </cell>
          <cell r="AM119">
            <v>11.307188</v>
          </cell>
          <cell r="AU119">
            <v>13.538252</v>
          </cell>
          <cell r="AV119">
            <v>13.538252</v>
          </cell>
          <cell r="AW119">
            <v>13.538252</v>
          </cell>
          <cell r="AX119">
            <v>13.538252</v>
          </cell>
          <cell r="AY119">
            <v>13.538252</v>
          </cell>
          <cell r="AZ119">
            <v>13.538252</v>
          </cell>
          <cell r="BA119">
            <v>12.960413000000001</v>
          </cell>
          <cell r="BB119">
            <v>22.373217000000068</v>
          </cell>
          <cell r="BC119">
            <v>11.90253000000007</v>
          </cell>
          <cell r="BD119">
            <v>14.661062000000015</v>
          </cell>
          <cell r="BE119">
            <v>8.1311110000000326</v>
          </cell>
          <cell r="BF119">
            <v>12.53111100000001</v>
          </cell>
          <cell r="BG119">
            <v>8.3311110000000781</v>
          </cell>
          <cell r="BH119">
            <v>12.960413000000001</v>
          </cell>
          <cell r="BK119">
            <v>12.189273</v>
          </cell>
          <cell r="BL119">
            <v>12.589273</v>
          </cell>
          <cell r="BM119">
            <v>13.973216999999977</v>
          </cell>
          <cell r="BN119">
            <v>12.960413000000001</v>
          </cell>
          <cell r="BO119">
            <v>12.960413000000001</v>
          </cell>
          <cell r="BP119">
            <v>19</v>
          </cell>
          <cell r="BQ119">
            <v>17.700000000000045</v>
          </cell>
          <cell r="BR119">
            <v>18.399999999999977</v>
          </cell>
          <cell r="BS119">
            <v>18.399999999999977</v>
          </cell>
          <cell r="BT119">
            <v>18.399999999999977</v>
          </cell>
          <cell r="BU119">
            <v>18.399999999999977</v>
          </cell>
          <cell r="BV119">
            <v>18.399999999999977</v>
          </cell>
          <cell r="BW119">
            <v>18.399999999999977</v>
          </cell>
          <cell r="BX119">
            <v>18.399999999999977</v>
          </cell>
          <cell r="BY119">
            <v>18.399999999999977</v>
          </cell>
          <cell r="BZ119">
            <v>18.399999999999977</v>
          </cell>
          <cell r="CA119">
            <v>17.345739999999999</v>
          </cell>
          <cell r="CC119">
            <v>17.345739999999999</v>
          </cell>
          <cell r="CD119">
            <v>17.345739999999999</v>
          </cell>
          <cell r="CE119">
            <v>17.345739999999999</v>
          </cell>
          <cell r="CF119">
            <v>17.345739999999999</v>
          </cell>
          <cell r="CG119">
            <v>17.345739999999999</v>
          </cell>
        </row>
        <row r="120">
          <cell r="A120" t="str">
            <v>Dilution for Employee Sharesave Scheme options outstanding</v>
          </cell>
          <cell r="Y120">
            <v>1.1333040000000001</v>
          </cell>
          <cell r="AB120">
            <v>1.5107930000000001</v>
          </cell>
          <cell r="AF120">
            <v>1.4599329999999999</v>
          </cell>
          <cell r="AG120">
            <v>1.1682189999999999</v>
          </cell>
          <cell r="AH120">
            <v>1.1682189999999999</v>
          </cell>
          <cell r="AI120">
            <v>1.1682189999999999</v>
          </cell>
          <cell r="AJ120">
            <v>1.1682189999999999</v>
          </cell>
          <cell r="AK120">
            <v>1.1682189999999999</v>
          </cell>
          <cell r="AL120">
            <v>1.1682189999999999</v>
          </cell>
          <cell r="AM120">
            <v>1.247501</v>
          </cell>
          <cell r="AU120">
            <v>1.0726230000000001</v>
          </cell>
          <cell r="AV120">
            <v>1.0726230000000001</v>
          </cell>
          <cell r="AW120">
            <v>1.0726230000000001</v>
          </cell>
          <cell r="AX120">
            <v>1.0726230000000001</v>
          </cell>
          <cell r="AY120">
            <v>1.0726230000000001</v>
          </cell>
          <cell r="AZ120">
            <v>1.0726230000000001</v>
          </cell>
          <cell r="BA120">
            <v>0.93712099999999998</v>
          </cell>
          <cell r="BB120">
            <v>0.72678299999999996</v>
          </cell>
          <cell r="BC120">
            <v>0.72678299999999996</v>
          </cell>
          <cell r="BD120">
            <v>0.694851</v>
          </cell>
          <cell r="BE120">
            <v>0.694851</v>
          </cell>
          <cell r="BF120">
            <v>0.694851</v>
          </cell>
          <cell r="BG120">
            <v>0.694851</v>
          </cell>
          <cell r="BH120">
            <v>0.72678299999999996</v>
          </cell>
          <cell r="BK120">
            <v>1.08169</v>
          </cell>
          <cell r="BL120">
            <v>0.72678299999999996</v>
          </cell>
          <cell r="BM120">
            <v>0.72678299999999996</v>
          </cell>
          <cell r="BN120">
            <v>0.72678299999999996</v>
          </cell>
          <cell r="BO120">
            <v>0.72678299999999996</v>
          </cell>
          <cell r="BP120">
            <v>1.3</v>
          </cell>
          <cell r="BQ120">
            <v>1.3</v>
          </cell>
          <cell r="BR120">
            <v>1.3</v>
          </cell>
          <cell r="BS120">
            <v>1.3</v>
          </cell>
          <cell r="BT120">
            <v>1.3</v>
          </cell>
          <cell r="BU120">
            <v>1.3</v>
          </cell>
          <cell r="BV120">
            <v>1.3</v>
          </cell>
          <cell r="BW120">
            <v>1.3</v>
          </cell>
          <cell r="BX120">
            <v>1.3</v>
          </cell>
          <cell r="BY120">
            <v>1.3</v>
          </cell>
          <cell r="BZ120">
            <v>1.3</v>
          </cell>
          <cell r="CA120">
            <v>1.240227</v>
          </cell>
          <cell r="CC120">
            <v>1.240227</v>
          </cell>
          <cell r="CD120">
            <v>1.240227</v>
          </cell>
          <cell r="CE120">
            <v>1.240227</v>
          </cell>
          <cell r="CF120">
            <v>1.240227</v>
          </cell>
          <cell r="CG120">
            <v>1.240227</v>
          </cell>
        </row>
        <row r="121">
          <cell r="A121" t="str">
            <v>Dilution for convertible capital bonds outstanding</v>
          </cell>
          <cell r="B121">
            <v>463.35702600000002</v>
          </cell>
          <cell r="C121">
            <v>446.802099</v>
          </cell>
          <cell r="D121">
            <v>721.64622899999995</v>
          </cell>
          <cell r="E121">
            <v>686.82152299999996</v>
          </cell>
          <cell r="F121">
            <v>686.82152299999996</v>
          </cell>
          <cell r="G121">
            <v>686.82152299999996</v>
          </cell>
          <cell r="H121">
            <v>693.5</v>
          </cell>
          <cell r="I121">
            <v>739.6</v>
          </cell>
          <cell r="J121">
            <v>686.82152299999996</v>
          </cell>
          <cell r="K121">
            <v>686.82152299999996</v>
          </cell>
          <cell r="L121">
            <v>698</v>
          </cell>
          <cell r="M121">
            <v>739.8</v>
          </cell>
          <cell r="N121">
            <v>738.9</v>
          </cell>
          <cell r="O121">
            <v>741.7</v>
          </cell>
          <cell r="P121">
            <v>739.6</v>
          </cell>
          <cell r="Q121">
            <v>741.29425900000001</v>
          </cell>
          <cell r="R121">
            <v>741.29425900000001</v>
          </cell>
          <cell r="S121">
            <v>748.3</v>
          </cell>
          <cell r="T121">
            <v>749.1</v>
          </cell>
          <cell r="U121">
            <v>748.3</v>
          </cell>
          <cell r="V121">
            <v>751</v>
          </cell>
          <cell r="W121">
            <v>749.5</v>
          </cell>
          <cell r="X121">
            <v>750.3</v>
          </cell>
          <cell r="Y121">
            <v>38.964596999999998</v>
          </cell>
          <cell r="Z121">
            <v>755.2</v>
          </cell>
          <cell r="AA121">
            <v>755.2</v>
          </cell>
          <cell r="AB121">
            <v>38.949899000000002</v>
          </cell>
          <cell r="AC121">
            <v>756.6</v>
          </cell>
          <cell r="AD121">
            <v>756.3</v>
          </cell>
          <cell r="AE121">
            <v>757.3</v>
          </cell>
          <cell r="AF121">
            <v>38.929274999999997</v>
          </cell>
          <cell r="AG121">
            <v>38.900697000000001</v>
          </cell>
          <cell r="AH121">
            <v>38.900697000000001</v>
          </cell>
          <cell r="AI121">
            <v>38.900697000000001</v>
          </cell>
          <cell r="AJ121">
            <v>38.900697000000001</v>
          </cell>
          <cell r="AK121">
            <v>38.900697000000001</v>
          </cell>
          <cell r="AL121">
            <v>38.900697000000001</v>
          </cell>
          <cell r="AM121">
            <v>38.655773000000003</v>
          </cell>
          <cell r="AU121">
            <v>38.655773000000003</v>
          </cell>
          <cell r="AV121">
            <v>38.655773000000003</v>
          </cell>
          <cell r="AW121">
            <v>38.655773000000003</v>
          </cell>
          <cell r="AX121">
            <v>8.0826580000000021</v>
          </cell>
          <cell r="AY121">
            <v>23.369215500000003</v>
          </cell>
          <cell r="AZ121">
            <v>8.0826580000000021</v>
          </cell>
          <cell r="BA121">
            <v>25.791345</v>
          </cell>
          <cell r="BB121">
            <v>1</v>
          </cell>
          <cell r="BC121">
            <v>1.9706870000000001</v>
          </cell>
          <cell r="BD121">
            <v>3.9740380000000002</v>
          </cell>
          <cell r="BE121">
            <v>3.9740380000000002</v>
          </cell>
          <cell r="BF121">
            <v>3.9740380000000002</v>
          </cell>
          <cell r="BG121">
            <v>3.9740380000000002</v>
          </cell>
          <cell r="BH121">
            <v>1.9706870000000001</v>
          </cell>
          <cell r="BI121">
            <v>736.4</v>
          </cell>
          <cell r="BJ121">
            <v>734.1</v>
          </cell>
          <cell r="BK121">
            <v>735.21914300000003</v>
          </cell>
          <cell r="BL121">
            <v>732.7</v>
          </cell>
          <cell r="BM121">
            <v>734.4</v>
          </cell>
          <cell r="BN121">
            <v>732.643598</v>
          </cell>
          <cell r="BO121">
            <v>734.59969599999988</v>
          </cell>
          <cell r="BP121">
            <v>728.40005748352121</v>
          </cell>
          <cell r="BQ121">
            <v>723.55476134866717</v>
          </cell>
          <cell r="BR121">
            <v>718.81010682789235</v>
          </cell>
          <cell r="BS121">
            <v>714.16400349489436</v>
          </cell>
          <cell r="CD121" t="str">
            <v>mstag:averageDilutedSharesOutstanding</v>
          </cell>
          <cell r="CE121">
            <v>6</v>
          </cell>
          <cell r="CF121" t="str">
            <v>ms_eqr_gcim_Decimal:ms_eqr_gcim_decimal</v>
          </cell>
          <cell r="CG121" t="b">
            <v>0</v>
          </cell>
          <cell r="CH121" t="b">
            <v>0</v>
          </cell>
        </row>
        <row r="122">
          <cell r="A122" t="str">
            <v>Average shares outstanding (diluted), mn</v>
          </cell>
          <cell r="B122">
            <v>463.35702600000002</v>
          </cell>
          <cell r="C122">
            <v>446.802099</v>
          </cell>
          <cell r="D122">
            <v>721.64622899999995</v>
          </cell>
          <cell r="E122">
            <v>686.82152299999996</v>
          </cell>
          <cell r="F122">
            <v>686.82152299999996</v>
          </cell>
          <cell r="G122">
            <v>686.82152299999996</v>
          </cell>
          <cell r="H122">
            <v>693.5</v>
          </cell>
          <cell r="I122">
            <v>739.6</v>
          </cell>
          <cell r="J122">
            <v>686.82152299999996</v>
          </cell>
          <cell r="K122">
            <v>686.82152299999996</v>
          </cell>
          <cell r="L122">
            <v>698</v>
          </cell>
          <cell r="M122">
            <v>739.8</v>
          </cell>
          <cell r="N122">
            <v>738.9</v>
          </cell>
          <cell r="O122">
            <v>741.7</v>
          </cell>
          <cell r="P122">
            <v>739.6</v>
          </cell>
          <cell r="Q122">
            <v>741.29425900000001</v>
          </cell>
          <cell r="R122">
            <v>741.29425900000001</v>
          </cell>
          <cell r="S122">
            <v>748.3</v>
          </cell>
          <cell r="T122">
            <v>749.1</v>
          </cell>
          <cell r="U122">
            <v>748.3</v>
          </cell>
          <cell r="V122">
            <v>751</v>
          </cell>
          <cell r="W122">
            <v>749.5</v>
          </cell>
          <cell r="X122">
            <v>750.3</v>
          </cell>
          <cell r="Y122">
            <v>749.72283900000002</v>
          </cell>
          <cell r="Z122">
            <v>755.2</v>
          </cell>
          <cell r="AA122">
            <v>755.2</v>
          </cell>
          <cell r="AB122">
            <v>756.18753200000003</v>
          </cell>
          <cell r="AC122">
            <v>756.6</v>
          </cell>
          <cell r="AD122">
            <v>756.3</v>
          </cell>
          <cell r="AE122">
            <v>757.3</v>
          </cell>
          <cell r="AF122">
            <v>756.53089699999998</v>
          </cell>
          <cell r="AG122">
            <v>755.6</v>
          </cell>
          <cell r="AH122">
            <v>757.6</v>
          </cell>
          <cell r="AI122">
            <v>756.8</v>
          </cell>
          <cell r="AJ122">
            <v>758.8</v>
          </cell>
          <cell r="AK122">
            <v>757.6</v>
          </cell>
          <cell r="AL122">
            <v>760</v>
          </cell>
          <cell r="AM122">
            <v>758.09821099999999</v>
          </cell>
          <cell r="AU122">
            <v>761.4</v>
          </cell>
          <cell r="AV122">
            <v>757.4</v>
          </cell>
          <cell r="AW122">
            <v>759.3</v>
          </cell>
          <cell r="AX122">
            <v>752.2</v>
          </cell>
          <cell r="AY122">
            <v>756.9</v>
          </cell>
          <cell r="AZ122">
            <v>747.4</v>
          </cell>
          <cell r="BA122">
            <v>754.54467599999998</v>
          </cell>
          <cell r="BB122">
            <v>748.9</v>
          </cell>
          <cell r="BC122">
            <v>746.7</v>
          </cell>
          <cell r="BD122">
            <v>747.8</v>
          </cell>
          <cell r="BE122">
            <v>740.4</v>
          </cell>
          <cell r="BF122">
            <v>745.4</v>
          </cell>
          <cell r="BG122">
            <v>736.7</v>
          </cell>
          <cell r="BH122">
            <v>743.25570800000003</v>
          </cell>
          <cell r="BI122">
            <v>736.4</v>
          </cell>
          <cell r="BJ122">
            <v>734.1</v>
          </cell>
          <cell r="BK122">
            <v>735.21914300000003</v>
          </cell>
          <cell r="BL122">
            <v>732.7</v>
          </cell>
          <cell r="BM122">
            <v>734.4</v>
          </cell>
          <cell r="BN122">
            <v>729.8</v>
          </cell>
          <cell r="BO122">
            <v>734.19649600000002</v>
          </cell>
          <cell r="BP122">
            <v>736.9</v>
          </cell>
          <cell r="BQ122">
            <v>735.7</v>
          </cell>
          <cell r="BR122">
            <v>736.3</v>
          </cell>
          <cell r="BS122">
            <v>735.18074532075457</v>
          </cell>
          <cell r="BT122">
            <v>735.92691510691816</v>
          </cell>
          <cell r="BU122">
            <v>734.62036796226403</v>
          </cell>
          <cell r="BV122">
            <v>735.00055664150932</v>
          </cell>
          <cell r="BW122">
            <v>734.09908913626816</v>
          </cell>
          <cell r="BX122">
            <v>734.00513774252647</v>
          </cell>
          <cell r="BY122">
            <v>734.65888645202483</v>
          </cell>
          <cell r="BZ122">
            <v>736.00495007193081</v>
          </cell>
          <cell r="CA122">
            <v>729.35523433333333</v>
          </cell>
          <cell r="CB122">
            <v>727.76634544444437</v>
          </cell>
          <cell r="CC122">
            <v>728.95801211111097</v>
          </cell>
          <cell r="CD122">
            <v>726.16089276954722</v>
          </cell>
          <cell r="CE122">
            <v>724.09689337921031</v>
          </cell>
          <cell r="CF122">
            <v>722.71170875852818</v>
          </cell>
          <cell r="CG122">
            <v>721.95505633197047</v>
          </cell>
          <cell r="CK122" t="str">
            <v>mstag:averageDilutedSharesOutstanding</v>
          </cell>
          <cell r="CL122">
            <v>6</v>
          </cell>
          <cell r="CM122" t="str">
            <v>ms_eqr_gcim_Decimal:ms_eqr_gcim_decimal</v>
          </cell>
          <cell r="CN122" t="b">
            <v>0</v>
          </cell>
          <cell r="CO122" t="b">
            <v>0</v>
          </cell>
          <cell r="CP122" t="b">
            <v>0</v>
          </cell>
          <cell r="CR122" t="str">
            <v>mstag:averageDilutedSharesOutstanding</v>
          </cell>
          <cell r="CS122">
            <v>6</v>
          </cell>
          <cell r="CT122" t="str">
            <v>ms_eqr_gcim_Decimal:ms_eqr_gcim_decimal</v>
          </cell>
          <cell r="CU122" t="b">
            <v>0</v>
          </cell>
          <cell r="CV122" t="b">
            <v>0</v>
          </cell>
        </row>
        <row r="123">
          <cell r="A123" t="str">
            <v>Net Income pre one-offs and converts interest</v>
          </cell>
          <cell r="C123">
            <v>213.19999999999979</v>
          </cell>
          <cell r="D123">
            <v>261.3</v>
          </cell>
          <cell r="K123">
            <v>199</v>
          </cell>
          <cell r="R123">
            <v>288</v>
          </cell>
          <cell r="Y123">
            <v>329</v>
          </cell>
          <cell r="AF123">
            <v>421.40000000000009</v>
          </cell>
          <cell r="AM123">
            <v>502</v>
          </cell>
          <cell r="BA123">
            <v>582</v>
          </cell>
          <cell r="BB123">
            <v>124</v>
          </cell>
          <cell r="BC123">
            <v>144</v>
          </cell>
          <cell r="BD123">
            <v>268</v>
          </cell>
          <cell r="BE123">
            <v>174</v>
          </cell>
          <cell r="BF123">
            <v>442</v>
          </cell>
          <cell r="BG123">
            <v>227</v>
          </cell>
          <cell r="BH123">
            <v>669</v>
          </cell>
          <cell r="BI123">
            <v>141</v>
          </cell>
          <cell r="BJ123">
            <v>162</v>
          </cell>
          <cell r="BK123">
            <v>303</v>
          </cell>
          <cell r="BL123">
            <v>186.38216756521672</v>
          </cell>
          <cell r="BM123">
            <v>489.38216756521666</v>
          </cell>
          <cell r="BN123">
            <v>255.91522756138545</v>
          </cell>
          <cell r="BO123">
            <v>745.29739512660194</v>
          </cell>
          <cell r="BP123">
            <v>849.07181663963092</v>
          </cell>
          <cell r="BQ123">
            <v>938.27095130486543</v>
          </cell>
          <cell r="BR123">
            <v>1019.1566559215805</v>
          </cell>
          <cell r="BS123">
            <v>1106.2729926044979</v>
          </cell>
        </row>
        <row r="124">
          <cell r="A124" t="str">
            <v>Free float</v>
          </cell>
          <cell r="C124">
            <v>446.802099</v>
          </cell>
          <cell r="D124">
            <v>721.64622899999995</v>
          </cell>
          <cell r="K124">
            <v>686.82152299999996</v>
          </cell>
          <cell r="R124">
            <v>741.29425900000001</v>
          </cell>
          <cell r="Y124">
            <v>749.72283900000002</v>
          </cell>
          <cell r="AF124">
            <v>756.53089699999998</v>
          </cell>
          <cell r="AM124">
            <v>758.09821099999999</v>
          </cell>
          <cell r="BA124">
            <v>754.54467599999998</v>
          </cell>
          <cell r="BB124">
            <v>748.9</v>
          </cell>
          <cell r="BC124">
            <v>746.7</v>
          </cell>
          <cell r="BD124">
            <v>747.8</v>
          </cell>
          <cell r="BE124">
            <v>740.4</v>
          </cell>
          <cell r="BF124">
            <v>745.4</v>
          </cell>
          <cell r="BG124">
            <v>736.7</v>
          </cell>
          <cell r="BH124">
            <v>743.25570800000003</v>
          </cell>
          <cell r="BI124">
            <v>736.4</v>
          </cell>
          <cell r="BJ124">
            <v>734.1</v>
          </cell>
          <cell r="BK124">
            <v>735.21914300000003</v>
          </cell>
          <cell r="BL124">
            <v>733.89350950000016</v>
          </cell>
          <cell r="BM124">
            <v>734.77726516666678</v>
          </cell>
          <cell r="BN124">
            <v>732.05162600000006</v>
          </cell>
          <cell r="BO124">
            <v>734.44969600000002</v>
          </cell>
          <cell r="BP124">
            <v>728.40005748352121</v>
          </cell>
          <cell r="BQ124">
            <v>723.55476134866717</v>
          </cell>
          <cell r="BR124">
            <v>718.81010682789235</v>
          </cell>
          <cell r="BS124">
            <v>714.16400349489436</v>
          </cell>
          <cell r="BV124">
            <v>595.93844550410938</v>
          </cell>
          <cell r="CK124" t="str">
            <v>mstag:currentBasicSharesOutstandingLegallyAndFreelyTradableInPublicMarkets</v>
          </cell>
          <cell r="CL124">
            <v>6</v>
          </cell>
          <cell r="CM124" t="str">
            <v>ms_eqr_gcim_Decimal:ms_eqr_gcim_decimal</v>
          </cell>
          <cell r="CN124" t="b">
            <v>0</v>
          </cell>
          <cell r="CO124" t="b">
            <v>0</v>
          </cell>
        </row>
        <row r="125">
          <cell r="A125" t="str">
            <v>EPS Reconciliation</v>
          </cell>
          <cell r="C125">
            <v>47.716875206532947</v>
          </cell>
          <cell r="D125">
            <v>36.208877632754877</v>
          </cell>
          <cell r="K125">
            <v>28.974048327836112</v>
          </cell>
          <cell r="R125">
            <v>38.850968627291095</v>
          </cell>
          <cell r="Y125">
            <v>43.882883498497769</v>
          </cell>
          <cell r="AF125">
            <v>55.701624569604334</v>
          </cell>
          <cell r="AM125">
            <v>66.218333286635328</v>
          </cell>
          <cell r="BA125">
            <v>77.132609706466212</v>
          </cell>
          <cell r="BB125">
            <v>16.557617839497933</v>
          </cell>
          <cell r="BC125">
            <v>19.284853354760948</v>
          </cell>
          <cell r="BD125">
            <v>35.838459481144689</v>
          </cell>
          <cell r="BE125">
            <v>23.500810372771475</v>
          </cell>
          <cell r="BF125">
            <v>59.297021733297562</v>
          </cell>
          <cell r="BG125">
            <v>30.813085380751996</v>
          </cell>
          <cell r="BH125">
            <v>90.009399564543941</v>
          </cell>
          <cell r="BI125">
            <v>19.147202607278654</v>
          </cell>
          <cell r="BJ125">
            <v>22.067838169186761</v>
          </cell>
          <cell r="BK125">
            <v>41.212202223630072</v>
          </cell>
          <cell r="BL125">
            <v>25.396350444930142</v>
          </cell>
          <cell r="BM125">
            <v>66.602791181108728</v>
          </cell>
          <cell r="BN125">
            <v>34.958631122743441</v>
          </cell>
          <cell r="BO125">
            <v>101.47698326865424</v>
          </cell>
          <cell r="BP125">
            <v>116.56668720936223</v>
          </cell>
          <cell r="BQ125">
            <v>129.6751816760875</v>
          </cell>
          <cell r="BR125">
            <v>141.78385170724951</v>
          </cell>
          <cell r="BS125">
            <v>154.90461395292192</v>
          </cell>
        </row>
        <row r="126">
          <cell r="A126" t="str">
            <v>EPS Reconciliation</v>
          </cell>
        </row>
        <row r="127">
          <cell r="A127" t="str">
            <v>EPS Reconciliation</v>
          </cell>
          <cell r="C127">
            <v>213.19999999999979</v>
          </cell>
          <cell r="D127">
            <v>261.3</v>
          </cell>
          <cell r="K127">
            <v>199</v>
          </cell>
          <cell r="R127">
            <v>288</v>
          </cell>
          <cell r="Y127">
            <v>329</v>
          </cell>
          <cell r="AF127">
            <v>421.40000000000009</v>
          </cell>
          <cell r="AM127">
            <v>502</v>
          </cell>
          <cell r="BA127">
            <v>578</v>
          </cell>
          <cell r="BB127">
            <v>124</v>
          </cell>
          <cell r="BC127">
            <v>144</v>
          </cell>
          <cell r="BD127">
            <v>268</v>
          </cell>
          <cell r="BE127">
            <v>174</v>
          </cell>
          <cell r="BF127">
            <v>442</v>
          </cell>
          <cell r="BG127">
            <v>225</v>
          </cell>
          <cell r="BH127">
            <v>667</v>
          </cell>
          <cell r="BI127">
            <v>141</v>
          </cell>
          <cell r="BJ127">
            <v>162</v>
          </cell>
          <cell r="BK127">
            <v>303</v>
          </cell>
          <cell r="BL127">
            <v>192</v>
          </cell>
          <cell r="BM127">
            <v>495</v>
          </cell>
          <cell r="BN127">
            <v>262.90376261972443</v>
          </cell>
          <cell r="BO127">
            <v>757.8501741029786</v>
          </cell>
          <cell r="BP127">
            <v>821.66365465717388</v>
          </cell>
          <cell r="BQ127">
            <v>912.04524169351612</v>
          </cell>
          <cell r="BR127">
            <v>982.15836936593576</v>
          </cell>
          <cell r="BS127">
            <v>1056.7395011463477</v>
          </cell>
          <cell r="BT127">
            <v>613</v>
          </cell>
          <cell r="BU127">
            <v>310.97001884463998</v>
          </cell>
          <cell r="BV127">
            <v>923.97001884463998</v>
          </cell>
          <cell r="BW127">
            <v>1006.4114852646742</v>
          </cell>
          <cell r="BX127">
            <v>1101.0936252949989</v>
          </cell>
          <cell r="BY127">
            <v>1109.8717420548228</v>
          </cell>
          <cell r="BZ127">
            <v>1202.7007413529659</v>
          </cell>
          <cell r="CA127">
            <v>687.89364682590997</v>
          </cell>
          <cell r="CB127">
            <v>361.8782021116607</v>
          </cell>
          <cell r="CC127">
            <v>1049.7718489375707</v>
          </cell>
          <cell r="CD127">
            <v>1156.2807917880964</v>
          </cell>
          <cell r="CE127">
            <v>1159.5463794207333</v>
          </cell>
          <cell r="CF127">
            <v>1257.8549734939252</v>
          </cell>
          <cell r="CG127">
            <v>1362.6282032152087</v>
          </cell>
        </row>
        <row r="128">
          <cell r="A128" t="str">
            <v>Net income pre one-offs and converts interest</v>
          </cell>
          <cell r="C128">
            <v>213.19999999999979</v>
          </cell>
          <cell r="D128">
            <v>261.3</v>
          </cell>
          <cell r="K128">
            <v>199</v>
          </cell>
          <cell r="R128">
            <v>288</v>
          </cell>
          <cell r="Y128">
            <v>329</v>
          </cell>
          <cell r="AF128">
            <v>421.40000000000009</v>
          </cell>
          <cell r="AM128">
            <v>502</v>
          </cell>
          <cell r="BA128">
            <v>578</v>
          </cell>
          <cell r="BB128">
            <v>124</v>
          </cell>
          <cell r="BC128">
            <v>144</v>
          </cell>
          <cell r="BD128">
            <v>268</v>
          </cell>
          <cell r="BE128">
            <v>174</v>
          </cell>
          <cell r="BF128">
            <v>442</v>
          </cell>
          <cell r="BG128">
            <v>227</v>
          </cell>
          <cell r="BH128">
            <v>669</v>
          </cell>
          <cell r="BI128">
            <v>141</v>
          </cell>
          <cell r="BJ128">
            <v>162</v>
          </cell>
          <cell r="BK128">
            <v>303</v>
          </cell>
          <cell r="BL128">
            <v>192</v>
          </cell>
          <cell r="BM128">
            <v>495</v>
          </cell>
          <cell r="BN128">
            <v>291.0535885167464</v>
          </cell>
          <cell r="BO128">
            <v>786</v>
          </cell>
          <cell r="BP128">
            <v>179</v>
          </cell>
          <cell r="BQ128">
            <v>216</v>
          </cell>
          <cell r="BR128">
            <v>395</v>
          </cell>
          <cell r="BS128">
            <v>218.03808977621858</v>
          </cell>
          <cell r="BT128">
            <v>613.03808977621861</v>
          </cell>
          <cell r="BU128">
            <v>297.03775466606544</v>
          </cell>
          <cell r="BV128">
            <v>910.0758444422836</v>
          </cell>
          <cell r="BW128">
            <v>987.0032838719726</v>
          </cell>
          <cell r="BX128">
            <v>1080.2862887798917</v>
          </cell>
          <cell r="BY128">
            <v>1089.866957684085</v>
          </cell>
          <cell r="BZ128">
            <v>1181.3604583249155</v>
          </cell>
          <cell r="CA128">
            <v>729.35523433333333</v>
          </cell>
          <cell r="CB128">
            <v>727.76634544444437</v>
          </cell>
          <cell r="CC128">
            <v>728.95801211111097</v>
          </cell>
          <cell r="CD128">
            <v>726.16089276954722</v>
          </cell>
          <cell r="CE128">
            <v>724.09689337921031</v>
          </cell>
          <cell r="CF128">
            <v>722.71170875852818</v>
          </cell>
          <cell r="CG128">
            <v>721.95505633197047</v>
          </cell>
        </row>
        <row r="129">
          <cell r="A129" t="str">
            <v>Diluted shares mn</v>
          </cell>
          <cell r="C129">
            <v>446.802099</v>
          </cell>
          <cell r="D129">
            <v>721.64622899999995</v>
          </cell>
          <cell r="K129">
            <v>686.82152299999996</v>
          </cell>
          <cell r="R129">
            <v>741.29425900000001</v>
          </cell>
          <cell r="Y129">
            <v>749.72283900000002</v>
          </cell>
          <cell r="AF129">
            <v>756.53089699999998</v>
          </cell>
          <cell r="AM129">
            <v>758.09821099999999</v>
          </cell>
          <cell r="BA129">
            <v>754.54467599999998</v>
          </cell>
          <cell r="BB129">
            <v>748.9</v>
          </cell>
          <cell r="BC129">
            <v>746.7</v>
          </cell>
          <cell r="BD129">
            <v>747.8</v>
          </cell>
          <cell r="BE129">
            <v>740.4</v>
          </cell>
          <cell r="BF129">
            <v>745.4</v>
          </cell>
          <cell r="BG129">
            <v>736.7</v>
          </cell>
          <cell r="BH129">
            <v>743.25570800000003</v>
          </cell>
          <cell r="BI129">
            <v>736.4</v>
          </cell>
          <cell r="BJ129">
            <v>734.1</v>
          </cell>
          <cell r="BK129">
            <v>735.21914300000003</v>
          </cell>
          <cell r="BL129">
            <v>732.7</v>
          </cell>
          <cell r="BM129">
            <v>734.4</v>
          </cell>
          <cell r="BN129">
            <v>729.8</v>
          </cell>
          <cell r="BO129">
            <v>734.19649600000002</v>
          </cell>
          <cell r="BP129">
            <v>736.9</v>
          </cell>
          <cell r="BQ129">
            <v>735.7</v>
          </cell>
          <cell r="BR129">
            <v>736.3</v>
          </cell>
          <cell r="BS129">
            <v>735.18074532075457</v>
          </cell>
          <cell r="BT129">
            <v>735.92691510691816</v>
          </cell>
          <cell r="BU129">
            <v>734.62036796226403</v>
          </cell>
          <cell r="BV129">
            <v>735.00055664150932</v>
          </cell>
          <cell r="BW129">
            <v>734.09908913626816</v>
          </cell>
          <cell r="BX129">
            <v>734.00513774252647</v>
          </cell>
          <cell r="BY129">
            <v>734.65888645202483</v>
          </cell>
          <cell r="BZ129">
            <v>736.00495007193081</v>
          </cell>
          <cell r="CA129">
            <v>94.315309528789314</v>
          </cell>
          <cell r="CB129">
            <v>49.724503527387341</v>
          </cell>
          <cell r="CC129">
            <v>144.00991984399232</v>
          </cell>
          <cell r="CD129">
            <v>159.23203842306762</v>
          </cell>
          <cell r="CE129">
            <v>160.13690847496534</v>
          </cell>
          <cell r="CF129">
            <v>174.04657462304911</v>
          </cell>
          <cell r="CG129">
            <v>188.74141697106461</v>
          </cell>
        </row>
        <row r="130">
          <cell r="A130" t="str">
            <v>Diluted EPS (RB Definition) (p)</v>
          </cell>
          <cell r="C130">
            <v>47.716875206532947</v>
          </cell>
          <cell r="D130">
            <v>36.208877632754877</v>
          </cell>
          <cell r="K130">
            <v>28.974048327836112</v>
          </cell>
          <cell r="R130">
            <v>38.850968627291095</v>
          </cell>
          <cell r="Y130">
            <v>43.882883498497769</v>
          </cell>
          <cell r="AF130">
            <v>55.701624569604334</v>
          </cell>
          <cell r="AM130">
            <v>66.218333286635328</v>
          </cell>
          <cell r="BA130">
            <v>76.602488677555797</v>
          </cell>
          <cell r="BB130">
            <v>16.557617839497933</v>
          </cell>
          <cell r="BC130">
            <v>19.284853354760948</v>
          </cell>
          <cell r="BD130">
            <v>35.838459481144689</v>
          </cell>
          <cell r="BE130">
            <v>23.500810372771475</v>
          </cell>
          <cell r="BF130">
            <v>59.297021733297562</v>
          </cell>
          <cell r="BG130">
            <v>30.813085380751996</v>
          </cell>
          <cell r="BH130">
            <v>90.009399564543941</v>
          </cell>
          <cell r="BI130">
            <v>19.147202607278654</v>
          </cell>
          <cell r="BJ130">
            <v>22.067838169186761</v>
          </cell>
          <cell r="BK130">
            <v>41.212202223630072</v>
          </cell>
          <cell r="BL130">
            <v>26.204449297120235</v>
          </cell>
          <cell r="BM130">
            <v>67.401960784313729</v>
          </cell>
          <cell r="BN130">
            <v>39.881280969682983</v>
          </cell>
          <cell r="BO130">
            <v>107.05580921214313</v>
          </cell>
          <cell r="BP130">
            <v>24.290948568326776</v>
          </cell>
          <cell r="BQ130">
            <v>29.359793394046484</v>
          </cell>
          <cell r="BR130">
            <v>53.64661143555616</v>
          </cell>
          <cell r="BS130">
            <v>29.657753030663226</v>
          </cell>
          <cell r="BT130">
            <v>83.301490568143464</v>
          </cell>
          <cell r="BU130">
            <v>40.434184460472743</v>
          </cell>
          <cell r="BV130">
            <v>123.81974900818555</v>
          </cell>
          <cell r="BW130">
            <v>134.45096152254709</v>
          </cell>
          <cell r="BX130">
            <v>147.1769383116816</v>
          </cell>
          <cell r="BY130">
            <v>148.3500680087746</v>
          </cell>
          <cell r="BZ130">
            <v>160.50985230594705</v>
          </cell>
        </row>
        <row r="131">
          <cell r="A131" t="str">
            <v>Diluted EPS (RB Definition) (p)</v>
          </cell>
          <cell r="C131">
            <v>47.716875206532947</v>
          </cell>
          <cell r="D131">
            <v>36.208877632754877</v>
          </cell>
          <cell r="K131">
            <v>28.974048327836112</v>
          </cell>
          <cell r="R131">
            <v>38.850968627291095</v>
          </cell>
          <cell r="Y131">
            <v>43.882883498497769</v>
          </cell>
          <cell r="AF131">
            <v>55.701624569604334</v>
          </cell>
          <cell r="AM131">
            <v>66.218333286635328</v>
          </cell>
          <cell r="BA131">
            <v>76.602488677555797</v>
          </cell>
          <cell r="BB131">
            <v>16.557617839497933</v>
          </cell>
          <cell r="BC131">
            <v>19.284853354760948</v>
          </cell>
          <cell r="BD131">
            <v>35.838459481144689</v>
          </cell>
          <cell r="BE131">
            <v>23.500810372771475</v>
          </cell>
          <cell r="BF131">
            <v>59.297021733297562</v>
          </cell>
          <cell r="BG131">
            <v>30.813085380751996</v>
          </cell>
          <cell r="BH131">
            <v>90.009399564543941</v>
          </cell>
          <cell r="BI131">
            <v>19.147202607278654</v>
          </cell>
          <cell r="BJ131">
            <v>22.067838169186761</v>
          </cell>
          <cell r="BK131">
            <v>41.212202223630072</v>
          </cell>
          <cell r="BL131">
            <v>26.204449297120235</v>
          </cell>
          <cell r="BM131">
            <v>67.401960784313729</v>
          </cell>
          <cell r="BN131">
            <v>39.881280969682983</v>
          </cell>
          <cell r="BO131">
            <v>107.05580921214313</v>
          </cell>
          <cell r="BP131">
            <v>24.290948568326776</v>
          </cell>
          <cell r="BQ131">
            <v>29.359793394046484</v>
          </cell>
          <cell r="BR131">
            <v>53.64661143555616</v>
          </cell>
          <cell r="BS131">
            <v>29.797703663203933</v>
          </cell>
          <cell r="BT131">
            <v>83.435415815979312</v>
          </cell>
          <cell r="BU131">
            <v>42.349349058928873</v>
          </cell>
          <cell r="BV131">
            <v>125.67862379245689</v>
          </cell>
          <cell r="BW131">
            <v>137.06835997302196</v>
          </cell>
          <cell r="BX131">
            <v>149.98664615736993</v>
          </cell>
          <cell r="BY131">
            <v>151.12798764246219</v>
          </cell>
          <cell r="BZ131">
            <v>163.47013609702151</v>
          </cell>
          <cell r="CA131">
            <v>687.89364682590997</v>
          </cell>
          <cell r="CB131">
            <v>361.8782021116607</v>
          </cell>
          <cell r="CC131">
            <v>1049.7718489375707</v>
          </cell>
          <cell r="CD131">
            <v>1156.2807917880964</v>
          </cell>
          <cell r="CE131">
            <v>1159.5463794207333</v>
          </cell>
          <cell r="CF131">
            <v>1257.8549734939252</v>
          </cell>
          <cell r="CG131">
            <v>1362.6282032152087</v>
          </cell>
        </row>
        <row r="132">
          <cell r="A132" t="str">
            <v>Net income pre one-offs and converts interest</v>
          </cell>
          <cell r="C132">
            <v>213.19999999999979</v>
          </cell>
          <cell r="D132">
            <v>261.3</v>
          </cell>
          <cell r="K132">
            <v>199</v>
          </cell>
          <cell r="R132">
            <v>288</v>
          </cell>
          <cell r="Y132">
            <v>329</v>
          </cell>
          <cell r="AF132">
            <v>421.40000000000009</v>
          </cell>
          <cell r="AM132">
            <v>502</v>
          </cell>
          <cell r="BA132">
            <v>578</v>
          </cell>
          <cell r="BB132">
            <v>124</v>
          </cell>
          <cell r="BC132">
            <v>144</v>
          </cell>
          <cell r="BD132">
            <v>268</v>
          </cell>
          <cell r="BE132">
            <v>174</v>
          </cell>
          <cell r="BF132">
            <v>442</v>
          </cell>
          <cell r="BG132">
            <v>227</v>
          </cell>
          <cell r="BH132">
            <v>669</v>
          </cell>
          <cell r="BI132">
            <v>141</v>
          </cell>
          <cell r="BJ132">
            <v>162</v>
          </cell>
          <cell r="BK132">
            <v>303</v>
          </cell>
          <cell r="BL132">
            <v>192</v>
          </cell>
          <cell r="BM132">
            <v>495</v>
          </cell>
          <cell r="BN132">
            <v>291.0535885167464</v>
          </cell>
          <cell r="BO132">
            <v>786</v>
          </cell>
          <cell r="BP132">
            <v>179</v>
          </cell>
          <cell r="BQ132">
            <v>216</v>
          </cell>
          <cell r="BR132">
            <v>395</v>
          </cell>
          <cell r="BS132">
            <v>218.03808977621858</v>
          </cell>
          <cell r="BT132">
            <v>613.03808977621861</v>
          </cell>
          <cell r="BU132">
            <v>297.03775466606544</v>
          </cell>
          <cell r="BV132">
            <v>910.0758444422836</v>
          </cell>
          <cell r="BW132">
            <v>987.0032838719726</v>
          </cell>
          <cell r="BX132">
            <v>1080.2862887798917</v>
          </cell>
          <cell r="BY132">
            <v>1089.866957684085</v>
          </cell>
          <cell r="BZ132">
            <v>1181.3604583249155</v>
          </cell>
          <cell r="CA132">
            <v>0</v>
          </cell>
          <cell r="CB132">
            <v>0</v>
          </cell>
          <cell r="CC132">
            <v>0</v>
          </cell>
          <cell r="CD132">
            <v>0</v>
          </cell>
          <cell r="CE132">
            <v>0</v>
          </cell>
          <cell r="CF132">
            <v>0</v>
          </cell>
          <cell r="CG132">
            <v>0</v>
          </cell>
        </row>
        <row r="133">
          <cell r="A133" t="str">
            <v>Goodwill amortisation / impairment</v>
          </cell>
          <cell r="C133">
            <v>2.7</v>
          </cell>
          <cell r="D133">
            <v>2.8</v>
          </cell>
          <cell r="K133">
            <v>3</v>
          </cell>
          <cell r="R133">
            <v>4</v>
          </cell>
          <cell r="Y133">
            <v>2</v>
          </cell>
          <cell r="AF133">
            <v>4</v>
          </cell>
          <cell r="AM133">
            <v>7</v>
          </cell>
          <cell r="BA133">
            <v>3</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cell r="BR133">
            <v>0</v>
          </cell>
          <cell r="BS133">
            <v>0</v>
          </cell>
          <cell r="BT133">
            <v>0</v>
          </cell>
          <cell r="BU133">
            <v>0</v>
          </cell>
          <cell r="BV133">
            <v>0</v>
          </cell>
          <cell r="BW133">
            <v>0</v>
          </cell>
          <cell r="BX133">
            <v>0</v>
          </cell>
          <cell r="BY133">
            <v>0</v>
          </cell>
          <cell r="BZ133">
            <v>0</v>
          </cell>
          <cell r="CA133">
            <v>9</v>
          </cell>
          <cell r="CB133">
            <v>9</v>
          </cell>
          <cell r="CC133">
            <v>9</v>
          </cell>
          <cell r="CD133">
            <v>9</v>
          </cell>
          <cell r="CE133">
            <v>9</v>
          </cell>
          <cell r="CF133">
            <v>9</v>
          </cell>
          <cell r="CG133">
            <v>9</v>
          </cell>
        </row>
        <row r="134">
          <cell r="A134" t="str">
            <v>Other intangibles amortisation</v>
          </cell>
          <cell r="C134">
            <v>0</v>
          </cell>
          <cell r="D134">
            <v>0</v>
          </cell>
          <cell r="K134">
            <v>0</v>
          </cell>
          <cell r="R134">
            <v>1</v>
          </cell>
          <cell r="Y134">
            <v>2</v>
          </cell>
          <cell r="AF134">
            <v>3</v>
          </cell>
          <cell r="AM134">
            <v>2</v>
          </cell>
          <cell r="BA134">
            <v>9</v>
          </cell>
          <cell r="BB134">
            <v>-2.25</v>
          </cell>
          <cell r="BC134">
            <v>-2.25</v>
          </cell>
          <cell r="BD134">
            <v>-4.5</v>
          </cell>
          <cell r="BE134">
            <v>-2.25</v>
          </cell>
          <cell r="BF134">
            <v>-6.75</v>
          </cell>
          <cell r="BG134">
            <v>-2.25</v>
          </cell>
          <cell r="BH134">
            <v>9</v>
          </cell>
          <cell r="BI134">
            <v>2.25</v>
          </cell>
          <cell r="BJ134">
            <v>2.25</v>
          </cell>
          <cell r="BK134">
            <v>4.5</v>
          </cell>
          <cell r="BL134">
            <v>2.25</v>
          </cell>
          <cell r="BM134">
            <v>6.75</v>
          </cell>
          <cell r="BN134">
            <v>2.25</v>
          </cell>
          <cell r="BO134">
            <v>9</v>
          </cell>
          <cell r="BP134">
            <v>2.25</v>
          </cell>
          <cell r="BQ134">
            <v>2.25</v>
          </cell>
          <cell r="BR134">
            <v>4.5</v>
          </cell>
          <cell r="BS134">
            <v>2.25</v>
          </cell>
          <cell r="BT134">
            <v>6.75</v>
          </cell>
          <cell r="BU134">
            <v>2.25</v>
          </cell>
          <cell r="BV134">
            <v>9</v>
          </cell>
          <cell r="BW134">
            <v>9</v>
          </cell>
          <cell r="BX134">
            <v>9</v>
          </cell>
          <cell r="BY134">
            <v>9</v>
          </cell>
          <cell r="BZ134">
            <v>9</v>
          </cell>
          <cell r="CA134">
            <v>696.89364682590997</v>
          </cell>
          <cell r="CB134">
            <v>370.8782021116607</v>
          </cell>
          <cell r="CC134">
            <v>1058.7718489375707</v>
          </cell>
          <cell r="CD134">
            <v>1165.2807917880964</v>
          </cell>
          <cell r="CE134">
            <v>1168.5463794207333</v>
          </cell>
          <cell r="CF134">
            <v>1266.8549734939252</v>
          </cell>
          <cell r="CG134">
            <v>1371.6282032152087</v>
          </cell>
        </row>
        <row r="135">
          <cell r="A135" t="str">
            <v>ModelWare Net Income</v>
          </cell>
          <cell r="C135">
            <v>215.89999999999978</v>
          </cell>
          <cell r="D135">
            <v>264.10000000000002</v>
          </cell>
          <cell r="K135">
            <v>202</v>
          </cell>
          <cell r="R135">
            <v>293</v>
          </cell>
          <cell r="Y135">
            <v>333</v>
          </cell>
          <cell r="AF135">
            <v>428.40000000000009</v>
          </cell>
          <cell r="AM135">
            <v>511</v>
          </cell>
          <cell r="BA135">
            <v>590</v>
          </cell>
          <cell r="BB135">
            <v>121.75</v>
          </cell>
          <cell r="BC135">
            <v>141.75</v>
          </cell>
          <cell r="BD135">
            <v>263.5</v>
          </cell>
          <cell r="BE135">
            <v>171.75</v>
          </cell>
          <cell r="BF135">
            <v>435.25</v>
          </cell>
          <cell r="BG135">
            <v>224.75</v>
          </cell>
          <cell r="BH135">
            <v>678</v>
          </cell>
          <cell r="BI135">
            <v>143.25</v>
          </cell>
          <cell r="BJ135">
            <v>164.25</v>
          </cell>
          <cell r="BK135">
            <v>307.5</v>
          </cell>
          <cell r="BL135">
            <v>194.25</v>
          </cell>
          <cell r="BM135">
            <v>501.75</v>
          </cell>
          <cell r="BN135">
            <v>293.3035885167464</v>
          </cell>
          <cell r="BO135">
            <v>795</v>
          </cell>
          <cell r="BP135">
            <v>181.25</v>
          </cell>
          <cell r="BQ135">
            <v>218.25</v>
          </cell>
          <cell r="BR135">
            <v>399.5</v>
          </cell>
          <cell r="BS135">
            <v>220.28808977621858</v>
          </cell>
          <cell r="BT135">
            <v>619.78808977621861</v>
          </cell>
          <cell r="BU135">
            <v>299.28775466606544</v>
          </cell>
          <cell r="BV135">
            <v>919.0758444422836</v>
          </cell>
          <cell r="BW135">
            <v>996.0032838719726</v>
          </cell>
          <cell r="BX135">
            <v>1089.2862887798917</v>
          </cell>
          <cell r="BY135">
            <v>1098.866957684085</v>
          </cell>
          <cell r="BZ135">
            <v>1190.3604583249155</v>
          </cell>
          <cell r="CA135">
            <v>729.35523433333333</v>
          </cell>
          <cell r="CB135">
            <v>727.76634544444437</v>
          </cell>
          <cell r="CC135">
            <v>728.95801211111097</v>
          </cell>
          <cell r="CD135">
            <v>726.16089276954722</v>
          </cell>
          <cell r="CE135">
            <v>724.09689337921031</v>
          </cell>
          <cell r="CF135">
            <v>722.71170875852818</v>
          </cell>
          <cell r="CG135">
            <v>721.95505633197047</v>
          </cell>
        </row>
        <row r="136">
          <cell r="A136" t="str">
            <v>Diluted shares mn</v>
          </cell>
          <cell r="C136">
            <v>446.802099</v>
          </cell>
          <cell r="D136">
            <v>721.64622899999995</v>
          </cell>
          <cell r="K136">
            <v>686.82152299999996</v>
          </cell>
          <cell r="R136">
            <v>741.29425900000001</v>
          </cell>
          <cell r="Y136">
            <v>749.72283900000002</v>
          </cell>
          <cell r="AF136">
            <v>756.53089699999998</v>
          </cell>
          <cell r="AM136">
            <v>758.09821099999999</v>
          </cell>
          <cell r="BA136">
            <v>754.54467599999998</v>
          </cell>
          <cell r="BB136">
            <v>748.9</v>
          </cell>
          <cell r="BC136">
            <v>746.7</v>
          </cell>
          <cell r="BD136">
            <v>747.8</v>
          </cell>
          <cell r="BE136">
            <v>740.4</v>
          </cell>
          <cell r="BF136">
            <v>745.4</v>
          </cell>
          <cell r="BG136">
            <v>736.7</v>
          </cell>
          <cell r="BH136">
            <v>743.25570800000003</v>
          </cell>
          <cell r="BI136">
            <v>736.4</v>
          </cell>
          <cell r="BJ136">
            <v>734.1</v>
          </cell>
          <cell r="BK136">
            <v>735.21914300000003</v>
          </cell>
          <cell r="BL136">
            <v>732.7</v>
          </cell>
          <cell r="BM136">
            <v>734.4</v>
          </cell>
          <cell r="BN136">
            <v>729.8</v>
          </cell>
          <cell r="BO136">
            <v>734.19649600000002</v>
          </cell>
          <cell r="BP136">
            <v>736.9</v>
          </cell>
          <cell r="BQ136">
            <v>735.7</v>
          </cell>
          <cell r="BR136">
            <v>736.3</v>
          </cell>
          <cell r="BS136">
            <v>735.18074532075457</v>
          </cell>
          <cell r="BT136">
            <v>735.92691510691816</v>
          </cell>
          <cell r="BU136">
            <v>734.62036796226403</v>
          </cell>
          <cell r="BV136">
            <v>735.00055664150932</v>
          </cell>
          <cell r="BW136">
            <v>734.09908913626816</v>
          </cell>
          <cell r="BX136">
            <v>734.00513774252647</v>
          </cell>
          <cell r="BY136">
            <v>734.65888645202483</v>
          </cell>
          <cell r="BZ136">
            <v>736.00495007193081</v>
          </cell>
          <cell r="CA136">
            <v>95.549276130568273</v>
          </cell>
          <cell r="CB136">
            <v>50.961164174906536</v>
          </cell>
          <cell r="CC136">
            <v>145.24455885618116</v>
          </cell>
          <cell r="CD136">
            <v>160.47143317560992</v>
          </cell>
          <cell r="CE136">
            <v>161.37983605583076</v>
          </cell>
          <cell r="CF136">
            <v>175.29188445972801</v>
          </cell>
          <cell r="CG136">
            <v>189.98803196753354</v>
          </cell>
        </row>
        <row r="137">
          <cell r="A137" t="str">
            <v>ModelWare EPS (diluted) (p)</v>
          </cell>
          <cell r="C137">
            <v>48.321169592356767</v>
          </cell>
          <cell r="D137">
            <v>36.596879383125</v>
          </cell>
          <cell r="K137">
            <v>29.410843026245704</v>
          </cell>
          <cell r="R137">
            <v>39.525464610403787</v>
          </cell>
          <cell r="Y137">
            <v>44.416413996959747</v>
          </cell>
          <cell r="AF137">
            <v>56.626900725245612</v>
          </cell>
          <cell r="AM137">
            <v>67.405514560698521</v>
          </cell>
          <cell r="BA137">
            <v>78.192851764287056</v>
          </cell>
          <cell r="BB137">
            <v>16.25717719321672</v>
          </cell>
          <cell r="BC137">
            <v>18.983527521092807</v>
          </cell>
          <cell r="BD137">
            <v>35.236694303289653</v>
          </cell>
          <cell r="BE137">
            <v>23.196920583468398</v>
          </cell>
          <cell r="BF137">
            <v>58.391467668365983</v>
          </cell>
          <cell r="BG137">
            <v>30.507669336229128</v>
          </cell>
          <cell r="BH137">
            <v>91.220288347923457</v>
          </cell>
          <cell r="BI137">
            <v>19.45274307441608</v>
          </cell>
          <cell r="BJ137">
            <v>22.374335921536577</v>
          </cell>
          <cell r="BK137">
            <v>41.824264632891911</v>
          </cell>
          <cell r="BL137">
            <v>26.511532687320866</v>
          </cell>
          <cell r="BM137">
            <v>68.321078431372555</v>
          </cell>
          <cell r="BN137">
            <v>40.189584614517187</v>
          </cell>
          <cell r="BO137">
            <v>108.28163908861804</v>
          </cell>
          <cell r="BP137">
            <v>24.596281720721944</v>
          </cell>
          <cell r="BQ137">
            <v>29.665624575234467</v>
          </cell>
          <cell r="BR137">
            <v>54.257775363303004</v>
          </cell>
          <cell r="BS137">
            <v>29.963800218966334</v>
          </cell>
          <cell r="BT137">
            <v>84.218701212493841</v>
          </cell>
          <cell r="BU137">
            <v>40.740465105296295</v>
          </cell>
          <cell r="BV137">
            <v>125.04423787675518</v>
          </cell>
          <cell r="BW137">
            <v>135.67695405314529</v>
          </cell>
          <cell r="BX137">
            <v>148.40308776721264</v>
          </cell>
          <cell r="BY137">
            <v>149.57512635435111</v>
          </cell>
          <cell r="BZ137">
            <v>161.73267016866936</v>
          </cell>
          <cell r="CA137">
            <v>1.3083417824147596E-2</v>
          </cell>
          <cell r="CB137">
            <v>2.4870246252696408E-2</v>
          </cell>
          <cell r="CC137">
            <v>8.5732914338563313E-3</v>
          </cell>
          <cell r="CD137">
            <v>7.7835765014156056E-3</v>
          </cell>
          <cell r="CE137">
            <v>7.7616559024538505E-3</v>
          </cell>
          <cell r="CF137">
            <v>7.1550378935982921E-3</v>
          </cell>
          <cell r="CG137">
            <v>6.604883106605319E-3</v>
          </cell>
        </row>
        <row r="138">
          <cell r="A138" t="str">
            <v>Difference versus RB Definition %</v>
          </cell>
          <cell r="C138">
            <v>1.2664165103189448E-2</v>
          </cell>
          <cell r="D138">
            <v>1.0715652506697215E-2</v>
          </cell>
          <cell r="K138">
            <v>1.5075376884422202E-2</v>
          </cell>
          <cell r="R138">
            <v>1.7361111111111095E-2</v>
          </cell>
          <cell r="Y138">
            <v>1.2158054711246183E-2</v>
          </cell>
          <cell r="AF138">
            <v>1.6611295681063301E-2</v>
          </cell>
          <cell r="AM138">
            <v>1.7928286852589782E-2</v>
          </cell>
          <cell r="BA138">
            <v>2.0761245674740438E-2</v>
          </cell>
          <cell r="BB138">
            <v>-1.8145161290322641E-2</v>
          </cell>
          <cell r="BC138">
            <v>-1.5625000000000062E-2</v>
          </cell>
          <cell r="BD138">
            <v>-1.679104477611925E-2</v>
          </cell>
          <cell r="BE138">
            <v>-1.2931034482758555E-2</v>
          </cell>
          <cell r="BF138">
            <v>-1.5271493212669655E-2</v>
          </cell>
          <cell r="BG138">
            <v>-9.9118942731276222E-3</v>
          </cell>
          <cell r="BH138">
            <v>1.3452914798206296E-2</v>
          </cell>
          <cell r="BI138">
            <v>1.5957446808510686E-2</v>
          </cell>
          <cell r="BJ138">
            <v>1.3888888888888904E-2</v>
          </cell>
          <cell r="BK138">
            <v>1.4851485148514991E-2</v>
          </cell>
          <cell r="BL138">
            <v>1.1718750000000137E-2</v>
          </cell>
          <cell r="BM138">
            <v>1.3636363636363672E-2</v>
          </cell>
          <cell r="BN138">
            <v>7.7305351618111515E-3</v>
          </cell>
          <cell r="BO138">
            <v>1.1450381679389153E-2</v>
          </cell>
          <cell r="BP138">
            <v>1.2569832402234584E-2</v>
          </cell>
          <cell r="BQ138">
            <v>1.0416666666666633E-2</v>
          </cell>
          <cell r="BR138">
            <v>1.1392405063291172E-2</v>
          </cell>
          <cell r="BS138">
            <v>1.0319297891066958E-2</v>
          </cell>
          <cell r="BT138">
            <v>1.1010735079224865E-2</v>
          </cell>
          <cell r="BU138">
            <v>7.574794667194607E-3</v>
          </cell>
          <cell r="BV138">
            <v>9.8892856622466024E-3</v>
          </cell>
          <cell r="BW138">
            <v>9.1185106950135812E-3</v>
          </cell>
          <cell r="BX138">
            <v>8.3311249003861273E-3</v>
          </cell>
          <cell r="BY138">
            <v>8.2578886684706761E-3</v>
          </cell>
          <cell r="BZ138">
            <v>7.6183352308586113E-3</v>
          </cell>
        </row>
        <row r="139">
          <cell r="A139" t="str">
            <v>Difference versus RB Definition %</v>
          </cell>
          <cell r="C139">
            <v>1.2664165103189448E-2</v>
          </cell>
          <cell r="D139">
            <v>1.0715652506697215E-2</v>
          </cell>
          <cell r="K139">
            <v>1.5075376884422202E-2</v>
          </cell>
          <cell r="R139">
            <v>1.7361111111111095E-2</v>
          </cell>
          <cell r="Y139">
            <v>1.2158054711246183E-2</v>
          </cell>
          <cell r="AF139">
            <v>1.6611295681063301E-2</v>
          </cell>
          <cell r="AM139">
            <v>1.7928286852589782E-2</v>
          </cell>
          <cell r="BA139">
            <v>2.0761245674740438E-2</v>
          </cell>
          <cell r="BB139">
            <v>-1.8145161290322641E-2</v>
          </cell>
          <cell r="BC139">
            <v>-1.5625000000000062E-2</v>
          </cell>
          <cell r="BD139">
            <v>-1.679104477611925E-2</v>
          </cell>
          <cell r="BE139">
            <v>-1.2931034482758555E-2</v>
          </cell>
          <cell r="BF139">
            <v>-1.5271493212669655E-2</v>
          </cell>
          <cell r="BG139">
            <v>-9.9118942731276222E-3</v>
          </cell>
          <cell r="BH139">
            <v>1.3452914798206296E-2</v>
          </cell>
          <cell r="BI139">
            <v>1.5957446808510686E-2</v>
          </cell>
          <cell r="BJ139">
            <v>1.3888888888888904E-2</v>
          </cell>
          <cell r="BK139">
            <v>1.4851485148514991E-2</v>
          </cell>
          <cell r="BL139">
            <v>1.1718750000000137E-2</v>
          </cell>
          <cell r="BM139">
            <v>1.3636363636363672E-2</v>
          </cell>
          <cell r="BN139">
            <v>7.7305351618111515E-3</v>
          </cell>
          <cell r="BO139">
            <v>1.1450381679389153E-2</v>
          </cell>
          <cell r="BP139">
            <v>1.2569832402234584E-2</v>
          </cell>
          <cell r="BQ139">
            <v>1.0416666666666633E-2</v>
          </cell>
          <cell r="BR139">
            <v>1.1392405063291172E-2</v>
          </cell>
          <cell r="BS139">
            <v>1.0321100917431238E-2</v>
          </cell>
          <cell r="BT139">
            <v>1.1011419249592029E-2</v>
          </cell>
          <cell r="BU139">
            <v>7.2408130581975887E-3</v>
          </cell>
          <cell r="BV139">
            <v>9.7430162076862347E-3</v>
          </cell>
          <cell r="BW139">
            <v>8.9443875365509493E-3</v>
          </cell>
          <cell r="BX139">
            <v>8.1750574930821752E-3</v>
          </cell>
          <cell r="BY139">
            <v>8.1060984446820143E-3</v>
          </cell>
          <cell r="BZ139">
            <v>7.4803746538546949E-3</v>
          </cell>
          <cell r="CA139">
            <v>1</v>
          </cell>
          <cell r="CB139">
            <v>1</v>
          </cell>
          <cell r="CC139">
            <v>1</v>
          </cell>
          <cell r="CD139">
            <v>1</v>
          </cell>
          <cell r="CE139">
            <v>1</v>
          </cell>
          <cell r="CF139">
            <v>1</v>
          </cell>
          <cell r="CG139">
            <v>1</v>
          </cell>
        </row>
        <row r="140">
          <cell r="A140" t="str">
            <v>Diluted EPS (RB Definition) (p)</v>
          </cell>
          <cell r="C140">
            <v>1</v>
          </cell>
          <cell r="D140">
            <v>1</v>
          </cell>
          <cell r="K140">
            <v>1</v>
          </cell>
          <cell r="R140">
            <v>1</v>
          </cell>
          <cell r="Y140">
            <v>1</v>
          </cell>
          <cell r="AF140">
            <v>1</v>
          </cell>
          <cell r="AM140">
            <v>1</v>
          </cell>
          <cell r="BA140">
            <v>1</v>
          </cell>
          <cell r="BB140">
            <v>1</v>
          </cell>
          <cell r="BC140">
            <v>1</v>
          </cell>
          <cell r="BD140">
            <v>1</v>
          </cell>
          <cell r="BE140">
            <v>1</v>
          </cell>
          <cell r="BF140">
            <v>1</v>
          </cell>
          <cell r="BG140">
            <v>1</v>
          </cell>
          <cell r="BH140">
            <v>1</v>
          </cell>
          <cell r="BI140">
            <v>1</v>
          </cell>
          <cell r="BJ140">
            <v>1</v>
          </cell>
          <cell r="BK140">
            <v>1</v>
          </cell>
          <cell r="BL140">
            <v>1</v>
          </cell>
          <cell r="BM140">
            <v>1</v>
          </cell>
          <cell r="BN140">
            <v>1</v>
          </cell>
          <cell r="BO140">
            <v>1</v>
          </cell>
          <cell r="BP140">
            <v>1</v>
          </cell>
          <cell r="BQ140">
            <v>1</v>
          </cell>
          <cell r="BR140">
            <v>1</v>
          </cell>
          <cell r="BS140">
            <v>1</v>
          </cell>
          <cell r="BT140">
            <v>1</v>
          </cell>
          <cell r="BU140">
            <v>1</v>
          </cell>
          <cell r="BV140">
            <v>1</v>
          </cell>
          <cell r="BW140">
            <v>1</v>
          </cell>
          <cell r="BX140">
            <v>1</v>
          </cell>
          <cell r="BY140">
            <v>1</v>
          </cell>
          <cell r="BZ140">
            <v>1</v>
          </cell>
          <cell r="CA140">
            <v>0</v>
          </cell>
          <cell r="CB140">
            <v>0</v>
          </cell>
          <cell r="CC140">
            <v>0</v>
          </cell>
          <cell r="CD140">
            <v>0</v>
          </cell>
          <cell r="CE140">
            <v>0</v>
          </cell>
          <cell r="CF140">
            <v>0</v>
          </cell>
          <cell r="CG140">
            <v>0</v>
          </cell>
        </row>
        <row r="141">
          <cell r="A141" t="str">
            <v>Goodwill amortisation / impairment</v>
          </cell>
          <cell r="C141">
            <v>1.2664165103189507E-2</v>
          </cell>
          <cell r="D141">
            <v>1.0715652506697282E-2</v>
          </cell>
          <cell r="K141">
            <v>1.507537688442211E-2</v>
          </cell>
          <cell r="R141">
            <v>1.3888888888888888E-2</v>
          </cell>
          <cell r="Y141">
            <v>6.0790273556231003E-3</v>
          </cell>
          <cell r="AF141">
            <v>9.4921689606074968E-3</v>
          </cell>
          <cell r="AM141">
            <v>1.3944223107569721E-2</v>
          </cell>
          <cell r="BA141">
            <v>5.1903114186851208E-3</v>
          </cell>
          <cell r="BB141">
            <v>0</v>
          </cell>
          <cell r="BC141">
            <v>0</v>
          </cell>
          <cell r="BD141">
            <v>0</v>
          </cell>
          <cell r="BE141">
            <v>0</v>
          </cell>
          <cell r="BF141">
            <v>0</v>
          </cell>
          <cell r="BG141">
            <v>0</v>
          </cell>
          <cell r="BH141">
            <v>0</v>
          </cell>
          <cell r="BI141">
            <v>0</v>
          </cell>
          <cell r="BJ141">
            <v>0</v>
          </cell>
          <cell r="BK141">
            <v>0</v>
          </cell>
          <cell r="BL141">
            <v>0</v>
          </cell>
          <cell r="BM141">
            <v>0</v>
          </cell>
          <cell r="BN141">
            <v>0</v>
          </cell>
          <cell r="BO141">
            <v>0</v>
          </cell>
          <cell r="BP141">
            <v>0</v>
          </cell>
          <cell r="BQ141">
            <v>0</v>
          </cell>
          <cell r="BR141">
            <v>0</v>
          </cell>
          <cell r="BS141">
            <v>0</v>
          </cell>
          <cell r="BT141">
            <v>0</v>
          </cell>
          <cell r="BU141">
            <v>0</v>
          </cell>
          <cell r="BV141">
            <v>0</v>
          </cell>
          <cell r="BW141">
            <v>0</v>
          </cell>
          <cell r="BX141">
            <v>0</v>
          </cell>
          <cell r="BY141">
            <v>0</v>
          </cell>
          <cell r="BZ141">
            <v>0</v>
          </cell>
          <cell r="CA141">
            <v>1.3083417824147594E-2</v>
          </cell>
          <cell r="CB141">
            <v>2.487024625269629E-2</v>
          </cell>
          <cell r="CC141">
            <v>8.5732914338563348E-3</v>
          </cell>
          <cell r="CD141">
            <v>7.7835765014155562E-3</v>
          </cell>
          <cell r="CE141">
            <v>7.7616559024539138E-3</v>
          </cell>
          <cell r="CF141">
            <v>7.1550378935982045E-3</v>
          </cell>
          <cell r="CG141">
            <v>6.6048831066052522E-3</v>
          </cell>
        </row>
        <row r="142">
          <cell r="A142" t="str">
            <v>Other intangibles amortisation</v>
          </cell>
          <cell r="C142">
            <v>0</v>
          </cell>
          <cell r="D142">
            <v>0</v>
          </cell>
          <cell r="K142">
            <v>0</v>
          </cell>
          <cell r="R142">
            <v>3.472222222222222E-3</v>
          </cell>
          <cell r="Y142">
            <v>6.0790273556231003E-3</v>
          </cell>
          <cell r="AF142">
            <v>7.1191267204556222E-3</v>
          </cell>
          <cell r="AM142">
            <v>3.9840637450199202E-3</v>
          </cell>
          <cell r="BA142">
            <v>1.5570934256055362E-2</v>
          </cell>
          <cell r="BB142">
            <v>-1.8145161290322582E-2</v>
          </cell>
          <cell r="BC142">
            <v>-1.5625E-2</v>
          </cell>
          <cell r="BD142">
            <v>-1.6791044776119403E-2</v>
          </cell>
          <cell r="BE142">
            <v>-1.2931034482758621E-2</v>
          </cell>
          <cell r="BF142">
            <v>-1.5271493212669683E-2</v>
          </cell>
          <cell r="BG142">
            <v>-9.911894273127754E-3</v>
          </cell>
          <cell r="BH142">
            <v>1.3452914798206279E-2</v>
          </cell>
          <cell r="BI142">
            <v>1.5957446808510637E-2</v>
          </cell>
          <cell r="BJ142">
            <v>1.3888888888888888E-2</v>
          </cell>
          <cell r="BK142">
            <v>1.4851485148514851E-2</v>
          </cell>
          <cell r="BL142">
            <v>1.171875E-2</v>
          </cell>
          <cell r="BM142">
            <v>1.3636363636363636E-2</v>
          </cell>
          <cell r="BN142">
            <v>7.7305351618110743E-3</v>
          </cell>
          <cell r="BO142">
            <v>1.1450381679389313E-2</v>
          </cell>
          <cell r="BP142">
            <v>1.2569832402234637E-2</v>
          </cell>
          <cell r="BQ142">
            <v>1.0416666666666666E-2</v>
          </cell>
          <cell r="BR142">
            <v>1.1392405063291139E-2</v>
          </cell>
          <cell r="BS142">
            <v>1.0319297891066956E-2</v>
          </cell>
          <cell r="BT142">
            <v>1.1010735079224844E-2</v>
          </cell>
          <cell r="BU142">
            <v>7.5747946671946998E-3</v>
          </cell>
          <cell r="BV142">
            <v>9.8892856622465539E-3</v>
          </cell>
          <cell r="BW142">
            <v>9.1185106950134719E-3</v>
          </cell>
          <cell r="BX142">
            <v>8.3311249003862435E-3</v>
          </cell>
          <cell r="BY142">
            <v>8.2578886684706622E-3</v>
          </cell>
          <cell r="BZ142">
            <v>7.6183352308586286E-3</v>
          </cell>
          <cell r="CA142">
            <v>1.0130834178241477</v>
          </cell>
          <cell r="CB142">
            <v>1.0248702462526964</v>
          </cell>
          <cell r="CC142">
            <v>1.0085732914338563</v>
          </cell>
          <cell r="CD142">
            <v>1.0077835765014156</v>
          </cell>
          <cell r="CE142">
            <v>1.0077616559024538</v>
          </cell>
          <cell r="CF142">
            <v>1.0071550378935983</v>
          </cell>
          <cell r="CG142">
            <v>1.0066048831066052</v>
          </cell>
        </row>
        <row r="143">
          <cell r="A143" t="str">
            <v>ModelWare EPS (diluted) (p)</v>
          </cell>
          <cell r="C143">
            <v>1.0126641651031894</v>
          </cell>
          <cell r="D143">
            <v>1.0107156525066971</v>
          </cell>
          <cell r="K143">
            <v>1.0150753768844223</v>
          </cell>
          <cell r="R143">
            <v>1.0173611111111112</v>
          </cell>
          <cell r="Y143">
            <v>1.0121580547112461</v>
          </cell>
          <cell r="AF143">
            <v>1.0166112956810633</v>
          </cell>
          <cell r="AM143">
            <v>1.0179282868525898</v>
          </cell>
          <cell r="BA143">
            <v>1.0207612456747404</v>
          </cell>
          <cell r="BB143">
            <v>0.98185483870967738</v>
          </cell>
          <cell r="BC143">
            <v>0.98437499999999989</v>
          </cell>
          <cell r="BD143">
            <v>0.98320895522388074</v>
          </cell>
          <cell r="BE143">
            <v>0.98706896551724144</v>
          </cell>
          <cell r="BF143">
            <v>0.98472850678733037</v>
          </cell>
          <cell r="BG143">
            <v>0.99008810572687234</v>
          </cell>
          <cell r="BH143">
            <v>1.0134529147982063</v>
          </cell>
          <cell r="BI143">
            <v>1.0159574468085106</v>
          </cell>
          <cell r="BJ143">
            <v>1.0138888888888888</v>
          </cell>
          <cell r="BK143">
            <v>1.0148514851485151</v>
          </cell>
          <cell r="BL143">
            <v>1.0117187500000002</v>
          </cell>
          <cell r="BM143">
            <v>1.0136363636363637</v>
          </cell>
          <cell r="BN143">
            <v>1.0077305351618111</v>
          </cell>
          <cell r="BO143">
            <v>1.0114503816793892</v>
          </cell>
          <cell r="BP143">
            <v>1.0125698324022345</v>
          </cell>
          <cell r="BQ143">
            <v>1.0104166666666667</v>
          </cell>
          <cell r="BR143">
            <v>1.0113924050632912</v>
          </cell>
          <cell r="BS143">
            <v>1.0103192978910669</v>
          </cell>
          <cell r="BT143">
            <v>1.0110107350792248</v>
          </cell>
          <cell r="BU143">
            <v>1.0075747946671947</v>
          </cell>
          <cell r="BV143">
            <v>1.0098892856622466</v>
          </cell>
          <cell r="BW143">
            <v>1.0091185106950136</v>
          </cell>
          <cell r="BX143">
            <v>1.0083311249003861</v>
          </cell>
          <cell r="BY143">
            <v>1.0082578886684708</v>
          </cell>
          <cell r="BZ143">
            <v>1.0076183352308585</v>
          </cell>
        </row>
        <row r="144">
          <cell r="A144" t="str">
            <v>ModelWare EPS (diluted) (p)</v>
          </cell>
          <cell r="C144">
            <v>1.0126641651031894</v>
          </cell>
          <cell r="D144">
            <v>1.0107156525066971</v>
          </cell>
          <cell r="K144">
            <v>1.0150753768844223</v>
          </cell>
          <cell r="R144">
            <v>1.0173611111111112</v>
          </cell>
          <cell r="Y144">
            <v>1.0121580547112461</v>
          </cell>
          <cell r="AF144">
            <v>1.0166112956810633</v>
          </cell>
          <cell r="AM144">
            <v>1.0179282868525898</v>
          </cell>
          <cell r="BA144">
            <v>1.0207612456747404</v>
          </cell>
          <cell r="BB144">
            <v>0.98185483870967738</v>
          </cell>
          <cell r="BC144">
            <v>0.98437499999999989</v>
          </cell>
          <cell r="BD144">
            <v>0.98320895522388074</v>
          </cell>
          <cell r="BE144">
            <v>0.98706896551724144</v>
          </cell>
          <cell r="BF144">
            <v>0.98472850678733037</v>
          </cell>
          <cell r="BG144">
            <v>0.99008810572687234</v>
          </cell>
          <cell r="BH144">
            <v>1.0134529147982063</v>
          </cell>
          <cell r="BI144">
            <v>1.0159574468085106</v>
          </cell>
          <cell r="BJ144">
            <v>1.0138888888888888</v>
          </cell>
          <cell r="BK144">
            <v>1.0148514851485151</v>
          </cell>
          <cell r="BL144">
            <v>1.0117187500000002</v>
          </cell>
          <cell r="BM144">
            <v>1.0136363636363637</v>
          </cell>
          <cell r="BN144">
            <v>1.0077305351618111</v>
          </cell>
          <cell r="BO144">
            <v>1.0114503816793892</v>
          </cell>
          <cell r="BP144">
            <v>1.0125698324022345</v>
          </cell>
          <cell r="BQ144">
            <v>1.0104166666666667</v>
          </cell>
          <cell r="BR144">
            <v>1.0113924050632912</v>
          </cell>
          <cell r="BS144">
            <v>1.0103211009174313</v>
          </cell>
          <cell r="BT144">
            <v>1.011011419249592</v>
          </cell>
          <cell r="BU144">
            <v>1.0072408130581976</v>
          </cell>
          <cell r="BV144">
            <v>1.0097430162076861</v>
          </cell>
          <cell r="BW144">
            <v>1.0089443875365509</v>
          </cell>
          <cell r="BX144">
            <v>1.0081750574930821</v>
          </cell>
          <cell r="BY144">
            <v>1.0081060984446819</v>
          </cell>
          <cell r="BZ144">
            <v>1.0074803746538548</v>
          </cell>
        </row>
        <row r="145">
          <cell r="A145" t="str">
            <v>ModelWare PTOP / EBITDA / NOPAT Reconciliation</v>
          </cell>
          <cell r="C145">
            <v>0</v>
          </cell>
          <cell r="D145">
            <v>0</v>
          </cell>
          <cell r="K145">
            <v>0</v>
          </cell>
          <cell r="R145">
            <v>1</v>
          </cell>
          <cell r="Y145">
            <v>2</v>
          </cell>
          <cell r="AF145">
            <v>3</v>
          </cell>
          <cell r="AM145">
            <v>2</v>
          </cell>
          <cell r="BA145">
            <v>9</v>
          </cell>
          <cell r="BH145">
            <v>9</v>
          </cell>
          <cell r="BO145">
            <v>9</v>
          </cell>
          <cell r="BP145">
            <v>9</v>
          </cell>
          <cell r="BQ145">
            <v>9</v>
          </cell>
          <cell r="BR145">
            <v>9</v>
          </cell>
          <cell r="BS145">
            <v>9</v>
          </cell>
        </row>
        <row r="146">
          <cell r="A146" t="str">
            <v>ModelWare PTOP / EBITDA / NOPAT Reconciliation</v>
          </cell>
          <cell r="C146">
            <v>0</v>
          </cell>
          <cell r="D146">
            <v>0</v>
          </cell>
          <cell r="K146">
            <v>220</v>
          </cell>
          <cell r="R146">
            <v>0</v>
          </cell>
          <cell r="Y146">
            <v>0</v>
          </cell>
          <cell r="AF146">
            <v>0</v>
          </cell>
          <cell r="AM146">
            <v>0</v>
          </cell>
          <cell r="BA146">
            <v>0</v>
          </cell>
          <cell r="BH146">
            <v>0</v>
          </cell>
          <cell r="BO146">
            <v>0</v>
          </cell>
          <cell r="BP146">
            <v>0</v>
          </cell>
          <cell r="BQ146">
            <v>0</v>
          </cell>
          <cell r="BR146">
            <v>0</v>
          </cell>
          <cell r="BS146">
            <v>0</v>
          </cell>
        </row>
        <row r="147">
          <cell r="A147" t="str">
            <v>ModelWare PTOP / EBITDA / NOPAT Reconciliation</v>
          </cell>
          <cell r="B147">
            <v>352.69999999999982</v>
          </cell>
          <cell r="C147">
            <v>354.29999999999984</v>
          </cell>
          <cell r="D147">
            <v>429.70000000000005</v>
          </cell>
          <cell r="K147">
            <v>137</v>
          </cell>
          <cell r="R147">
            <v>451</v>
          </cell>
          <cell r="Y147">
            <v>525</v>
          </cell>
          <cell r="AF147">
            <v>577.40000000000009</v>
          </cell>
          <cell r="AM147">
            <v>679</v>
          </cell>
          <cell r="BA147">
            <v>749</v>
          </cell>
          <cell r="BH147">
            <v>840</v>
          </cell>
          <cell r="BO147">
            <v>1056.7386086874769</v>
          </cell>
          <cell r="BP147">
            <v>1141.9781801064769</v>
          </cell>
          <cell r="BQ147">
            <v>1244.0704666327797</v>
          </cell>
          <cell r="BR147">
            <v>1331.1754113048821</v>
          </cell>
          <cell r="BS147">
            <v>1422.6688912114369</v>
          </cell>
          <cell r="BV147">
            <v>1213.0375432195276</v>
          </cell>
          <cell r="BW147">
            <v>1321.5934364490865</v>
          </cell>
          <cell r="BX147">
            <v>1432.9205573229215</v>
          </cell>
          <cell r="BY147">
            <v>1427.8228940455651</v>
          </cell>
          <cell r="BZ147">
            <v>1531.4861635047446</v>
          </cell>
          <cell r="CA147">
            <v>1738.7104170384951</v>
          </cell>
          <cell r="CC147">
            <v>1438.9957581398266</v>
          </cell>
          <cell r="CD147">
            <v>1571.708364087131</v>
          </cell>
          <cell r="CE147">
            <v>1558.7100895263306</v>
          </cell>
          <cell r="CF147">
            <v>1668.8834466434573</v>
          </cell>
          <cell r="CG147">
            <v>1785.1096772717283</v>
          </cell>
        </row>
        <row r="148">
          <cell r="A148" t="str">
            <v>Operating Profit</v>
          </cell>
          <cell r="B148">
            <v>352.69999999999982</v>
          </cell>
          <cell r="C148">
            <v>354.29999999999984</v>
          </cell>
          <cell r="D148">
            <v>429.70000000000005</v>
          </cell>
          <cell r="K148">
            <v>137</v>
          </cell>
          <cell r="R148">
            <v>451</v>
          </cell>
          <cell r="Y148">
            <v>525</v>
          </cell>
          <cell r="AF148">
            <v>577.40000000000009</v>
          </cell>
          <cell r="AM148">
            <v>679</v>
          </cell>
          <cell r="BA148">
            <v>749</v>
          </cell>
          <cell r="BH148">
            <v>840</v>
          </cell>
          <cell r="BO148">
            <v>1059</v>
          </cell>
          <cell r="BP148">
            <v>0</v>
          </cell>
          <cell r="BQ148">
            <v>0</v>
          </cell>
          <cell r="BR148">
            <v>0</v>
          </cell>
          <cell r="BS148">
            <v>0</v>
          </cell>
          <cell r="BV148">
            <v>1202.9988711764563</v>
          </cell>
          <cell r="BW148">
            <v>1298.9495614003947</v>
          </cell>
          <cell r="BX148">
            <v>1408.8892612856334</v>
          </cell>
          <cell r="BY148">
            <v>1405.440224554714</v>
          </cell>
          <cell r="BZ148">
            <v>1507.9555704126574</v>
          </cell>
          <cell r="CA148">
            <v>0</v>
          </cell>
          <cell r="CC148">
            <v>0</v>
          </cell>
          <cell r="CD148">
            <v>0</v>
          </cell>
          <cell r="CE148">
            <v>0</v>
          </cell>
          <cell r="CF148">
            <v>0</v>
          </cell>
          <cell r="CG148">
            <v>0</v>
          </cell>
        </row>
        <row r="149">
          <cell r="A149" t="str">
            <v>Goodwill amortisation / impairment</v>
          </cell>
          <cell r="B149">
            <v>0</v>
          </cell>
          <cell r="C149">
            <v>2.7</v>
          </cell>
          <cell r="D149">
            <v>2.8</v>
          </cell>
          <cell r="K149">
            <v>3</v>
          </cell>
          <cell r="R149">
            <v>4</v>
          </cell>
          <cell r="Y149">
            <v>2</v>
          </cell>
          <cell r="AF149">
            <v>4</v>
          </cell>
          <cell r="AM149">
            <v>7</v>
          </cell>
          <cell r="BA149">
            <v>3</v>
          </cell>
          <cell r="BH149">
            <v>0</v>
          </cell>
          <cell r="BO149">
            <v>0</v>
          </cell>
          <cell r="BP149">
            <v>9</v>
          </cell>
          <cell r="BQ149">
            <v>9</v>
          </cell>
          <cell r="BR149">
            <v>9</v>
          </cell>
          <cell r="BS149">
            <v>9</v>
          </cell>
          <cell r="BV149">
            <v>0</v>
          </cell>
          <cell r="BW149">
            <v>0</v>
          </cell>
          <cell r="BX149">
            <v>0</v>
          </cell>
          <cell r="BY149">
            <v>0</v>
          </cell>
          <cell r="BZ149">
            <v>0</v>
          </cell>
          <cell r="CA149">
            <v>9</v>
          </cell>
          <cell r="CC149">
            <v>9</v>
          </cell>
          <cell r="CD149">
            <v>9</v>
          </cell>
          <cell r="CE149">
            <v>9</v>
          </cell>
          <cell r="CF149">
            <v>9</v>
          </cell>
          <cell r="CG149">
            <v>9</v>
          </cell>
        </row>
        <row r="150">
          <cell r="A150" t="str">
            <v>Other intangibles amortisation</v>
          </cell>
          <cell r="B150">
            <v>0</v>
          </cell>
          <cell r="C150">
            <v>0</v>
          </cell>
          <cell r="D150">
            <v>0</v>
          </cell>
          <cell r="K150">
            <v>0</v>
          </cell>
          <cell r="R150">
            <v>1</v>
          </cell>
          <cell r="Y150">
            <v>2</v>
          </cell>
          <cell r="AF150">
            <v>3</v>
          </cell>
          <cell r="AM150">
            <v>2</v>
          </cell>
          <cell r="BA150">
            <v>9</v>
          </cell>
          <cell r="BH150">
            <v>9</v>
          </cell>
          <cell r="BO150">
            <v>9</v>
          </cell>
          <cell r="BP150">
            <v>0</v>
          </cell>
          <cell r="BQ150">
            <v>0</v>
          </cell>
          <cell r="BR150">
            <v>0</v>
          </cell>
          <cell r="BS150">
            <v>0</v>
          </cell>
          <cell r="BV150">
            <v>9</v>
          </cell>
          <cell r="BW150">
            <v>9</v>
          </cell>
          <cell r="BX150">
            <v>9</v>
          </cell>
          <cell r="BY150">
            <v>9</v>
          </cell>
          <cell r="BZ150">
            <v>9</v>
          </cell>
          <cell r="CA150">
            <v>0</v>
          </cell>
          <cell r="CC150">
            <v>0</v>
          </cell>
          <cell r="CD150">
            <v>0</v>
          </cell>
          <cell r="CE150">
            <v>0</v>
          </cell>
          <cell r="CF150">
            <v>0</v>
          </cell>
          <cell r="CG150">
            <v>0</v>
          </cell>
        </row>
        <row r="151">
          <cell r="A151" t="str">
            <v>Exceptionals</v>
          </cell>
          <cell r="B151">
            <v>0</v>
          </cell>
          <cell r="C151">
            <v>0</v>
          </cell>
          <cell r="D151">
            <v>0</v>
          </cell>
          <cell r="K151">
            <v>220</v>
          </cell>
          <cell r="R151">
            <v>0</v>
          </cell>
          <cell r="Y151">
            <v>0</v>
          </cell>
          <cell r="AF151">
            <v>0</v>
          </cell>
          <cell r="AM151">
            <v>0</v>
          </cell>
          <cell r="BA151">
            <v>0</v>
          </cell>
          <cell r="BH151">
            <v>0</v>
          </cell>
          <cell r="BO151">
            <v>0</v>
          </cell>
          <cell r="BP151">
            <v>1150.9781801064769</v>
          </cell>
          <cell r="BQ151">
            <v>1253.0704666327797</v>
          </cell>
          <cell r="BR151">
            <v>1340.1754113048821</v>
          </cell>
          <cell r="BS151">
            <v>1431.6688912114369</v>
          </cell>
          <cell r="BV151">
            <v>0</v>
          </cell>
          <cell r="BW151">
            <v>0</v>
          </cell>
          <cell r="BX151">
            <v>0</v>
          </cell>
          <cell r="BY151">
            <v>0</v>
          </cell>
          <cell r="BZ151">
            <v>0</v>
          </cell>
          <cell r="CA151">
            <v>1747.7104170384951</v>
          </cell>
          <cell r="CC151">
            <v>1447.9957581398266</v>
          </cell>
          <cell r="CD151">
            <v>1580.708364087131</v>
          </cell>
          <cell r="CE151">
            <v>1567.7100895263306</v>
          </cell>
          <cell r="CF151">
            <v>1677.8834466434573</v>
          </cell>
          <cell r="CG151">
            <v>1794.1096772717283</v>
          </cell>
        </row>
        <row r="152">
          <cell r="A152" t="str">
            <v>ModelWare PTOP</v>
          </cell>
          <cell r="B152">
            <v>352.69999999999982</v>
          </cell>
          <cell r="C152">
            <v>356.99999999999983</v>
          </cell>
          <cell r="D152">
            <v>432.50000000000006</v>
          </cell>
          <cell r="K152">
            <v>360</v>
          </cell>
          <cell r="R152">
            <v>456</v>
          </cell>
          <cell r="Y152">
            <v>529</v>
          </cell>
          <cell r="AF152">
            <v>584.40000000000009</v>
          </cell>
          <cell r="AM152">
            <v>688</v>
          </cell>
          <cell r="BA152">
            <v>761</v>
          </cell>
          <cell r="BH152">
            <v>849</v>
          </cell>
          <cell r="BO152">
            <v>1068</v>
          </cell>
          <cell r="BP152">
            <v>1175.0485454438167</v>
          </cell>
          <cell r="BQ152">
            <v>1285.3350995429282</v>
          </cell>
          <cell r="BR152">
            <v>1385.9710805299337</v>
          </cell>
          <cell r="BS152">
            <v>1492.7419823714081</v>
          </cell>
          <cell r="BV152">
            <v>1211.9988711764563</v>
          </cell>
          <cell r="BW152">
            <v>1307.9495614003947</v>
          </cell>
          <cell r="BX152">
            <v>1417.8892612856334</v>
          </cell>
          <cell r="BY152">
            <v>1414.440224554714</v>
          </cell>
          <cell r="BZ152">
            <v>1516.9555704126574</v>
          </cell>
        </row>
        <row r="153">
          <cell r="A153" t="str">
            <v>ModelWare PTOP</v>
          </cell>
          <cell r="B153">
            <v>352.69999999999982</v>
          </cell>
          <cell r="C153">
            <v>356.99999999999983</v>
          </cell>
          <cell r="D153">
            <v>432.50000000000006</v>
          </cell>
          <cell r="K153">
            <v>360</v>
          </cell>
          <cell r="R153">
            <v>456</v>
          </cell>
          <cell r="Y153">
            <v>529</v>
          </cell>
          <cell r="AF153">
            <v>584.40000000000009</v>
          </cell>
          <cell r="AM153">
            <v>688</v>
          </cell>
          <cell r="BA153">
            <v>761</v>
          </cell>
          <cell r="BH153">
            <v>849</v>
          </cell>
          <cell r="BO153">
            <v>1068</v>
          </cell>
          <cell r="BP153" t="b">
            <v>1</v>
          </cell>
          <cell r="BQ153" t="b">
            <v>1</v>
          </cell>
          <cell r="BR153" t="b">
            <v>1</v>
          </cell>
          <cell r="BS153" t="b">
            <v>1</v>
          </cell>
          <cell r="BV153">
            <v>1221.7133692298498</v>
          </cell>
          <cell r="BW153">
            <v>1330.2844945384543</v>
          </cell>
          <cell r="BX153">
            <v>1441.6005336883054</v>
          </cell>
          <cell r="BY153">
            <v>1437.2547502536945</v>
          </cell>
          <cell r="BZ153">
            <v>1540.9483064863548</v>
          </cell>
        </row>
        <row r="154">
          <cell r="A154" t="str">
            <v>Alternate calculation for Modelware PTOP</v>
          </cell>
          <cell r="C154">
            <v>2196.6</v>
          </cell>
          <cell r="D154">
            <v>3091.7</v>
          </cell>
          <cell r="K154">
            <v>3054</v>
          </cell>
          <cell r="R154">
            <v>3202</v>
          </cell>
          <cell r="Y154">
            <v>3439</v>
          </cell>
          <cell r="AF154">
            <v>3454</v>
          </cell>
          <cell r="AM154">
            <v>3713</v>
          </cell>
          <cell r="BA154">
            <v>3871</v>
          </cell>
          <cell r="BH154">
            <v>4179</v>
          </cell>
          <cell r="BO154">
            <v>4904.1141100000004</v>
          </cell>
          <cell r="BP154">
            <v>5163.7960532450006</v>
          </cell>
          <cell r="BQ154">
            <v>5432.5767245100005</v>
          </cell>
          <cell r="BR154">
            <v>5706.8617967783302</v>
          </cell>
          <cell r="BS154">
            <v>5996.1957556561347</v>
          </cell>
          <cell r="BV154">
            <v>5275.2830960259098</v>
          </cell>
          <cell r="BW154">
            <v>5602.1558962411546</v>
          </cell>
          <cell r="BX154">
            <v>5946.8967198274249</v>
          </cell>
          <cell r="BY154">
            <v>6052.4218278016133</v>
          </cell>
          <cell r="BZ154">
            <v>6364.6742660005384</v>
          </cell>
          <cell r="CA154">
            <v>7274.0216153961273</v>
          </cell>
          <cell r="CC154">
            <v>6148.4273458740345</v>
          </cell>
          <cell r="CD154">
            <v>6581.198288749878</v>
          </cell>
          <cell r="CE154">
            <v>6680.9007251685789</v>
          </cell>
          <cell r="CF154">
            <v>7024.537584455079</v>
          </cell>
          <cell r="CG154">
            <v>7387.4744923813905</v>
          </cell>
        </row>
        <row r="155">
          <cell r="A155" t="str">
            <v>Operating revenue</v>
          </cell>
          <cell r="C155">
            <v>2196.6</v>
          </cell>
          <cell r="D155">
            <v>3091.7</v>
          </cell>
          <cell r="K155">
            <v>3054</v>
          </cell>
          <cell r="R155">
            <v>3202</v>
          </cell>
          <cell r="Y155">
            <v>3439</v>
          </cell>
          <cell r="AF155">
            <v>3454</v>
          </cell>
          <cell r="AM155">
            <v>3713</v>
          </cell>
          <cell r="BA155">
            <v>3871</v>
          </cell>
          <cell r="BH155">
            <v>4179</v>
          </cell>
          <cell r="BO155">
            <v>4922</v>
          </cell>
          <cell r="BP155">
            <v>-4012.8178731385242</v>
          </cell>
          <cell r="BQ155">
            <v>-4179.5062578772213</v>
          </cell>
          <cell r="BR155">
            <v>-4366.6863854734484</v>
          </cell>
          <cell r="BS155">
            <v>-4564.5268644446987</v>
          </cell>
          <cell r="BV155">
            <v>5210.018304921502</v>
          </cell>
          <cell r="BW155">
            <v>5457.6609856995155</v>
          </cell>
          <cell r="BX155">
            <v>5793.5352907817232</v>
          </cell>
          <cell r="BY155">
            <v>5898.5443040665959</v>
          </cell>
          <cell r="BZ155">
            <v>6202.8866537409194</v>
          </cell>
          <cell r="CA155">
            <v>-5526.3111983576318</v>
          </cell>
          <cell r="CC155">
            <v>-4700.4315877342078</v>
          </cell>
          <cell r="CD155">
            <v>-5000.4899246627465</v>
          </cell>
          <cell r="CE155">
            <v>-5113.1906356422487</v>
          </cell>
          <cell r="CF155">
            <v>-5346.6541378116226</v>
          </cell>
          <cell r="CG155">
            <v>-5593.3648151096622</v>
          </cell>
        </row>
        <row r="156">
          <cell r="A156" t="str">
            <v>Operating expenses</v>
          </cell>
          <cell r="C156">
            <v>-1839.5999999999997</v>
          </cell>
          <cell r="D156">
            <v>-2659.1999999999994</v>
          </cell>
          <cell r="K156">
            <v>-2694</v>
          </cell>
          <cell r="R156">
            <v>-2746</v>
          </cell>
          <cell r="Y156">
            <v>-2910</v>
          </cell>
          <cell r="AF156">
            <v>-2869.6</v>
          </cell>
          <cell r="AM156">
            <v>-3025</v>
          </cell>
          <cell r="BA156">
            <v>-3110</v>
          </cell>
          <cell r="BH156">
            <v>-3330</v>
          </cell>
          <cell r="BO156">
            <v>-3854</v>
          </cell>
          <cell r="BP156">
            <v>1150.9781801064764</v>
          </cell>
          <cell r="BQ156">
            <v>1253.0704666327792</v>
          </cell>
          <cell r="BR156">
            <v>1340.1754113048819</v>
          </cell>
          <cell r="BS156">
            <v>1431.6688912114359</v>
          </cell>
          <cell r="BV156">
            <v>-3998.0194337450457</v>
          </cell>
          <cell r="BW156">
            <v>-4149.7114242991202</v>
          </cell>
          <cell r="BX156">
            <v>-4375.6460294960898</v>
          </cell>
          <cell r="BY156">
            <v>-4484.1040795118815</v>
          </cell>
          <cell r="BZ156">
            <v>-4685.9310833282616</v>
          </cell>
          <cell r="CA156">
            <v>1747.7104170384955</v>
          </cell>
          <cell r="CC156">
            <v>1447.9957581398266</v>
          </cell>
          <cell r="CD156">
            <v>1580.7083640871315</v>
          </cell>
          <cell r="CE156">
            <v>1567.7100895263302</v>
          </cell>
          <cell r="CF156">
            <v>1677.8834466434564</v>
          </cell>
          <cell r="CG156">
            <v>1794.1096772717283</v>
          </cell>
        </row>
        <row r="157">
          <cell r="A157" t="str">
            <v>Modelware PTOP</v>
          </cell>
          <cell r="C157">
            <v>357.00000000000023</v>
          </cell>
          <cell r="D157">
            <v>432.50000000000045</v>
          </cell>
          <cell r="K157">
            <v>360</v>
          </cell>
          <cell r="R157">
            <v>456</v>
          </cell>
          <cell r="Y157">
            <v>529</v>
          </cell>
          <cell r="AF157">
            <v>584.40000000000009</v>
          </cell>
          <cell r="AM157">
            <v>688</v>
          </cell>
          <cell r="BA157">
            <v>761</v>
          </cell>
          <cell r="BH157">
            <v>849</v>
          </cell>
          <cell r="BO157">
            <v>1068</v>
          </cell>
          <cell r="BP157" t="b">
            <v>1</v>
          </cell>
          <cell r="BQ157" t="b">
            <v>1</v>
          </cell>
          <cell r="BR157" t="b">
            <v>1</v>
          </cell>
          <cell r="BS157" t="b">
            <v>1</v>
          </cell>
          <cell r="BV157">
            <v>1211.9988711764563</v>
          </cell>
          <cell r="BW157">
            <v>1307.9495614003954</v>
          </cell>
          <cell r="BX157">
            <v>1417.8892612856334</v>
          </cell>
          <cell r="BY157">
            <v>1414.4402245547144</v>
          </cell>
          <cell r="BZ157">
            <v>1516.9555704126578</v>
          </cell>
          <cell r="CA157" t="b">
            <v>1</v>
          </cell>
          <cell r="CC157" t="b">
            <v>1</v>
          </cell>
          <cell r="CD157" t="b">
            <v>1</v>
          </cell>
          <cell r="CE157" t="b">
            <v>1</v>
          </cell>
          <cell r="CF157" t="b">
            <v>1</v>
          </cell>
          <cell r="CG157" t="b">
            <v>1</v>
          </cell>
        </row>
        <row r="158">
          <cell r="A158" t="str">
            <v>Check</v>
          </cell>
          <cell r="C158" t="b">
            <v>1</v>
          </cell>
          <cell r="D158" t="b">
            <v>1</v>
          </cell>
          <cell r="K158" t="b">
            <v>1</v>
          </cell>
          <cell r="R158" t="b">
            <v>1</v>
          </cell>
          <cell r="Y158" t="b">
            <v>1</v>
          </cell>
          <cell r="AF158" t="b">
            <v>1</v>
          </cell>
          <cell r="AM158" t="b">
            <v>1</v>
          </cell>
          <cell r="BA158" t="b">
            <v>1</v>
          </cell>
          <cell r="BH158" t="b">
            <v>1</v>
          </cell>
          <cell r="BO158" t="b">
            <v>1</v>
          </cell>
          <cell r="BV158" t="b">
            <v>1</v>
          </cell>
          <cell r="BW158" t="b">
            <v>0</v>
          </cell>
          <cell r="BX158" t="b">
            <v>1</v>
          </cell>
          <cell r="BY158" t="b">
            <v>1</v>
          </cell>
          <cell r="BZ158" t="b">
            <v>1</v>
          </cell>
        </row>
        <row r="159">
          <cell r="A159" t="str">
            <v>Check</v>
          </cell>
          <cell r="C159" t="b">
            <v>1</v>
          </cell>
          <cell r="D159" t="b">
            <v>1</v>
          </cell>
          <cell r="K159" t="b">
            <v>1</v>
          </cell>
          <cell r="R159" t="b">
            <v>1</v>
          </cell>
          <cell r="Y159" t="b">
            <v>1</v>
          </cell>
          <cell r="AF159" t="b">
            <v>1</v>
          </cell>
          <cell r="AM159" t="b">
            <v>1</v>
          </cell>
          <cell r="BA159" t="b">
            <v>1</v>
          </cell>
          <cell r="BH159" t="b">
            <v>1</v>
          </cell>
          <cell r="BO159" t="b">
            <v>1</v>
          </cell>
          <cell r="BP159">
            <v>1150.9781801064764</v>
          </cell>
          <cell r="BQ159">
            <v>1253.0704666327792</v>
          </cell>
          <cell r="BR159">
            <v>1340.1754113048819</v>
          </cell>
          <cell r="BS159">
            <v>1431.6688912114359</v>
          </cell>
          <cell r="BV159" t="b">
            <v>1</v>
          </cell>
          <cell r="BW159" t="b">
            <v>1</v>
          </cell>
          <cell r="BX159" t="b">
            <v>1</v>
          </cell>
          <cell r="BY159" t="b">
            <v>1</v>
          </cell>
          <cell r="BZ159" t="b">
            <v>0</v>
          </cell>
          <cell r="CA159">
            <v>1747.7104170384955</v>
          </cell>
          <cell r="CC159">
            <v>1447.9957581398266</v>
          </cell>
          <cell r="CD159">
            <v>1580.7083640871315</v>
          </cell>
          <cell r="CE159">
            <v>1567.7100895263302</v>
          </cell>
          <cell r="CF159">
            <v>1677.8834466434564</v>
          </cell>
          <cell r="CG159">
            <v>1794.1096772717283</v>
          </cell>
        </row>
        <row r="160">
          <cell r="A160" t="str">
            <v>ModelWare PTOP</v>
          </cell>
          <cell r="C160">
            <v>357.00000000000023</v>
          </cell>
          <cell r="D160">
            <v>432.50000000000045</v>
          </cell>
          <cell r="K160">
            <v>360</v>
          </cell>
          <cell r="R160">
            <v>456</v>
          </cell>
          <cell r="Y160">
            <v>529</v>
          </cell>
          <cell r="AF160">
            <v>584.40000000000009</v>
          </cell>
          <cell r="AM160">
            <v>688</v>
          </cell>
          <cell r="BA160">
            <v>761</v>
          </cell>
          <cell r="BH160">
            <v>849</v>
          </cell>
          <cell r="BO160">
            <v>1068</v>
          </cell>
          <cell r="BP160">
            <v>109.719322290725</v>
          </cell>
          <cell r="BQ160">
            <v>116.30695850711089</v>
          </cell>
          <cell r="BR160">
            <v>124.86326684821414</v>
          </cell>
          <cell r="BS160">
            <v>133.85157417814</v>
          </cell>
          <cell r="BV160">
            <v>1211.9988711764563</v>
          </cell>
          <cell r="BW160">
            <v>1307.9495614003954</v>
          </cell>
          <cell r="BX160">
            <v>1417.8892612856334</v>
          </cell>
          <cell r="BY160">
            <v>1414.4402245547144</v>
          </cell>
          <cell r="BZ160">
            <v>1516.9555704126578</v>
          </cell>
          <cell r="CA160">
            <v>132.12916458798395</v>
          </cell>
          <cell r="CC160">
            <v>91.070000000000007</v>
          </cell>
          <cell r="CD160">
            <v>100.10818819843483</v>
          </cell>
          <cell r="CE160">
            <v>109.78254968289716</v>
          </cell>
          <cell r="CF160">
            <v>119.60347374889497</v>
          </cell>
          <cell r="CG160">
            <v>129.92954399804393</v>
          </cell>
        </row>
        <row r="161">
          <cell r="A161" t="str">
            <v>Depreciation</v>
          </cell>
          <cell r="C161">
            <v>46.8</v>
          </cell>
          <cell r="D161">
            <v>73.2</v>
          </cell>
          <cell r="K161">
            <v>71</v>
          </cell>
          <cell r="R161">
            <v>73</v>
          </cell>
          <cell r="Y161">
            <v>70</v>
          </cell>
          <cell r="AF161">
            <v>75</v>
          </cell>
          <cell r="AM161">
            <v>80</v>
          </cell>
          <cell r="BA161">
            <v>83</v>
          </cell>
          <cell r="BH161">
            <v>82</v>
          </cell>
          <cell r="BO161">
            <v>88</v>
          </cell>
          <cell r="BP161">
            <v>1260.6975023972013</v>
          </cell>
          <cell r="BQ161">
            <v>1369.3774251398902</v>
          </cell>
          <cell r="BR161">
            <v>1465.038678153096</v>
          </cell>
          <cell r="BS161">
            <v>1565.520465389576</v>
          </cell>
          <cell r="BV161">
            <v>82.572999999999993</v>
          </cell>
          <cell r="BW161">
            <v>78.975778830251372</v>
          </cell>
          <cell r="BX161">
            <v>87.571594882728121</v>
          </cell>
          <cell r="BY161">
            <v>96.696412965709328</v>
          </cell>
          <cell r="BZ161">
            <v>0</v>
          </cell>
          <cell r="CA161">
            <v>1879.8395816264795</v>
          </cell>
          <cell r="CC161">
            <v>1539.0657581398266</v>
          </cell>
          <cell r="CD161">
            <v>1680.8165522855663</v>
          </cell>
          <cell r="CE161">
            <v>1677.4926392092273</v>
          </cell>
          <cell r="CF161">
            <v>1797.4869203923513</v>
          </cell>
          <cell r="CG161">
            <v>1924.0392212697723</v>
          </cell>
        </row>
        <row r="162">
          <cell r="A162" t="str">
            <v>ModelWare EBITDA</v>
          </cell>
          <cell r="C162">
            <v>403.80000000000024</v>
          </cell>
          <cell r="D162">
            <v>505.70000000000044</v>
          </cell>
          <cell r="K162">
            <v>431</v>
          </cell>
          <cell r="R162">
            <v>529</v>
          </cell>
          <cell r="Y162">
            <v>599</v>
          </cell>
          <cell r="AF162">
            <v>659.40000000000009</v>
          </cell>
          <cell r="AM162">
            <v>768</v>
          </cell>
          <cell r="BA162">
            <v>844</v>
          </cell>
          <cell r="BH162">
            <v>931</v>
          </cell>
          <cell r="BO162">
            <v>1156</v>
          </cell>
          <cell r="BP162">
            <v>1175.0485454438169</v>
          </cell>
          <cell r="BQ162">
            <v>1285.3350995429275</v>
          </cell>
          <cell r="BR162">
            <v>1385.9710805299333</v>
          </cell>
          <cell r="BS162">
            <v>1492.7419823714072</v>
          </cell>
          <cell r="BV162">
            <v>1294.5718711764564</v>
          </cell>
          <cell r="BW162">
            <v>1386.9253402306467</v>
          </cell>
          <cell r="BX162">
            <v>1505.4608561683615</v>
          </cell>
          <cell r="BY162">
            <v>1511.1366375204238</v>
          </cell>
          <cell r="BZ162">
            <v>1516.9555704126578</v>
          </cell>
        </row>
        <row r="163">
          <cell r="A163" t="str">
            <v>ModelWare EBITDA</v>
          </cell>
          <cell r="C163">
            <v>403.80000000000024</v>
          </cell>
          <cell r="D163">
            <v>505.70000000000044</v>
          </cell>
          <cell r="E163">
            <v>0</v>
          </cell>
          <cell r="F163">
            <v>0</v>
          </cell>
          <cell r="G163">
            <v>0</v>
          </cell>
          <cell r="H163">
            <v>0</v>
          </cell>
          <cell r="I163">
            <v>0</v>
          </cell>
          <cell r="J163">
            <v>0</v>
          </cell>
          <cell r="K163">
            <v>431</v>
          </cell>
          <cell r="L163">
            <v>0</v>
          </cell>
          <cell r="M163">
            <v>0</v>
          </cell>
          <cell r="N163">
            <v>0</v>
          </cell>
          <cell r="O163">
            <v>0</v>
          </cell>
          <cell r="P163">
            <v>0</v>
          </cell>
          <cell r="Q163">
            <v>0</v>
          </cell>
          <cell r="R163">
            <v>529</v>
          </cell>
          <cell r="S163">
            <v>0</v>
          </cell>
          <cell r="T163">
            <v>0</v>
          </cell>
          <cell r="U163">
            <v>0</v>
          </cell>
          <cell r="V163">
            <v>0</v>
          </cell>
          <cell r="W163">
            <v>0</v>
          </cell>
          <cell r="X163">
            <v>0</v>
          </cell>
          <cell r="Y163">
            <v>599</v>
          </cell>
          <cell r="AF163">
            <v>659.40000000000009</v>
          </cell>
          <cell r="AM163">
            <v>768</v>
          </cell>
          <cell r="BA163">
            <v>844</v>
          </cell>
          <cell r="BH163">
            <v>931</v>
          </cell>
          <cell r="BO163">
            <v>1156</v>
          </cell>
          <cell r="BP163">
            <v>39.073945667317311</v>
          </cell>
          <cell r="BQ163">
            <v>19.848665701885448</v>
          </cell>
          <cell r="BR163">
            <v>12.842029605639446</v>
          </cell>
          <cell r="BS163">
            <v>4.2266077935203086</v>
          </cell>
          <cell r="BV163">
            <v>1304.2863692298499</v>
          </cell>
          <cell r="BW163">
            <v>1412.4105691725003</v>
          </cell>
          <cell r="BX163">
            <v>1532.5158090186801</v>
          </cell>
          <cell r="BY163">
            <v>1537.5001415721983</v>
          </cell>
          <cell r="BZ163">
            <v>1540.9483064863552</v>
          </cell>
          <cell r="CA163">
            <v>-2.2602649540593518</v>
          </cell>
          <cell r="CC163">
            <v>57.717009537759886</v>
          </cell>
          <cell r="CD163">
            <v>50.286269629109569</v>
          </cell>
          <cell r="CE163">
            <v>32.991169235892023</v>
          </cell>
          <cell r="CF163">
            <v>13.811113098818836</v>
          </cell>
          <cell r="CG163">
            <v>-7.8221690640725399</v>
          </cell>
        </row>
        <row r="164">
          <cell r="A164" t="str">
            <v>Net Interest</v>
          </cell>
          <cell r="C164">
            <v>54.400000000000006</v>
          </cell>
          <cell r="D164">
            <v>69.400000000000006</v>
          </cell>
          <cell r="E164">
            <v>0</v>
          </cell>
          <cell r="F164">
            <v>0</v>
          </cell>
          <cell r="G164">
            <v>0</v>
          </cell>
          <cell r="H164">
            <v>0</v>
          </cell>
          <cell r="I164">
            <v>0</v>
          </cell>
          <cell r="J164">
            <v>0</v>
          </cell>
          <cell r="K164">
            <v>69</v>
          </cell>
          <cell r="L164">
            <v>0</v>
          </cell>
          <cell r="M164">
            <v>0</v>
          </cell>
          <cell r="N164">
            <v>0</v>
          </cell>
          <cell r="O164">
            <v>0</v>
          </cell>
          <cell r="P164">
            <v>0</v>
          </cell>
          <cell r="Q164">
            <v>0</v>
          </cell>
          <cell r="R164">
            <v>60</v>
          </cell>
          <cell r="S164">
            <v>0</v>
          </cell>
          <cell r="T164">
            <v>0</v>
          </cell>
          <cell r="U164">
            <v>0</v>
          </cell>
          <cell r="V164">
            <v>0</v>
          </cell>
          <cell r="W164">
            <v>0</v>
          </cell>
          <cell r="X164">
            <v>0</v>
          </cell>
          <cell r="Y164">
            <v>51</v>
          </cell>
          <cell r="AF164">
            <v>32</v>
          </cell>
          <cell r="AM164">
            <v>19</v>
          </cell>
          <cell r="BA164">
            <v>-5</v>
          </cell>
          <cell r="BH164">
            <v>-36</v>
          </cell>
          <cell r="BO164">
            <v>36</v>
          </cell>
          <cell r="BP164">
            <v>32.264402298426923</v>
          </cell>
          <cell r="BQ164">
            <v>68.990905772059605</v>
          </cell>
          <cell r="BR164">
            <v>114.08155277182505</v>
          </cell>
          <cell r="BS164">
            <v>370.39643654413135</v>
          </cell>
          <cell r="BV164">
            <v>31.846444278714678</v>
          </cell>
          <cell r="BW164">
            <v>0.26102998990449322</v>
          </cell>
          <cell r="BX164">
            <v>-12.540066056329373</v>
          </cell>
          <cell r="BY164">
            <v>-28.595246082239981</v>
          </cell>
          <cell r="BZ164">
            <v>-46.466085278020905</v>
          </cell>
          <cell r="CA164">
            <v>-831.6899212414711</v>
          </cell>
          <cell r="CC164">
            <v>26.665722470131303</v>
          </cell>
          <cell r="CD164">
            <v>33.424960027509776</v>
          </cell>
          <cell r="CE164">
            <v>50.846716805181785</v>
          </cell>
          <cell r="CF164">
            <v>130.14786770127003</v>
          </cell>
          <cell r="CG164">
            <v>-245.97259475085278</v>
          </cell>
        </row>
        <row r="165">
          <cell r="A165" t="str">
            <v>EBITDA / Net Interest</v>
          </cell>
          <cell r="C165">
            <v>7.4227941176470624</v>
          </cell>
          <cell r="D165">
            <v>7.2867435158501497</v>
          </cell>
          <cell r="K165">
            <v>6.2463768115942031</v>
          </cell>
          <cell r="R165">
            <v>8.8166666666666664</v>
          </cell>
          <cell r="Y165">
            <v>11.745098039215685</v>
          </cell>
          <cell r="AF165">
            <v>20.606250000000003</v>
          </cell>
          <cell r="AM165">
            <v>40.421052631578945</v>
          </cell>
          <cell r="BA165">
            <v>-168.8</v>
          </cell>
          <cell r="BH165">
            <v>-25.861111111111111</v>
          </cell>
          <cell r="BO165">
            <v>32.111111111111114</v>
          </cell>
          <cell r="BP165">
            <v>0.255</v>
          </cell>
          <cell r="BQ165">
            <v>0.255</v>
          </cell>
          <cell r="BR165">
            <v>0.255</v>
          </cell>
          <cell r="BS165">
            <v>0.255</v>
          </cell>
          <cell r="BV165">
            <v>40.650436822603588</v>
          </cell>
          <cell r="BW165">
            <v>5313.2796761709296</v>
          </cell>
          <cell r="BX165">
            <v>-120.05206746167873</v>
          </cell>
          <cell r="BY165">
            <v>-52.845729432591419</v>
          </cell>
          <cell r="BZ165">
            <v>-32.646511134653267</v>
          </cell>
        </row>
        <row r="166">
          <cell r="A166" t="str">
            <v>EBITDA / Net Interest</v>
          </cell>
          <cell r="C166">
            <v>7.4227941176470624</v>
          </cell>
          <cell r="D166">
            <v>7.2867435158501497</v>
          </cell>
          <cell r="K166">
            <v>6.2463768115942031</v>
          </cell>
          <cell r="R166">
            <v>8.8166666666666664</v>
          </cell>
          <cell r="Y166">
            <v>11.745098039215685</v>
          </cell>
          <cell r="AF166">
            <v>20.606250000000003</v>
          </cell>
          <cell r="AM166">
            <v>40.421052631578945</v>
          </cell>
          <cell r="BA166">
            <v>-168.8</v>
          </cell>
          <cell r="BH166">
            <v>-25.861111111111111</v>
          </cell>
          <cell r="BO166">
            <v>32.111111111111114</v>
          </cell>
          <cell r="BP166">
            <v>1150.9781801064769</v>
          </cell>
          <cell r="BQ166">
            <v>1253.0704666327797</v>
          </cell>
          <cell r="BR166">
            <v>1340.1754113048821</v>
          </cell>
          <cell r="BS166">
            <v>1431.6688912114369</v>
          </cell>
          <cell r="BV166">
            <v>55.304679809712411</v>
          </cell>
          <cell r="BW166">
            <v>-525.84001293918584</v>
          </cell>
          <cell r="BX166">
            <v>-95.993145743413052</v>
          </cell>
          <cell r="BY166">
            <v>-47.113936425460828</v>
          </cell>
          <cell r="BZ166">
            <v>-30.131042216506724</v>
          </cell>
          <cell r="CA166">
            <v>1747.7104170384951</v>
          </cell>
          <cell r="CC166">
            <v>1447.9957581398266</v>
          </cell>
          <cell r="CD166">
            <v>1580.708364087131</v>
          </cell>
          <cell r="CE166">
            <v>1567.7100895263306</v>
          </cell>
          <cell r="CF166">
            <v>1677.8834466434573</v>
          </cell>
          <cell r="CG166">
            <v>1794.1096772717283</v>
          </cell>
        </row>
        <row r="167">
          <cell r="A167" t="str">
            <v>ModelWare PTOP</v>
          </cell>
          <cell r="C167">
            <v>356.99999999999983</v>
          </cell>
          <cell r="D167">
            <v>432.50000000000006</v>
          </cell>
          <cell r="E167">
            <v>0</v>
          </cell>
          <cell r="F167">
            <v>0</v>
          </cell>
          <cell r="G167">
            <v>0</v>
          </cell>
          <cell r="H167">
            <v>0</v>
          </cell>
          <cell r="I167">
            <v>0</v>
          </cell>
          <cell r="J167">
            <v>0</v>
          </cell>
          <cell r="K167">
            <v>360</v>
          </cell>
          <cell r="L167">
            <v>0</v>
          </cell>
          <cell r="M167">
            <v>0</v>
          </cell>
          <cell r="N167">
            <v>0</v>
          </cell>
          <cell r="O167">
            <v>0</v>
          </cell>
          <cell r="P167">
            <v>0</v>
          </cell>
          <cell r="Q167">
            <v>0</v>
          </cell>
          <cell r="R167">
            <v>456</v>
          </cell>
          <cell r="S167">
            <v>0</v>
          </cell>
          <cell r="T167">
            <v>0</v>
          </cell>
          <cell r="U167">
            <v>0</v>
          </cell>
          <cell r="V167">
            <v>0</v>
          </cell>
          <cell r="W167">
            <v>0</v>
          </cell>
          <cell r="X167">
            <v>0</v>
          </cell>
          <cell r="Y167">
            <v>529</v>
          </cell>
          <cell r="AF167">
            <v>584.40000000000009</v>
          </cell>
          <cell r="AM167">
            <v>688</v>
          </cell>
          <cell r="BA167">
            <v>761</v>
          </cell>
          <cell r="BH167">
            <v>849</v>
          </cell>
          <cell r="BO167">
            <v>1068</v>
          </cell>
          <cell r="BP167">
            <v>-293.49943592715164</v>
          </cell>
          <cell r="BQ167">
            <v>-319.53296899135881</v>
          </cell>
          <cell r="BR167">
            <v>-341.74472988274493</v>
          </cell>
          <cell r="BS167">
            <v>-365.07556725891641</v>
          </cell>
          <cell r="BV167">
            <v>1211.9988711764563</v>
          </cell>
          <cell r="BW167">
            <v>1307.9495614003947</v>
          </cell>
          <cell r="BX167">
            <v>1417.8892612856334</v>
          </cell>
          <cell r="BY167">
            <v>1414.440224554714</v>
          </cell>
          <cell r="BZ167">
            <v>1516.9555704126574</v>
          </cell>
          <cell r="CA167">
            <v>-419.4505000892388</v>
          </cell>
          <cell r="CC167">
            <v>-347.51898195355841</v>
          </cell>
          <cell r="CD167">
            <v>-379.37000738091143</v>
          </cell>
          <cell r="CE167">
            <v>-376.25042148631934</v>
          </cell>
          <cell r="CF167">
            <v>-402.69202719442973</v>
          </cell>
          <cell r="CG167">
            <v>-430.58632254521478</v>
          </cell>
        </row>
        <row r="168">
          <cell r="A168" t="str">
            <v xml:space="preserve">Tax Adjustment </v>
          </cell>
          <cell r="C168">
            <v>-96.623595505618013</v>
          </cell>
          <cell r="D168">
            <v>-130.30983200220328</v>
          </cell>
          <cell r="E168">
            <v>0</v>
          </cell>
          <cell r="F168">
            <v>0</v>
          </cell>
          <cell r="G168">
            <v>0</v>
          </cell>
          <cell r="H168">
            <v>0</v>
          </cell>
          <cell r="I168">
            <v>0</v>
          </cell>
          <cell r="J168">
            <v>0</v>
          </cell>
          <cell r="K168">
            <v>-110.10309278350516</v>
          </cell>
          <cell r="L168">
            <v>0</v>
          </cell>
          <cell r="M168">
            <v>0</v>
          </cell>
          <cell r="N168">
            <v>0</v>
          </cell>
          <cell r="O168">
            <v>0</v>
          </cell>
          <cell r="P168">
            <v>0</v>
          </cell>
          <cell r="Q168">
            <v>0</v>
          </cell>
          <cell r="R168">
            <v>-132.42424242424241</v>
          </cell>
          <cell r="S168">
            <v>0</v>
          </cell>
          <cell r="T168">
            <v>0</v>
          </cell>
          <cell r="U168">
            <v>0</v>
          </cell>
          <cell r="V168">
            <v>0</v>
          </cell>
          <cell r="W168">
            <v>0</v>
          </cell>
          <cell r="X168">
            <v>0</v>
          </cell>
          <cell r="Y168">
            <v>-173.75104602510461</v>
          </cell>
          <cell r="AF168">
            <v>-144.93627805937726</v>
          </cell>
          <cell r="AM168">
            <v>-175.85650224215249</v>
          </cell>
          <cell r="BA168">
            <v>-179.81853785900782</v>
          </cell>
          <cell r="BH168">
            <v>-198.57966101694916</v>
          </cell>
          <cell r="BO168">
            <v>-247.42521994134896</v>
          </cell>
          <cell r="BP168">
            <v>857.4787441793253</v>
          </cell>
          <cell r="BQ168">
            <v>933.53749764142094</v>
          </cell>
          <cell r="BR168">
            <v>998.43068142213724</v>
          </cell>
          <cell r="BS168">
            <v>1066.5933239525204</v>
          </cell>
          <cell r="BV168">
            <v>-290.87972908234951</v>
          </cell>
          <cell r="BW168">
            <v>-313.9078947360947</v>
          </cell>
          <cell r="BX168">
            <v>-340.29342270855199</v>
          </cell>
          <cell r="BY168">
            <v>-339.46565389313133</v>
          </cell>
          <cell r="BZ168">
            <v>-364.06933689903775</v>
          </cell>
          <cell r="CA168">
            <v>1328.2599169492562</v>
          </cell>
          <cell r="CC168">
            <v>1100.4767761862681</v>
          </cell>
          <cell r="CD168">
            <v>1201.3383567062197</v>
          </cell>
          <cell r="CE168">
            <v>1191.4596680400114</v>
          </cell>
          <cell r="CF168">
            <v>1275.1914194490275</v>
          </cell>
          <cell r="CG168">
            <v>1363.5233547265134</v>
          </cell>
        </row>
        <row r="169">
          <cell r="A169" t="str">
            <v>ModelWare NOPAT</v>
          </cell>
          <cell r="C169">
            <v>260.3764044943818</v>
          </cell>
          <cell r="D169">
            <v>302.19016799779678</v>
          </cell>
          <cell r="E169">
            <v>0</v>
          </cell>
          <cell r="F169">
            <v>0</v>
          </cell>
          <cell r="G169">
            <v>0</v>
          </cell>
          <cell r="H169">
            <v>0</v>
          </cell>
          <cell r="I169">
            <v>0</v>
          </cell>
          <cell r="J169">
            <v>0</v>
          </cell>
          <cell r="K169">
            <v>249.89690721649484</v>
          </cell>
          <cell r="L169">
            <v>0</v>
          </cell>
          <cell r="M169">
            <v>0</v>
          </cell>
          <cell r="N169">
            <v>0</v>
          </cell>
          <cell r="O169">
            <v>0</v>
          </cell>
          <cell r="P169">
            <v>0</v>
          </cell>
          <cell r="Q169">
            <v>0</v>
          </cell>
          <cell r="R169">
            <v>323.57575757575762</v>
          </cell>
          <cell r="S169">
            <v>0</v>
          </cell>
          <cell r="T169">
            <v>0</v>
          </cell>
          <cell r="U169">
            <v>0</v>
          </cell>
          <cell r="V169">
            <v>0</v>
          </cell>
          <cell r="W169">
            <v>0</v>
          </cell>
          <cell r="X169">
            <v>0</v>
          </cell>
          <cell r="Y169">
            <v>355.24895397489536</v>
          </cell>
          <cell r="AF169">
            <v>439.4637219406228</v>
          </cell>
          <cell r="AM169">
            <v>512.14349775784751</v>
          </cell>
          <cell r="BA169">
            <v>581.18146214099215</v>
          </cell>
          <cell r="BH169">
            <v>650.4203389830509</v>
          </cell>
          <cell r="BO169">
            <v>820.57478005865107</v>
          </cell>
          <cell r="BP169">
            <v>0.255</v>
          </cell>
          <cell r="BQ169">
            <v>0.255</v>
          </cell>
          <cell r="BR169">
            <v>0.255</v>
          </cell>
          <cell r="BS169">
            <v>0.255</v>
          </cell>
          <cell r="BV169">
            <v>921.11914209410679</v>
          </cell>
          <cell r="BW169">
            <v>994.04166666430001</v>
          </cell>
          <cell r="BX169">
            <v>1077.5958385770814</v>
          </cell>
          <cell r="BY169">
            <v>1074.9745706615827</v>
          </cell>
          <cell r="BZ169">
            <v>1152.8862335136196</v>
          </cell>
          <cell r="CA169">
            <v>0.24</v>
          </cell>
          <cell r="CC169">
            <v>0.24</v>
          </cell>
          <cell r="CD169">
            <v>0.24</v>
          </cell>
          <cell r="CE169">
            <v>0.24</v>
          </cell>
          <cell r="CF169">
            <v>0.24</v>
          </cell>
          <cell r="CG169">
            <v>0.24</v>
          </cell>
        </row>
        <row r="170">
          <cell r="A170" t="str">
            <v>Underlying tax rate</v>
          </cell>
          <cell r="C170">
            <v>0.27065432914738952</v>
          </cell>
          <cell r="D170">
            <v>0.30129440925364914</v>
          </cell>
          <cell r="E170">
            <v>0</v>
          </cell>
          <cell r="F170">
            <v>0</v>
          </cell>
          <cell r="G170">
            <v>0</v>
          </cell>
          <cell r="H170">
            <v>0</v>
          </cell>
          <cell r="I170">
            <v>0</v>
          </cell>
          <cell r="J170">
            <v>0</v>
          </cell>
          <cell r="K170">
            <v>0.30584192439862545</v>
          </cell>
          <cell r="L170">
            <v>0</v>
          </cell>
          <cell r="M170">
            <v>0</v>
          </cell>
          <cell r="N170">
            <v>0</v>
          </cell>
          <cell r="O170">
            <v>0</v>
          </cell>
          <cell r="P170">
            <v>0</v>
          </cell>
          <cell r="Q170">
            <v>0</v>
          </cell>
          <cell r="R170">
            <v>0.29040404040404039</v>
          </cell>
          <cell r="S170">
            <v>0</v>
          </cell>
          <cell r="T170">
            <v>0</v>
          </cell>
          <cell r="U170">
            <v>0</v>
          </cell>
          <cell r="V170">
            <v>0</v>
          </cell>
          <cell r="W170">
            <v>0</v>
          </cell>
          <cell r="X170">
            <v>0</v>
          </cell>
          <cell r="Y170">
            <v>0.32845188284518828</v>
          </cell>
          <cell r="AF170">
            <v>0.24800868935553944</v>
          </cell>
          <cell r="AM170">
            <v>0.2556053811659193</v>
          </cell>
          <cell r="BA170">
            <v>0.23629242819843341</v>
          </cell>
          <cell r="BH170">
            <v>0.23389830508474577</v>
          </cell>
          <cell r="BO170">
            <v>0.2316715542521994</v>
          </cell>
          <cell r="BV170">
            <v>0.24</v>
          </cell>
          <cell r="BW170">
            <v>0.24</v>
          </cell>
          <cell r="BX170">
            <v>0.24</v>
          </cell>
          <cell r="BY170">
            <v>0.24</v>
          </cell>
          <cell r="BZ170">
            <v>0.24</v>
          </cell>
        </row>
        <row r="171">
          <cell r="A171" t="str">
            <v>Underlying tax rate</v>
          </cell>
          <cell r="C171">
            <v>0.27065432914738952</v>
          </cell>
          <cell r="D171">
            <v>0.30129440925364914</v>
          </cell>
          <cell r="K171">
            <v>0.30584192439862545</v>
          </cell>
          <cell r="R171">
            <v>0.29040404040404039</v>
          </cell>
          <cell r="Y171">
            <v>0.32845188284518828</v>
          </cell>
          <cell r="AF171">
            <v>0.24800868935553944</v>
          </cell>
          <cell r="AM171">
            <v>0.2556053811659193</v>
          </cell>
          <cell r="BA171">
            <v>0.23629242819843341</v>
          </cell>
          <cell r="BH171">
            <v>0.23389830508474577</v>
          </cell>
          <cell r="BO171">
            <v>0.2316715542521994</v>
          </cell>
          <cell r="BP171">
            <v>0.16605588898896848</v>
          </cell>
          <cell r="BQ171">
            <v>0.17184064670998692</v>
          </cell>
          <cell r="BR171">
            <v>0.17495266522588246</v>
          </cell>
          <cell r="BS171">
            <v>0.17787833610108819</v>
          </cell>
          <cell r="BV171">
            <v>0.24</v>
          </cell>
          <cell r="BW171">
            <v>0.24</v>
          </cell>
          <cell r="BX171">
            <v>0.24</v>
          </cell>
          <cell r="BY171">
            <v>0.24</v>
          </cell>
          <cell r="BZ171">
            <v>0.24</v>
          </cell>
          <cell r="CA171">
            <v>0.18260324029528224</v>
          </cell>
          <cell r="CC171">
            <v>0.17898508257152204</v>
          </cell>
          <cell r="CD171">
            <v>0.18254097567001254</v>
          </cell>
          <cell r="CE171">
            <v>0.1783381787954868</v>
          </cell>
          <cell r="CF171">
            <v>0.18153385957688617</v>
          </cell>
          <cell r="CG171">
            <v>0.18457232659587494</v>
          </cell>
        </row>
        <row r="172">
          <cell r="A172" t="str">
            <v>NOPAT Margin</v>
          </cell>
          <cell r="C172">
            <v>0.11853610329344524</v>
          </cell>
          <cell r="D172">
            <v>9.7742396738945178E-2</v>
          </cell>
          <cell r="K172">
            <v>8.1826099285034329E-2</v>
          </cell>
          <cell r="R172">
            <v>0.10105426532659513</v>
          </cell>
          <cell r="Y172">
            <v>0.10330007385137986</v>
          </cell>
          <cell r="AF172">
            <v>0.12723327213104307</v>
          </cell>
          <cell r="AM172">
            <v>0.13793253373494413</v>
          </cell>
          <cell r="BA172">
            <v>0.15013729324231262</v>
          </cell>
          <cell r="BH172">
            <v>0.15564018640417585</v>
          </cell>
          <cell r="BO172">
            <v>0.16671572126343986</v>
          </cell>
          <cell r="BP172">
            <v>629</v>
          </cell>
          <cell r="BQ172">
            <v>683.56859292234071</v>
          </cell>
          <cell r="BR172">
            <v>750.95827618527869</v>
          </cell>
          <cell r="BS172">
            <v>796.03947929082733</v>
          </cell>
          <cell r="BT172">
            <v>844.08991078988697</v>
          </cell>
          <cell r="BV172">
            <v>0.17679767866151194</v>
          </cell>
          <cell r="BW172">
            <v>0.18213693911529985</v>
          </cell>
          <cell r="BX172">
            <v>0.18599970216659906</v>
          </cell>
          <cell r="BY172">
            <v>0.18224404450441609</v>
          </cell>
          <cell r="BZ172">
            <v>0.18586285674240421</v>
          </cell>
        </row>
        <row r="173">
          <cell r="A173" t="str">
            <v>NOPAT Margin</v>
          </cell>
          <cell r="C173">
            <v>0.11853610329344524</v>
          </cell>
          <cell r="D173">
            <v>9.7742396738945178E-2</v>
          </cell>
          <cell r="K173">
            <v>8.1826099285034329E-2</v>
          </cell>
          <cell r="R173">
            <v>0.10105426532659513</v>
          </cell>
          <cell r="Y173">
            <v>0.10330007385137986</v>
          </cell>
          <cell r="AF173">
            <v>0.12723327213104307</v>
          </cell>
          <cell r="AM173">
            <v>0.13793253373494413</v>
          </cell>
          <cell r="BA173">
            <v>0.15013729324231262</v>
          </cell>
          <cell r="BH173">
            <v>0.15564018640417585</v>
          </cell>
          <cell r="BO173">
            <v>0.16671572126343986</v>
          </cell>
          <cell r="BP173">
            <v>86</v>
          </cell>
          <cell r="BQ173">
            <v>86</v>
          </cell>
          <cell r="BR173">
            <v>86</v>
          </cell>
          <cell r="BS173">
            <v>86</v>
          </cell>
          <cell r="BT173">
            <v>86</v>
          </cell>
          <cell r="BV173">
            <v>0.17670102888537273</v>
          </cell>
          <cell r="BW173">
            <v>0.1811712572029309</v>
          </cell>
          <cell r="BX173">
            <v>0.18494902325116797</v>
          </cell>
          <cell r="BY173">
            <v>0.18110877343034079</v>
          </cell>
          <cell r="BZ173">
            <v>0.18464795327990197</v>
          </cell>
        </row>
        <row r="174">
          <cell r="A174" t="str">
            <v>Return Analysis</v>
          </cell>
          <cell r="C174">
            <v>161.30000000000001</v>
          </cell>
          <cell r="D174">
            <v>146</v>
          </cell>
          <cell r="K174">
            <v>242</v>
          </cell>
          <cell r="R174">
            <v>243</v>
          </cell>
          <cell r="Y174">
            <v>245</v>
          </cell>
          <cell r="AF174">
            <v>219</v>
          </cell>
          <cell r="AM174">
            <v>230</v>
          </cell>
          <cell r="BA174">
            <v>224</v>
          </cell>
          <cell r="BH174">
            <v>258</v>
          </cell>
          <cell r="BO174">
            <v>270</v>
          </cell>
          <cell r="BP174">
            <v>390</v>
          </cell>
          <cell r="BQ174">
            <v>417.47874731448394</v>
          </cell>
          <cell r="BR174">
            <v>435.74263276834512</v>
          </cell>
          <cell r="BS174">
            <v>457.57814144892865</v>
          </cell>
          <cell r="BT174">
            <v>480.94063023326277</v>
          </cell>
        </row>
        <row r="175">
          <cell r="A175" t="str">
            <v>Return Analysis</v>
          </cell>
          <cell r="C175">
            <v>387.1</v>
          </cell>
          <cell r="D175">
            <v>404.5</v>
          </cell>
          <cell r="K175">
            <v>560.29999999999995</v>
          </cell>
          <cell r="R175">
            <v>514</v>
          </cell>
          <cell r="Y175">
            <v>535</v>
          </cell>
          <cell r="AF175">
            <v>575</v>
          </cell>
          <cell r="AM175">
            <v>524</v>
          </cell>
          <cell r="BA175">
            <v>502</v>
          </cell>
          <cell r="BH175">
            <v>481</v>
          </cell>
          <cell r="BO175">
            <v>485</v>
          </cell>
          <cell r="BP175">
            <v>803.36910748500713</v>
          </cell>
          <cell r="BQ175">
            <v>813.46371100362649</v>
          </cell>
          <cell r="BR175">
            <v>823.89171239784184</v>
          </cell>
          <cell r="BS175">
            <v>833.05348440723469</v>
          </cell>
          <cell r="BT175">
            <v>840.91748819306531</v>
          </cell>
        </row>
        <row r="176">
          <cell r="A176" t="str">
            <v>Return Analysis</v>
          </cell>
          <cell r="C176">
            <v>407.3</v>
          </cell>
          <cell r="D176">
            <v>359</v>
          </cell>
          <cell r="K176">
            <v>514.9</v>
          </cell>
          <cell r="R176">
            <v>465</v>
          </cell>
          <cell r="Y176">
            <v>487</v>
          </cell>
          <cell r="AF176">
            <v>455</v>
          </cell>
          <cell r="AM176">
            <v>404</v>
          </cell>
          <cell r="BA176">
            <v>398</v>
          </cell>
          <cell r="BH176">
            <v>412</v>
          </cell>
          <cell r="BO176">
            <v>459</v>
          </cell>
          <cell r="BP176">
            <v>629</v>
          </cell>
          <cell r="BQ176">
            <v>663.94467783905543</v>
          </cell>
          <cell r="BR176">
            <v>722.82941959676464</v>
          </cell>
          <cell r="BS176">
            <v>759.32431504799388</v>
          </cell>
          <cell r="BT176">
            <v>797.82153435494092</v>
          </cell>
          <cell r="BV176">
            <v>572</v>
          </cell>
          <cell r="BW176">
            <v>589.43247621292528</v>
          </cell>
          <cell r="BX176">
            <v>651.97708816232637</v>
          </cell>
          <cell r="BY176">
            <v>692.09791351873366</v>
          </cell>
          <cell r="BZ176">
            <v>704.37889139569506</v>
          </cell>
          <cell r="CA176">
            <v>740.71872898663355</v>
          </cell>
          <cell r="CB176">
            <v>858.31321810723523</v>
          </cell>
          <cell r="CC176">
            <v>595</v>
          </cell>
          <cell r="CD176">
            <v>725.79330188824315</v>
          </cell>
          <cell r="CE176">
            <v>776.87990239949886</v>
          </cell>
          <cell r="CF176">
            <v>788.64931211419469</v>
          </cell>
          <cell r="CG176">
            <v>829.21404789486928</v>
          </cell>
          <cell r="CH176">
            <v>872.05706481003472</v>
          </cell>
        </row>
        <row r="177">
          <cell r="A177" t="str">
            <v>Trade receivables</v>
          </cell>
          <cell r="C177">
            <v>407.3</v>
          </cell>
          <cell r="D177">
            <v>359</v>
          </cell>
          <cell r="K177">
            <v>514.9</v>
          </cell>
          <cell r="R177">
            <v>465</v>
          </cell>
          <cell r="Y177">
            <v>487</v>
          </cell>
          <cell r="AF177">
            <v>455</v>
          </cell>
          <cell r="AM177">
            <v>404</v>
          </cell>
          <cell r="BA177">
            <v>398</v>
          </cell>
          <cell r="BH177">
            <v>412</v>
          </cell>
          <cell r="BO177">
            <v>459</v>
          </cell>
          <cell r="BP177">
            <v>86</v>
          </cell>
          <cell r="BQ177">
            <v>86</v>
          </cell>
          <cell r="BR177">
            <v>86</v>
          </cell>
          <cell r="BS177">
            <v>86</v>
          </cell>
          <cell r="BT177">
            <v>86</v>
          </cell>
          <cell r="BV177">
            <v>572</v>
          </cell>
          <cell r="BW177">
            <v>581.52154020707383</v>
          </cell>
          <cell r="BX177">
            <v>633.73904203771224</v>
          </cell>
          <cell r="BY177">
            <v>672.7404862288447</v>
          </cell>
          <cell r="BZ177">
            <v>684.93404527526673</v>
          </cell>
          <cell r="CA177">
            <v>720.27402510169622</v>
          </cell>
          <cell r="CB177">
            <v>98</v>
          </cell>
          <cell r="CC177">
            <v>98</v>
          </cell>
          <cell r="CD177">
            <v>98</v>
          </cell>
          <cell r="CE177">
            <v>98</v>
          </cell>
          <cell r="CF177">
            <v>98</v>
          </cell>
          <cell r="CG177">
            <v>98</v>
          </cell>
          <cell r="CH177">
            <v>98</v>
          </cell>
        </row>
        <row r="178">
          <cell r="A178" t="str">
            <v>Other receivables</v>
          </cell>
          <cell r="C178">
            <v>128.19999999999999</v>
          </cell>
          <cell r="D178">
            <v>211.09999999999997</v>
          </cell>
          <cell r="K178">
            <v>280.10000000000002</v>
          </cell>
          <cell r="R178">
            <v>273</v>
          </cell>
          <cell r="Y178">
            <v>283</v>
          </cell>
          <cell r="AF178">
            <v>205</v>
          </cell>
          <cell r="AM178">
            <v>170</v>
          </cell>
          <cell r="BA178">
            <v>167</v>
          </cell>
          <cell r="BH178">
            <v>92</v>
          </cell>
          <cell r="BO178">
            <v>86</v>
          </cell>
          <cell r="BP178">
            <v>390</v>
          </cell>
          <cell r="BQ178">
            <v>399.68807081192733</v>
          </cell>
          <cell r="BR178">
            <v>415.0620924282876</v>
          </cell>
          <cell r="BS178">
            <v>431.64537507587875</v>
          </cell>
          <cell r="BT178">
            <v>449.20881325885563</v>
          </cell>
          <cell r="BV178">
            <v>98</v>
          </cell>
          <cell r="BW178">
            <v>98</v>
          </cell>
          <cell r="BX178">
            <v>98</v>
          </cell>
          <cell r="BY178">
            <v>98</v>
          </cell>
          <cell r="BZ178">
            <v>98</v>
          </cell>
          <cell r="CA178">
            <v>98</v>
          </cell>
          <cell r="CB178">
            <v>511.4588698152844</v>
          </cell>
          <cell r="CC178">
            <v>382</v>
          </cell>
          <cell r="CD178">
            <v>437.14219057065503</v>
          </cell>
          <cell r="CE178">
            <v>462.06401053494193</v>
          </cell>
          <cell r="CF178">
            <v>475.46419907913781</v>
          </cell>
          <cell r="CG178">
            <v>494.70383290215773</v>
          </cell>
          <cell r="CH178">
            <v>515.0475006937512</v>
          </cell>
        </row>
        <row r="179">
          <cell r="A179" t="str">
            <v>Inventories</v>
          </cell>
          <cell r="C179">
            <v>161.30000000000001</v>
          </cell>
          <cell r="D179">
            <v>146</v>
          </cell>
          <cell r="K179">
            <v>242</v>
          </cell>
          <cell r="R179">
            <v>243</v>
          </cell>
          <cell r="Y179">
            <v>245</v>
          </cell>
          <cell r="AF179">
            <v>219</v>
          </cell>
          <cell r="AM179">
            <v>230</v>
          </cell>
          <cell r="BA179">
            <v>224</v>
          </cell>
          <cell r="BH179">
            <v>258</v>
          </cell>
          <cell r="BO179">
            <v>270</v>
          </cell>
          <cell r="BP179">
            <v>802.90256747500007</v>
          </cell>
          <cell r="BQ179">
            <v>809.36865638228744</v>
          </cell>
          <cell r="BR179">
            <v>815.2946741766516</v>
          </cell>
          <cell r="BS179">
            <v>818.8357977559499</v>
          </cell>
          <cell r="BT179">
            <v>819.89862808007297</v>
          </cell>
          <cell r="BV179">
            <v>322</v>
          </cell>
          <cell r="BW179">
            <v>359.57418630332398</v>
          </cell>
          <cell r="BX179">
            <v>370.81495872438228</v>
          </cell>
          <cell r="BY179">
            <v>388.68558039765691</v>
          </cell>
          <cell r="BZ179">
            <v>400.51318422161705</v>
          </cell>
          <cell r="CA179">
            <v>416.22813429709856</v>
          </cell>
          <cell r="CB179">
            <v>673.25907704185965</v>
          </cell>
          <cell r="CC179">
            <v>479</v>
          </cell>
          <cell r="CD179">
            <v>517.04697426335463</v>
          </cell>
          <cell r="CE179">
            <v>555.14395012866714</v>
          </cell>
          <cell r="CF179">
            <v>585.66031567431014</v>
          </cell>
          <cell r="CG179">
            <v>613.57213119897187</v>
          </cell>
          <cell r="CH179">
            <v>638.77955154093706</v>
          </cell>
        </row>
        <row r="180">
          <cell r="A180" t="str">
            <v>Property, plant, and equipment, net</v>
          </cell>
          <cell r="C180">
            <v>387.1</v>
          </cell>
          <cell r="D180">
            <v>404.5</v>
          </cell>
          <cell r="K180">
            <v>560.29999999999995</v>
          </cell>
          <cell r="R180">
            <v>514</v>
          </cell>
          <cell r="Y180">
            <v>535</v>
          </cell>
          <cell r="AF180">
            <v>575</v>
          </cell>
          <cell r="AM180">
            <v>524</v>
          </cell>
          <cell r="BA180">
            <v>502</v>
          </cell>
          <cell r="BH180">
            <v>481</v>
          </cell>
          <cell r="BO180">
            <v>485</v>
          </cell>
          <cell r="BP180">
            <v>1538</v>
          </cell>
          <cell r="BQ180">
            <v>1538</v>
          </cell>
          <cell r="BR180">
            <v>1538</v>
          </cell>
          <cell r="BS180">
            <v>1538</v>
          </cell>
          <cell r="BT180">
            <v>1538</v>
          </cell>
          <cell r="BV180">
            <v>425</v>
          </cell>
          <cell r="BW180">
            <v>307.65241186073388</v>
          </cell>
          <cell r="BX180">
            <v>351.47400520872168</v>
          </cell>
          <cell r="BY180">
            <v>394.25695436858223</v>
          </cell>
          <cell r="BZ180">
            <v>430.2777882443711</v>
          </cell>
          <cell r="CA180">
            <v>463.85611770892751</v>
          </cell>
          <cell r="CB180">
            <v>1834</v>
          </cell>
          <cell r="CC180">
            <v>734</v>
          </cell>
          <cell r="CD180">
            <v>1834</v>
          </cell>
          <cell r="CE180">
            <v>1834</v>
          </cell>
          <cell r="CF180">
            <v>1834</v>
          </cell>
          <cell r="CG180">
            <v>1834</v>
          </cell>
          <cell r="CH180">
            <v>1834</v>
          </cell>
        </row>
        <row r="181">
          <cell r="A181" t="str">
            <v>Goodwill</v>
          </cell>
          <cell r="C181">
            <v>0</v>
          </cell>
          <cell r="D181">
            <v>0</v>
          </cell>
          <cell r="K181">
            <v>44</v>
          </cell>
          <cell r="R181">
            <v>47</v>
          </cell>
          <cell r="Y181">
            <v>53</v>
          </cell>
          <cell r="AF181">
            <v>65</v>
          </cell>
          <cell r="AM181">
            <v>131</v>
          </cell>
          <cell r="BA181">
            <v>162</v>
          </cell>
          <cell r="BH181">
            <v>62</v>
          </cell>
          <cell r="BO181">
            <v>66</v>
          </cell>
          <cell r="BP181">
            <v>1691</v>
          </cell>
          <cell r="BQ181">
            <v>1682</v>
          </cell>
          <cell r="BR181">
            <v>1673</v>
          </cell>
          <cell r="BS181">
            <v>1664</v>
          </cell>
          <cell r="BT181">
            <v>1655</v>
          </cell>
          <cell r="BV181">
            <v>834</v>
          </cell>
          <cell r="BW181">
            <v>734</v>
          </cell>
          <cell r="BX181">
            <v>734</v>
          </cell>
          <cell r="BY181">
            <v>734</v>
          </cell>
          <cell r="BZ181">
            <v>734</v>
          </cell>
          <cell r="CA181">
            <v>734</v>
          </cell>
          <cell r="CB181">
            <v>3032</v>
          </cell>
          <cell r="CC181">
            <v>3077</v>
          </cell>
          <cell r="CD181">
            <v>3068</v>
          </cell>
          <cell r="CE181">
            <v>3059</v>
          </cell>
          <cell r="CF181">
            <v>3050</v>
          </cell>
          <cell r="CG181">
            <v>3041</v>
          </cell>
          <cell r="CH181">
            <v>3032</v>
          </cell>
        </row>
        <row r="182">
          <cell r="A182" t="str">
            <v>Other intangible assets</v>
          </cell>
          <cell r="C182">
            <v>1145.5999999999999</v>
          </cell>
          <cell r="D182">
            <v>1135</v>
          </cell>
          <cell r="K182">
            <v>1387</v>
          </cell>
          <cell r="R182">
            <v>1489</v>
          </cell>
          <cell r="Y182">
            <v>1585</v>
          </cell>
          <cell r="AF182">
            <v>1702</v>
          </cell>
          <cell r="AM182">
            <v>1634</v>
          </cell>
          <cell r="BA182">
            <v>1584</v>
          </cell>
          <cell r="BH182">
            <v>1601</v>
          </cell>
          <cell r="BO182">
            <v>1700</v>
          </cell>
          <cell r="BP182">
            <v>77</v>
          </cell>
          <cell r="BQ182">
            <v>77</v>
          </cell>
          <cell r="BR182">
            <v>77</v>
          </cell>
          <cell r="BS182">
            <v>77</v>
          </cell>
          <cell r="BT182">
            <v>77</v>
          </cell>
          <cell r="BV182">
            <v>3008</v>
          </cell>
          <cell r="BW182">
            <v>2999</v>
          </cell>
          <cell r="BX182">
            <v>2990</v>
          </cell>
          <cell r="BY182">
            <v>2981</v>
          </cell>
          <cell r="BZ182">
            <v>2972</v>
          </cell>
          <cell r="CA182">
            <v>2963</v>
          </cell>
          <cell r="CB182">
            <v>106</v>
          </cell>
          <cell r="CC182">
            <v>106</v>
          </cell>
          <cell r="CD182">
            <v>106</v>
          </cell>
          <cell r="CE182">
            <v>106</v>
          </cell>
          <cell r="CF182">
            <v>106</v>
          </cell>
          <cell r="CG182">
            <v>106</v>
          </cell>
          <cell r="CH182">
            <v>106</v>
          </cell>
        </row>
        <row r="183">
          <cell r="A183" t="str">
            <v>Deferred tax assets</v>
          </cell>
          <cell r="C183">
            <v>0</v>
          </cell>
          <cell r="D183">
            <v>0</v>
          </cell>
          <cell r="K183">
            <v>0</v>
          </cell>
          <cell r="R183">
            <v>0</v>
          </cell>
          <cell r="Y183">
            <v>0</v>
          </cell>
          <cell r="AF183">
            <v>0</v>
          </cell>
          <cell r="AM183">
            <v>0</v>
          </cell>
          <cell r="BA183">
            <v>0</v>
          </cell>
          <cell r="BH183">
            <v>58</v>
          </cell>
          <cell r="BO183">
            <v>77</v>
          </cell>
          <cell r="BP183">
            <v>778</v>
          </cell>
          <cell r="BQ183">
            <v>778</v>
          </cell>
          <cell r="BR183">
            <v>778</v>
          </cell>
          <cell r="BS183">
            <v>778</v>
          </cell>
          <cell r="BT183">
            <v>778</v>
          </cell>
          <cell r="BV183">
            <v>144</v>
          </cell>
          <cell r="BW183">
            <v>144</v>
          </cell>
          <cell r="BX183">
            <v>144</v>
          </cell>
          <cell r="BY183">
            <v>144</v>
          </cell>
          <cell r="BZ183">
            <v>144</v>
          </cell>
          <cell r="CA183">
            <v>144</v>
          </cell>
          <cell r="CB183">
            <v>783</v>
          </cell>
          <cell r="CC183">
            <v>783</v>
          </cell>
          <cell r="CD183">
            <v>783</v>
          </cell>
          <cell r="CE183">
            <v>783</v>
          </cell>
          <cell r="CF183">
            <v>783</v>
          </cell>
          <cell r="CG183">
            <v>783</v>
          </cell>
          <cell r="CH183">
            <v>783</v>
          </cell>
        </row>
        <row r="184">
          <cell r="A184" t="str">
            <v>Unrecorded goodwill from poolings, nonimpairment write-offs, and cumulative amortization</v>
          </cell>
          <cell r="C184">
            <v>0</v>
          </cell>
          <cell r="D184" t="str">
            <v>ND</v>
          </cell>
          <cell r="K184">
            <v>787.3</v>
          </cell>
          <cell r="R184">
            <v>765.2</v>
          </cell>
          <cell r="Y184">
            <v>768</v>
          </cell>
          <cell r="AF184">
            <v>772</v>
          </cell>
          <cell r="AM184">
            <v>774</v>
          </cell>
          <cell r="BA184">
            <v>782</v>
          </cell>
          <cell r="BH184">
            <v>777</v>
          </cell>
          <cell r="BO184">
            <v>778</v>
          </cell>
          <cell r="BP184">
            <v>5991.9025674750001</v>
          </cell>
          <cell r="BQ184">
            <v>6034.0014050332702</v>
          </cell>
          <cell r="BR184">
            <v>6105.186186201704</v>
          </cell>
          <cell r="BS184">
            <v>6152.805487879823</v>
          </cell>
          <cell r="BT184">
            <v>6200.9289756938697</v>
          </cell>
          <cell r="BV184">
            <v>783</v>
          </cell>
          <cell r="BW184">
            <v>783</v>
          </cell>
          <cell r="BX184">
            <v>783</v>
          </cell>
          <cell r="BY184">
            <v>783</v>
          </cell>
          <cell r="BZ184">
            <v>783</v>
          </cell>
          <cell r="CA184">
            <v>783</v>
          </cell>
          <cell r="CB184">
            <v>7896.0311649643791</v>
          </cell>
          <cell r="CC184">
            <v>6254</v>
          </cell>
          <cell r="CD184">
            <v>7568.9824667222529</v>
          </cell>
          <cell r="CE184">
            <v>7674.0878630631078</v>
          </cell>
          <cell r="CF184">
            <v>7720.7738268676421</v>
          </cell>
          <cell r="CG184">
            <v>7799.4900119959984</v>
          </cell>
          <cell r="CH184">
            <v>7878.8841170447231</v>
          </cell>
        </row>
        <row r="185">
          <cell r="A185" t="str">
            <v>Operating Assets (BOP)</v>
          </cell>
          <cell r="C185">
            <v>2229.5</v>
          </cell>
          <cell r="D185">
            <v>2255.6</v>
          </cell>
          <cell r="K185">
            <v>3815.6000000000004</v>
          </cell>
          <cell r="R185">
            <v>3796.2</v>
          </cell>
          <cell r="Y185">
            <v>3956</v>
          </cell>
          <cell r="AF185">
            <v>3993</v>
          </cell>
          <cell r="AM185">
            <v>3867</v>
          </cell>
          <cell r="BA185">
            <v>3819</v>
          </cell>
          <cell r="BH185">
            <v>3741</v>
          </cell>
          <cell r="BO185">
            <v>3921</v>
          </cell>
          <cell r="BP185">
            <v>-14</v>
          </cell>
          <cell r="BQ185">
            <v>-14</v>
          </cell>
          <cell r="BR185">
            <v>-14</v>
          </cell>
          <cell r="BS185">
            <v>-14</v>
          </cell>
          <cell r="BT185">
            <v>-14</v>
          </cell>
          <cell r="BV185">
            <v>6186</v>
          </cell>
          <cell r="BW185">
            <v>6006.7481383711311</v>
          </cell>
          <cell r="BX185">
            <v>6105.0280059708166</v>
          </cell>
          <cell r="BY185">
            <v>6195.683020995084</v>
          </cell>
          <cell r="BZ185">
            <v>6246.7250177412552</v>
          </cell>
          <cell r="CA185">
            <v>6322.3582771077226</v>
          </cell>
        </row>
        <row r="186">
          <cell r="A186" t="str">
            <v>Operating Assets (BOP)</v>
          </cell>
          <cell r="C186">
            <v>2229.5</v>
          </cell>
          <cell r="D186">
            <v>2255.6</v>
          </cell>
          <cell r="K186">
            <v>3815.6000000000004</v>
          </cell>
          <cell r="R186">
            <v>3796.2</v>
          </cell>
          <cell r="Y186">
            <v>3956</v>
          </cell>
          <cell r="AF186">
            <v>3993</v>
          </cell>
          <cell r="AM186">
            <v>3867</v>
          </cell>
          <cell r="BA186">
            <v>3819</v>
          </cell>
          <cell r="BH186">
            <v>3741</v>
          </cell>
          <cell r="BO186">
            <v>3921</v>
          </cell>
          <cell r="BP186">
            <v>-676</v>
          </cell>
          <cell r="BQ186">
            <v>-671.48855191839095</v>
          </cell>
          <cell r="BR186">
            <v>-677.31739262249471</v>
          </cell>
          <cell r="BS186">
            <v>-704.37875517255429</v>
          </cell>
          <cell r="BT186">
            <v>-733.03958055890439</v>
          </cell>
          <cell r="BV186">
            <v>6186</v>
          </cell>
          <cell r="BW186">
            <v>6059.0219634341493</v>
          </cell>
          <cell r="BX186">
            <v>6173.1100789776801</v>
          </cell>
          <cell r="BY186">
            <v>6264.7997563735098</v>
          </cell>
          <cell r="BZ186">
            <v>6315.9497744487153</v>
          </cell>
          <cell r="CA186">
            <v>6392.2860077003998</v>
          </cell>
          <cell r="CB186">
            <v>-981.44409362014449</v>
          </cell>
          <cell r="CC186">
            <v>-750.54</v>
          </cell>
          <cell r="CD186">
            <v>-838.88141285575762</v>
          </cell>
          <cell r="CE186">
            <v>-886.70670172866664</v>
          </cell>
          <cell r="CF186">
            <v>-912.42183364904736</v>
          </cell>
          <cell r="CG186">
            <v>-949.34293518631409</v>
          </cell>
          <cell r="CH186">
            <v>-988.38269192405176</v>
          </cell>
        </row>
        <row r="187">
          <cell r="A187" t="str">
            <v>Trade and other payables</v>
          </cell>
          <cell r="C187">
            <v>-577.70000000000005</v>
          </cell>
          <cell r="D187">
            <v>-200.8</v>
          </cell>
          <cell r="K187">
            <v>-352</v>
          </cell>
          <cell r="R187">
            <v>-324</v>
          </cell>
          <cell r="Y187">
            <v>-382</v>
          </cell>
          <cell r="AF187">
            <v>-391</v>
          </cell>
          <cell r="AM187">
            <v>-410</v>
          </cell>
          <cell r="BA187">
            <v>-414</v>
          </cell>
          <cell r="BH187">
            <v>-476</v>
          </cell>
          <cell r="BO187">
            <v>-570</v>
          </cell>
          <cell r="BP187">
            <v>-88.88</v>
          </cell>
          <cell r="BQ187">
            <v>-89.768799999999999</v>
          </cell>
          <cell r="BR187">
            <v>-90.666488000000001</v>
          </cell>
          <cell r="BS187">
            <v>-91.573152879999995</v>
          </cell>
          <cell r="BT187">
            <v>-92.48888440879999</v>
          </cell>
          <cell r="BV187">
            <v>-646</v>
          </cell>
          <cell r="BW187">
            <v>-673.58822867109097</v>
          </cell>
          <cell r="BX187">
            <v>-674.6455021696072</v>
          </cell>
          <cell r="BY187">
            <v>-707.15857708525698</v>
          </cell>
          <cell r="BZ187">
            <v>-728.677233583712</v>
          </cell>
          <cell r="CA187">
            <v>-757.26836815313402</v>
          </cell>
          <cell r="CB187">
            <v>-219.13559544585004</v>
          </cell>
          <cell r="CC187">
            <v>-208.5</v>
          </cell>
          <cell r="CD187">
            <v>-210.58500000000001</v>
          </cell>
          <cell r="CE187">
            <v>-212.69085000000001</v>
          </cell>
          <cell r="CF187">
            <v>-214.81775850000002</v>
          </cell>
          <cell r="CG187">
            <v>-216.96593608500004</v>
          </cell>
          <cell r="CH187">
            <v>-219.13559544585004</v>
          </cell>
        </row>
        <row r="188">
          <cell r="A188" t="str">
            <v>Other Creditors</v>
          </cell>
          <cell r="C188">
            <v>0</v>
          </cell>
          <cell r="D188">
            <v>-379.40000000000003</v>
          </cell>
          <cell r="K188">
            <v>-277</v>
          </cell>
          <cell r="R188">
            <v>-202</v>
          </cell>
          <cell r="Y188">
            <v>-239</v>
          </cell>
          <cell r="AF188">
            <v>-272</v>
          </cell>
          <cell r="AM188">
            <v>-329</v>
          </cell>
          <cell r="BA188">
            <v>-307</v>
          </cell>
          <cell r="BH188">
            <v>-66</v>
          </cell>
          <cell r="BO188">
            <v>-88</v>
          </cell>
          <cell r="BP188">
            <v>-291</v>
          </cell>
          <cell r="BQ188">
            <v>-291</v>
          </cell>
          <cell r="BR188">
            <v>-291</v>
          </cell>
          <cell r="BS188">
            <v>-291</v>
          </cell>
          <cell r="BT188">
            <v>-291</v>
          </cell>
          <cell r="BV188">
            <v>-139</v>
          </cell>
          <cell r="BW188">
            <v>-208.5</v>
          </cell>
          <cell r="BX188">
            <v>-210.58500000000001</v>
          </cell>
          <cell r="BY188">
            <v>-212.69085000000001</v>
          </cell>
          <cell r="BZ188">
            <v>-214.81775850000002</v>
          </cell>
          <cell r="CA188">
            <v>-216.96593608500004</v>
          </cell>
          <cell r="CB188">
            <v>-359</v>
          </cell>
          <cell r="CC188">
            <v>-359</v>
          </cell>
          <cell r="CD188">
            <v>-359</v>
          </cell>
          <cell r="CE188">
            <v>-359</v>
          </cell>
          <cell r="CF188">
            <v>-359</v>
          </cell>
          <cell r="CG188">
            <v>-359</v>
          </cell>
          <cell r="CH188">
            <v>-359</v>
          </cell>
        </row>
        <row r="189">
          <cell r="A189" t="str">
            <v>Income tax payable</v>
          </cell>
          <cell r="C189">
            <v>0</v>
          </cell>
          <cell r="D189">
            <v>0</v>
          </cell>
          <cell r="K189">
            <v>0</v>
          </cell>
          <cell r="R189">
            <v>0</v>
          </cell>
          <cell r="Y189">
            <v>0</v>
          </cell>
          <cell r="AF189">
            <v>0</v>
          </cell>
          <cell r="AM189">
            <v>0</v>
          </cell>
          <cell r="BA189">
            <v>0</v>
          </cell>
          <cell r="BH189">
            <v>-246</v>
          </cell>
          <cell r="BO189">
            <v>-291</v>
          </cell>
          <cell r="BP189">
            <v>-572.66999999999996</v>
          </cell>
          <cell r="BQ189">
            <v>-578.39670000000001</v>
          </cell>
          <cell r="BR189">
            <v>-584.18066699999997</v>
          </cell>
          <cell r="BS189">
            <v>-590.02247366999995</v>
          </cell>
          <cell r="BT189">
            <v>-595.92269840669996</v>
          </cell>
          <cell r="BV189">
            <v>-339</v>
          </cell>
          <cell r="BW189">
            <v>-339</v>
          </cell>
          <cell r="BX189">
            <v>-339</v>
          </cell>
          <cell r="BY189">
            <v>-339</v>
          </cell>
          <cell r="BZ189">
            <v>-339</v>
          </cell>
          <cell r="CA189">
            <v>-339</v>
          </cell>
          <cell r="CB189">
            <v>-738.81802481829595</v>
          </cell>
          <cell r="CC189">
            <v>-702.96</v>
          </cell>
          <cell r="CD189">
            <v>-709.9896</v>
          </cell>
          <cell r="CE189">
            <v>-717.08949599999994</v>
          </cell>
          <cell r="CF189">
            <v>-724.26039096</v>
          </cell>
          <cell r="CG189">
            <v>-731.5029948696</v>
          </cell>
          <cell r="CH189">
            <v>-738.81802481829595</v>
          </cell>
        </row>
        <row r="190">
          <cell r="A190" t="str">
            <v>Accrued expenses</v>
          </cell>
          <cell r="C190">
            <v>0</v>
          </cell>
          <cell r="D190">
            <v>0</v>
          </cell>
          <cell r="K190">
            <v>-302</v>
          </cell>
          <cell r="R190">
            <v>-348</v>
          </cell>
          <cell r="Y190">
            <v>-432</v>
          </cell>
          <cell r="AF190">
            <v>-448</v>
          </cell>
          <cell r="AM190">
            <v>-471</v>
          </cell>
          <cell r="BA190">
            <v>-561</v>
          </cell>
          <cell r="BH190">
            <v>-593</v>
          </cell>
          <cell r="BO190">
            <v>-567</v>
          </cell>
          <cell r="BP190">
            <v>-14</v>
          </cell>
          <cell r="BQ190">
            <v>-14</v>
          </cell>
          <cell r="BR190">
            <v>-14</v>
          </cell>
          <cell r="BS190">
            <v>-14</v>
          </cell>
          <cell r="BT190">
            <v>-14</v>
          </cell>
          <cell r="BV190">
            <v>-696</v>
          </cell>
          <cell r="BW190">
            <v>-702.96</v>
          </cell>
          <cell r="BX190">
            <v>-709.9896</v>
          </cell>
          <cell r="BY190">
            <v>-717.08949599999994</v>
          </cell>
          <cell r="BZ190">
            <v>-724.26039096</v>
          </cell>
          <cell r="CA190">
            <v>-731.5029948696</v>
          </cell>
          <cell r="CB190">
            <v>-55</v>
          </cell>
          <cell r="CC190">
            <v>-55</v>
          </cell>
          <cell r="CD190">
            <v>-55</v>
          </cell>
          <cell r="CE190">
            <v>-55</v>
          </cell>
          <cell r="CF190">
            <v>-55</v>
          </cell>
          <cell r="CG190">
            <v>-55</v>
          </cell>
          <cell r="CH190">
            <v>-55</v>
          </cell>
        </row>
        <row r="191">
          <cell r="A191" t="str">
            <v>Provisions and reserves</v>
          </cell>
          <cell r="C191">
            <v>-190.1</v>
          </cell>
          <cell r="D191">
            <v>-186.7</v>
          </cell>
          <cell r="K191">
            <v>-236</v>
          </cell>
          <cell r="R191">
            <v>-362</v>
          </cell>
          <cell r="Y191">
            <v>-279</v>
          </cell>
          <cell r="AF191">
            <v>-437</v>
          </cell>
          <cell r="AM191">
            <v>-407</v>
          </cell>
          <cell r="BA191">
            <v>-408</v>
          </cell>
          <cell r="BH191">
            <v>-15</v>
          </cell>
          <cell r="BO191">
            <v>-14</v>
          </cell>
          <cell r="BP191">
            <v>-377</v>
          </cell>
          <cell r="BQ191">
            <v>-377</v>
          </cell>
          <cell r="BR191">
            <v>-377</v>
          </cell>
          <cell r="BS191">
            <v>-377</v>
          </cell>
          <cell r="BT191">
            <v>-377</v>
          </cell>
          <cell r="BV191">
            <v>-62</v>
          </cell>
          <cell r="BW191">
            <v>-62</v>
          </cell>
          <cell r="BX191">
            <v>-62</v>
          </cell>
          <cell r="BY191">
            <v>-62</v>
          </cell>
          <cell r="BZ191">
            <v>-62</v>
          </cell>
          <cell r="CA191">
            <v>-62</v>
          </cell>
          <cell r="CB191">
            <v>-705</v>
          </cell>
          <cell r="CC191">
            <v>-705</v>
          </cell>
          <cell r="CD191">
            <v>-705</v>
          </cell>
          <cell r="CE191">
            <v>-705</v>
          </cell>
          <cell r="CF191">
            <v>-705</v>
          </cell>
          <cell r="CG191">
            <v>-705</v>
          </cell>
          <cell r="CH191">
            <v>-705</v>
          </cell>
        </row>
        <row r="192">
          <cell r="A192" t="str">
            <v>Deferred tax liabilities</v>
          </cell>
          <cell r="C192">
            <v>0</v>
          </cell>
          <cell r="D192">
            <v>0</v>
          </cell>
          <cell r="K192">
            <v>0</v>
          </cell>
          <cell r="R192">
            <v>0</v>
          </cell>
          <cell r="Y192">
            <v>0</v>
          </cell>
          <cell r="AF192">
            <v>0</v>
          </cell>
          <cell r="AM192">
            <v>0</v>
          </cell>
          <cell r="BA192">
            <v>0</v>
          </cell>
          <cell r="BH192">
            <v>-349</v>
          </cell>
          <cell r="BO192">
            <v>-377</v>
          </cell>
          <cell r="BP192">
            <v>-2019.5500000000002</v>
          </cell>
          <cell r="BQ192">
            <v>-2021.6540519183909</v>
          </cell>
          <cell r="BR192">
            <v>-2034.1645476224949</v>
          </cell>
          <cell r="BS192">
            <v>-2067.9743817225544</v>
          </cell>
          <cell r="BT192">
            <v>-2103.4511633744041</v>
          </cell>
          <cell r="BV192">
            <v>-766</v>
          </cell>
          <cell r="BW192">
            <v>-766</v>
          </cell>
          <cell r="BX192">
            <v>-766</v>
          </cell>
          <cell r="BY192">
            <v>-766</v>
          </cell>
          <cell r="BZ192">
            <v>-766</v>
          </cell>
          <cell r="CA192">
            <v>-766</v>
          </cell>
          <cell r="CB192">
            <v>-3058.3977138842902</v>
          </cell>
          <cell r="CC192">
            <v>-2781</v>
          </cell>
          <cell r="CD192">
            <v>-2878.4560128557578</v>
          </cell>
          <cell r="CE192">
            <v>-2935.4870477286668</v>
          </cell>
          <cell r="CF192">
            <v>-2970.4999831090472</v>
          </cell>
          <cell r="CG192">
            <v>-3016.8118661409139</v>
          </cell>
          <cell r="CH192">
            <v>-3065.3363121881976</v>
          </cell>
        </row>
        <row r="193">
          <cell r="A193" t="str">
            <v>Operating Liabilities (BOP)</v>
          </cell>
          <cell r="C193">
            <v>-767.80000000000007</v>
          </cell>
          <cell r="D193">
            <v>-766.90000000000009</v>
          </cell>
          <cell r="K193">
            <v>-1167</v>
          </cell>
          <cell r="R193">
            <v>-1236</v>
          </cell>
          <cell r="Y193">
            <v>-1332</v>
          </cell>
          <cell r="AF193">
            <v>-1548</v>
          </cell>
          <cell r="AM193">
            <v>-1617</v>
          </cell>
          <cell r="BA193">
            <v>-1690</v>
          </cell>
          <cell r="BH193">
            <v>-1745</v>
          </cell>
          <cell r="BO193">
            <v>-1907</v>
          </cell>
          <cell r="BP193">
            <v>0.21552831541421</v>
          </cell>
          <cell r="BQ193">
            <v>0.2321559538547088</v>
          </cell>
          <cell r="BR193">
            <v>0.24609109324392917</v>
          </cell>
          <cell r="BS193">
            <v>0.26340887898457072</v>
          </cell>
          <cell r="BV193">
            <v>-2648</v>
          </cell>
          <cell r="BW193">
            <v>-2752.0482286710912</v>
          </cell>
          <cell r="BX193">
            <v>-2762.2201021696073</v>
          </cell>
          <cell r="BY193">
            <v>-2803.9389230852571</v>
          </cell>
          <cell r="BZ193">
            <v>-2834.7553830437118</v>
          </cell>
          <cell r="CA193">
            <v>-2872.7372991077341</v>
          </cell>
        </row>
        <row r="194">
          <cell r="A194" t="str">
            <v>Operating Liabilities (BOP)</v>
          </cell>
          <cell r="C194">
            <v>-767.80000000000007</v>
          </cell>
          <cell r="D194">
            <v>-766.90000000000009</v>
          </cell>
          <cell r="K194">
            <v>-1167</v>
          </cell>
          <cell r="R194">
            <v>-1236</v>
          </cell>
          <cell r="Y194">
            <v>-1332</v>
          </cell>
          <cell r="AF194">
            <v>-1548</v>
          </cell>
          <cell r="AM194">
            <v>-1617</v>
          </cell>
          <cell r="BA194">
            <v>-1690</v>
          </cell>
          <cell r="BH194">
            <v>-1745</v>
          </cell>
          <cell r="BO194">
            <v>-1907</v>
          </cell>
          <cell r="BP194">
            <v>3972.3525674749999</v>
          </cell>
          <cell r="BQ194">
            <v>4012.3473531148793</v>
          </cell>
          <cell r="BR194">
            <v>4071.0216385792091</v>
          </cell>
          <cell r="BS194">
            <v>4084.8311061572686</v>
          </cell>
          <cell r="BT194">
            <v>4097.4778123194656</v>
          </cell>
          <cell r="BV194">
            <v>-2648</v>
          </cell>
          <cell r="BW194">
            <v>-2755.6869432029234</v>
          </cell>
          <cell r="BX194">
            <v>-2777.5154547297761</v>
          </cell>
          <cell r="BY194">
            <v>-2820.1687059662031</v>
          </cell>
          <cell r="BZ194">
            <v>-2851.6859379363773</v>
          </cell>
          <cell r="CA194">
            <v>-2890.5341465579008</v>
          </cell>
          <cell r="CB194">
            <v>4837.6334510800889</v>
          </cell>
          <cell r="CC194">
            <v>3473</v>
          </cell>
          <cell r="CD194">
            <v>4690.5264538664951</v>
          </cell>
          <cell r="CE194">
            <v>4738.600815334441</v>
          </cell>
          <cell r="CF194">
            <v>4750.2738437585949</v>
          </cell>
          <cell r="CG194">
            <v>4782.6781458550849</v>
          </cell>
          <cell r="CH194">
            <v>4813.5478048565255</v>
          </cell>
        </row>
        <row r="195">
          <cell r="A195" t="str">
            <v>Net Operating Assets (BOP)</v>
          </cell>
          <cell r="C195">
            <v>1461.6999999999998</v>
          </cell>
          <cell r="D195">
            <v>1488.6999999999998</v>
          </cell>
          <cell r="K195">
            <v>2648.6000000000004</v>
          </cell>
          <cell r="R195">
            <v>2560.1999999999998</v>
          </cell>
          <cell r="Y195">
            <v>2624</v>
          </cell>
          <cell r="AF195">
            <v>2445</v>
          </cell>
          <cell r="AM195">
            <v>2250</v>
          </cell>
          <cell r="BA195">
            <v>2129</v>
          </cell>
          <cell r="BH195">
            <v>1996</v>
          </cell>
          <cell r="BO195">
            <v>2014</v>
          </cell>
          <cell r="BP195">
            <v>858.07181663963092</v>
          </cell>
          <cell r="BQ195">
            <v>947.27095130486543</v>
          </cell>
          <cell r="BR195">
            <v>1028.1566559215805</v>
          </cell>
          <cell r="BS195">
            <v>1115.2729926044979</v>
          </cell>
          <cell r="BV195">
            <v>3538</v>
          </cell>
          <cell r="BW195">
            <v>3254.6999097000398</v>
          </cell>
          <cell r="BX195">
            <v>3342.8079038012092</v>
          </cell>
          <cell r="BY195">
            <v>3391.7440979098269</v>
          </cell>
          <cell r="BZ195">
            <v>3411.9696346975434</v>
          </cell>
          <cell r="CA195">
            <v>3449.6209779999886</v>
          </cell>
        </row>
        <row r="196">
          <cell r="A196" t="str">
            <v>Net Operating Assets (BOP)</v>
          </cell>
          <cell r="C196">
            <v>1461.6999999999998</v>
          </cell>
          <cell r="D196">
            <v>1488.6999999999998</v>
          </cell>
          <cell r="K196">
            <v>2648.6000000000004</v>
          </cell>
          <cell r="R196">
            <v>2560.1999999999998</v>
          </cell>
          <cell r="Y196">
            <v>2624</v>
          </cell>
          <cell r="AF196">
            <v>2445</v>
          </cell>
          <cell r="AM196">
            <v>2250</v>
          </cell>
          <cell r="BA196">
            <v>2129</v>
          </cell>
          <cell r="BH196">
            <v>1996</v>
          </cell>
          <cell r="BO196">
            <v>2014</v>
          </cell>
          <cell r="BP196">
            <v>1.2999339725092263</v>
          </cell>
          <cell r="BQ196">
            <v>1.3539647110294586</v>
          </cell>
          <cell r="BR196">
            <v>1.4018254638337002</v>
          </cell>
          <cell r="BS196">
            <v>1.4679176690115221</v>
          </cell>
          <cell r="BV196">
            <v>3538</v>
          </cell>
          <cell r="BW196">
            <v>3303.3350202312258</v>
          </cell>
          <cell r="BX196">
            <v>3395.594624247904</v>
          </cell>
          <cell r="BY196">
            <v>3444.6310504073067</v>
          </cell>
          <cell r="BZ196">
            <v>3464.263836512338</v>
          </cell>
          <cell r="CA196">
            <v>3501.7518611424989</v>
          </cell>
          <cell r="CC196">
            <v>1.7703505170958924</v>
          </cell>
          <cell r="CD196">
            <v>1.4030830768100377</v>
          </cell>
          <cell r="CE196">
            <v>1.4098889071957108</v>
          </cell>
          <cell r="CF196">
            <v>1.478764765042893</v>
          </cell>
          <cell r="CG196">
            <v>1.5446313272792058</v>
          </cell>
        </row>
        <row r="197">
          <cell r="A197" t="str">
            <v>Operating Asset Turnover</v>
          </cell>
          <cell r="C197">
            <v>1.5027707463911886</v>
          </cell>
          <cell r="D197">
            <v>2.0767783972593539</v>
          </cell>
          <cell r="K197">
            <v>1.1530619950162349</v>
          </cell>
          <cell r="R197">
            <v>1.2506835403484104</v>
          </cell>
          <cell r="Y197">
            <v>1.3105945121951219</v>
          </cell>
          <cell r="AF197">
            <v>1.412678936605317</v>
          </cell>
          <cell r="AM197">
            <v>1.6502222222222223</v>
          </cell>
          <cell r="BA197">
            <v>1.8182245185533115</v>
          </cell>
          <cell r="BH197">
            <v>2.0936873747494991</v>
          </cell>
          <cell r="BO197">
            <v>2.4438927507447863</v>
          </cell>
          <cell r="BP197">
            <v>0.16605588898896848</v>
          </cell>
          <cell r="BQ197">
            <v>0.17184064670998692</v>
          </cell>
          <cell r="BR197">
            <v>0.17495266522588246</v>
          </cell>
          <cell r="BS197">
            <v>0.17787833610108819</v>
          </cell>
          <cell r="BV197">
            <v>1.4725885542457609</v>
          </cell>
          <cell r="BW197">
            <v>1.6768553590559767</v>
          </cell>
          <cell r="BX197">
            <v>1.7331343761015154</v>
          </cell>
          <cell r="BY197">
            <v>1.7390888386012355</v>
          </cell>
          <cell r="BZ197">
            <v>1.8179782699885543</v>
          </cell>
          <cell r="CA197">
            <v>0.18260324029528224</v>
          </cell>
          <cell r="CC197">
            <v>0.17898508257152204</v>
          </cell>
          <cell r="CD197">
            <v>0.18254097567001254</v>
          </cell>
          <cell r="CE197">
            <v>0.1783381787954868</v>
          </cell>
          <cell r="CF197">
            <v>0.18153385957688617</v>
          </cell>
          <cell r="CG197">
            <v>0.18457232659587494</v>
          </cell>
        </row>
        <row r="198">
          <cell r="A198" t="str">
            <v>NOPAT Margin</v>
          </cell>
          <cell r="C198">
            <v>0.11853610329344524</v>
          </cell>
          <cell r="D198">
            <v>9.7742396738945178E-2</v>
          </cell>
          <cell r="K198">
            <v>8.1826099285034329E-2</v>
          </cell>
          <cell r="R198">
            <v>0.10105426532659513</v>
          </cell>
          <cell r="Y198">
            <v>0.10330007385137986</v>
          </cell>
          <cell r="AF198">
            <v>0.12723327213104307</v>
          </cell>
          <cell r="AM198">
            <v>0.13793253373494413</v>
          </cell>
          <cell r="BA198">
            <v>0.15013729324231262</v>
          </cell>
          <cell r="BH198">
            <v>0.15564018640417585</v>
          </cell>
          <cell r="BO198">
            <v>0.16671572126343986</v>
          </cell>
          <cell r="BP198">
            <v>0.21586169143198086</v>
          </cell>
          <cell r="BQ198">
            <v>0.23266617156580272</v>
          </cell>
          <cell r="BR198">
            <v>0.24525310107921475</v>
          </cell>
          <cell r="BS198">
            <v>0.26111075249715748</v>
          </cell>
          <cell r="BV198">
            <v>0.17679767866151194</v>
          </cell>
          <cell r="BW198">
            <v>0.18213693911529985</v>
          </cell>
          <cell r="BX198">
            <v>0.18599970216659906</v>
          </cell>
          <cell r="BY198">
            <v>0.18224404450441609</v>
          </cell>
          <cell r="BZ198">
            <v>0.18586285674240421</v>
          </cell>
          <cell r="CA198">
            <v>0.27666520590504967</v>
          </cell>
          <cell r="CC198">
            <v>0.31686633348294507</v>
          </cell>
          <cell r="CD198">
            <v>0.25612015378698744</v>
          </cell>
          <cell r="CE198">
            <v>0.2514370200132422</v>
          </cell>
          <cell r="CF198">
            <v>0.2684458752045436</v>
          </cell>
          <cell r="CG198">
            <v>0.28509619780879736</v>
          </cell>
        </row>
        <row r="199">
          <cell r="A199" t="str">
            <v>Return on Net Operating Assets (RNOA)</v>
          </cell>
          <cell r="C199">
            <v>0.17813258842059373</v>
          </cell>
          <cell r="D199">
            <v>0.20298929804379445</v>
          </cell>
          <cell r="K199">
            <v>9.4350565285998195E-2</v>
          </cell>
          <cell r="R199">
            <v>0.1263869063259736</v>
          </cell>
          <cell r="Y199">
            <v>0.13538450989896925</v>
          </cell>
          <cell r="AF199">
            <v>0.17973976357489685</v>
          </cell>
          <cell r="AM199">
            <v>0.22761933233682113</v>
          </cell>
          <cell r="BA199">
            <v>0.2729833077224012</v>
          </cell>
          <cell r="BH199">
            <v>0.32586189327808163</v>
          </cell>
          <cell r="BO199">
            <v>0.40743534263090908</v>
          </cell>
          <cell r="BV199">
            <v>0.26035023801416246</v>
          </cell>
          <cell r="BW199">
            <v>0.30541730243754273</v>
          </cell>
          <cell r="BX199">
            <v>0.32236247776957633</v>
          </cell>
          <cell r="BY199">
            <v>0.31693858369917688</v>
          </cell>
          <cell r="BZ199">
            <v>0.33789463475568654</v>
          </cell>
        </row>
        <row r="200">
          <cell r="A200" t="str">
            <v>Return on Net Operating Assets (RNOA)</v>
          </cell>
          <cell r="C200">
            <v>0.17813258842059373</v>
          </cell>
          <cell r="D200">
            <v>0.20298929804379445</v>
          </cell>
          <cell r="K200">
            <v>9.4350565285998195E-2</v>
          </cell>
          <cell r="R200">
            <v>0.1263869063259736</v>
          </cell>
          <cell r="Y200">
            <v>0.13538450989896925</v>
          </cell>
          <cell r="AF200">
            <v>0.17973976357489685</v>
          </cell>
          <cell r="AM200">
            <v>0.22761933233682113</v>
          </cell>
          <cell r="BA200">
            <v>0.2729833077224012</v>
          </cell>
          <cell r="BH200">
            <v>0.32586189327808163</v>
          </cell>
          <cell r="BO200">
            <v>0.40743534263090908</v>
          </cell>
          <cell r="BP200">
            <v>830.66365465717388</v>
          </cell>
          <cell r="BQ200">
            <v>921.04524169351612</v>
          </cell>
          <cell r="BR200">
            <v>991.15836936593576</v>
          </cell>
          <cell r="BS200">
            <v>1065.7395011463477</v>
          </cell>
          <cell r="BV200">
            <v>0.26243701543659859</v>
          </cell>
          <cell r="BW200">
            <v>0.3060592430550555</v>
          </cell>
          <cell r="BX200">
            <v>0.32265818710494099</v>
          </cell>
          <cell r="BY200">
            <v>0.31710612666736787</v>
          </cell>
          <cell r="BZ200">
            <v>0.33805759843876682</v>
          </cell>
          <cell r="CA200">
            <v>1332.1377183143413</v>
          </cell>
          <cell r="CC200">
            <v>1058.7718489375707</v>
          </cell>
          <cell r="CD200">
            <v>1165.2807917880964</v>
          </cell>
          <cell r="CE200">
            <v>1168.5463794207333</v>
          </cell>
          <cell r="CF200">
            <v>1266.8549734939252</v>
          </cell>
          <cell r="CG200">
            <v>1371.6282032152087</v>
          </cell>
        </row>
        <row r="201">
          <cell r="A201" t="str">
            <v>Modelware Net Income</v>
          </cell>
          <cell r="B201">
            <v>1996</v>
          </cell>
          <cell r="C201">
            <v>215.89999999999978</v>
          </cell>
          <cell r="D201">
            <v>264.10000000000002</v>
          </cell>
          <cell r="E201" t="str">
            <v>1Q99</v>
          </cell>
          <cell r="F201" t="str">
            <v>2Q99</v>
          </cell>
          <cell r="G201" t="str">
            <v>1H99</v>
          </cell>
          <cell r="H201" t="str">
            <v>3Q99</v>
          </cell>
          <cell r="I201" t="str">
            <v>9M99</v>
          </cell>
          <cell r="J201" t="str">
            <v>4Q99</v>
          </cell>
          <cell r="K201">
            <v>202</v>
          </cell>
          <cell r="L201" t="str">
            <v>1Q00</v>
          </cell>
          <cell r="M201" t="str">
            <v>2Q00</v>
          </cell>
          <cell r="N201" t="str">
            <v>1H00</v>
          </cell>
          <cell r="O201" t="str">
            <v>3Q00</v>
          </cell>
          <cell r="P201" t="str">
            <v>9M00</v>
          </cell>
          <cell r="Q201" t="str">
            <v>4Q00</v>
          </cell>
          <cell r="R201">
            <v>293</v>
          </cell>
          <cell r="S201" t="str">
            <v>1Q01</v>
          </cell>
          <cell r="T201" t="str">
            <v>2Q01</v>
          </cell>
          <cell r="U201" t="str">
            <v>1H01</v>
          </cell>
          <cell r="V201" t="str">
            <v>3Q01</v>
          </cell>
          <cell r="W201" t="str">
            <v>9M01</v>
          </cell>
          <cell r="X201" t="str">
            <v>4Q01</v>
          </cell>
          <cell r="Y201">
            <v>333</v>
          </cell>
          <cell r="Z201" t="str">
            <v>1Q02</v>
          </cell>
          <cell r="AA201" t="str">
            <v>2Q02</v>
          </cell>
          <cell r="AB201" t="str">
            <v>1H02</v>
          </cell>
          <cell r="AC201" t="str">
            <v>3Q02</v>
          </cell>
          <cell r="AD201" t="str">
            <v>9M02</v>
          </cell>
          <cell r="AE201" t="str">
            <v>4Q02</v>
          </cell>
          <cell r="AF201">
            <v>428.40000000000009</v>
          </cell>
          <cell r="AG201" t="str">
            <v>1Q03</v>
          </cell>
          <cell r="AH201" t="str">
            <v>2Q03</v>
          </cell>
          <cell r="AI201" t="str">
            <v>1H03</v>
          </cell>
          <cell r="AJ201" t="str">
            <v>3Q03</v>
          </cell>
          <cell r="AK201" t="str">
            <v>9M03</v>
          </cell>
          <cell r="AL201" t="str">
            <v>4Q03</v>
          </cell>
          <cell r="AM201">
            <v>511</v>
          </cell>
          <cell r="AU201" t="str">
            <v>1Q04e</v>
          </cell>
          <cell r="AV201" t="str">
            <v>2Q04</v>
          </cell>
          <cell r="AW201" t="str">
            <v>1H04</v>
          </cell>
          <cell r="AX201" t="str">
            <v>3Q04</v>
          </cell>
          <cell r="AY201" t="str">
            <v>9M04</v>
          </cell>
          <cell r="AZ201" t="str">
            <v>4Q04</v>
          </cell>
          <cell r="BA201">
            <v>590</v>
          </cell>
          <cell r="BB201" t="str">
            <v>1Q05</v>
          </cell>
          <cell r="BC201" t="str">
            <v>2Q05</v>
          </cell>
          <cell r="BD201" t="str">
            <v>1H05</v>
          </cell>
          <cell r="BE201" t="str">
            <v>3Q05</v>
          </cell>
          <cell r="BF201" t="str">
            <v>9M05</v>
          </cell>
          <cell r="BG201" t="str">
            <v>4Q05</v>
          </cell>
          <cell r="BH201">
            <v>678</v>
          </cell>
          <cell r="BI201" t="str">
            <v>1Q06</v>
          </cell>
          <cell r="BJ201" t="str">
            <v>2Q06</v>
          </cell>
          <cell r="BK201" t="str">
            <v>1H06</v>
          </cell>
          <cell r="BL201" t="str">
            <v>3Q06e</v>
          </cell>
          <cell r="BM201" t="str">
            <v>9M06e</v>
          </cell>
          <cell r="BN201" t="str">
            <v>4Q06e</v>
          </cell>
          <cell r="BO201">
            <v>795</v>
          </cell>
          <cell r="BP201">
            <v>2657.566649767894</v>
          </cell>
          <cell r="BQ201">
            <v>2808.2990015962851</v>
          </cell>
          <cell r="BR201">
            <v>2987.6671477097752</v>
          </cell>
          <cell r="BS201">
            <v>3182.2875455662979</v>
          </cell>
          <cell r="BV201">
            <v>919.0758444422836</v>
          </cell>
          <cell r="BW201">
            <v>996.0032838719726</v>
          </cell>
          <cell r="BX201">
            <v>1089.2862887798917</v>
          </cell>
          <cell r="BY201">
            <v>1098.866957684085</v>
          </cell>
          <cell r="BZ201">
            <v>1190.3604583249155</v>
          </cell>
          <cell r="CA201">
            <v>4482.1978231303619</v>
          </cell>
          <cell r="CC201">
            <v>3166</v>
          </cell>
          <cell r="CD201">
            <v>3437.9007761317844</v>
          </cell>
          <cell r="CE201">
            <v>3792.7241014634565</v>
          </cell>
          <cell r="CF201">
            <v>4149.185319557444</v>
          </cell>
          <cell r="CG201">
            <v>4561.0782170915918</v>
          </cell>
        </row>
        <row r="202">
          <cell r="A202" t="str">
            <v>Shareholders' Equity (BOP)</v>
          </cell>
          <cell r="C202">
            <v>777.4</v>
          </cell>
          <cell r="D202">
            <v>910.1</v>
          </cell>
          <cell r="K202">
            <v>1809.1</v>
          </cell>
          <cell r="R202">
            <v>1709.2</v>
          </cell>
          <cell r="Y202">
            <v>1884</v>
          </cell>
          <cell r="AF202">
            <v>1806</v>
          </cell>
          <cell r="AM202">
            <v>1975</v>
          </cell>
          <cell r="BA202">
            <v>2252</v>
          </cell>
          <cell r="BH202">
            <v>2354</v>
          </cell>
          <cell r="BO202">
            <v>2633</v>
          </cell>
          <cell r="BP202">
            <v>0.31256550225362068</v>
          </cell>
          <cell r="BQ202">
            <v>0.32797264150647004</v>
          </cell>
          <cell r="BR202">
            <v>0.33174993075306852</v>
          </cell>
          <cell r="BS202">
            <v>0.33489729821278486</v>
          </cell>
          <cell r="BV202">
            <v>2646</v>
          </cell>
          <cell r="BW202">
            <v>2984.9973432573352</v>
          </cell>
          <cell r="BX202">
            <v>3263.9074109913295</v>
          </cell>
          <cell r="BY202">
            <v>3597.2897977204198</v>
          </cell>
          <cell r="BZ202">
            <v>3936.051795260656</v>
          </cell>
          <cell r="CA202">
            <v>0.29720636412785051</v>
          </cell>
          <cell r="CC202">
            <v>0.33441940901376205</v>
          </cell>
          <cell r="CD202">
            <v>0.33895125766230894</v>
          </cell>
          <cell r="CE202">
            <v>0.30810213138620846</v>
          </cell>
          <cell r="CF202">
            <v>0.30532619681326961</v>
          </cell>
          <cell r="CG202">
            <v>0.30072455194373721</v>
          </cell>
        </row>
        <row r="203">
          <cell r="A203" t="str">
            <v>Return on Equity (ROE)</v>
          </cell>
          <cell r="B203">
            <v>245.29999999999987</v>
          </cell>
          <cell r="C203">
            <v>0.277720607152045</v>
          </cell>
          <cell r="D203">
            <v>0.29018789144050106</v>
          </cell>
          <cell r="E203">
            <v>38</v>
          </cell>
          <cell r="F203">
            <v>35</v>
          </cell>
          <cell r="G203">
            <v>73</v>
          </cell>
          <cell r="H203">
            <v>21</v>
          </cell>
          <cell r="I203">
            <v>98</v>
          </cell>
          <cell r="J203">
            <v>-135</v>
          </cell>
          <cell r="K203">
            <v>0.11165773036316401</v>
          </cell>
          <cell r="L203">
            <v>46</v>
          </cell>
          <cell r="M203">
            <v>74</v>
          </cell>
          <cell r="N203">
            <v>118</v>
          </cell>
          <cell r="O203">
            <v>86.700000000000045</v>
          </cell>
          <cell r="P203">
            <v>204.90000000000009</v>
          </cell>
          <cell r="Q203">
            <v>109.09999999999991</v>
          </cell>
          <cell r="R203">
            <v>0.17142522817692488</v>
          </cell>
          <cell r="S203">
            <v>54</v>
          </cell>
          <cell r="T203">
            <v>101</v>
          </cell>
          <cell r="U203">
            <v>155</v>
          </cell>
          <cell r="V203">
            <v>68</v>
          </cell>
          <cell r="W203">
            <v>223</v>
          </cell>
          <cell r="X203">
            <v>109</v>
          </cell>
          <cell r="Y203">
            <v>0.17675159235668789</v>
          </cell>
          <cell r="Z203">
            <v>70</v>
          </cell>
          <cell r="AA203">
            <v>103</v>
          </cell>
          <cell r="AB203">
            <v>173</v>
          </cell>
          <cell r="AC203">
            <v>95</v>
          </cell>
          <cell r="AD203">
            <v>268</v>
          </cell>
          <cell r="AE203">
            <v>123</v>
          </cell>
          <cell r="AF203">
            <v>0.23720930232558143</v>
          </cell>
          <cell r="AG203">
            <v>82</v>
          </cell>
          <cell r="AH203">
            <v>117</v>
          </cell>
          <cell r="AI203">
            <v>199</v>
          </cell>
          <cell r="AJ203">
            <v>123</v>
          </cell>
          <cell r="AK203">
            <v>322</v>
          </cell>
          <cell r="AL203">
            <v>167</v>
          </cell>
          <cell r="AM203">
            <v>0.25873417721518988</v>
          </cell>
          <cell r="AU203">
            <v>103</v>
          </cell>
          <cell r="AV203">
            <v>127</v>
          </cell>
          <cell r="AW203">
            <v>230</v>
          </cell>
          <cell r="AX203">
            <v>150</v>
          </cell>
          <cell r="AY203">
            <v>380</v>
          </cell>
          <cell r="AZ203">
            <v>197</v>
          </cell>
          <cell r="BA203">
            <v>0.2619893428063943</v>
          </cell>
          <cell r="BB203">
            <v>124</v>
          </cell>
          <cell r="BC203">
            <v>144</v>
          </cell>
          <cell r="BD203">
            <v>268</v>
          </cell>
          <cell r="BE203">
            <v>174</v>
          </cell>
          <cell r="BF203">
            <v>442</v>
          </cell>
          <cell r="BG203">
            <v>227</v>
          </cell>
          <cell r="BH203">
            <v>0.28802039082412917</v>
          </cell>
          <cell r="BI203">
            <v>110</v>
          </cell>
          <cell r="BJ203">
            <v>151</v>
          </cell>
          <cell r="BK203">
            <v>261</v>
          </cell>
          <cell r="BL203">
            <v>151.73966756521671</v>
          </cell>
          <cell r="BM203">
            <v>412.73966756521668</v>
          </cell>
          <cell r="BN203">
            <v>220.80772756138543</v>
          </cell>
          <cell r="BO203">
            <v>0.3019369540448158</v>
          </cell>
          <cell r="BP203">
            <v>849.07181663963092</v>
          </cell>
          <cell r="BQ203">
            <v>938.27095130486543</v>
          </cell>
          <cell r="BR203">
            <v>1019.1566559215805</v>
          </cell>
          <cell r="BS203">
            <v>1106.2729926044979</v>
          </cell>
          <cell r="BV203">
            <v>0.34734536826994844</v>
          </cell>
          <cell r="BW203">
            <v>0.33366973880958245</v>
          </cell>
          <cell r="BX203">
            <v>0.33373688392988099</v>
          </cell>
          <cell r="BY203">
            <v>0.30547079036568869</v>
          </cell>
          <cell r="BZ203">
            <v>0.30242499851201438</v>
          </cell>
        </row>
        <row r="204">
          <cell r="A204" t="str">
            <v>Return on Equity (ROE)</v>
          </cell>
          <cell r="B204">
            <v>-96.2</v>
          </cell>
          <cell r="C204">
            <v>0.277720607152045</v>
          </cell>
          <cell r="D204">
            <v>0.29018789144050106</v>
          </cell>
          <cell r="E204">
            <v>0</v>
          </cell>
          <cell r="F204">
            <v>0</v>
          </cell>
          <cell r="G204">
            <v>-65</v>
          </cell>
          <cell r="H204">
            <v>0</v>
          </cell>
          <cell r="I204">
            <v>-65</v>
          </cell>
          <cell r="J204">
            <v>-88</v>
          </cell>
          <cell r="K204">
            <v>0.11165773036316401</v>
          </cell>
          <cell r="L204">
            <v>0</v>
          </cell>
          <cell r="N204">
            <v>-88</v>
          </cell>
          <cell r="O204">
            <v>0</v>
          </cell>
          <cell r="P204">
            <v>-88</v>
          </cell>
          <cell r="Q204">
            <v>-90</v>
          </cell>
          <cell r="R204">
            <v>0.17142522817692488</v>
          </cell>
          <cell r="S204">
            <v>0</v>
          </cell>
          <cell r="T204">
            <v>-89</v>
          </cell>
          <cell r="U204">
            <v>-89</v>
          </cell>
          <cell r="V204">
            <v>0</v>
          </cell>
          <cell r="W204">
            <v>-89</v>
          </cell>
          <cell r="X204">
            <v>-90</v>
          </cell>
          <cell r="Y204">
            <v>0.17675159235668789</v>
          </cell>
          <cell r="Z204">
            <v>0</v>
          </cell>
          <cell r="AA204">
            <v>-90</v>
          </cell>
          <cell r="AB204">
            <v>-90</v>
          </cell>
          <cell r="AC204">
            <v>0</v>
          </cell>
          <cell r="AD204">
            <v>-90</v>
          </cell>
          <cell r="AE204">
            <v>-91</v>
          </cell>
          <cell r="AF204">
            <v>0.23720930232558143</v>
          </cell>
          <cell r="AG204">
            <v>0</v>
          </cell>
          <cell r="AH204">
            <v>-99</v>
          </cell>
          <cell r="AI204">
            <v>-99</v>
          </cell>
          <cell r="AJ204">
            <v>0</v>
          </cell>
          <cell r="AK204">
            <v>-99</v>
          </cell>
          <cell r="AL204">
            <v>0</v>
          </cell>
          <cell r="AM204">
            <v>0.25873417721518988</v>
          </cell>
          <cell r="AU204">
            <v>0</v>
          </cell>
          <cell r="AV204">
            <v>-99</v>
          </cell>
          <cell r="AW204">
            <v>-108</v>
          </cell>
          <cell r="AX204">
            <v>-117</v>
          </cell>
          <cell r="AY204">
            <v>-108</v>
          </cell>
          <cell r="AZ204">
            <v>0</v>
          </cell>
          <cell r="BA204">
            <v>0.2619893428063943</v>
          </cell>
          <cell r="BB204">
            <v>0</v>
          </cell>
          <cell r="BC204">
            <v>0</v>
          </cell>
          <cell r="BD204">
            <v>-131</v>
          </cell>
          <cell r="BE204">
            <v>0</v>
          </cell>
          <cell r="BF204">
            <v>-131</v>
          </cell>
          <cell r="BG204">
            <v>-130.87539118000001</v>
          </cell>
          <cell r="BH204">
            <v>0.28802039082412917</v>
          </cell>
          <cell r="BI204">
            <v>0</v>
          </cell>
          <cell r="BJ204">
            <v>0</v>
          </cell>
          <cell r="BK204">
            <v>-147.8665</v>
          </cell>
          <cell r="BL204">
            <v>0</v>
          </cell>
          <cell r="BM204">
            <v>0</v>
          </cell>
          <cell r="BN204">
            <v>-167.46032249283573</v>
          </cell>
          <cell r="BO204">
            <v>0.3019369540448158</v>
          </cell>
          <cell r="BP204">
            <v>-359.74326497343844</v>
          </cell>
          <cell r="BQ204">
            <v>-397.50431354814259</v>
          </cell>
          <cell r="BR204">
            <v>-431.73783866362032</v>
          </cell>
          <cell r="BS204">
            <v>-468.60545512173513</v>
          </cell>
          <cell r="BV204">
            <v>0.35250891324790118</v>
          </cell>
          <cell r="BW204">
            <v>0.33516436199403893</v>
          </cell>
          <cell r="BX204">
            <v>0.33439132772270486</v>
          </cell>
          <cell r="BY204">
            <v>0.30542334650738284</v>
          </cell>
          <cell r="BZ204">
            <v>0.30187551815552827</v>
          </cell>
        </row>
        <row r="206">
          <cell r="A206" t="str">
            <v>Retained profit for the period</v>
          </cell>
          <cell r="B206">
            <v>1996</v>
          </cell>
          <cell r="C206">
            <v>1997</v>
          </cell>
          <cell r="D206">
            <v>1998</v>
          </cell>
          <cell r="E206" t="str">
            <v>1Q99</v>
          </cell>
          <cell r="F206" t="str">
            <v>2Q99</v>
          </cell>
          <cell r="G206" t="str">
            <v>1H99</v>
          </cell>
          <cell r="H206" t="str">
            <v>3Q99</v>
          </cell>
          <cell r="I206" t="str">
            <v>9M99</v>
          </cell>
          <cell r="J206" t="str">
            <v>4Q99</v>
          </cell>
          <cell r="K206">
            <v>1999</v>
          </cell>
          <cell r="L206" t="str">
            <v>1Q00</v>
          </cell>
          <cell r="M206" t="str">
            <v>2Q00</v>
          </cell>
          <cell r="N206" t="str">
            <v>1H00</v>
          </cell>
          <cell r="O206" t="str">
            <v>3Q00</v>
          </cell>
          <cell r="P206" t="str">
            <v>9M00</v>
          </cell>
          <cell r="Q206" t="str">
            <v>4Q00</v>
          </cell>
          <cell r="R206">
            <v>2000</v>
          </cell>
          <cell r="S206" t="str">
            <v>1Q01</v>
          </cell>
          <cell r="T206" t="str">
            <v>2Q01</v>
          </cell>
          <cell r="U206" t="str">
            <v>1H01</v>
          </cell>
          <cell r="V206" t="str">
            <v>3Q01</v>
          </cell>
          <cell r="W206" t="str">
            <v>9M01</v>
          </cell>
          <cell r="X206" t="str">
            <v>4Q01</v>
          </cell>
          <cell r="Y206">
            <v>2001</v>
          </cell>
          <cell r="Z206" t="str">
            <v>1Q02</v>
          </cell>
          <cell r="AA206" t="str">
            <v>2Q02</v>
          </cell>
          <cell r="AB206" t="str">
            <v>1H02</v>
          </cell>
          <cell r="AC206" t="str">
            <v>3Q02</v>
          </cell>
          <cell r="AD206" t="str">
            <v>9M02</v>
          </cell>
          <cell r="AE206" t="str">
            <v>4Q02</v>
          </cell>
          <cell r="AF206">
            <v>2002</v>
          </cell>
          <cell r="AG206" t="str">
            <v>1Q03</v>
          </cell>
          <cell r="AH206" t="str">
            <v>2Q03</v>
          </cell>
          <cell r="AI206" t="str">
            <v>1H03</v>
          </cell>
          <cell r="AJ206" t="str">
            <v>3Q03</v>
          </cell>
          <cell r="AK206" t="str">
            <v>9M03</v>
          </cell>
          <cell r="AL206" t="str">
            <v>4Q03</v>
          </cell>
          <cell r="AM206" t="str">
            <v>2003e</v>
          </cell>
          <cell r="AU206" t="str">
            <v>1Q04e</v>
          </cell>
          <cell r="AV206" t="str">
            <v>2Q04</v>
          </cell>
          <cell r="AW206" t="str">
            <v>1H04</v>
          </cell>
          <cell r="AX206" t="str">
            <v>3Q04</v>
          </cell>
          <cell r="AY206" t="str">
            <v>9M04</v>
          </cell>
          <cell r="AZ206" t="str">
            <v>4Q04</v>
          </cell>
          <cell r="BA206">
            <v>2004</v>
          </cell>
          <cell r="BB206" t="str">
            <v>1Q05</v>
          </cell>
          <cell r="BC206" t="str">
            <v>2Q05</v>
          </cell>
          <cell r="BD206" t="str">
            <v>1H05</v>
          </cell>
          <cell r="BE206" t="str">
            <v>3Q05</v>
          </cell>
          <cell r="BF206" t="str">
            <v>9M05</v>
          </cell>
          <cell r="BG206" t="str">
            <v>4Q05</v>
          </cell>
          <cell r="BH206">
            <v>2005</v>
          </cell>
          <cell r="BI206" t="str">
            <v>1Q06</v>
          </cell>
          <cell r="BJ206" t="str">
            <v>2Q06</v>
          </cell>
          <cell r="BK206" t="str">
            <v>1H06</v>
          </cell>
          <cell r="BL206" t="str">
            <v>3Q06e</v>
          </cell>
          <cell r="BM206" t="str">
            <v>9M06e</v>
          </cell>
          <cell r="BN206" t="str">
            <v>4Q06e</v>
          </cell>
          <cell r="BO206" t="str">
            <v>2006e</v>
          </cell>
          <cell r="BP206" t="str">
            <v>2007e</v>
          </cell>
          <cell r="BQ206" t="str">
            <v>2008e</v>
          </cell>
          <cell r="BR206" t="str">
            <v>2009e</v>
          </cell>
          <cell r="BS206" t="str">
            <v>2010e</v>
          </cell>
          <cell r="BV206" t="str">
            <v>2007e</v>
          </cell>
          <cell r="BW206" t="str">
            <v>2008e</v>
          </cell>
          <cell r="BX206" t="str">
            <v>2009e</v>
          </cell>
          <cell r="BY206" t="str">
            <v>2010e</v>
          </cell>
          <cell r="BZ206" t="str">
            <v>2010e</v>
          </cell>
          <cell r="CA206" t="str">
            <v>2012e</v>
          </cell>
          <cell r="CC206" t="str">
            <v>2008e</v>
          </cell>
          <cell r="CD206" t="str">
            <v>2009e</v>
          </cell>
          <cell r="CE206" t="str">
            <v>2010e</v>
          </cell>
          <cell r="CF206" t="str">
            <v>2011e</v>
          </cell>
          <cell r="CG206" t="str">
            <v>2012e</v>
          </cell>
        </row>
        <row r="207">
          <cell r="B207">
            <v>1996</v>
          </cell>
          <cell r="C207">
            <v>1997</v>
          </cell>
          <cell r="D207">
            <v>1998</v>
          </cell>
          <cell r="E207" t="str">
            <v>1Q99</v>
          </cell>
          <cell r="F207" t="str">
            <v>2Q99</v>
          </cell>
          <cell r="G207" t="str">
            <v>1H99</v>
          </cell>
          <cell r="H207" t="str">
            <v>3Q99</v>
          </cell>
          <cell r="I207" t="str">
            <v>9M99</v>
          </cell>
          <cell r="J207" t="str">
            <v>4Q99</v>
          </cell>
          <cell r="K207">
            <v>1999</v>
          </cell>
          <cell r="L207" t="str">
            <v>1Q00</v>
          </cell>
          <cell r="M207" t="str">
            <v>2Q00</v>
          </cell>
          <cell r="N207" t="str">
            <v>1H00</v>
          </cell>
          <cell r="O207" t="str">
            <v>3Q00</v>
          </cell>
          <cell r="P207" t="str">
            <v>9M00</v>
          </cell>
          <cell r="Q207" t="str">
            <v>4Q00</v>
          </cell>
          <cell r="R207">
            <v>2000</v>
          </cell>
          <cell r="S207" t="str">
            <v>1Q01</v>
          </cell>
          <cell r="T207" t="str">
            <v>2Q01</v>
          </cell>
          <cell r="U207" t="str">
            <v>1H01</v>
          </cell>
          <cell r="V207" t="str">
            <v>3Q01</v>
          </cell>
          <cell r="W207" t="str">
            <v>9M01</v>
          </cell>
          <cell r="X207" t="str">
            <v>4Q01</v>
          </cell>
          <cell r="Y207">
            <v>2001</v>
          </cell>
          <cell r="Z207" t="str">
            <v>1Q02</v>
          </cell>
          <cell r="AA207" t="str">
            <v>2Q02</v>
          </cell>
          <cell r="AB207" t="str">
            <v>1H02</v>
          </cell>
          <cell r="AC207" t="str">
            <v>3Q02</v>
          </cell>
          <cell r="AD207" t="str">
            <v>9M02</v>
          </cell>
          <cell r="AE207" t="str">
            <v>4Q02</v>
          </cell>
          <cell r="AF207">
            <v>2002</v>
          </cell>
          <cell r="AG207" t="str">
            <v>1Q03</v>
          </cell>
          <cell r="AH207" t="str">
            <v>2Q03</v>
          </cell>
          <cell r="AI207" t="str">
            <v>1H03</v>
          </cell>
          <cell r="AJ207" t="str">
            <v>3Q03</v>
          </cell>
          <cell r="AK207" t="str">
            <v>9M03</v>
          </cell>
          <cell r="AL207" t="str">
            <v>4Q03</v>
          </cell>
          <cell r="AM207" t="str">
            <v>2003e</v>
          </cell>
          <cell r="AU207" t="str">
            <v>1Q04e</v>
          </cell>
          <cell r="AV207" t="str">
            <v>2Q04</v>
          </cell>
          <cell r="AW207" t="str">
            <v>1H04</v>
          </cell>
          <cell r="AX207" t="str">
            <v>3Q04</v>
          </cell>
          <cell r="AY207" t="str">
            <v>9M04</v>
          </cell>
          <cell r="AZ207" t="str">
            <v>4Q04</v>
          </cell>
          <cell r="BA207">
            <v>2004</v>
          </cell>
          <cell r="BB207" t="str">
            <v>1Q05</v>
          </cell>
          <cell r="BC207" t="str">
            <v>2Q05</v>
          </cell>
          <cell r="BD207" t="str">
            <v>1H05</v>
          </cell>
          <cell r="BE207" t="str">
            <v>3Q05</v>
          </cell>
          <cell r="BF207" t="str">
            <v>9M05</v>
          </cell>
          <cell r="BG207" t="str">
            <v>4Q05</v>
          </cell>
          <cell r="BH207">
            <v>2005</v>
          </cell>
          <cell r="BI207" t="str">
            <v>1Q06</v>
          </cell>
          <cell r="BJ207" t="str">
            <v>2Q06</v>
          </cell>
          <cell r="BK207" t="str">
            <v>1H06</v>
          </cell>
          <cell r="BL207" t="str">
            <v>3Q06e</v>
          </cell>
          <cell r="BM207" t="str">
            <v>9M06e</v>
          </cell>
          <cell r="BN207" t="str">
            <v>4Q06e</v>
          </cell>
          <cell r="BO207" t="str">
            <v>2006e</v>
          </cell>
          <cell r="BV207" t="str">
            <v>2007e</v>
          </cell>
          <cell r="BW207" t="str">
            <v>2008e</v>
          </cell>
          <cell r="BX207" t="str">
            <v>2009e</v>
          </cell>
          <cell r="BY207" t="str">
            <v>2010e</v>
          </cell>
          <cell r="BZ207" t="str">
            <v>2010e</v>
          </cell>
        </row>
        <row r="208">
          <cell r="A208" t="str">
            <v>Profit for the period</v>
          </cell>
          <cell r="B208">
            <v>1996</v>
          </cell>
          <cell r="C208">
            <v>1997</v>
          </cell>
          <cell r="D208">
            <v>1998</v>
          </cell>
          <cell r="E208" t="str">
            <v>1Q99</v>
          </cell>
          <cell r="F208" t="str">
            <v>2Q99</v>
          </cell>
          <cell r="G208" t="str">
            <v>1H99</v>
          </cell>
          <cell r="H208" t="str">
            <v>3Q99</v>
          </cell>
          <cell r="I208" t="str">
            <v>9M99</v>
          </cell>
          <cell r="J208" t="str">
            <v>4Q99</v>
          </cell>
          <cell r="K208">
            <v>1999</v>
          </cell>
          <cell r="L208" t="str">
            <v>1Q00</v>
          </cell>
          <cell r="M208" t="str">
            <v>2Q00</v>
          </cell>
          <cell r="N208" t="str">
            <v>1H00</v>
          </cell>
          <cell r="O208" t="str">
            <v>3Q00</v>
          </cell>
          <cell r="P208" t="str">
            <v>9M00</v>
          </cell>
          <cell r="Q208" t="str">
            <v>4Q00</v>
          </cell>
          <cell r="R208">
            <v>2000</v>
          </cell>
          <cell r="S208" t="str">
            <v>1Q01</v>
          </cell>
          <cell r="T208" t="str">
            <v>2Q01</v>
          </cell>
          <cell r="U208" t="str">
            <v>1H01</v>
          </cell>
          <cell r="V208" t="str">
            <v>3Q01</v>
          </cell>
          <cell r="W208" t="str">
            <v>9M01</v>
          </cell>
          <cell r="X208" t="str">
            <v>4Q01</v>
          </cell>
          <cell r="Y208">
            <v>2001</v>
          </cell>
          <cell r="Z208" t="str">
            <v>1Q02</v>
          </cell>
          <cell r="AA208" t="str">
            <v>2Q02</v>
          </cell>
          <cell r="AB208" t="str">
            <v>1H02</v>
          </cell>
          <cell r="AC208" t="str">
            <v>3Q02</v>
          </cell>
          <cell r="AD208" t="str">
            <v>9M02</v>
          </cell>
          <cell r="AE208" t="str">
            <v>4Q02</v>
          </cell>
          <cell r="AF208">
            <v>2002</v>
          </cell>
          <cell r="AG208" t="str">
            <v>1Q03</v>
          </cell>
          <cell r="AH208" t="str">
            <v>2Q03</v>
          </cell>
          <cell r="AI208" t="str">
            <v>1H03</v>
          </cell>
          <cell r="AJ208" t="str">
            <v>3Q03</v>
          </cell>
          <cell r="AK208" t="str">
            <v>9M03</v>
          </cell>
          <cell r="AL208" t="str">
            <v>4Q03</v>
          </cell>
          <cell r="AM208" t="str">
            <v>2003e</v>
          </cell>
          <cell r="AU208" t="str">
            <v>1Q04e</v>
          </cell>
          <cell r="AV208" t="str">
            <v>2Q04</v>
          </cell>
          <cell r="AW208" t="str">
            <v>1H04</v>
          </cell>
          <cell r="AX208" t="str">
            <v>3Q04</v>
          </cell>
          <cell r="AY208" t="str">
            <v>9M04</v>
          </cell>
          <cell r="AZ208" t="str">
            <v>4Q04</v>
          </cell>
          <cell r="BA208">
            <v>2004</v>
          </cell>
          <cell r="BB208" t="str">
            <v>1Q05</v>
          </cell>
          <cell r="BC208" t="str">
            <v>2Q05</v>
          </cell>
          <cell r="BD208" t="str">
            <v>1H05</v>
          </cell>
          <cell r="BE208" t="str">
            <v>3Q05</v>
          </cell>
          <cell r="BF208" t="str">
            <v>9M05</v>
          </cell>
          <cell r="BG208" t="str">
            <v>4Q05</v>
          </cell>
          <cell r="BH208">
            <v>2005</v>
          </cell>
          <cell r="BI208" t="str">
            <v>1Q06</v>
          </cell>
          <cell r="BJ208" t="str">
            <v>2Q06</v>
          </cell>
          <cell r="BK208" t="str">
            <v>1H06</v>
          </cell>
          <cell r="BL208" t="str">
            <v>3Q06e</v>
          </cell>
          <cell r="BM208" t="str">
            <v>9M06e</v>
          </cell>
          <cell r="BN208" t="str">
            <v>4Q06e</v>
          </cell>
          <cell r="BO208" t="str">
            <v>2006e</v>
          </cell>
          <cell r="BP208">
            <v>821.66365465717388</v>
          </cell>
          <cell r="BQ208">
            <v>912.04524169351612</v>
          </cell>
          <cell r="BR208">
            <v>982.15836936593576</v>
          </cell>
          <cell r="BS208">
            <v>1056.7395011463477</v>
          </cell>
          <cell r="BV208" t="str">
            <v>2007e</v>
          </cell>
          <cell r="BW208" t="str">
            <v>2008e</v>
          </cell>
          <cell r="BX208" t="str">
            <v>2009e</v>
          </cell>
          <cell r="BY208" t="str">
            <v>2010e</v>
          </cell>
          <cell r="BZ208" t="str">
            <v>2010e</v>
          </cell>
          <cell r="CA208">
            <v>1323.1377183143413</v>
          </cell>
          <cell r="CC208">
            <v>1026.9718489375707</v>
          </cell>
          <cell r="CD208">
            <v>1156.2807917880964</v>
          </cell>
          <cell r="CE208">
            <v>1159.5463794207333</v>
          </cell>
          <cell r="CF208">
            <v>1257.8549734939252</v>
          </cell>
          <cell r="CG208">
            <v>1362.6282032152087</v>
          </cell>
        </row>
        <row r="209">
          <cell r="A209" t="str">
            <v>Profit for the period</v>
          </cell>
          <cell r="B209">
            <v>245.29999999999987</v>
          </cell>
          <cell r="C209">
            <v>216.39999999999978</v>
          </cell>
          <cell r="D209">
            <v>247.29999999999998</v>
          </cell>
          <cell r="E209">
            <v>38</v>
          </cell>
          <cell r="F209">
            <v>35</v>
          </cell>
          <cell r="G209">
            <v>73</v>
          </cell>
          <cell r="H209">
            <v>21</v>
          </cell>
          <cell r="I209">
            <v>98</v>
          </cell>
          <cell r="J209">
            <v>-135</v>
          </cell>
          <cell r="K209">
            <v>-37</v>
          </cell>
          <cell r="L209">
            <v>46</v>
          </cell>
          <cell r="M209">
            <v>74</v>
          </cell>
          <cell r="N209">
            <v>118</v>
          </cell>
          <cell r="O209">
            <v>86.700000000000045</v>
          </cell>
          <cell r="P209">
            <v>204.90000000000009</v>
          </cell>
          <cell r="Q209">
            <v>109.09999999999991</v>
          </cell>
          <cell r="R209">
            <v>314</v>
          </cell>
          <cell r="S209">
            <v>54</v>
          </cell>
          <cell r="T209">
            <v>101</v>
          </cell>
          <cell r="U209">
            <v>155</v>
          </cell>
          <cell r="V209">
            <v>68</v>
          </cell>
          <cell r="W209">
            <v>223</v>
          </cell>
          <cell r="X209">
            <v>109</v>
          </cell>
          <cell r="Y209">
            <v>332</v>
          </cell>
          <cell r="Z209">
            <v>70</v>
          </cell>
          <cell r="AA209">
            <v>103</v>
          </cell>
          <cell r="AB209">
            <v>173</v>
          </cell>
          <cell r="AC209">
            <v>95</v>
          </cell>
          <cell r="AD209">
            <v>268</v>
          </cell>
          <cell r="AE209">
            <v>123</v>
          </cell>
          <cell r="AF209">
            <v>408.40000000000009</v>
          </cell>
          <cell r="AG209">
            <v>82</v>
          </cell>
          <cell r="AH209">
            <v>117</v>
          </cell>
          <cell r="AI209">
            <v>199</v>
          </cell>
          <cell r="AJ209">
            <v>123</v>
          </cell>
          <cell r="AK209">
            <v>322</v>
          </cell>
          <cell r="AL209">
            <v>167</v>
          </cell>
          <cell r="AM209">
            <v>489</v>
          </cell>
          <cell r="AU209">
            <v>103</v>
          </cell>
          <cell r="AV209">
            <v>127</v>
          </cell>
          <cell r="AW209">
            <v>230</v>
          </cell>
          <cell r="AX209">
            <v>150</v>
          </cell>
          <cell r="AY209">
            <v>380</v>
          </cell>
          <cell r="AZ209">
            <v>193</v>
          </cell>
          <cell r="BA209">
            <v>573</v>
          </cell>
          <cell r="BB209">
            <v>124</v>
          </cell>
          <cell r="BC209">
            <v>144</v>
          </cell>
          <cell r="BD209">
            <v>268</v>
          </cell>
          <cell r="BE209">
            <v>174</v>
          </cell>
          <cell r="BF209">
            <v>442</v>
          </cell>
          <cell r="BG209">
            <v>227</v>
          </cell>
          <cell r="BH209">
            <v>669</v>
          </cell>
          <cell r="BI209">
            <v>110</v>
          </cell>
          <cell r="BJ209">
            <v>151</v>
          </cell>
          <cell r="BK209">
            <v>261</v>
          </cell>
          <cell r="BL209">
            <v>157</v>
          </cell>
          <cell r="BM209">
            <v>418</v>
          </cell>
          <cell r="BN209">
            <v>256</v>
          </cell>
          <cell r="BO209">
            <v>674</v>
          </cell>
          <cell r="BP209">
            <v>-349.17457011690198</v>
          </cell>
          <cell r="BQ209">
            <v>-387.55223044110454</v>
          </cell>
          <cell r="BR209">
            <v>-417.31209643248047</v>
          </cell>
          <cell r="BS209">
            <v>-448.96579548188731</v>
          </cell>
          <cell r="BV209">
            <v>910.0758444422836</v>
          </cell>
          <cell r="BW209">
            <v>987.0032838719726</v>
          </cell>
          <cell r="BX209">
            <v>1080.2862887798917</v>
          </cell>
          <cell r="BY209">
            <v>1089.866957684085</v>
          </cell>
          <cell r="BZ209">
            <v>1181.3604583249155</v>
          </cell>
          <cell r="CA209">
            <v>-574.52809287205719</v>
          </cell>
          <cell r="CC209">
            <v>-455.07107280578481</v>
          </cell>
          <cell r="CD209">
            <v>-501.45746645642396</v>
          </cell>
          <cell r="CE209">
            <v>-503.08516132674521</v>
          </cell>
          <cell r="CF209">
            <v>-545.96207595977921</v>
          </cell>
          <cell r="CG209">
            <v>-591.67550894420481</v>
          </cell>
        </row>
        <row r="210">
          <cell r="A210" t="str">
            <v>Dividends</v>
          </cell>
          <cell r="B210">
            <v>-96.2</v>
          </cell>
          <cell r="C210">
            <v>-97.6</v>
          </cell>
          <cell r="D210">
            <v>-126.5</v>
          </cell>
          <cell r="E210">
            <v>0</v>
          </cell>
          <cell r="F210">
            <v>0</v>
          </cell>
          <cell r="G210">
            <v>-65</v>
          </cell>
          <cell r="H210">
            <v>0</v>
          </cell>
          <cell r="I210">
            <v>-65</v>
          </cell>
          <cell r="J210">
            <v>-88</v>
          </cell>
          <cell r="K210">
            <v>-153</v>
          </cell>
          <cell r="L210">
            <v>0</v>
          </cell>
          <cell r="M210">
            <v>74</v>
          </cell>
          <cell r="N210">
            <v>-88</v>
          </cell>
          <cell r="O210">
            <v>0</v>
          </cell>
          <cell r="P210">
            <v>-88</v>
          </cell>
          <cell r="Q210">
            <v>-90</v>
          </cell>
          <cell r="R210">
            <v>-178</v>
          </cell>
          <cell r="S210">
            <v>0</v>
          </cell>
          <cell r="T210">
            <v>-89</v>
          </cell>
          <cell r="U210">
            <v>-89</v>
          </cell>
          <cell r="V210">
            <v>0</v>
          </cell>
          <cell r="W210">
            <v>-89</v>
          </cell>
          <cell r="X210">
            <v>-90</v>
          </cell>
          <cell r="Y210">
            <v>-179</v>
          </cell>
          <cell r="Z210">
            <v>0</v>
          </cell>
          <cell r="AA210">
            <v>-90</v>
          </cell>
          <cell r="AB210">
            <v>-90</v>
          </cell>
          <cell r="AC210">
            <v>0</v>
          </cell>
          <cell r="AD210">
            <v>-90</v>
          </cell>
          <cell r="AE210">
            <v>-91</v>
          </cell>
          <cell r="AF210">
            <v>-181</v>
          </cell>
          <cell r="AG210">
            <v>0</v>
          </cell>
          <cell r="AH210">
            <v>-99</v>
          </cell>
          <cell r="AI210">
            <v>-99</v>
          </cell>
          <cell r="AJ210">
            <v>0</v>
          </cell>
          <cell r="AK210">
            <v>-99</v>
          </cell>
          <cell r="AL210">
            <v>0</v>
          </cell>
          <cell r="AM210">
            <v>-198</v>
          </cell>
          <cell r="AU210">
            <v>0</v>
          </cell>
          <cell r="AV210">
            <v>-99</v>
          </cell>
          <cell r="AW210">
            <v>-108</v>
          </cell>
          <cell r="AX210">
            <v>-117</v>
          </cell>
          <cell r="AY210">
            <v>-108</v>
          </cell>
          <cell r="AZ210">
            <v>0</v>
          </cell>
          <cell r="BA210">
            <v>-216</v>
          </cell>
          <cell r="BB210">
            <v>0</v>
          </cell>
          <cell r="BC210">
            <v>0</v>
          </cell>
          <cell r="BD210">
            <v>-131</v>
          </cell>
          <cell r="BE210">
            <v>0</v>
          </cell>
          <cell r="BF210">
            <v>-131</v>
          </cell>
          <cell r="BG210">
            <v>-130.87539118000001</v>
          </cell>
          <cell r="BH210">
            <v>-262</v>
          </cell>
          <cell r="BI210">
            <v>0</v>
          </cell>
          <cell r="BJ210">
            <v>0</v>
          </cell>
          <cell r="BK210">
            <v>-147.8665</v>
          </cell>
          <cell r="BL210">
            <v>0</v>
          </cell>
          <cell r="BM210">
            <v>0</v>
          </cell>
          <cell r="BN210">
            <v>-152.1335</v>
          </cell>
          <cell r="BO210">
            <v>-300</v>
          </cell>
          <cell r="BP210">
            <v>714.71286148352124</v>
          </cell>
          <cell r="BQ210">
            <v>709.8675653486672</v>
          </cell>
          <cell r="BR210">
            <v>705.12291082789238</v>
          </cell>
          <cell r="BS210">
            <v>700.47680749489439</v>
          </cell>
          <cell r="BV210">
            <v>-376.07850118494855</v>
          </cell>
          <cell r="BW210">
            <v>-408.09321613797823</v>
          </cell>
          <cell r="BX210">
            <v>-446.90390205080121</v>
          </cell>
          <cell r="BY210">
            <v>-451.1049601438491</v>
          </cell>
          <cell r="BZ210">
            <v>-489.22592938754707</v>
          </cell>
        </row>
        <row r="211">
          <cell r="A211" t="str">
            <v>Dividends</v>
          </cell>
          <cell r="B211">
            <v>-96.2</v>
          </cell>
          <cell r="C211">
            <v>-97.6</v>
          </cell>
          <cell r="D211">
            <v>-126.5</v>
          </cell>
          <cell r="E211">
            <v>0</v>
          </cell>
          <cell r="F211">
            <v>0</v>
          </cell>
          <cell r="G211">
            <v>-65</v>
          </cell>
          <cell r="H211">
            <v>0</v>
          </cell>
          <cell r="I211">
            <v>-65</v>
          </cell>
          <cell r="J211">
            <v>-88</v>
          </cell>
          <cell r="K211">
            <v>-153</v>
          </cell>
          <cell r="L211">
            <v>0</v>
          </cell>
          <cell r="M211">
            <v>74</v>
          </cell>
          <cell r="N211">
            <v>-88</v>
          </cell>
          <cell r="O211">
            <v>0</v>
          </cell>
          <cell r="P211">
            <v>-88</v>
          </cell>
          <cell r="Q211">
            <v>-90</v>
          </cell>
          <cell r="R211">
            <v>-178</v>
          </cell>
          <cell r="S211">
            <v>0</v>
          </cell>
          <cell r="T211">
            <v>-89</v>
          </cell>
          <cell r="U211">
            <v>-89</v>
          </cell>
          <cell r="V211">
            <v>0</v>
          </cell>
          <cell r="W211">
            <v>-89</v>
          </cell>
          <cell r="X211">
            <v>-90</v>
          </cell>
          <cell r="Y211">
            <v>-179</v>
          </cell>
          <cell r="Z211">
            <v>0</v>
          </cell>
          <cell r="AA211">
            <v>13</v>
          </cell>
          <cell r="AB211">
            <v>83</v>
          </cell>
          <cell r="AC211">
            <v>95</v>
          </cell>
          <cell r="AD211">
            <v>178</v>
          </cell>
          <cell r="AE211">
            <v>32</v>
          </cell>
          <cell r="AF211">
            <v>227.40000000000009</v>
          </cell>
          <cell r="AG211">
            <v>82</v>
          </cell>
          <cell r="AH211">
            <v>18</v>
          </cell>
          <cell r="AI211">
            <v>100</v>
          </cell>
          <cell r="AJ211">
            <v>123</v>
          </cell>
          <cell r="AK211">
            <v>223</v>
          </cell>
          <cell r="AL211">
            <v>167</v>
          </cell>
          <cell r="AM211">
            <v>291</v>
          </cell>
          <cell r="AU211">
            <v>0</v>
          </cell>
          <cell r="AV211">
            <v>-99</v>
          </cell>
          <cell r="AW211">
            <v>-108</v>
          </cell>
          <cell r="AX211">
            <v>-117</v>
          </cell>
          <cell r="AY211">
            <v>-108</v>
          </cell>
          <cell r="AZ211">
            <v>0</v>
          </cell>
          <cell r="BA211">
            <v>-216</v>
          </cell>
          <cell r="BB211">
            <v>0</v>
          </cell>
          <cell r="BC211">
            <v>0</v>
          </cell>
          <cell r="BD211">
            <v>-131</v>
          </cell>
          <cell r="BE211">
            <v>0</v>
          </cell>
          <cell r="BF211">
            <v>-131</v>
          </cell>
          <cell r="BG211">
            <v>-130.87539118000001</v>
          </cell>
          <cell r="BH211">
            <v>-262</v>
          </cell>
          <cell r="BI211">
            <v>0</v>
          </cell>
          <cell r="BJ211">
            <v>0</v>
          </cell>
          <cell r="BK211">
            <v>-147.8665</v>
          </cell>
          <cell r="BL211">
            <v>0</v>
          </cell>
          <cell r="BM211">
            <v>0</v>
          </cell>
          <cell r="BN211">
            <v>-152.1335</v>
          </cell>
          <cell r="BO211">
            <v>-300</v>
          </cell>
          <cell r="BP211">
            <v>472.4890845402719</v>
          </cell>
          <cell r="BQ211">
            <v>524.49301125241163</v>
          </cell>
          <cell r="BR211">
            <v>564.84627293345534</v>
          </cell>
          <cell r="BS211">
            <v>607.77370566446041</v>
          </cell>
          <cell r="BV211">
            <v>-381.72447323996414</v>
          </cell>
          <cell r="BW211">
            <v>-416.03769299015551</v>
          </cell>
          <cell r="BX211">
            <v>-455.43560147507975</v>
          </cell>
          <cell r="BY211">
            <v>-459.55209699021259</v>
          </cell>
          <cell r="BZ211">
            <v>-498.24872498627957</v>
          </cell>
          <cell r="CA211">
            <v>748.60962544228414</v>
          </cell>
          <cell r="CC211">
            <v>571.90077613178596</v>
          </cell>
          <cell r="CD211">
            <v>654.82332533167244</v>
          </cell>
          <cell r="CE211">
            <v>656.46121809398801</v>
          </cell>
          <cell r="CF211">
            <v>711.89289753414596</v>
          </cell>
          <cell r="CG211">
            <v>770.95269427100391</v>
          </cell>
        </row>
        <row r="212">
          <cell r="A212" t="str">
            <v>Retained profit for the period</v>
          </cell>
          <cell r="B212">
            <v>149.09999999999985</v>
          </cell>
          <cell r="C212">
            <v>118.79999999999978</v>
          </cell>
          <cell r="D212">
            <v>120.79999999999998</v>
          </cell>
          <cell r="E212">
            <v>38</v>
          </cell>
          <cell r="F212">
            <v>35</v>
          </cell>
          <cell r="G212">
            <v>8</v>
          </cell>
          <cell r="H212">
            <v>21</v>
          </cell>
          <cell r="I212">
            <v>33</v>
          </cell>
          <cell r="J212">
            <v>-223</v>
          </cell>
          <cell r="K212">
            <v>-190</v>
          </cell>
          <cell r="L212">
            <v>46</v>
          </cell>
          <cell r="M212">
            <v>74</v>
          </cell>
          <cell r="N212">
            <v>30</v>
          </cell>
          <cell r="O212">
            <v>86.700000000000045</v>
          </cell>
          <cell r="P212">
            <v>116.90000000000009</v>
          </cell>
          <cell r="Q212">
            <v>19.099999999999909</v>
          </cell>
          <cell r="R212">
            <v>136</v>
          </cell>
          <cell r="S212">
            <v>54</v>
          </cell>
          <cell r="T212">
            <v>12</v>
          </cell>
          <cell r="U212">
            <v>66</v>
          </cell>
          <cell r="V212">
            <v>68</v>
          </cell>
          <cell r="W212">
            <v>134</v>
          </cell>
          <cell r="X212">
            <v>19</v>
          </cell>
          <cell r="Y212">
            <v>153</v>
          </cell>
          <cell r="AA212">
            <v>13</v>
          </cell>
          <cell r="AB212">
            <v>83</v>
          </cell>
          <cell r="AC212">
            <v>95</v>
          </cell>
          <cell r="AD212">
            <v>178</v>
          </cell>
          <cell r="AE212">
            <v>32</v>
          </cell>
          <cell r="AF212">
            <v>227.40000000000009</v>
          </cell>
          <cell r="AG212">
            <v>82</v>
          </cell>
          <cell r="AH212">
            <v>18</v>
          </cell>
          <cell r="AI212">
            <v>100</v>
          </cell>
          <cell r="AJ212">
            <v>123</v>
          </cell>
          <cell r="AK212">
            <v>223</v>
          </cell>
          <cell r="AL212">
            <v>167</v>
          </cell>
          <cell r="AM212">
            <v>291</v>
          </cell>
          <cell r="AU212">
            <v>103</v>
          </cell>
          <cell r="AV212">
            <v>28</v>
          </cell>
          <cell r="AW212">
            <v>122</v>
          </cell>
          <cell r="AX212">
            <v>33</v>
          </cell>
          <cell r="AY212">
            <v>272</v>
          </cell>
          <cell r="AZ212">
            <v>193</v>
          </cell>
          <cell r="BA212">
            <v>357</v>
          </cell>
          <cell r="BB212">
            <v>124</v>
          </cell>
          <cell r="BC212">
            <v>144</v>
          </cell>
          <cell r="BD212">
            <v>137</v>
          </cell>
          <cell r="BE212">
            <v>174</v>
          </cell>
          <cell r="BF212">
            <v>311</v>
          </cell>
          <cell r="BG212">
            <v>96.124608819999992</v>
          </cell>
          <cell r="BH212">
            <v>407</v>
          </cell>
          <cell r="BI212">
            <v>110</v>
          </cell>
          <cell r="BJ212">
            <v>151</v>
          </cell>
          <cell r="BK212">
            <v>113.1335</v>
          </cell>
          <cell r="BL212">
            <v>157</v>
          </cell>
          <cell r="BM212">
            <v>418</v>
          </cell>
          <cell r="BN212">
            <v>103.8665</v>
          </cell>
          <cell r="BO212">
            <v>374</v>
          </cell>
          <cell r="BP212">
            <v>728.40005748352121</v>
          </cell>
          <cell r="BQ212">
            <v>723.55476134866717</v>
          </cell>
          <cell r="BR212">
            <v>718.81010682789235</v>
          </cell>
          <cell r="BS212">
            <v>714.16400349489436</v>
          </cell>
          <cell r="BV212">
            <v>533.99734325733505</v>
          </cell>
          <cell r="BW212">
            <v>578.91006773399431</v>
          </cell>
          <cell r="BX212">
            <v>633.38238672909051</v>
          </cell>
          <cell r="BY212">
            <v>638.76199754023594</v>
          </cell>
          <cell r="BZ212">
            <v>692.13452893736849</v>
          </cell>
        </row>
        <row r="213">
          <cell r="A213" t="str">
            <v>Retained profit for the period</v>
          </cell>
          <cell r="B213">
            <v>149.09999999999985</v>
          </cell>
          <cell r="C213">
            <v>118.79999999999978</v>
          </cell>
          <cell r="D213">
            <v>120.79999999999998</v>
          </cell>
          <cell r="E213">
            <v>38</v>
          </cell>
          <cell r="F213">
            <v>35</v>
          </cell>
          <cell r="G213">
            <v>8</v>
          </cell>
          <cell r="H213">
            <v>21</v>
          </cell>
          <cell r="I213">
            <v>33</v>
          </cell>
          <cell r="J213">
            <v>-223</v>
          </cell>
          <cell r="K213">
            <v>-190</v>
          </cell>
          <cell r="L213">
            <v>46</v>
          </cell>
          <cell r="M213">
            <v>74</v>
          </cell>
          <cell r="N213">
            <v>30</v>
          </cell>
          <cell r="O213">
            <v>86.700000000000045</v>
          </cell>
          <cell r="P213">
            <v>116.90000000000009</v>
          </cell>
          <cell r="Q213">
            <v>19.099999999999909</v>
          </cell>
          <cell r="R213">
            <v>136</v>
          </cell>
          <cell r="S213">
            <v>54</v>
          </cell>
          <cell r="T213">
            <v>12</v>
          </cell>
          <cell r="U213">
            <v>66</v>
          </cell>
          <cell r="V213">
            <v>68</v>
          </cell>
          <cell r="W213">
            <v>134</v>
          </cell>
          <cell r="X213">
            <v>19</v>
          </cell>
          <cell r="Y213">
            <v>153</v>
          </cell>
          <cell r="AA213">
            <v>13</v>
          </cell>
          <cell r="AB213">
            <v>83</v>
          </cell>
          <cell r="AC213">
            <v>95</v>
          </cell>
          <cell r="AD213">
            <v>178</v>
          </cell>
          <cell r="AE213">
            <v>32</v>
          </cell>
          <cell r="AF213">
            <v>227.40000000000009</v>
          </cell>
          <cell r="AG213">
            <v>82</v>
          </cell>
          <cell r="AH213">
            <v>18</v>
          </cell>
          <cell r="AI213">
            <v>100</v>
          </cell>
          <cell r="AJ213">
            <v>123</v>
          </cell>
          <cell r="AK213">
            <v>223</v>
          </cell>
          <cell r="AL213">
            <v>167</v>
          </cell>
          <cell r="AM213">
            <v>291</v>
          </cell>
          <cell r="AU213">
            <v>103</v>
          </cell>
          <cell r="AV213">
            <v>28</v>
          </cell>
          <cell r="AW213">
            <v>122</v>
          </cell>
          <cell r="AX213">
            <v>33</v>
          </cell>
          <cell r="AY213">
            <v>272</v>
          </cell>
          <cell r="AZ213">
            <v>193</v>
          </cell>
          <cell r="BA213">
            <v>357</v>
          </cell>
          <cell r="BB213">
            <v>124</v>
          </cell>
          <cell r="BC213">
            <v>144</v>
          </cell>
          <cell r="BD213">
            <v>137</v>
          </cell>
          <cell r="BE213">
            <v>174</v>
          </cell>
          <cell r="BF213">
            <v>311</v>
          </cell>
          <cell r="BG213">
            <v>96.124608819999992</v>
          </cell>
          <cell r="BH213">
            <v>407</v>
          </cell>
          <cell r="BI213">
            <v>110</v>
          </cell>
          <cell r="BJ213">
            <v>151</v>
          </cell>
          <cell r="BK213">
            <v>113.1335</v>
          </cell>
          <cell r="BL213">
            <v>157</v>
          </cell>
          <cell r="BM213">
            <v>418</v>
          </cell>
          <cell r="BN213">
            <v>103.8665</v>
          </cell>
          <cell r="BO213">
            <v>374</v>
          </cell>
          <cell r="BT213" t="str">
            <v>delete as is duplication of the above</v>
          </cell>
          <cell r="BV213">
            <v>578.01411121398235</v>
          </cell>
          <cell r="BW213">
            <v>590.17988906581979</v>
          </cell>
          <cell r="BX213">
            <v>645.47408724771935</v>
          </cell>
          <cell r="BY213">
            <v>650.72309414125368</v>
          </cell>
          <cell r="BZ213">
            <v>704.89956857712104</v>
          </cell>
        </row>
        <row r="214">
          <cell r="A214" t="str">
            <v>Shares outstanding</v>
          </cell>
        </row>
        <row r="215">
          <cell r="A215" t="str">
            <v>Basic shares outstanding (average)</v>
          </cell>
          <cell r="B215">
            <v>422.62007</v>
          </cell>
          <cell r="C215">
            <v>406.06174299999998</v>
          </cell>
          <cell r="D215">
            <v>670.11434599999995</v>
          </cell>
          <cell r="K215">
            <v>679.25478799999996</v>
          </cell>
          <cell r="R215">
            <v>695.73782700000004</v>
          </cell>
          <cell r="X215">
            <v>701.8</v>
          </cell>
          <cell r="Y215">
            <v>700.38960099999997</v>
          </cell>
          <cell r="AA215">
            <v>704</v>
          </cell>
          <cell r="AB215">
            <v>703.54010800000003</v>
          </cell>
          <cell r="AC215">
            <v>704.7</v>
          </cell>
          <cell r="AD215">
            <v>703.9</v>
          </cell>
          <cell r="AE215">
            <v>705.6</v>
          </cell>
          <cell r="AF215">
            <v>704.35270400000002</v>
          </cell>
          <cell r="AG215">
            <v>705.9</v>
          </cell>
          <cell r="AH215">
            <v>706.5</v>
          </cell>
          <cell r="AI215">
            <v>706.24074099999996</v>
          </cell>
          <cell r="AJ215">
            <v>707.6</v>
          </cell>
          <cell r="AK215">
            <v>706.7</v>
          </cell>
          <cell r="AL215">
            <v>708.3</v>
          </cell>
          <cell r="AM215">
            <v>707.7</v>
          </cell>
          <cell r="AU215">
            <v>707.9</v>
          </cell>
          <cell r="AV215">
            <v>704.3</v>
          </cell>
          <cell r="AW215">
            <v>706.08110199999999</v>
          </cell>
          <cell r="AX215">
            <v>720.7</v>
          </cell>
          <cell r="AY215">
            <v>711</v>
          </cell>
          <cell r="AZ215">
            <v>726.3</v>
          </cell>
          <cell r="BA215">
            <v>724.5</v>
          </cell>
          <cell r="BB215">
            <v>724.8</v>
          </cell>
          <cell r="BC215">
            <v>732.1</v>
          </cell>
          <cell r="BD215">
            <v>728.47004900000002</v>
          </cell>
          <cell r="BE215">
            <v>727.6</v>
          </cell>
          <cell r="BF215">
            <v>728.2</v>
          </cell>
          <cell r="BG215">
            <v>723.7</v>
          </cell>
          <cell r="BH215">
            <v>727.06185500000004</v>
          </cell>
          <cell r="BI215">
            <v>722.4</v>
          </cell>
          <cell r="BJ215">
            <v>721.5</v>
          </cell>
          <cell r="BK215">
            <v>721.94817999999998</v>
          </cell>
          <cell r="BL215">
            <v>721.3</v>
          </cell>
          <cell r="BM215">
            <v>721.7</v>
          </cell>
          <cell r="BN215">
            <v>718.45</v>
          </cell>
          <cell r="BO215">
            <v>720.91249999999991</v>
          </cell>
          <cell r="BP215">
            <v>714.71286148352124</v>
          </cell>
          <cell r="BQ215">
            <v>709.8675653486672</v>
          </cell>
          <cell r="BR215">
            <v>705.12291082789238</v>
          </cell>
          <cell r="BS215">
            <v>700.47680749489439</v>
          </cell>
        </row>
        <row r="216">
          <cell r="A216" t="str">
            <v>ModelWare tagging</v>
          </cell>
          <cell r="K216">
            <v>11.621993127147768</v>
          </cell>
          <cell r="BI216">
            <v>11</v>
          </cell>
          <cell r="BJ216">
            <v>4</v>
          </cell>
          <cell r="BK216">
            <v>15</v>
          </cell>
          <cell r="BL216">
            <v>12.053588516746411</v>
          </cell>
          <cell r="BM216">
            <v>27.053588516746409</v>
          </cell>
          <cell r="BN216">
            <v>9.9464114832535913</v>
          </cell>
          <cell r="BO216">
            <v>37</v>
          </cell>
          <cell r="BW216">
            <v>7.1999999999999993</v>
          </cell>
          <cell r="BX216">
            <v>0</v>
          </cell>
          <cell r="BY216">
            <v>7.1999999999999993</v>
          </cell>
          <cell r="BZ216">
            <v>0</v>
          </cell>
          <cell r="CA216">
            <v>7.1999999999999993</v>
          </cell>
          <cell r="CB216">
            <v>0</v>
          </cell>
          <cell r="CC216">
            <v>7.1999999999999993</v>
          </cell>
          <cell r="CD216" t="str">
            <v>mstag:taxOnRestructuringCostsOneTime</v>
          </cell>
          <cell r="CE216">
            <v>6</v>
          </cell>
          <cell r="CF216" t="str">
            <v>ISO4217:GBP</v>
          </cell>
          <cell r="CG216" t="b">
            <v>0</v>
          </cell>
          <cell r="CH216" t="b">
            <v>0</v>
          </cell>
          <cell r="CK216" t="str">
            <v>mstag:taxOnRestructuringCostsOneTime</v>
          </cell>
          <cell r="CL216">
            <v>6</v>
          </cell>
          <cell r="CM216" t="str">
            <v>ISO4217:GBP</v>
          </cell>
          <cell r="CN216" t="b">
            <v>0</v>
          </cell>
          <cell r="CO216" t="b">
            <v>0</v>
          </cell>
          <cell r="CP216" t="b">
            <v>0</v>
          </cell>
          <cell r="CR216" t="str">
            <v>mstag:taxOnRestructuringCostsOneTime</v>
          </cell>
          <cell r="CS216">
            <v>6</v>
          </cell>
          <cell r="CT216" t="str">
            <v>ISO4217:GBP</v>
          </cell>
          <cell r="CU216" t="b">
            <v>0</v>
          </cell>
          <cell r="CV216" t="b">
            <v>0</v>
          </cell>
        </row>
        <row r="217">
          <cell r="A217" t="str">
            <v>Tax on restructuring costs, one time</v>
          </cell>
          <cell r="B217">
            <v>463.35702600000002</v>
          </cell>
          <cell r="C217">
            <v>446.802099</v>
          </cell>
          <cell r="D217">
            <v>721.64622899999995</v>
          </cell>
          <cell r="K217">
            <v>11.621993127147768</v>
          </cell>
          <cell r="R217">
            <v>741.29425900000001</v>
          </cell>
          <cell r="X217">
            <v>750.3</v>
          </cell>
          <cell r="Y217">
            <v>749.72283900000002</v>
          </cell>
          <cell r="AA217">
            <v>755.2</v>
          </cell>
          <cell r="AB217">
            <v>756.18753200000003</v>
          </cell>
          <cell r="AC217">
            <v>756.6</v>
          </cell>
          <cell r="AD217">
            <v>756.3</v>
          </cell>
          <cell r="AE217">
            <v>757.3</v>
          </cell>
          <cell r="AF217">
            <v>756.53089699999998</v>
          </cell>
          <cell r="AG217">
            <v>755.6</v>
          </cell>
          <cell r="AH217">
            <v>757.6</v>
          </cell>
          <cell r="AI217">
            <v>756.8</v>
          </cell>
          <cell r="AJ217">
            <v>758.8</v>
          </cell>
          <cell r="AK217">
            <v>757.6</v>
          </cell>
          <cell r="AL217">
            <v>760</v>
          </cell>
          <cell r="AM217">
            <v>758</v>
          </cell>
          <cell r="AU217">
            <v>761.4</v>
          </cell>
          <cell r="AV217">
            <v>757.4</v>
          </cell>
          <cell r="AW217">
            <v>759.3</v>
          </cell>
          <cell r="AX217">
            <v>752.2</v>
          </cell>
          <cell r="AY217">
            <v>756.9</v>
          </cell>
          <cell r="AZ217">
            <v>747.4</v>
          </cell>
          <cell r="BA217">
            <v>754.54467599999998</v>
          </cell>
          <cell r="BB217">
            <v>748.9</v>
          </cell>
          <cell r="BC217">
            <v>746.7</v>
          </cell>
          <cell r="BD217">
            <v>747.8</v>
          </cell>
          <cell r="BE217">
            <v>740.4</v>
          </cell>
          <cell r="BF217">
            <v>745.4</v>
          </cell>
          <cell r="BG217">
            <v>736.7</v>
          </cell>
          <cell r="BH217">
            <v>743.25570800000003</v>
          </cell>
          <cell r="BI217">
            <v>11</v>
          </cell>
          <cell r="BJ217">
            <v>4</v>
          </cell>
          <cell r="BK217">
            <v>15</v>
          </cell>
          <cell r="BL217">
            <v>12.053588516746411</v>
          </cell>
          <cell r="BM217">
            <v>27.053588516746409</v>
          </cell>
          <cell r="BN217">
            <v>9.9464114832535913</v>
          </cell>
          <cell r="BO217">
            <v>37</v>
          </cell>
          <cell r="BP217">
            <v>728.40005748352121</v>
          </cell>
          <cell r="BQ217">
            <v>723.55476134866717</v>
          </cell>
          <cell r="BR217">
            <v>718.81010682789235</v>
          </cell>
          <cell r="BS217">
            <v>714.16400349489436</v>
          </cell>
          <cell r="BT217">
            <v>-11</v>
          </cell>
          <cell r="BU217">
            <v>0</v>
          </cell>
          <cell r="BV217">
            <v>-11</v>
          </cell>
          <cell r="BW217">
            <v>0</v>
          </cell>
          <cell r="BX217">
            <v>0</v>
          </cell>
          <cell r="BY217">
            <v>0</v>
          </cell>
          <cell r="BZ217">
            <v>0</v>
          </cell>
          <cell r="CA217">
            <v>0</v>
          </cell>
          <cell r="CB217">
            <v>0</v>
          </cell>
          <cell r="CC217">
            <v>0</v>
          </cell>
          <cell r="CD217" t="str">
            <v>mstag:taxOnGainsLossesFromSaleOfOperatingAssetsOneTime</v>
          </cell>
          <cell r="CE217">
            <v>6</v>
          </cell>
          <cell r="CF217" t="str">
            <v>ISO4217:GBP</v>
          </cell>
          <cell r="CG217" t="b">
            <v>1</v>
          </cell>
          <cell r="CH217" t="b">
            <v>0</v>
          </cell>
          <cell r="CK217" t="str">
            <v>mstag:taxOnRestructuringCostsOneTime</v>
          </cell>
          <cell r="CL217">
            <v>6</v>
          </cell>
          <cell r="CM217" t="str">
            <v>ISO4217:GBP</v>
          </cell>
          <cell r="CN217" t="b">
            <v>0</v>
          </cell>
          <cell r="CO217" t="b">
            <v>0</v>
          </cell>
          <cell r="CP217" t="b">
            <v>0</v>
          </cell>
          <cell r="CR217" t="str">
            <v>mstag:taxOnGainsLossesFromSaleOfOperatingAssetsOneTime</v>
          </cell>
          <cell r="CS217">
            <v>6</v>
          </cell>
          <cell r="CT217" t="str">
            <v>ISO4217:GBP</v>
          </cell>
          <cell r="CU217" t="b">
            <v>1</v>
          </cell>
          <cell r="CV217" t="b">
            <v>0</v>
          </cell>
        </row>
        <row r="218">
          <cell r="A218" t="str">
            <v>Tax on gains and loss on disposals</v>
          </cell>
          <cell r="B218">
            <v>0</v>
          </cell>
          <cell r="C218">
            <v>0</v>
          </cell>
          <cell r="D218">
            <v>0</v>
          </cell>
          <cell r="E218">
            <v>0</v>
          </cell>
          <cell r="F218">
            <v>0</v>
          </cell>
          <cell r="G218">
            <v>0</v>
          </cell>
          <cell r="H218">
            <v>0</v>
          </cell>
          <cell r="I218">
            <v>0</v>
          </cell>
          <cell r="J218">
            <v>0</v>
          </cell>
          <cell r="K218">
            <v>0</v>
          </cell>
          <cell r="L218">
            <v>0</v>
          </cell>
          <cell r="M218">
            <v>0</v>
          </cell>
          <cell r="N218">
            <v>0</v>
          </cell>
          <cell r="O218">
            <v>0</v>
          </cell>
          <cell r="P218">
            <v>0</v>
          </cell>
          <cell r="Q218">
            <v>0</v>
          </cell>
          <cell r="R218">
            <v>-17</v>
          </cell>
          <cell r="S218">
            <v>0</v>
          </cell>
          <cell r="T218">
            <v>0</v>
          </cell>
          <cell r="U218">
            <v>0</v>
          </cell>
          <cell r="V218">
            <v>0</v>
          </cell>
          <cell r="W218">
            <v>0</v>
          </cell>
          <cell r="X218">
            <v>0</v>
          </cell>
          <cell r="Y218">
            <v>-8</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11</v>
          </cell>
          <cell r="BJ218">
            <v>4</v>
          </cell>
          <cell r="BK218">
            <v>15</v>
          </cell>
          <cell r="BL218">
            <v>12.053588516746411</v>
          </cell>
          <cell r="BM218">
            <v>27.053588516746409</v>
          </cell>
          <cell r="BN218">
            <v>9.9464114832535913</v>
          </cell>
          <cell r="BO218">
            <v>0</v>
          </cell>
          <cell r="BP218">
            <v>-57</v>
          </cell>
          <cell r="BQ218">
            <v>-42</v>
          </cell>
          <cell r="BR218">
            <v>-99</v>
          </cell>
          <cell r="BS218">
            <v>-69</v>
          </cell>
          <cell r="BT218">
            <v>-168</v>
          </cell>
          <cell r="BU218">
            <v>-97.464216477254695</v>
          </cell>
          <cell r="BV218">
            <v>0</v>
          </cell>
          <cell r="BW218">
            <v>0</v>
          </cell>
          <cell r="BX218">
            <v>0</v>
          </cell>
          <cell r="BY218">
            <v>0</v>
          </cell>
          <cell r="BZ218">
            <v>0</v>
          </cell>
          <cell r="CA218">
            <v>-217.22957268186624</v>
          </cell>
          <cell r="CB218">
            <v>-114.27732698262977</v>
          </cell>
          <cell r="CC218">
            <v>-331.50689966449602</v>
          </cell>
          <cell r="CD218" t="str">
            <v>mstag:taxExpenseIncome</v>
          </cell>
          <cell r="CE218">
            <v>6</v>
          </cell>
          <cell r="CF218" t="str">
            <v>ISO4217:GBP</v>
          </cell>
          <cell r="CG218" t="b">
            <v>1</v>
          </cell>
          <cell r="CH218" t="b">
            <v>0</v>
          </cell>
          <cell r="CK218" t="str">
            <v>mstag:taxOnGainsLossesFromSaleOfOperatingAssetsOneTime</v>
          </cell>
          <cell r="CL218">
            <v>6</v>
          </cell>
          <cell r="CM218" t="str">
            <v>ISO4217:GBP</v>
          </cell>
          <cell r="CN218" t="b">
            <v>1</v>
          </cell>
          <cell r="CO218" t="b">
            <v>0</v>
          </cell>
          <cell r="CP218" t="b">
            <v>0</v>
          </cell>
          <cell r="CR218" t="str">
            <v>mstag:taxExpenseIncome</v>
          </cell>
          <cell r="CS218">
            <v>6</v>
          </cell>
          <cell r="CT218" t="str">
            <v>ISO4217:GBP</v>
          </cell>
          <cell r="CU218" t="b">
            <v>1</v>
          </cell>
          <cell r="CV218" t="b">
            <v>0</v>
          </cell>
        </row>
        <row r="219">
          <cell r="A219" t="str">
            <v>Tax on non-exceptionals</v>
          </cell>
          <cell r="B219">
            <v>-86.2</v>
          </cell>
          <cell r="C219">
            <v>-81.900000000000006</v>
          </cell>
          <cell r="D219">
            <v>-109.4</v>
          </cell>
          <cell r="E219">
            <v>0</v>
          </cell>
          <cell r="F219">
            <v>0</v>
          </cell>
          <cell r="G219">
            <v>0</v>
          </cell>
          <cell r="H219">
            <v>0</v>
          </cell>
          <cell r="I219">
            <v>0</v>
          </cell>
          <cell r="J219">
            <v>0</v>
          </cell>
          <cell r="K219">
            <v>-100.62199312714776</v>
          </cell>
          <cell r="L219">
            <v>0</v>
          </cell>
          <cell r="M219">
            <v>0</v>
          </cell>
          <cell r="N219">
            <v>0</v>
          </cell>
          <cell r="O219">
            <v>0</v>
          </cell>
          <cell r="P219">
            <v>0</v>
          </cell>
          <cell r="Q219">
            <v>0</v>
          </cell>
          <cell r="R219">
            <v>-115</v>
          </cell>
          <cell r="S219">
            <v>0</v>
          </cell>
          <cell r="T219">
            <v>0</v>
          </cell>
          <cell r="U219">
            <v>0</v>
          </cell>
          <cell r="V219">
            <v>0</v>
          </cell>
          <cell r="W219">
            <v>0</v>
          </cell>
          <cell r="X219">
            <v>0</v>
          </cell>
          <cell r="Y219">
            <v>-157</v>
          </cell>
          <cell r="Z219">
            <v>0</v>
          </cell>
          <cell r="AA219">
            <v>0</v>
          </cell>
          <cell r="AB219">
            <v>0</v>
          </cell>
          <cell r="AC219">
            <v>0</v>
          </cell>
          <cell r="AD219">
            <v>0</v>
          </cell>
          <cell r="AE219">
            <v>0</v>
          </cell>
          <cell r="AF219">
            <v>-137</v>
          </cell>
          <cell r="AG219">
            <v>0</v>
          </cell>
          <cell r="AH219">
            <v>0</v>
          </cell>
          <cell r="AI219">
            <v>0</v>
          </cell>
          <cell r="AJ219">
            <v>0</v>
          </cell>
          <cell r="AK219">
            <v>0</v>
          </cell>
          <cell r="AL219">
            <v>0</v>
          </cell>
          <cell r="AM219">
            <v>-171</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-181</v>
          </cell>
          <cell r="BB219">
            <v>0</v>
          </cell>
          <cell r="BC219">
            <v>0</v>
          </cell>
          <cell r="BD219">
            <v>0</v>
          </cell>
          <cell r="BE219">
            <v>0</v>
          </cell>
          <cell r="BF219">
            <v>0</v>
          </cell>
          <cell r="BG219">
            <v>0</v>
          </cell>
          <cell r="BH219">
            <v>-207</v>
          </cell>
          <cell r="BI219">
            <v>-50</v>
          </cell>
          <cell r="BJ219">
            <v>-54</v>
          </cell>
          <cell r="BK219">
            <v>-104</v>
          </cell>
          <cell r="BL219">
            <v>-67.053588516746416</v>
          </cell>
          <cell r="BM219">
            <v>-171.0535885167464</v>
          </cell>
          <cell r="BN219">
            <v>-65.946411483253598</v>
          </cell>
          <cell r="BO219">
            <v>-237</v>
          </cell>
          <cell r="BP219">
            <v>0</v>
          </cell>
          <cell r="BQ219">
            <v>0</v>
          </cell>
          <cell r="BR219">
            <v>0</v>
          </cell>
          <cell r="BS219">
            <v>-11</v>
          </cell>
          <cell r="BT219">
            <v>-11</v>
          </cell>
          <cell r="BU219">
            <v>0</v>
          </cell>
          <cell r="BV219">
            <v>-259.29327813154634</v>
          </cell>
          <cell r="BW219">
            <v>-307.06326343609749</v>
          </cell>
          <cell r="BX219">
            <v>-333.08369821813852</v>
          </cell>
          <cell r="BY219">
            <v>-361.24170799961882</v>
          </cell>
          <cell r="BZ219">
            <v>-391.38349546537057</v>
          </cell>
          <cell r="CA219">
            <v>-210.02957268186626</v>
          </cell>
          <cell r="CB219">
            <v>-114.27732698262977</v>
          </cell>
          <cell r="CC219">
            <v>-324.30689966449603</v>
          </cell>
          <cell r="CD219">
            <v>-365.14130266992515</v>
          </cell>
          <cell r="CE219">
            <v>-366.17254086970524</v>
          </cell>
          <cell r="CF219">
            <v>-397.21736005071324</v>
          </cell>
          <cell r="CG219">
            <v>-430.3036431205922</v>
          </cell>
          <cell r="CK219" t="str">
            <v>mstag:taxExpenseIncome</v>
          </cell>
          <cell r="CL219">
            <v>6</v>
          </cell>
          <cell r="CM219" t="str">
            <v>ISO4217:GBP</v>
          </cell>
          <cell r="CN219" t="b">
            <v>1</v>
          </cell>
          <cell r="CO219" t="b">
            <v>0</v>
          </cell>
        </row>
        <row r="220">
          <cell r="A220" t="str">
            <v>Tax on Profit</v>
          </cell>
          <cell r="B220">
            <v>-86.2</v>
          </cell>
          <cell r="C220">
            <v>-81.900000000000006</v>
          </cell>
          <cell r="D220">
            <v>-109.4</v>
          </cell>
          <cell r="E220">
            <v>0</v>
          </cell>
          <cell r="F220">
            <v>0</v>
          </cell>
          <cell r="G220">
            <v>0</v>
          </cell>
          <cell r="H220">
            <v>0</v>
          </cell>
          <cell r="I220">
            <v>0</v>
          </cell>
          <cell r="J220">
            <v>0</v>
          </cell>
          <cell r="K220">
            <v>-89</v>
          </cell>
          <cell r="L220">
            <v>0</v>
          </cell>
          <cell r="M220">
            <v>0</v>
          </cell>
          <cell r="N220">
            <v>0</v>
          </cell>
          <cell r="O220">
            <v>0</v>
          </cell>
          <cell r="P220">
            <v>0</v>
          </cell>
          <cell r="Q220">
            <v>0</v>
          </cell>
          <cell r="R220">
            <v>-132</v>
          </cell>
          <cell r="S220">
            <v>0</v>
          </cell>
          <cell r="T220">
            <v>0</v>
          </cell>
          <cell r="U220">
            <v>0</v>
          </cell>
          <cell r="V220">
            <v>0</v>
          </cell>
          <cell r="W220">
            <v>0</v>
          </cell>
          <cell r="X220">
            <v>0</v>
          </cell>
          <cell r="Y220">
            <v>-165</v>
          </cell>
          <cell r="Z220">
            <v>0</v>
          </cell>
          <cell r="AA220">
            <v>0</v>
          </cell>
          <cell r="AB220">
            <v>0</v>
          </cell>
          <cell r="AC220">
            <v>0</v>
          </cell>
          <cell r="AD220">
            <v>0</v>
          </cell>
          <cell r="AE220">
            <v>0</v>
          </cell>
          <cell r="AF220">
            <v>-137</v>
          </cell>
          <cell r="AG220">
            <v>0</v>
          </cell>
          <cell r="AH220">
            <v>0</v>
          </cell>
          <cell r="AI220">
            <v>0</v>
          </cell>
          <cell r="AJ220">
            <v>0</v>
          </cell>
          <cell r="AK220">
            <v>0</v>
          </cell>
          <cell r="AL220">
            <v>0</v>
          </cell>
          <cell r="AM220">
            <v>-171</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-181</v>
          </cell>
          <cell r="BB220">
            <v>0</v>
          </cell>
          <cell r="BC220">
            <v>0</v>
          </cell>
          <cell r="BD220">
            <v>0</v>
          </cell>
          <cell r="BE220">
            <v>0</v>
          </cell>
          <cell r="BF220">
            <v>0</v>
          </cell>
          <cell r="BG220">
            <v>0</v>
          </cell>
          <cell r="BH220">
            <v>-207</v>
          </cell>
          <cell r="BI220">
            <v>-39</v>
          </cell>
          <cell r="BJ220">
            <v>-50</v>
          </cell>
          <cell r="BK220">
            <v>-89</v>
          </cell>
          <cell r="BL220">
            <v>-55</v>
          </cell>
          <cell r="BM220">
            <v>-144</v>
          </cell>
          <cell r="BN220">
            <v>-56</v>
          </cell>
          <cell r="BO220">
            <v>-200</v>
          </cell>
          <cell r="BP220">
            <v>-57</v>
          </cell>
          <cell r="BQ220">
            <v>-42</v>
          </cell>
          <cell r="BR220">
            <v>-99</v>
          </cell>
          <cell r="BS220">
            <v>-69</v>
          </cell>
          <cell r="BT220">
            <v>-168</v>
          </cell>
          <cell r="BU220">
            <v>-97.391131932825203</v>
          </cell>
          <cell r="BV220">
            <v>-259.29327813154634</v>
          </cell>
          <cell r="BW220">
            <v>-307.06326343609749</v>
          </cell>
          <cell r="BX220">
            <v>-333.08369821813852</v>
          </cell>
          <cell r="BY220">
            <v>-361.24170799961882</v>
          </cell>
          <cell r="BZ220">
            <v>-391.38349546537057</v>
          </cell>
          <cell r="CK220" t="str">
            <v>mstag:taxExpenseIncome</v>
          </cell>
          <cell r="CL220">
            <v>6</v>
          </cell>
          <cell r="CM220" t="str">
            <v>ISO4217:GBP</v>
          </cell>
          <cell r="CN220" t="b">
            <v>1</v>
          </cell>
          <cell r="CO220" t="b">
            <v>0</v>
          </cell>
        </row>
        <row r="221">
          <cell r="A221" t="str">
            <v>Tax on Profit</v>
          </cell>
          <cell r="B221">
            <v>-86.2</v>
          </cell>
          <cell r="C221">
            <v>-81.900000000000006</v>
          </cell>
          <cell r="D221">
            <v>-109.4</v>
          </cell>
          <cell r="K221">
            <v>-89</v>
          </cell>
          <cell r="R221">
            <v>-132</v>
          </cell>
          <cell r="Y221">
            <v>-165</v>
          </cell>
          <cell r="AF221">
            <v>-137</v>
          </cell>
          <cell r="AM221">
            <v>-171</v>
          </cell>
          <cell r="BA221">
            <v>-181</v>
          </cell>
          <cell r="BH221">
            <v>-207</v>
          </cell>
          <cell r="BI221">
            <v>11</v>
          </cell>
          <cell r="BJ221">
            <v>4</v>
          </cell>
          <cell r="BK221">
            <v>15</v>
          </cell>
          <cell r="BL221">
            <v>12.053588516746411</v>
          </cell>
          <cell r="BM221">
            <v>27.053588516746409</v>
          </cell>
          <cell r="BN221">
            <v>11.196411483253591</v>
          </cell>
          <cell r="BO221">
            <v>38.25</v>
          </cell>
          <cell r="BP221">
            <v>-57</v>
          </cell>
          <cell r="BQ221">
            <v>-42</v>
          </cell>
          <cell r="BR221">
            <v>-99</v>
          </cell>
          <cell r="BS221">
            <v>-80</v>
          </cell>
          <cell r="BT221">
            <v>-179</v>
          </cell>
          <cell r="BU221">
            <v>-97.391131932825203</v>
          </cell>
          <cell r="BV221">
            <v>-276.3911319328252</v>
          </cell>
          <cell r="BW221">
            <v>-317.75292064925537</v>
          </cell>
          <cell r="BX221">
            <v>-347.65569117562069</v>
          </cell>
          <cell r="BY221">
            <v>-350.61321825204192</v>
          </cell>
          <cell r="BZ221">
            <v>-379.94156638844225</v>
          </cell>
          <cell r="CC221">
            <v>593.70422286259998</v>
          </cell>
          <cell r="CD221" t="str">
            <v>mstag:taxOnRestructuringCostsOneTime</v>
          </cell>
          <cell r="CE221">
            <v>6</v>
          </cell>
          <cell r="CF221" t="str">
            <v>ISO4217:GBP</v>
          </cell>
          <cell r="CG221" t="b">
            <v>0</v>
          </cell>
          <cell r="CH221" t="b">
            <v>0</v>
          </cell>
          <cell r="CK221" t="str">
            <v>mstag:currentBasicSharesOutstandingLegallyAndFreelyTradableInPublicMarkets</v>
          </cell>
          <cell r="CL221">
            <v>6</v>
          </cell>
          <cell r="CM221" t="str">
            <v>ms_eqr_gcim_Decimal:ms_eqr_gcim_decimal</v>
          </cell>
          <cell r="CN221" t="b">
            <v>0</v>
          </cell>
          <cell r="CO221" t="b">
            <v>0</v>
          </cell>
          <cell r="CP221" t="b">
            <v>0</v>
          </cell>
          <cell r="CR221" t="str">
            <v>mstag:currentBasicSharesOutstandingLegallyAndFreelyTradableInPublicMarkets</v>
          </cell>
          <cell r="CS221">
            <v>6</v>
          </cell>
          <cell r="CT221" t="str">
            <v>ms_eqr_gcim_Decimal:ms_eqr_gcim_decimal</v>
          </cell>
          <cell r="CU221" t="b">
            <v>0</v>
          </cell>
          <cell r="CV221" t="b">
            <v>0</v>
          </cell>
        </row>
        <row r="222">
          <cell r="A222" t="str">
            <v>Basic Shares Oustanding (End of Period), mn</v>
          </cell>
          <cell r="B222">
            <v>0</v>
          </cell>
          <cell r="C222">
            <v>0</v>
          </cell>
          <cell r="D222">
            <v>0</v>
          </cell>
          <cell r="K222">
            <v>0</v>
          </cell>
          <cell r="R222">
            <v>-17</v>
          </cell>
          <cell r="Y222">
            <v>-8</v>
          </cell>
          <cell r="AF222">
            <v>0</v>
          </cell>
          <cell r="AM222">
            <v>0</v>
          </cell>
          <cell r="BA222">
            <v>0</v>
          </cell>
          <cell r="BH222">
            <v>0</v>
          </cell>
          <cell r="BO222">
            <v>715.96093399999995</v>
          </cell>
          <cell r="BP222">
            <v>0</v>
          </cell>
          <cell r="BQ222">
            <v>0</v>
          </cell>
          <cell r="BR222">
            <v>0</v>
          </cell>
          <cell r="BS222">
            <v>0</v>
          </cell>
          <cell r="CD222" t="str">
            <v>mstag:taxOnGainsLossesFromSaleOfOperatingAssetsOneTime</v>
          </cell>
          <cell r="CE222">
            <v>6</v>
          </cell>
          <cell r="CF222" t="str">
            <v>ISO4217:GBP</v>
          </cell>
          <cell r="CG222" t="b">
            <v>1</v>
          </cell>
          <cell r="CH222" t="b">
            <v>0</v>
          </cell>
          <cell r="CK222" t="str">
            <v>mstag:currentBasicSharesOutstandingLegallyAndFreelyTradableInPublicMarkets</v>
          </cell>
          <cell r="CL222">
            <v>6</v>
          </cell>
          <cell r="CM222" t="str">
            <v>ms_eqr_gcim_Decimal:ms_eqr_gcim_decimal</v>
          </cell>
          <cell r="CN222" t="b">
            <v>0</v>
          </cell>
          <cell r="CO222" t="b">
            <v>0</v>
          </cell>
        </row>
        <row r="223">
          <cell r="A223" t="str">
            <v>Basic Shares Oustanding (End of Period), mn</v>
          </cell>
          <cell r="B223">
            <v>-86.2</v>
          </cell>
          <cell r="C223">
            <v>-81.900000000000006</v>
          </cell>
          <cell r="D223">
            <v>-109.4</v>
          </cell>
          <cell r="E223">
            <v>0</v>
          </cell>
          <cell r="F223">
            <v>0</v>
          </cell>
          <cell r="G223">
            <v>0</v>
          </cell>
          <cell r="H223">
            <v>0</v>
          </cell>
          <cell r="I223">
            <v>0</v>
          </cell>
          <cell r="J223">
            <v>0</v>
          </cell>
          <cell r="K223">
            <v>-100.62199312714776</v>
          </cell>
          <cell r="L223">
            <v>0</v>
          </cell>
          <cell r="M223">
            <v>0</v>
          </cell>
          <cell r="N223">
            <v>0</v>
          </cell>
          <cell r="O223">
            <v>0</v>
          </cell>
          <cell r="P223">
            <v>0</v>
          </cell>
          <cell r="Q223">
            <v>0</v>
          </cell>
          <cell r="R223">
            <v>-115</v>
          </cell>
          <cell r="S223">
            <v>0</v>
          </cell>
          <cell r="T223">
            <v>0</v>
          </cell>
          <cell r="U223">
            <v>0</v>
          </cell>
          <cell r="V223">
            <v>0</v>
          </cell>
          <cell r="W223">
            <v>0</v>
          </cell>
          <cell r="X223">
            <v>0</v>
          </cell>
          <cell r="Y223">
            <v>-157</v>
          </cell>
          <cell r="Z223">
            <v>0</v>
          </cell>
          <cell r="AA223">
            <v>0</v>
          </cell>
          <cell r="AB223">
            <v>0</v>
          </cell>
          <cell r="AC223">
            <v>0</v>
          </cell>
          <cell r="AD223">
            <v>0</v>
          </cell>
          <cell r="AE223">
            <v>0</v>
          </cell>
          <cell r="AF223">
            <v>-137</v>
          </cell>
          <cell r="AG223">
            <v>0</v>
          </cell>
          <cell r="AH223">
            <v>0</v>
          </cell>
          <cell r="AI223">
            <v>0</v>
          </cell>
          <cell r="AJ223">
            <v>0</v>
          </cell>
          <cell r="AK223">
            <v>0</v>
          </cell>
          <cell r="AL223">
            <v>0</v>
          </cell>
          <cell r="AM223">
            <v>-171</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-181</v>
          </cell>
          <cell r="BB223">
            <v>0</v>
          </cell>
          <cell r="BC223">
            <v>0</v>
          </cell>
          <cell r="BD223">
            <v>0</v>
          </cell>
          <cell r="BE223">
            <v>0</v>
          </cell>
          <cell r="BF223">
            <v>0</v>
          </cell>
          <cell r="BG223">
            <v>0</v>
          </cell>
          <cell r="BH223">
            <v>-207</v>
          </cell>
          <cell r="BI223">
            <v>-50</v>
          </cell>
          <cell r="BJ223">
            <v>-54</v>
          </cell>
          <cell r="BK223">
            <v>-104</v>
          </cell>
          <cell r="BL223">
            <v>-67.053588516746416</v>
          </cell>
          <cell r="BM223">
            <v>-171.0535885167464</v>
          </cell>
          <cell r="BN223">
            <v>-88.344793223199304</v>
          </cell>
          <cell r="BO223">
            <v>715.96093399999995</v>
          </cell>
          <cell r="BP223">
            <v>-281.24057978198573</v>
          </cell>
          <cell r="BQ223">
            <v>-312.17655923737806</v>
          </cell>
          <cell r="BR223">
            <v>-336.17501233330688</v>
          </cell>
          <cell r="BS223">
            <v>-361.70278227156871</v>
          </cell>
          <cell r="CD223" t="str">
            <v>mstag:taxExpenseIncome</v>
          </cell>
          <cell r="CE223">
            <v>6</v>
          </cell>
          <cell r="CF223" t="str">
            <v>ISO4217:GBP</v>
          </cell>
          <cell r="CG223" t="b">
            <v>1</v>
          </cell>
          <cell r="CH223" t="b">
            <v>0</v>
          </cell>
          <cell r="CK223" t="str">
            <v>mstag:currentBasicSharesOutstandingLegallyAndFreelyTradableInPublicMarkets</v>
          </cell>
          <cell r="CL223">
            <v>6</v>
          </cell>
          <cell r="CM223" t="str">
            <v>ms_eqr_gcim_Decimal:ms_eqr_gcim_decimal</v>
          </cell>
          <cell r="CN223" t="b">
            <v>0</v>
          </cell>
          <cell r="CO223" t="b">
            <v>0</v>
          </cell>
        </row>
        <row r="224">
          <cell r="A224" t="str">
            <v>Tax on Profit</v>
          </cell>
          <cell r="B224">
            <v>-86.2</v>
          </cell>
          <cell r="C224">
            <v>-81.900000000000006</v>
          </cell>
          <cell r="D224">
            <v>-109.4</v>
          </cell>
          <cell r="K224">
            <v>-89</v>
          </cell>
          <cell r="R224">
            <v>-132</v>
          </cell>
          <cell r="Y224">
            <v>-165</v>
          </cell>
          <cell r="AF224">
            <v>-137</v>
          </cell>
          <cell r="AM224">
            <v>-171</v>
          </cell>
          <cell r="BA224">
            <v>-181</v>
          </cell>
          <cell r="BH224">
            <v>-207</v>
          </cell>
          <cell r="BI224">
            <v>-39</v>
          </cell>
          <cell r="BJ224">
            <v>-50</v>
          </cell>
          <cell r="BK224">
            <v>-89</v>
          </cell>
          <cell r="BL224">
            <v>-55</v>
          </cell>
          <cell r="BM224">
            <v>-144</v>
          </cell>
          <cell r="BN224">
            <v>-77.148381739945705</v>
          </cell>
          <cell r="BO224">
            <v>-221.14838173994571</v>
          </cell>
          <cell r="BP224">
            <v>-281.24057978198573</v>
          </cell>
          <cell r="BQ224">
            <v>-312.17655923737806</v>
          </cell>
          <cell r="BR224">
            <v>-336.17501233330688</v>
          </cell>
          <cell r="BS224">
            <v>-361.70278227156871</v>
          </cell>
        </row>
        <row r="225">
          <cell r="A225" t="str">
            <v>Share buyback announcements</v>
          </cell>
          <cell r="AH225" t="str">
            <v>Total Held</v>
          </cell>
          <cell r="AI225" t="str">
            <v>Share price</v>
          </cell>
        </row>
        <row r="226">
          <cell r="A226" t="str">
            <v>Share buyback announcements</v>
          </cell>
          <cell r="B226" t="str">
            <v>Av Price</v>
          </cell>
          <cell r="C226" t="str">
            <v>Total</v>
          </cell>
          <cell r="D226" t="str">
            <v>Date</v>
          </cell>
          <cell r="K226" t="str">
            <v>Cumul Spend (£)</v>
          </cell>
          <cell r="R226" t="str">
            <v>% bought back</v>
          </cell>
          <cell r="AF226" t="str">
            <v>Value (£)</v>
          </cell>
          <cell r="AG226">
            <v>232810578</v>
          </cell>
          <cell r="AH226">
            <v>15930000</v>
          </cell>
          <cell r="AI226">
            <v>14.614599999999999</v>
          </cell>
          <cell r="BH226">
            <v>722.160934</v>
          </cell>
          <cell r="CD226" t="str">
            <v>mstag:currentBasicSharesOutstandingLegallyAndFreelyTradableInPublicMarkets</v>
          </cell>
          <cell r="CE226">
            <v>6</v>
          </cell>
          <cell r="CF226" t="str">
            <v>ms_eqr_gcim_Decimal:ms_eqr_gcim_decimal</v>
          </cell>
          <cell r="CG226" t="b">
            <v>0</v>
          </cell>
          <cell r="CH226" t="b">
            <v>0</v>
          </cell>
        </row>
        <row r="227">
          <cell r="A227" t="str">
            <v>Number of Shares</v>
          </cell>
          <cell r="B227" t="str">
            <v>Av Price</v>
          </cell>
          <cell r="C227" t="str">
            <v>Total</v>
          </cell>
          <cell r="D227" t="str">
            <v>Date</v>
          </cell>
          <cell r="K227" t="str">
            <v>Cumul Spend (£)</v>
          </cell>
          <cell r="R227" t="str">
            <v>% bought back</v>
          </cell>
          <cell r="AF227" t="str">
            <v>Gain / Loss (£)</v>
          </cell>
          <cell r="AG227">
            <v>12571206.5</v>
          </cell>
          <cell r="AH227" t="str">
            <v>Total Held</v>
          </cell>
          <cell r="AI227" t="str">
            <v>Share price</v>
          </cell>
        </row>
        <row r="228">
          <cell r="A228">
            <v>2003</v>
          </cell>
          <cell r="B228" t="str">
            <v>Av Price</v>
          </cell>
          <cell r="C228" t="str">
            <v>Total</v>
          </cell>
          <cell r="D228" t="str">
            <v>Date</v>
          </cell>
          <cell r="K228" t="str">
            <v>Cumul Spend (£)</v>
          </cell>
          <cell r="R228" t="str">
            <v>% bought back</v>
          </cell>
          <cell r="AF228" t="str">
            <v>Value (£)</v>
          </cell>
          <cell r="AG228">
            <v>232810578</v>
          </cell>
          <cell r="AH228" t="str">
            <v>Total Held</v>
          </cell>
          <cell r="AI228" t="str">
            <v>Share price</v>
          </cell>
        </row>
        <row r="229">
          <cell r="A229">
            <v>400000</v>
          </cell>
          <cell r="B229">
            <v>12.583399999999999</v>
          </cell>
          <cell r="C229">
            <v>5033360</v>
          </cell>
          <cell r="D229">
            <v>37949</v>
          </cell>
          <cell r="K229">
            <v>5033360</v>
          </cell>
          <cell r="R229" t="e">
            <v>#REF!</v>
          </cell>
          <cell r="AF229" t="str">
            <v>Value (£)</v>
          </cell>
          <cell r="AG229">
            <v>232810578</v>
          </cell>
          <cell r="AH229">
            <v>15930000</v>
          </cell>
          <cell r="AI229">
            <v>14.614599999999999</v>
          </cell>
        </row>
        <row r="230">
          <cell r="A230">
            <v>250000</v>
          </cell>
          <cell r="B230">
            <v>12.649900000000001</v>
          </cell>
          <cell r="C230">
            <v>3162475</v>
          </cell>
          <cell r="D230">
            <v>37950</v>
          </cell>
          <cell r="K230">
            <v>8195835</v>
          </cell>
          <cell r="R230" t="e">
            <v>#REF!</v>
          </cell>
          <cell r="AF230" t="str">
            <v>Gain / Loss (£)</v>
          </cell>
          <cell r="AG230">
            <v>12571206.5</v>
          </cell>
          <cell r="AH230" t="str">
            <v xml:space="preserve"> </v>
          </cell>
          <cell r="AI230">
            <v>14.614599999999999</v>
          </cell>
        </row>
        <row r="231">
          <cell r="A231">
            <v>350000</v>
          </cell>
          <cell r="B231">
            <v>12.6853</v>
          </cell>
          <cell r="C231">
            <v>4439855</v>
          </cell>
          <cell r="D231">
            <v>37953</v>
          </cell>
          <cell r="K231">
            <v>12635690</v>
          </cell>
          <cell r="R231" t="e">
            <v>#REF!</v>
          </cell>
          <cell r="AF231" t="str">
            <v>Gain / Loss (£)</v>
          </cell>
          <cell r="AG231">
            <v>12571206.5</v>
          </cell>
          <cell r="AH231" t="str">
            <v xml:space="preserve"> </v>
          </cell>
        </row>
        <row r="232">
          <cell r="A232">
            <v>450000</v>
          </cell>
          <cell r="B232">
            <v>12.6541</v>
          </cell>
          <cell r="C232">
            <v>5694345</v>
          </cell>
          <cell r="D232">
            <v>37957</v>
          </cell>
          <cell r="K232">
            <v>18330035</v>
          </cell>
          <cell r="R232" t="e">
            <v>#REF!</v>
          </cell>
          <cell r="AH232" t="str">
            <v>Total Held</v>
          </cell>
          <cell r="AI232" t="str">
            <v>Share price</v>
          </cell>
        </row>
        <row r="233">
          <cell r="A233">
            <v>30000</v>
          </cell>
          <cell r="B233">
            <v>12.69</v>
          </cell>
          <cell r="C233">
            <v>380700</v>
          </cell>
          <cell r="D233">
            <v>37960</v>
          </cell>
          <cell r="K233">
            <v>18710735</v>
          </cell>
          <cell r="R233" t="e">
            <v>#REF!</v>
          </cell>
          <cell r="AF233" t="str">
            <v>Value (£)</v>
          </cell>
          <cell r="AG233">
            <v>232810578</v>
          </cell>
          <cell r="AH233">
            <v>15930000</v>
          </cell>
          <cell r="AI233">
            <v>14.614599999999999</v>
          </cell>
        </row>
        <row r="234">
          <cell r="A234">
            <v>85000</v>
          </cell>
          <cell r="B234">
            <v>12.6866</v>
          </cell>
          <cell r="C234">
            <v>1078361</v>
          </cell>
          <cell r="D234">
            <v>37963</v>
          </cell>
          <cell r="K234">
            <v>19789096</v>
          </cell>
          <cell r="R234" t="e">
            <v>#REF!</v>
          </cell>
          <cell r="AF234" t="str">
            <v>Gain / Loss (£)</v>
          </cell>
          <cell r="AG234">
            <v>12571206.5</v>
          </cell>
          <cell r="AH234" t="str">
            <v xml:space="preserve"> </v>
          </cell>
        </row>
        <row r="235">
          <cell r="A235">
            <v>360000</v>
          </cell>
          <cell r="B235">
            <v>12.6883</v>
          </cell>
          <cell r="C235">
            <v>4567788</v>
          </cell>
          <cell r="D235">
            <v>37964</v>
          </cell>
          <cell r="K235">
            <v>24356884</v>
          </cell>
          <cell r="R235" t="e">
            <v>#REF!</v>
          </cell>
        </row>
        <row r="236">
          <cell r="A236">
            <v>20000</v>
          </cell>
          <cell r="B236">
            <v>12.49</v>
          </cell>
          <cell r="C236">
            <v>249800</v>
          </cell>
          <cell r="D236">
            <v>37965</v>
          </cell>
          <cell r="K236">
            <v>24606684</v>
          </cell>
          <cell r="R236" t="e">
            <v>#REF!</v>
          </cell>
        </row>
        <row r="237">
          <cell r="A237">
            <v>2004</v>
          </cell>
          <cell r="B237">
            <v>12.49</v>
          </cell>
          <cell r="C237">
            <v>249800</v>
          </cell>
          <cell r="D237">
            <v>37965</v>
          </cell>
          <cell r="K237">
            <v>24606684</v>
          </cell>
          <cell r="R237" t="e">
            <v>#REF!</v>
          </cell>
        </row>
        <row r="238">
          <cell r="A238">
            <v>100000</v>
          </cell>
          <cell r="B238">
            <v>13.607699999999999</v>
          </cell>
          <cell r="C238">
            <v>1360770</v>
          </cell>
          <cell r="D238">
            <v>38033</v>
          </cell>
          <cell r="K238">
            <v>25967454</v>
          </cell>
          <cell r="R238" t="e">
            <v>#REF!</v>
          </cell>
        </row>
        <row r="239">
          <cell r="A239">
            <v>300000</v>
          </cell>
          <cell r="B239">
            <v>13.7643</v>
          </cell>
          <cell r="C239">
            <v>4129290</v>
          </cell>
          <cell r="D239">
            <v>38034</v>
          </cell>
          <cell r="K239">
            <v>30096744</v>
          </cell>
          <cell r="R239" t="e">
            <v>#REF!</v>
          </cell>
        </row>
        <row r="240">
          <cell r="A240">
            <v>70000</v>
          </cell>
          <cell r="B240">
            <v>13.99</v>
          </cell>
          <cell r="C240">
            <v>979300</v>
          </cell>
          <cell r="D240">
            <v>38036</v>
          </cell>
          <cell r="K240">
            <v>31076044</v>
          </cell>
          <cell r="R240" t="e">
            <v>#REF!</v>
          </cell>
        </row>
        <row r="241">
          <cell r="A241">
            <v>250000</v>
          </cell>
          <cell r="B241">
            <v>13.9778</v>
          </cell>
          <cell r="C241">
            <v>3494450</v>
          </cell>
          <cell r="D241">
            <v>38037</v>
          </cell>
          <cell r="K241">
            <v>34570494</v>
          </cell>
          <cell r="R241" t="e">
            <v>#REF!</v>
          </cell>
        </row>
        <row r="242">
          <cell r="A242">
            <v>45000</v>
          </cell>
          <cell r="B242">
            <v>13.99</v>
          </cell>
          <cell r="C242">
            <v>629550</v>
          </cell>
          <cell r="D242">
            <v>38040</v>
          </cell>
          <cell r="K242">
            <v>35200044</v>
          </cell>
          <cell r="R242" t="e">
            <v>#REF!</v>
          </cell>
        </row>
        <row r="243">
          <cell r="A243">
            <v>250000</v>
          </cell>
          <cell r="B243">
            <v>13.955</v>
          </cell>
          <cell r="C243">
            <v>3488750</v>
          </cell>
          <cell r="D243">
            <v>38041</v>
          </cell>
          <cell r="K243">
            <v>38688794</v>
          </cell>
          <cell r="R243" t="e">
            <v>#REF!</v>
          </cell>
        </row>
        <row r="244">
          <cell r="A244">
            <v>100000</v>
          </cell>
          <cell r="B244">
            <v>13.886200000000001</v>
          </cell>
          <cell r="C244">
            <v>1388620</v>
          </cell>
          <cell r="D244">
            <v>38043</v>
          </cell>
          <cell r="K244">
            <v>40077414</v>
          </cell>
          <cell r="R244" t="e">
            <v>#REF!</v>
          </cell>
        </row>
        <row r="245">
          <cell r="A245">
            <v>100000</v>
          </cell>
          <cell r="B245">
            <v>13.886200000000001</v>
          </cell>
          <cell r="C245">
            <v>1388620</v>
          </cell>
          <cell r="D245">
            <v>38043</v>
          </cell>
          <cell r="K245">
            <v>40077414</v>
          </cell>
          <cell r="R245" t="e">
            <v>#REF!</v>
          </cell>
        </row>
        <row r="246">
          <cell r="A246">
            <v>150000</v>
          </cell>
          <cell r="B246">
            <v>14.065099999999999</v>
          </cell>
          <cell r="C246">
            <v>2109765</v>
          </cell>
          <cell r="D246">
            <v>38049</v>
          </cell>
          <cell r="K246">
            <v>42187179</v>
          </cell>
          <cell r="R246" t="e">
            <v>#REF!</v>
          </cell>
        </row>
        <row r="247">
          <cell r="A247">
            <v>150000</v>
          </cell>
          <cell r="B247">
            <v>14.239000000000001</v>
          </cell>
          <cell r="C247">
            <v>2135850</v>
          </cell>
          <cell r="D247">
            <v>38050</v>
          </cell>
          <cell r="K247">
            <v>44323029</v>
          </cell>
          <cell r="R247" t="e">
            <v>#REF!</v>
          </cell>
        </row>
        <row r="248">
          <cell r="A248">
            <v>130000</v>
          </cell>
          <cell r="B248">
            <v>14.14</v>
          </cell>
          <cell r="C248">
            <v>1838200</v>
          </cell>
          <cell r="D248">
            <v>38051</v>
          </cell>
          <cell r="K248">
            <v>46161229</v>
          </cell>
          <cell r="R248" t="e">
            <v>#REF!</v>
          </cell>
        </row>
        <row r="249">
          <cell r="A249">
            <v>150000</v>
          </cell>
          <cell r="B249">
            <v>14.0497</v>
          </cell>
          <cell r="C249">
            <v>2107455</v>
          </cell>
          <cell r="D249">
            <v>38055</v>
          </cell>
          <cell r="K249">
            <v>48268684</v>
          </cell>
          <cell r="R249" t="e">
            <v>#REF!</v>
          </cell>
        </row>
        <row r="250">
          <cell r="A250">
            <v>50000</v>
          </cell>
          <cell r="B250">
            <v>13.99</v>
          </cell>
          <cell r="C250">
            <v>699500</v>
          </cell>
          <cell r="D250">
            <v>38056</v>
          </cell>
          <cell r="K250">
            <v>48968184</v>
          </cell>
          <cell r="R250" t="e">
            <v>#REF!</v>
          </cell>
        </row>
        <row r="251">
          <cell r="A251">
            <v>200000</v>
          </cell>
          <cell r="B251">
            <v>13.8964</v>
          </cell>
          <cell r="C251">
            <v>2779280</v>
          </cell>
          <cell r="D251">
            <v>38057</v>
          </cell>
          <cell r="K251">
            <v>51747464</v>
          </cell>
          <cell r="R251" t="e">
            <v>#REF!</v>
          </cell>
        </row>
        <row r="252">
          <cell r="A252">
            <v>200000</v>
          </cell>
          <cell r="B252">
            <v>13.8284</v>
          </cell>
          <cell r="C252">
            <v>2765680</v>
          </cell>
          <cell r="D252">
            <v>38058</v>
          </cell>
          <cell r="K252">
            <v>54513144</v>
          </cell>
          <cell r="R252" t="e">
            <v>#REF!</v>
          </cell>
        </row>
        <row r="253">
          <cell r="A253">
            <v>200000</v>
          </cell>
          <cell r="B253">
            <v>13.7431</v>
          </cell>
          <cell r="C253">
            <v>2748620</v>
          </cell>
          <cell r="D253">
            <v>38062</v>
          </cell>
          <cell r="K253">
            <v>57261764</v>
          </cell>
          <cell r="R253" t="e">
            <v>#REF!</v>
          </cell>
        </row>
        <row r="254">
          <cell r="A254">
            <v>200000</v>
          </cell>
          <cell r="B254">
            <v>13.729100000000001</v>
          </cell>
          <cell r="C254">
            <v>2745820</v>
          </cell>
          <cell r="D254">
            <v>38063</v>
          </cell>
          <cell r="K254">
            <v>60007584</v>
          </cell>
          <cell r="R254" t="e">
            <v>#REF!</v>
          </cell>
        </row>
        <row r="255">
          <cell r="A255">
            <v>250000</v>
          </cell>
          <cell r="B255">
            <v>13.8102</v>
          </cell>
          <cell r="C255">
            <v>3452550</v>
          </cell>
          <cell r="D255">
            <v>38065</v>
          </cell>
          <cell r="K255">
            <v>63460134</v>
          </cell>
          <cell r="R255" t="e">
            <v>#REF!</v>
          </cell>
        </row>
        <row r="256">
          <cell r="A256">
            <v>300000</v>
          </cell>
          <cell r="B256">
            <v>13.6296</v>
          </cell>
          <cell r="C256">
            <v>4088880</v>
          </cell>
          <cell r="D256">
            <v>38068</v>
          </cell>
          <cell r="K256">
            <v>67549014</v>
          </cell>
          <cell r="R256" t="e">
            <v>#REF!</v>
          </cell>
        </row>
        <row r="257">
          <cell r="A257">
            <v>400000</v>
          </cell>
          <cell r="B257">
            <v>13.4138</v>
          </cell>
          <cell r="C257">
            <v>5365520</v>
          </cell>
          <cell r="D257">
            <v>38069</v>
          </cell>
          <cell r="K257">
            <v>72914534</v>
          </cell>
          <cell r="R257" t="e">
            <v>#REF!</v>
          </cell>
        </row>
        <row r="258">
          <cell r="A258">
            <v>500000</v>
          </cell>
          <cell r="B258">
            <v>13.2491</v>
          </cell>
          <cell r="C258">
            <v>6624550</v>
          </cell>
          <cell r="D258">
            <v>38070</v>
          </cell>
          <cell r="K258">
            <v>79539084</v>
          </cell>
          <cell r="R258" t="e">
            <v>#REF!</v>
          </cell>
        </row>
        <row r="259">
          <cell r="A259">
            <v>200000</v>
          </cell>
          <cell r="B259">
            <v>13.3133</v>
          </cell>
          <cell r="C259">
            <v>2662660</v>
          </cell>
          <cell r="D259">
            <v>38071</v>
          </cell>
          <cell r="K259">
            <v>82201744</v>
          </cell>
          <cell r="R259" t="e">
            <v>#REF!</v>
          </cell>
        </row>
        <row r="260">
          <cell r="A260">
            <v>10000</v>
          </cell>
          <cell r="B260">
            <v>13.3355</v>
          </cell>
          <cell r="C260">
            <v>133355</v>
          </cell>
          <cell r="D260">
            <v>38072</v>
          </cell>
          <cell r="K260">
            <v>82335099</v>
          </cell>
          <cell r="R260" t="e">
            <v>#REF!</v>
          </cell>
        </row>
        <row r="261">
          <cell r="A261">
            <v>100000</v>
          </cell>
          <cell r="B261">
            <v>13.339700000000001</v>
          </cell>
          <cell r="C261">
            <v>1333970</v>
          </cell>
          <cell r="D261">
            <v>38075</v>
          </cell>
          <cell r="K261">
            <v>83669069</v>
          </cell>
          <cell r="R261" t="e">
            <v>#REF!</v>
          </cell>
        </row>
        <row r="262">
          <cell r="A262">
            <v>150000</v>
          </cell>
          <cell r="B262">
            <v>13.469799999999999</v>
          </cell>
          <cell r="C262">
            <v>2020470</v>
          </cell>
          <cell r="D262">
            <v>38077</v>
          </cell>
          <cell r="K262">
            <v>85689539</v>
          </cell>
          <cell r="R262" t="e">
            <v>#REF!</v>
          </cell>
        </row>
        <row r="263">
          <cell r="A263">
            <v>150000</v>
          </cell>
          <cell r="B263">
            <v>13.469799999999999</v>
          </cell>
          <cell r="C263">
            <v>2020470</v>
          </cell>
          <cell r="D263">
            <v>38077</v>
          </cell>
          <cell r="K263">
            <v>85689539</v>
          </cell>
          <cell r="R263" t="e">
            <v>#REF!</v>
          </cell>
        </row>
        <row r="264">
          <cell r="A264">
            <v>200000</v>
          </cell>
          <cell r="B264">
            <v>13.418200000000001</v>
          </cell>
          <cell r="C264">
            <v>2683640</v>
          </cell>
          <cell r="D264">
            <v>38078</v>
          </cell>
          <cell r="K264">
            <v>88373179</v>
          </cell>
          <cell r="R264" t="e">
            <v>#REF!</v>
          </cell>
        </row>
        <row r="265">
          <cell r="A265">
            <v>100000</v>
          </cell>
          <cell r="B265">
            <v>13.55</v>
          </cell>
          <cell r="C265">
            <v>1355000</v>
          </cell>
          <cell r="D265">
            <v>38079</v>
          </cell>
          <cell r="K265">
            <v>89728179</v>
          </cell>
          <cell r="R265" t="e">
            <v>#REF!</v>
          </cell>
        </row>
        <row r="266">
          <cell r="A266">
            <v>50000</v>
          </cell>
          <cell r="B266">
            <v>13.5519</v>
          </cell>
          <cell r="C266">
            <v>677595</v>
          </cell>
          <cell r="D266">
            <v>38083</v>
          </cell>
          <cell r="K266">
            <v>90405774</v>
          </cell>
          <cell r="R266" t="e">
            <v>#REF!</v>
          </cell>
        </row>
        <row r="267">
          <cell r="A267">
            <v>50000</v>
          </cell>
          <cell r="B267">
            <v>13.805</v>
          </cell>
          <cell r="C267">
            <v>690250</v>
          </cell>
          <cell r="D267">
            <v>38084</v>
          </cell>
          <cell r="K267">
            <v>91096024</v>
          </cell>
          <cell r="R267" t="e">
            <v>#REF!</v>
          </cell>
        </row>
        <row r="268">
          <cell r="A268">
            <v>250000</v>
          </cell>
          <cell r="B268">
            <v>13.772500000000001</v>
          </cell>
          <cell r="C268">
            <v>3443125</v>
          </cell>
          <cell r="D268">
            <v>38085</v>
          </cell>
          <cell r="K268">
            <v>94539149</v>
          </cell>
          <cell r="R268" t="e">
            <v>#REF!</v>
          </cell>
        </row>
        <row r="269">
          <cell r="A269">
            <v>250000</v>
          </cell>
          <cell r="B269">
            <v>13.772500000000001</v>
          </cell>
          <cell r="C269">
            <v>3443125</v>
          </cell>
          <cell r="D269">
            <v>38085</v>
          </cell>
          <cell r="K269">
            <v>94539149</v>
          </cell>
          <cell r="R269" t="e">
            <v>#REF!</v>
          </cell>
        </row>
        <row r="270">
          <cell r="A270">
            <v>200000</v>
          </cell>
          <cell r="B270">
            <v>14.481999999999999</v>
          </cell>
          <cell r="C270">
            <v>2896400</v>
          </cell>
          <cell r="D270">
            <v>38120</v>
          </cell>
          <cell r="K270">
            <v>97435549</v>
          </cell>
          <cell r="R270" t="e">
            <v>#REF!</v>
          </cell>
        </row>
        <row r="271">
          <cell r="A271">
            <v>200000</v>
          </cell>
          <cell r="B271">
            <v>14.45</v>
          </cell>
          <cell r="C271">
            <v>2890000</v>
          </cell>
          <cell r="D271">
            <v>38121</v>
          </cell>
          <cell r="K271">
            <v>100325549</v>
          </cell>
          <cell r="R271" t="e">
            <v>#REF!</v>
          </cell>
        </row>
        <row r="272">
          <cell r="A272">
            <v>300000</v>
          </cell>
          <cell r="B272">
            <v>14.222</v>
          </cell>
          <cell r="C272">
            <v>4266600</v>
          </cell>
          <cell r="D272">
            <v>38124</v>
          </cell>
          <cell r="K272">
            <v>104592149</v>
          </cell>
          <cell r="R272" t="e">
            <v>#REF!</v>
          </cell>
        </row>
        <row r="273">
          <cell r="A273">
            <v>200000</v>
          </cell>
          <cell r="B273">
            <v>14.351900000000001</v>
          </cell>
          <cell r="C273">
            <v>2870380</v>
          </cell>
          <cell r="D273">
            <v>38125</v>
          </cell>
          <cell r="K273">
            <v>107462529</v>
          </cell>
          <cell r="R273" t="e">
            <v>#REF!</v>
          </cell>
        </row>
        <row r="274">
          <cell r="A274">
            <v>350000</v>
          </cell>
          <cell r="B274">
            <v>14.2706</v>
          </cell>
          <cell r="C274">
            <v>4994710</v>
          </cell>
          <cell r="D274">
            <v>38126</v>
          </cell>
          <cell r="K274">
            <v>112457239</v>
          </cell>
          <cell r="R274" t="e">
            <v>#REF!</v>
          </cell>
        </row>
        <row r="275">
          <cell r="A275">
            <v>150000</v>
          </cell>
          <cell r="B275">
            <v>14.2859</v>
          </cell>
          <cell r="C275">
            <v>2142885</v>
          </cell>
          <cell r="D275">
            <v>38127</v>
          </cell>
          <cell r="K275">
            <v>114600124</v>
          </cell>
          <cell r="R275" t="e">
            <v>#REF!</v>
          </cell>
        </row>
        <row r="276">
          <cell r="A276">
            <v>100000</v>
          </cell>
          <cell r="B276">
            <v>14.494</v>
          </cell>
          <cell r="C276">
            <v>1449400</v>
          </cell>
          <cell r="D276">
            <v>38128</v>
          </cell>
          <cell r="K276">
            <v>116049524</v>
          </cell>
          <cell r="R276" t="e">
            <v>#REF!</v>
          </cell>
        </row>
        <row r="277">
          <cell r="A277">
            <v>100000</v>
          </cell>
          <cell r="B277">
            <v>14.6439</v>
          </cell>
          <cell r="C277">
            <v>1464390</v>
          </cell>
          <cell r="D277">
            <v>38132</v>
          </cell>
          <cell r="K277">
            <v>117513914</v>
          </cell>
          <cell r="R277" t="e">
            <v>#REF!</v>
          </cell>
        </row>
        <row r="278">
          <cell r="A278">
            <v>50000</v>
          </cell>
          <cell r="B278">
            <v>14.7803</v>
          </cell>
          <cell r="C278">
            <v>739015</v>
          </cell>
          <cell r="D278">
            <v>38133</v>
          </cell>
          <cell r="K278">
            <v>118252929</v>
          </cell>
          <cell r="R278" t="e">
            <v>#REF!</v>
          </cell>
        </row>
        <row r="279">
          <cell r="A279">
            <v>150000</v>
          </cell>
          <cell r="B279">
            <v>14.837400000000001</v>
          </cell>
          <cell r="C279">
            <v>2225610</v>
          </cell>
          <cell r="D279">
            <v>38134</v>
          </cell>
          <cell r="K279">
            <v>120478539</v>
          </cell>
          <cell r="R279" t="e">
            <v>#REF!</v>
          </cell>
        </row>
        <row r="280">
          <cell r="A280">
            <v>200000</v>
          </cell>
          <cell r="B280">
            <v>14.8432</v>
          </cell>
          <cell r="C280">
            <v>2968640</v>
          </cell>
          <cell r="D280">
            <v>38135</v>
          </cell>
          <cell r="K280">
            <v>123447179</v>
          </cell>
          <cell r="R280" t="e">
            <v>#REF!</v>
          </cell>
        </row>
        <row r="281">
          <cell r="A281">
            <v>200000</v>
          </cell>
          <cell r="B281">
            <v>14.8432</v>
          </cell>
          <cell r="C281">
            <v>2968640</v>
          </cell>
          <cell r="D281">
            <v>38135</v>
          </cell>
          <cell r="K281">
            <v>123447179</v>
          </cell>
          <cell r="R281" t="e">
            <v>#REF!</v>
          </cell>
        </row>
        <row r="282">
          <cell r="A282">
            <v>250000</v>
          </cell>
          <cell r="B282">
            <v>14.6896</v>
          </cell>
          <cell r="C282">
            <v>3672400</v>
          </cell>
          <cell r="D282">
            <v>38139</v>
          </cell>
          <cell r="K282">
            <v>127119579</v>
          </cell>
          <cell r="R282" t="e">
            <v>#REF!</v>
          </cell>
        </row>
        <row r="283">
          <cell r="A283">
            <v>50000</v>
          </cell>
          <cell r="B283">
            <v>14.829700000000001</v>
          </cell>
          <cell r="C283">
            <v>741485</v>
          </cell>
          <cell r="D283">
            <v>38140</v>
          </cell>
          <cell r="K283">
            <v>127861064</v>
          </cell>
          <cell r="R283" t="e">
            <v>#REF!</v>
          </cell>
        </row>
        <row r="284">
          <cell r="A284">
            <v>100000</v>
          </cell>
          <cell r="B284">
            <v>15.2486</v>
          </cell>
          <cell r="C284">
            <v>1524860</v>
          </cell>
          <cell r="D284">
            <v>38145</v>
          </cell>
          <cell r="K284">
            <v>129385924</v>
          </cell>
          <cell r="R284" t="e">
            <v>#REF!</v>
          </cell>
        </row>
        <row r="285">
          <cell r="A285">
            <v>200000</v>
          </cell>
          <cell r="B285">
            <v>15.1745</v>
          </cell>
          <cell r="C285">
            <v>3034900</v>
          </cell>
          <cell r="D285">
            <v>38146</v>
          </cell>
          <cell r="K285">
            <v>132420824</v>
          </cell>
          <cell r="R285" t="e">
            <v>#REF!</v>
          </cell>
        </row>
        <row r="286">
          <cell r="A286">
            <v>250000</v>
          </cell>
          <cell r="B286">
            <v>14.9877</v>
          </cell>
          <cell r="C286">
            <v>3746925</v>
          </cell>
          <cell r="D286">
            <v>38147</v>
          </cell>
          <cell r="K286">
            <v>136167749</v>
          </cell>
          <cell r="R286" t="e">
            <v>#REF!</v>
          </cell>
        </row>
        <row r="287">
          <cell r="A287">
            <v>225000</v>
          </cell>
          <cell r="B287">
            <v>14.981299999999999</v>
          </cell>
          <cell r="C287">
            <v>3370792.5</v>
          </cell>
          <cell r="D287">
            <v>38148</v>
          </cell>
          <cell r="K287">
            <v>139538541.5</v>
          </cell>
          <cell r="R287" t="e">
            <v>#REF!</v>
          </cell>
        </row>
        <row r="288">
          <cell r="A288">
            <v>205000</v>
          </cell>
          <cell r="B288">
            <v>14.916399999999999</v>
          </cell>
          <cell r="C288">
            <v>3057862</v>
          </cell>
          <cell r="D288">
            <v>38152</v>
          </cell>
          <cell r="K288">
            <v>142596403.5</v>
          </cell>
          <cell r="R288" t="e">
            <v>#REF!</v>
          </cell>
        </row>
        <row r="289">
          <cell r="A289">
            <v>100000</v>
          </cell>
          <cell r="B289">
            <v>15.074</v>
          </cell>
          <cell r="C289">
            <v>1507400</v>
          </cell>
          <cell r="D289">
            <v>38153</v>
          </cell>
          <cell r="K289">
            <v>144103803.5</v>
          </cell>
          <cell r="R289" t="e">
            <v>#REF!</v>
          </cell>
        </row>
        <row r="290">
          <cell r="A290">
            <v>70000</v>
          </cell>
          <cell r="B290">
            <v>15.2806</v>
          </cell>
          <cell r="C290">
            <v>1069642</v>
          </cell>
          <cell r="D290">
            <v>38155</v>
          </cell>
          <cell r="K290">
            <v>145173445.5</v>
          </cell>
          <cell r="R290" t="e">
            <v>#REF!</v>
          </cell>
        </row>
        <row r="291">
          <cell r="A291">
            <v>150000</v>
          </cell>
          <cell r="B291">
            <v>15.399800000000001</v>
          </cell>
          <cell r="C291">
            <v>2309970</v>
          </cell>
          <cell r="D291">
            <v>38156</v>
          </cell>
          <cell r="K291">
            <v>147483415.5</v>
          </cell>
          <cell r="R291" t="e">
            <v>#REF!</v>
          </cell>
        </row>
        <row r="292">
          <cell r="A292">
            <v>150000</v>
          </cell>
          <cell r="B292">
            <v>15.540699999999999</v>
          </cell>
          <cell r="C292">
            <v>2331105</v>
          </cell>
          <cell r="D292">
            <v>38159</v>
          </cell>
          <cell r="K292">
            <v>149814520.5</v>
          </cell>
          <cell r="R292" t="e">
            <v>#REF!</v>
          </cell>
        </row>
        <row r="293">
          <cell r="A293">
            <v>200000</v>
          </cell>
          <cell r="B293">
            <v>15.4322</v>
          </cell>
          <cell r="C293">
            <v>3086440</v>
          </cell>
          <cell r="D293">
            <v>38160</v>
          </cell>
          <cell r="K293">
            <v>152900960.5</v>
          </cell>
          <cell r="R293" t="e">
            <v>#REF!</v>
          </cell>
        </row>
        <row r="294">
          <cell r="A294">
            <v>200000</v>
          </cell>
          <cell r="B294">
            <v>15.5695</v>
          </cell>
          <cell r="C294">
            <v>3113900</v>
          </cell>
          <cell r="D294">
            <v>38161</v>
          </cell>
          <cell r="K294">
            <v>156014860.5</v>
          </cell>
          <cell r="R294" t="e">
            <v>#REF!</v>
          </cell>
        </row>
        <row r="295">
          <cell r="A295">
            <v>150000</v>
          </cell>
          <cell r="B295">
            <v>15.550599999999999</v>
          </cell>
          <cell r="C295">
            <v>2332590</v>
          </cell>
          <cell r="D295">
            <v>38162</v>
          </cell>
          <cell r="K295">
            <v>158347450.5</v>
          </cell>
          <cell r="R295" t="e">
            <v>#REF!</v>
          </cell>
        </row>
        <row r="296">
          <cell r="A296">
            <v>150000</v>
          </cell>
          <cell r="B296">
            <v>15.708</v>
          </cell>
          <cell r="C296">
            <v>2356200</v>
          </cell>
          <cell r="D296">
            <v>38163</v>
          </cell>
          <cell r="K296">
            <v>160703650.5</v>
          </cell>
          <cell r="R296" t="e">
            <v>#REF!</v>
          </cell>
        </row>
        <row r="297">
          <cell r="A297">
            <v>150000</v>
          </cell>
          <cell r="B297">
            <v>15.708</v>
          </cell>
          <cell r="C297">
            <v>2356200</v>
          </cell>
          <cell r="D297">
            <v>38163</v>
          </cell>
          <cell r="K297">
            <v>160703650.5</v>
          </cell>
          <cell r="R297" t="e">
            <v>#REF!</v>
          </cell>
        </row>
        <row r="298">
          <cell r="A298">
            <v>250000</v>
          </cell>
          <cell r="B298">
            <v>14.6729</v>
          </cell>
          <cell r="C298">
            <v>3668225</v>
          </cell>
          <cell r="D298">
            <v>38194</v>
          </cell>
          <cell r="K298">
            <v>164371875.5</v>
          </cell>
          <cell r="R298" t="e">
            <v>#REF!</v>
          </cell>
        </row>
        <row r="299">
          <cell r="A299">
            <v>200000</v>
          </cell>
          <cell r="B299">
            <v>14.728300000000001</v>
          </cell>
          <cell r="C299">
            <v>2945660</v>
          </cell>
          <cell r="D299">
            <v>38195</v>
          </cell>
          <cell r="K299">
            <v>167317535.5</v>
          </cell>
          <cell r="R299" t="e">
            <v>#REF!</v>
          </cell>
        </row>
        <row r="300">
          <cell r="A300">
            <v>250000</v>
          </cell>
          <cell r="B300">
            <v>14.7363</v>
          </cell>
          <cell r="C300">
            <v>3684075</v>
          </cell>
          <cell r="D300">
            <v>38196</v>
          </cell>
          <cell r="K300">
            <v>171001610.5</v>
          </cell>
          <cell r="R300" t="e">
            <v>#REF!</v>
          </cell>
        </row>
        <row r="301">
          <cell r="A301">
            <v>200000</v>
          </cell>
          <cell r="B301">
            <v>14.7781</v>
          </cell>
          <cell r="C301">
            <v>2955620</v>
          </cell>
          <cell r="D301">
            <v>38197</v>
          </cell>
          <cell r="K301">
            <v>173957230.5</v>
          </cell>
          <cell r="R301" t="e">
            <v>#REF!</v>
          </cell>
        </row>
        <row r="302">
          <cell r="A302">
            <v>200000</v>
          </cell>
          <cell r="B302">
            <v>14.7781</v>
          </cell>
          <cell r="C302">
            <v>2955620</v>
          </cell>
          <cell r="D302">
            <v>38197</v>
          </cell>
          <cell r="K302">
            <v>173957230.5</v>
          </cell>
          <cell r="R302" t="e">
            <v>#REF!</v>
          </cell>
        </row>
        <row r="303">
          <cell r="A303">
            <v>250000</v>
          </cell>
          <cell r="B303">
            <v>15.0205</v>
          </cell>
          <cell r="C303">
            <v>3755125</v>
          </cell>
          <cell r="D303">
            <v>38202</v>
          </cell>
          <cell r="K303">
            <v>177712355.5</v>
          </cell>
          <cell r="R303" t="e">
            <v>#REF!</v>
          </cell>
        </row>
        <row r="304">
          <cell r="A304">
            <v>90000</v>
          </cell>
          <cell r="B304">
            <v>14.84</v>
          </cell>
          <cell r="C304">
            <v>1335600</v>
          </cell>
          <cell r="D304">
            <v>38203</v>
          </cell>
          <cell r="K304">
            <v>179047955.5</v>
          </cell>
          <cell r="R304" t="e">
            <v>#REF!</v>
          </cell>
        </row>
        <row r="305">
          <cell r="A305">
            <v>200000</v>
          </cell>
          <cell r="B305">
            <v>14.987299999999999</v>
          </cell>
          <cell r="C305">
            <v>2997460</v>
          </cell>
          <cell r="D305">
            <v>38204</v>
          </cell>
          <cell r="K305">
            <v>182045415.5</v>
          </cell>
          <cell r="R305" t="e">
            <v>#REF!</v>
          </cell>
        </row>
        <row r="306">
          <cell r="A306">
            <v>320000</v>
          </cell>
          <cell r="B306">
            <v>14.7463</v>
          </cell>
          <cell r="C306">
            <v>4718816</v>
          </cell>
          <cell r="D306">
            <v>38205</v>
          </cell>
          <cell r="K306">
            <v>186764231.5</v>
          </cell>
          <cell r="R306" t="e">
            <v>#REF!</v>
          </cell>
        </row>
        <row r="307">
          <cell r="A307">
            <v>200000</v>
          </cell>
          <cell r="B307">
            <v>14.584899999999999</v>
          </cell>
          <cell r="C307">
            <v>2916980</v>
          </cell>
          <cell r="D307">
            <v>38209</v>
          </cell>
          <cell r="K307">
            <v>189681211.5</v>
          </cell>
          <cell r="R307" t="e">
            <v>#REF!</v>
          </cell>
        </row>
        <row r="308">
          <cell r="A308">
            <v>200000</v>
          </cell>
          <cell r="B308">
            <v>14.132999999999999</v>
          </cell>
          <cell r="C308">
            <v>2826600</v>
          </cell>
          <cell r="D308">
            <v>38215</v>
          </cell>
          <cell r="K308">
            <v>192507811.5</v>
          </cell>
          <cell r="R308" t="e">
            <v>#REF!</v>
          </cell>
        </row>
        <row r="309">
          <cell r="A309">
            <v>165000</v>
          </cell>
          <cell r="B309">
            <v>14.241</v>
          </cell>
          <cell r="C309">
            <v>2349765</v>
          </cell>
          <cell r="D309">
            <v>38216</v>
          </cell>
          <cell r="K309">
            <v>194857576.5</v>
          </cell>
          <cell r="R309" t="e">
            <v>#REF!</v>
          </cell>
        </row>
        <row r="310">
          <cell r="A310">
            <v>225000</v>
          </cell>
          <cell r="B310">
            <v>14.0764</v>
          </cell>
          <cell r="C310">
            <v>3167190</v>
          </cell>
          <cell r="D310">
            <v>38217</v>
          </cell>
          <cell r="K310">
            <v>198024766.5</v>
          </cell>
          <cell r="R310" t="e">
            <v>#REF!</v>
          </cell>
        </row>
        <row r="311">
          <cell r="A311">
            <v>150000</v>
          </cell>
          <cell r="B311">
            <v>14.082599999999999</v>
          </cell>
          <cell r="C311">
            <v>2112390</v>
          </cell>
          <cell r="D311">
            <v>38218</v>
          </cell>
          <cell r="K311">
            <v>200137156.5</v>
          </cell>
          <cell r="R311" t="e">
            <v>#REF!</v>
          </cell>
        </row>
        <row r="312">
          <cell r="A312">
            <v>200000</v>
          </cell>
          <cell r="B312">
            <v>14.04</v>
          </cell>
          <cell r="C312">
            <v>2808000</v>
          </cell>
          <cell r="D312">
            <v>38219</v>
          </cell>
          <cell r="K312">
            <v>202945156.5</v>
          </cell>
          <cell r="R312" t="e">
            <v>#REF!</v>
          </cell>
        </row>
        <row r="313">
          <cell r="A313">
            <v>125000</v>
          </cell>
          <cell r="B313">
            <v>14.394</v>
          </cell>
          <cell r="C313">
            <v>1799250</v>
          </cell>
          <cell r="D313">
            <v>38222</v>
          </cell>
          <cell r="K313">
            <v>204744406.5</v>
          </cell>
          <cell r="R313" t="e">
            <v>#REF!</v>
          </cell>
        </row>
        <row r="314">
          <cell r="A314">
            <v>250000</v>
          </cell>
          <cell r="B314">
            <v>14.357100000000001</v>
          </cell>
          <cell r="C314">
            <v>3589275</v>
          </cell>
          <cell r="D314">
            <v>38223</v>
          </cell>
          <cell r="K314">
            <v>208333681.5</v>
          </cell>
          <cell r="R314" t="e">
            <v>#REF!</v>
          </cell>
        </row>
        <row r="315">
          <cell r="A315">
            <v>170000</v>
          </cell>
          <cell r="B315">
            <v>14.295999999999999</v>
          </cell>
          <cell r="C315">
            <v>2430320</v>
          </cell>
          <cell r="D315">
            <v>38224</v>
          </cell>
          <cell r="K315">
            <v>210764001.5</v>
          </cell>
          <cell r="R315" t="e">
            <v>#REF!</v>
          </cell>
        </row>
        <row r="316">
          <cell r="A316">
            <v>170000</v>
          </cell>
          <cell r="B316">
            <v>14.4855</v>
          </cell>
          <cell r="C316">
            <v>2462535</v>
          </cell>
          <cell r="D316">
            <v>38225</v>
          </cell>
          <cell r="K316">
            <v>213226536.5</v>
          </cell>
          <cell r="R316" t="e">
            <v>#REF!</v>
          </cell>
        </row>
        <row r="317">
          <cell r="A317">
            <v>250000</v>
          </cell>
          <cell r="B317">
            <v>14.5761</v>
          </cell>
          <cell r="C317">
            <v>3644025</v>
          </cell>
          <cell r="D317">
            <v>38226</v>
          </cell>
          <cell r="K317">
            <v>216870561.5</v>
          </cell>
          <cell r="R317" t="e">
            <v>#REF!</v>
          </cell>
        </row>
        <row r="318">
          <cell r="A318">
            <v>230000</v>
          </cell>
          <cell r="B318">
            <v>14.647</v>
          </cell>
          <cell r="C318">
            <v>3368810</v>
          </cell>
          <cell r="D318">
            <v>38230</v>
          </cell>
          <cell r="K318">
            <v>220239371.5</v>
          </cell>
          <cell r="R318" t="e">
            <v>#REF!</v>
          </cell>
        </row>
        <row r="319">
          <cell r="A319">
            <v>230000</v>
          </cell>
          <cell r="B319">
            <v>14.647</v>
          </cell>
          <cell r="C319">
            <v>3368810</v>
          </cell>
          <cell r="D319">
            <v>38230</v>
          </cell>
          <cell r="K319">
            <v>220239371.5</v>
          </cell>
          <cell r="R319" t="e">
            <v>#REF!</v>
          </cell>
        </row>
        <row r="320">
          <cell r="A320">
            <v>160000</v>
          </cell>
          <cell r="B320">
            <v>14.626899999999999</v>
          </cell>
          <cell r="C320">
            <v>2340304</v>
          </cell>
          <cell r="D320">
            <v>38231</v>
          </cell>
          <cell r="K320">
            <v>222579675.5</v>
          </cell>
          <cell r="R320" t="e">
            <v>#REF!</v>
          </cell>
        </row>
        <row r="321">
          <cell r="A321">
            <v>175000</v>
          </cell>
          <cell r="B321">
            <v>14.5992</v>
          </cell>
          <cell r="C321">
            <v>2554860</v>
          </cell>
          <cell r="D321">
            <v>38232</v>
          </cell>
          <cell r="K321">
            <v>225134535.5</v>
          </cell>
          <cell r="R321" t="e">
            <v>#REF!</v>
          </cell>
        </row>
        <row r="322">
          <cell r="A322">
            <v>175000</v>
          </cell>
          <cell r="B322">
            <v>14.5992</v>
          </cell>
          <cell r="C322">
            <v>2554860</v>
          </cell>
          <cell r="D322">
            <v>38232</v>
          </cell>
          <cell r="E322">
            <v>38</v>
          </cell>
          <cell r="F322">
            <v>35</v>
          </cell>
          <cell r="G322">
            <v>73</v>
          </cell>
          <cell r="H322">
            <v>21</v>
          </cell>
          <cell r="I322">
            <v>94</v>
          </cell>
          <cell r="J322">
            <v>-135</v>
          </cell>
          <cell r="K322">
            <v>225134535.5</v>
          </cell>
          <cell r="L322">
            <v>46</v>
          </cell>
          <cell r="M322">
            <v>74</v>
          </cell>
          <cell r="N322">
            <v>118</v>
          </cell>
          <cell r="O322">
            <v>86.700000000000045</v>
          </cell>
          <cell r="P322">
            <v>204.90000000000009</v>
          </cell>
          <cell r="Q322">
            <v>109.09999999999991</v>
          </cell>
          <cell r="R322" t="e">
            <v>#REF!</v>
          </cell>
          <cell r="S322">
            <v>54</v>
          </cell>
          <cell r="T322">
            <v>101</v>
          </cell>
          <cell r="U322">
            <v>155</v>
          </cell>
          <cell r="V322">
            <v>68</v>
          </cell>
          <cell r="W322">
            <v>223</v>
          </cell>
          <cell r="X322">
            <v>109</v>
          </cell>
          <cell r="Y322">
            <v>332</v>
          </cell>
          <cell r="Z322">
            <v>70</v>
          </cell>
          <cell r="AA322">
            <v>103</v>
          </cell>
          <cell r="AB322">
            <v>173</v>
          </cell>
          <cell r="AC322">
            <v>95</v>
          </cell>
          <cell r="AD322">
            <v>268</v>
          </cell>
          <cell r="AE322">
            <v>123</v>
          </cell>
          <cell r="AF322">
            <v>391</v>
          </cell>
          <cell r="AG322">
            <v>82</v>
          </cell>
          <cell r="AH322">
            <v>117</v>
          </cell>
          <cell r="AI322">
            <v>199</v>
          </cell>
          <cell r="AJ322">
            <v>123</v>
          </cell>
          <cell r="AK322">
            <v>322</v>
          </cell>
          <cell r="AL322">
            <v>167</v>
          </cell>
          <cell r="AM322">
            <v>489</v>
          </cell>
          <cell r="BA322">
            <v>577</v>
          </cell>
          <cell r="BH322">
            <v>669</v>
          </cell>
          <cell r="BO322">
            <v>633.54739512660194</v>
          </cell>
          <cell r="BP322">
            <v>849.07181663963092</v>
          </cell>
          <cell r="BQ322">
            <v>938.27095130486543</v>
          </cell>
          <cell r="BR322">
            <v>1019.1566559215805</v>
          </cell>
          <cell r="BS322">
            <v>1106.2729926044979</v>
          </cell>
        </row>
        <row r="323">
          <cell r="A323" t="str">
            <v>MS Net Income - OLD Calculation</v>
          </cell>
          <cell r="B323">
            <v>-3.2</v>
          </cell>
          <cell r="C323">
            <v>-2.7</v>
          </cell>
          <cell r="D323">
            <v>-2.8</v>
          </cell>
          <cell r="E323">
            <v>-0.75</v>
          </cell>
          <cell r="F323">
            <v>-0.75</v>
          </cell>
          <cell r="G323">
            <v>-1.5</v>
          </cell>
          <cell r="H323">
            <v>-0.75</v>
          </cell>
          <cell r="I323">
            <v>-2.25</v>
          </cell>
          <cell r="J323">
            <v>-0.75</v>
          </cell>
          <cell r="K323">
            <v>-3</v>
          </cell>
          <cell r="L323">
            <v>-1.25</v>
          </cell>
          <cell r="M323">
            <v>-1.25</v>
          </cell>
          <cell r="N323">
            <v>-2.5</v>
          </cell>
          <cell r="O323">
            <v>-1.25</v>
          </cell>
          <cell r="P323">
            <v>-3.75</v>
          </cell>
          <cell r="Q323">
            <v>-1.25</v>
          </cell>
          <cell r="R323">
            <v>-5</v>
          </cell>
          <cell r="S323">
            <v>-1</v>
          </cell>
          <cell r="T323">
            <v>-1.75</v>
          </cell>
          <cell r="U323">
            <v>-2.75</v>
          </cell>
          <cell r="V323">
            <v>-1</v>
          </cell>
          <cell r="W323">
            <v>-3.75</v>
          </cell>
          <cell r="X323">
            <v>-1</v>
          </cell>
          <cell r="Y323">
            <v>-4.75</v>
          </cell>
          <cell r="Z323">
            <v>-1.75</v>
          </cell>
          <cell r="AA323">
            <v>-1.75</v>
          </cell>
          <cell r="AB323">
            <v>-3.5</v>
          </cell>
          <cell r="AC323">
            <v>-1.75</v>
          </cell>
          <cell r="AD323">
            <v>-5.25</v>
          </cell>
          <cell r="AE323">
            <v>-1.75</v>
          </cell>
          <cell r="AF323">
            <v>-7</v>
          </cell>
          <cell r="AG323">
            <v>-2.25</v>
          </cell>
          <cell r="AH323">
            <v>-2.25</v>
          </cell>
          <cell r="AI323">
            <v>-4.5</v>
          </cell>
          <cell r="AJ323">
            <v>-2.25</v>
          </cell>
          <cell r="AK323">
            <v>-6.75</v>
          </cell>
          <cell r="AL323">
            <v>-2.25</v>
          </cell>
          <cell r="AM323">
            <v>-9</v>
          </cell>
          <cell r="BA323">
            <v>-14</v>
          </cell>
          <cell r="BH323">
            <v>-9</v>
          </cell>
          <cell r="BO323">
            <v>-9</v>
          </cell>
          <cell r="BP323">
            <v>-9</v>
          </cell>
          <cell r="BQ323">
            <v>-9</v>
          </cell>
          <cell r="BR323">
            <v>-9</v>
          </cell>
          <cell r="BS323">
            <v>-9</v>
          </cell>
        </row>
        <row r="324">
          <cell r="A324" t="str">
            <v>MS Net Income - OLD Calculation</v>
          </cell>
          <cell r="B324">
            <v>14.626899999999999</v>
          </cell>
          <cell r="C324">
            <v>2340304</v>
          </cell>
          <cell r="D324">
            <v>38231</v>
          </cell>
          <cell r="E324">
            <v>38</v>
          </cell>
          <cell r="F324">
            <v>35</v>
          </cell>
          <cell r="G324">
            <v>73</v>
          </cell>
          <cell r="H324">
            <v>21</v>
          </cell>
          <cell r="I324">
            <v>94</v>
          </cell>
          <cell r="J324">
            <v>-135</v>
          </cell>
          <cell r="K324">
            <v>222579675.5</v>
          </cell>
          <cell r="L324">
            <v>46</v>
          </cell>
          <cell r="M324">
            <v>74</v>
          </cell>
          <cell r="N324">
            <v>118</v>
          </cell>
          <cell r="O324">
            <v>86.700000000000045</v>
          </cell>
          <cell r="P324">
            <v>204.90000000000009</v>
          </cell>
          <cell r="Q324">
            <v>109.09999999999991</v>
          </cell>
          <cell r="R324">
            <v>2.2262258018934594E-2</v>
          </cell>
          <cell r="S324">
            <v>54</v>
          </cell>
          <cell r="T324">
            <v>101</v>
          </cell>
          <cell r="U324">
            <v>155</v>
          </cell>
          <cell r="V324">
            <v>68</v>
          </cell>
          <cell r="W324">
            <v>223</v>
          </cell>
          <cell r="X324">
            <v>109</v>
          </cell>
          <cell r="Y324">
            <v>332</v>
          </cell>
          <cell r="Z324">
            <v>70</v>
          </cell>
          <cell r="AA324">
            <v>103</v>
          </cell>
          <cell r="AB324">
            <v>173</v>
          </cell>
          <cell r="AC324">
            <v>95</v>
          </cell>
          <cell r="AD324">
            <v>268</v>
          </cell>
          <cell r="AE324">
            <v>123</v>
          </cell>
          <cell r="AF324">
            <v>391</v>
          </cell>
          <cell r="AG324">
            <v>82</v>
          </cell>
          <cell r="AH324">
            <v>117</v>
          </cell>
          <cell r="AI324">
            <v>199</v>
          </cell>
          <cell r="AJ324">
            <v>123</v>
          </cell>
          <cell r="AK324">
            <v>322</v>
          </cell>
          <cell r="AL324">
            <v>167</v>
          </cell>
          <cell r="AM324">
            <v>489</v>
          </cell>
          <cell r="BA324">
            <v>573</v>
          </cell>
          <cell r="BH324">
            <v>669</v>
          </cell>
          <cell r="BO324">
            <v>674</v>
          </cell>
          <cell r="BP324">
            <v>0</v>
          </cell>
          <cell r="BQ324">
            <v>0</v>
          </cell>
          <cell r="BR324">
            <v>0</v>
          </cell>
          <cell r="BS324">
            <v>0</v>
          </cell>
          <cell r="BV324">
            <v>959.97001884463998</v>
          </cell>
          <cell r="BW324">
            <v>1006.4114852646742</v>
          </cell>
          <cell r="BX324">
            <v>1101.0936252949989</v>
          </cell>
          <cell r="BY324">
            <v>1109.8717420548228</v>
          </cell>
          <cell r="BZ324">
            <v>1202.7007413529659</v>
          </cell>
          <cell r="CA324">
            <v>1323.1377183143413</v>
          </cell>
          <cell r="CC324">
            <v>1026.9718489375707</v>
          </cell>
          <cell r="CD324">
            <v>1156.2807917880964</v>
          </cell>
          <cell r="CE324">
            <v>1159.5463794207333</v>
          </cell>
          <cell r="CF324">
            <v>1257.8549734939252</v>
          </cell>
          <cell r="CG324">
            <v>1362.6282032152087</v>
          </cell>
        </row>
        <row r="325">
          <cell r="A325" t="str">
            <v>Reported Net Income</v>
          </cell>
          <cell r="B325">
            <v>245.29999999999987</v>
          </cell>
          <cell r="C325">
            <v>216.39999999999978</v>
          </cell>
          <cell r="D325">
            <v>247.29999999999998</v>
          </cell>
          <cell r="E325">
            <v>38</v>
          </cell>
          <cell r="F325">
            <v>35</v>
          </cell>
          <cell r="G325">
            <v>73</v>
          </cell>
          <cell r="H325">
            <v>21</v>
          </cell>
          <cell r="I325">
            <v>94</v>
          </cell>
          <cell r="J325">
            <v>-135</v>
          </cell>
          <cell r="K325">
            <v>-37</v>
          </cell>
          <cell r="L325">
            <v>46</v>
          </cell>
          <cell r="M325">
            <v>74</v>
          </cell>
          <cell r="N325">
            <v>118</v>
          </cell>
          <cell r="O325">
            <v>86.700000000000045</v>
          </cell>
          <cell r="P325">
            <v>204.90000000000009</v>
          </cell>
          <cell r="Q325">
            <v>109.09999999999991</v>
          </cell>
          <cell r="R325">
            <v>315.79999999999995</v>
          </cell>
          <cell r="S325">
            <v>54</v>
          </cell>
          <cell r="T325">
            <v>101</v>
          </cell>
          <cell r="U325">
            <v>155</v>
          </cell>
          <cell r="V325">
            <v>68</v>
          </cell>
          <cell r="W325">
            <v>223</v>
          </cell>
          <cell r="X325">
            <v>109</v>
          </cell>
          <cell r="Y325">
            <v>332</v>
          </cell>
          <cell r="Z325">
            <v>70</v>
          </cell>
          <cell r="AA325">
            <v>103</v>
          </cell>
          <cell r="AB325">
            <v>173</v>
          </cell>
          <cell r="AC325">
            <v>95</v>
          </cell>
          <cell r="AD325">
            <v>268</v>
          </cell>
          <cell r="AE325">
            <v>123</v>
          </cell>
          <cell r="AF325">
            <v>391</v>
          </cell>
          <cell r="AG325">
            <v>82</v>
          </cell>
          <cell r="AH325">
            <v>117</v>
          </cell>
          <cell r="AI325">
            <v>199</v>
          </cell>
          <cell r="AJ325">
            <v>123</v>
          </cell>
          <cell r="AK325">
            <v>322</v>
          </cell>
          <cell r="AL325">
            <v>167</v>
          </cell>
          <cell r="AM325">
            <v>489</v>
          </cell>
          <cell r="BA325">
            <v>573</v>
          </cell>
          <cell r="BH325">
            <v>669</v>
          </cell>
          <cell r="BO325">
            <v>674</v>
          </cell>
          <cell r="BP325">
            <v>858.07181663963092</v>
          </cell>
          <cell r="BQ325">
            <v>947.27095130486543</v>
          </cell>
          <cell r="BR325">
            <v>1028.1566559215805</v>
          </cell>
          <cell r="BS325">
            <v>1115.2729926044979</v>
          </cell>
          <cell r="BV325">
            <v>910.0758444422836</v>
          </cell>
          <cell r="BW325">
            <v>987.0032838719726</v>
          </cell>
          <cell r="BX325">
            <v>1080.2862887798917</v>
          </cell>
          <cell r="BY325">
            <v>1089.866957684085</v>
          </cell>
          <cell r="BZ325">
            <v>1181.3604583249155</v>
          </cell>
          <cell r="CA325">
            <v>0</v>
          </cell>
          <cell r="CC325">
            <v>-9</v>
          </cell>
          <cell r="CD325">
            <v>-9</v>
          </cell>
          <cell r="CE325">
            <v>-9</v>
          </cell>
          <cell r="CF325">
            <v>0</v>
          </cell>
          <cell r="CG325">
            <v>0</v>
          </cell>
        </row>
        <row r="326">
          <cell r="A326" t="str">
            <v>Goodwill Amort</v>
          </cell>
          <cell r="B326">
            <v>-3.2</v>
          </cell>
          <cell r="C326">
            <v>-2.7</v>
          </cell>
          <cell r="D326">
            <v>-2.8</v>
          </cell>
          <cell r="E326">
            <v>-0.75</v>
          </cell>
          <cell r="F326">
            <v>-0.75</v>
          </cell>
          <cell r="G326">
            <v>-1.5</v>
          </cell>
          <cell r="H326">
            <v>-0.75</v>
          </cell>
          <cell r="I326">
            <v>-2.25</v>
          </cell>
          <cell r="J326">
            <v>-0.75</v>
          </cell>
          <cell r="K326">
            <v>-3</v>
          </cell>
          <cell r="L326">
            <v>-1.25</v>
          </cell>
          <cell r="M326">
            <v>-1.25</v>
          </cell>
          <cell r="N326">
            <v>-2.5</v>
          </cell>
          <cell r="O326">
            <v>-1.25</v>
          </cell>
          <cell r="P326">
            <v>-3.75</v>
          </cell>
          <cell r="Q326">
            <v>-1.25</v>
          </cell>
          <cell r="R326">
            <v>-5</v>
          </cell>
          <cell r="S326">
            <v>-1</v>
          </cell>
          <cell r="T326">
            <v>-1.75</v>
          </cell>
          <cell r="U326">
            <v>-2.75</v>
          </cell>
          <cell r="V326">
            <v>-1</v>
          </cell>
          <cell r="W326">
            <v>-3.75</v>
          </cell>
          <cell r="X326">
            <v>-1</v>
          </cell>
          <cell r="Y326">
            <v>-4.75</v>
          </cell>
          <cell r="Z326">
            <v>-1.75</v>
          </cell>
          <cell r="AA326">
            <v>-1.75</v>
          </cell>
          <cell r="AB326">
            <v>-3.5</v>
          </cell>
          <cell r="AC326">
            <v>-1.75</v>
          </cell>
          <cell r="AD326">
            <v>-5.25</v>
          </cell>
          <cell r="AE326">
            <v>-1.75</v>
          </cell>
          <cell r="AF326">
            <v>-7</v>
          </cell>
          <cell r="AG326">
            <v>-2.25</v>
          </cell>
          <cell r="AH326">
            <v>-2.25</v>
          </cell>
          <cell r="AI326">
            <v>-4.5</v>
          </cell>
          <cell r="AJ326">
            <v>-2.25</v>
          </cell>
          <cell r="AK326">
            <v>-6.75</v>
          </cell>
          <cell r="AL326">
            <v>-2.25</v>
          </cell>
          <cell r="AM326">
            <v>-9</v>
          </cell>
          <cell r="BA326">
            <v>-14</v>
          </cell>
          <cell r="BH326">
            <v>-9</v>
          </cell>
          <cell r="BO326">
            <v>-9</v>
          </cell>
          <cell r="BV326">
            <v>-9</v>
          </cell>
          <cell r="BW326">
            <v>-9</v>
          </cell>
          <cell r="BX326">
            <v>-9</v>
          </cell>
          <cell r="BY326">
            <v>-9</v>
          </cell>
          <cell r="BZ326">
            <v>0</v>
          </cell>
          <cell r="CA326">
            <v>0</v>
          </cell>
          <cell r="CC326">
            <v>-20.100000000000001</v>
          </cell>
          <cell r="CD326">
            <v>0</v>
          </cell>
          <cell r="CE326">
            <v>0</v>
          </cell>
          <cell r="CF326">
            <v>0</v>
          </cell>
          <cell r="CG326">
            <v>0</v>
          </cell>
        </row>
        <row r="327">
          <cell r="A327" t="str">
            <v>Extraordinary Items (post tax)</v>
          </cell>
          <cell r="B327">
            <v>25.661000000000001</v>
          </cell>
          <cell r="C327">
            <v>2.1440000000000001</v>
          </cell>
          <cell r="D327">
            <v>-0.87099999999999989</v>
          </cell>
          <cell r="E327">
            <v>0</v>
          </cell>
          <cell r="F327">
            <v>-2.0100000000000002</v>
          </cell>
          <cell r="G327">
            <v>-2.0100000000000002</v>
          </cell>
          <cell r="H327">
            <v>-0.67</v>
          </cell>
          <cell r="I327">
            <v>-2.68</v>
          </cell>
          <cell r="J327">
            <v>138.69</v>
          </cell>
          <cell r="K327">
            <v>136.01</v>
          </cell>
          <cell r="L327">
            <v>0.67</v>
          </cell>
          <cell r="M327">
            <v>2.0100000000000002</v>
          </cell>
          <cell r="N327">
            <v>2.68</v>
          </cell>
          <cell r="O327">
            <v>26.8</v>
          </cell>
          <cell r="P327">
            <v>29.48</v>
          </cell>
          <cell r="Q327">
            <v>10.72</v>
          </cell>
          <cell r="R327">
            <v>40.200000000000003</v>
          </cell>
          <cell r="S327">
            <v>0</v>
          </cell>
          <cell r="T327">
            <v>15.41</v>
          </cell>
          <cell r="U327">
            <v>15.41</v>
          </cell>
          <cell r="V327">
            <v>3.35</v>
          </cell>
          <cell r="W327">
            <v>18.760000000000002</v>
          </cell>
          <cell r="X327">
            <v>-2.68</v>
          </cell>
          <cell r="Y327">
            <v>16.080000000000002</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BA327">
            <v>0</v>
          </cell>
          <cell r="BH327">
            <v>0</v>
          </cell>
          <cell r="BO327">
            <v>-99.830000000000013</v>
          </cell>
          <cell r="BV327">
            <v>0</v>
          </cell>
          <cell r="BW327">
            <v>0</v>
          </cell>
          <cell r="BX327">
            <v>0</v>
          </cell>
          <cell r="BY327">
            <v>0</v>
          </cell>
          <cell r="BZ327">
            <v>0</v>
          </cell>
          <cell r="CA327">
            <v>1323.1377183143413</v>
          </cell>
          <cell r="CC327">
            <v>1015.8718489375707</v>
          </cell>
          <cell r="CD327">
            <v>1165.2807917880964</v>
          </cell>
          <cell r="CE327">
            <v>1168.5463794207333</v>
          </cell>
          <cell r="CF327">
            <v>1257.8549734939252</v>
          </cell>
          <cell r="CG327">
            <v>1362.6282032152087</v>
          </cell>
        </row>
        <row r="328">
          <cell r="A328" t="str">
            <v>MS Net Income</v>
          </cell>
          <cell r="B328">
            <v>222.83899999999986</v>
          </cell>
          <cell r="C328">
            <v>221.24399999999977</v>
          </cell>
          <cell r="D328">
            <v>249.22899999999998</v>
          </cell>
          <cell r="E328">
            <v>38.75</v>
          </cell>
          <cell r="F328">
            <v>33.74</v>
          </cell>
          <cell r="G328">
            <v>72.489999999999995</v>
          </cell>
          <cell r="H328">
            <v>21.08</v>
          </cell>
          <cell r="I328">
            <v>93.570000000000007</v>
          </cell>
          <cell r="J328">
            <v>4.4399999999999977</v>
          </cell>
          <cell r="K328">
            <v>102.00999999999999</v>
          </cell>
          <cell r="L328">
            <v>47.92</v>
          </cell>
          <cell r="M328">
            <v>77.260000000000005</v>
          </cell>
          <cell r="N328">
            <v>123.18</v>
          </cell>
          <cell r="O328">
            <v>114.75000000000004</v>
          </cell>
          <cell r="P328">
            <v>238.13000000000008</v>
          </cell>
          <cell r="Q328">
            <v>121.06999999999991</v>
          </cell>
          <cell r="R328">
            <v>361</v>
          </cell>
          <cell r="S328">
            <v>55</v>
          </cell>
          <cell r="T328">
            <v>118.16</v>
          </cell>
          <cell r="U328">
            <v>173.16</v>
          </cell>
          <cell r="V328">
            <v>72.349999999999994</v>
          </cell>
          <cell r="W328">
            <v>245.51</v>
          </cell>
          <cell r="X328">
            <v>107.32</v>
          </cell>
          <cell r="Y328">
            <v>352.83</v>
          </cell>
          <cell r="Z328">
            <v>71.75</v>
          </cell>
          <cell r="AA328">
            <v>104.75</v>
          </cell>
          <cell r="AB328">
            <v>176.5</v>
          </cell>
          <cell r="AC328">
            <v>96.75</v>
          </cell>
          <cell r="AD328">
            <v>273.25</v>
          </cell>
          <cell r="AE328">
            <v>124.75</v>
          </cell>
          <cell r="AF328">
            <v>398</v>
          </cell>
          <cell r="AG328">
            <v>84.25</v>
          </cell>
          <cell r="AH328">
            <v>119.25</v>
          </cell>
          <cell r="AI328">
            <v>203.5</v>
          </cell>
          <cell r="AJ328">
            <v>125.25</v>
          </cell>
          <cell r="AK328">
            <v>328.75</v>
          </cell>
          <cell r="AL328">
            <v>169.25</v>
          </cell>
          <cell r="AM328">
            <v>498</v>
          </cell>
          <cell r="BA328">
            <v>587</v>
          </cell>
          <cell r="BH328">
            <v>678</v>
          </cell>
          <cell r="BO328">
            <v>583.16999999999996</v>
          </cell>
          <cell r="BV328">
            <v>919.0758444422836</v>
          </cell>
          <cell r="BW328">
            <v>996.0032838719726</v>
          </cell>
          <cell r="BX328">
            <v>1089.2862887798917</v>
          </cell>
          <cell r="BY328">
            <v>1098.866957684085</v>
          </cell>
          <cell r="BZ328">
            <v>1181.3604583249155</v>
          </cell>
        </row>
        <row r="329">
          <cell r="A329" t="str">
            <v>Share buybacks</v>
          </cell>
          <cell r="B329">
            <v>222.83899999999986</v>
          </cell>
          <cell r="C329">
            <v>221.24399999999977</v>
          </cell>
          <cell r="D329">
            <v>249.22899999999998</v>
          </cell>
          <cell r="E329">
            <v>38.75</v>
          </cell>
          <cell r="F329">
            <v>33.74</v>
          </cell>
          <cell r="G329">
            <v>72.489999999999995</v>
          </cell>
          <cell r="H329">
            <v>21.08</v>
          </cell>
          <cell r="I329">
            <v>93.570000000000007</v>
          </cell>
          <cell r="J329">
            <v>4.4399999999999977</v>
          </cell>
          <cell r="K329">
            <v>102.00999999999999</v>
          </cell>
          <cell r="L329">
            <v>47.92</v>
          </cell>
          <cell r="M329">
            <v>77.260000000000005</v>
          </cell>
          <cell r="N329">
            <v>123.18</v>
          </cell>
          <cell r="O329">
            <v>114.75000000000004</v>
          </cell>
          <cell r="P329">
            <v>238.13000000000008</v>
          </cell>
          <cell r="Q329">
            <v>121.06999999999991</v>
          </cell>
          <cell r="R329">
            <v>361</v>
          </cell>
          <cell r="S329">
            <v>55</v>
          </cell>
          <cell r="T329">
            <v>118.16</v>
          </cell>
          <cell r="U329">
            <v>173.16</v>
          </cell>
          <cell r="V329">
            <v>72.349999999999994</v>
          </cell>
          <cell r="W329">
            <v>245.51</v>
          </cell>
          <cell r="X329">
            <v>107.32</v>
          </cell>
          <cell r="Y329">
            <v>352.83</v>
          </cell>
          <cell r="Z329">
            <v>71.75</v>
          </cell>
          <cell r="AA329">
            <v>104.75</v>
          </cell>
          <cell r="AB329">
            <v>176.5</v>
          </cell>
          <cell r="AC329">
            <v>96.75</v>
          </cell>
          <cell r="AD329">
            <v>273.25</v>
          </cell>
          <cell r="AE329">
            <v>124.75</v>
          </cell>
          <cell r="AF329">
            <v>398</v>
          </cell>
          <cell r="AG329">
            <v>84.25</v>
          </cell>
          <cell r="AH329">
            <v>119.25</v>
          </cell>
          <cell r="AI329">
            <v>203.5</v>
          </cell>
          <cell r="AJ329">
            <v>125.25</v>
          </cell>
          <cell r="AK329">
            <v>328.75</v>
          </cell>
          <cell r="AL329">
            <v>169.25</v>
          </cell>
          <cell r="AM329">
            <v>498</v>
          </cell>
          <cell r="BA329">
            <v>587</v>
          </cell>
          <cell r="BH329">
            <v>678</v>
          </cell>
          <cell r="BO329">
            <v>583.16999999999996</v>
          </cell>
          <cell r="BP329">
            <v>821.66365465717388</v>
          </cell>
          <cell r="BQ329">
            <v>912.04524169351612</v>
          </cell>
          <cell r="BR329">
            <v>982.15836936593576</v>
          </cell>
          <cell r="BS329">
            <v>1056.7395011463477</v>
          </cell>
          <cell r="BV329">
            <v>1000.2285844539465</v>
          </cell>
          <cell r="BW329">
            <v>1015.2175820559753</v>
          </cell>
          <cell r="BX329">
            <v>1109.909688722799</v>
          </cell>
          <cell r="BY329">
            <v>1119.2751911314663</v>
          </cell>
          <cell r="BZ329">
            <v>1203.1482935634006</v>
          </cell>
        </row>
        <row r="330">
          <cell r="A330" t="str">
            <v>Share buybacks</v>
          </cell>
          <cell r="B330">
            <v>-3.2</v>
          </cell>
          <cell r="C330">
            <v>-2.7</v>
          </cell>
          <cell r="D330">
            <v>-2.8</v>
          </cell>
          <cell r="E330">
            <v>-0.75</v>
          </cell>
          <cell r="F330">
            <v>-0.75</v>
          </cell>
          <cell r="G330">
            <v>-1.5</v>
          </cell>
          <cell r="H330">
            <v>-0.75</v>
          </cell>
          <cell r="I330">
            <v>-2.25</v>
          </cell>
          <cell r="J330">
            <v>-0.75</v>
          </cell>
          <cell r="K330">
            <v>-3</v>
          </cell>
          <cell r="L330">
            <v>-1.25</v>
          </cell>
          <cell r="M330">
            <v>-1.25</v>
          </cell>
          <cell r="N330">
            <v>-2.5</v>
          </cell>
          <cell r="O330">
            <v>-1.25</v>
          </cell>
          <cell r="P330">
            <v>-3.75</v>
          </cell>
          <cell r="Q330">
            <v>-1.25</v>
          </cell>
          <cell r="R330">
            <v>-5</v>
          </cell>
          <cell r="S330">
            <v>-1</v>
          </cell>
          <cell r="T330">
            <v>-1.75</v>
          </cell>
          <cell r="U330">
            <v>-2.75</v>
          </cell>
          <cell r="V330">
            <v>-1</v>
          </cell>
          <cell r="W330">
            <v>-3.75</v>
          </cell>
          <cell r="X330">
            <v>-1</v>
          </cell>
          <cell r="Y330">
            <v>-4.75</v>
          </cell>
          <cell r="Z330">
            <v>-1.75</v>
          </cell>
          <cell r="AA330">
            <v>-1.75</v>
          </cell>
          <cell r="AB330">
            <v>-3.5</v>
          </cell>
          <cell r="AC330">
            <v>-1.75</v>
          </cell>
          <cell r="AD330">
            <v>-5.25</v>
          </cell>
          <cell r="AE330">
            <v>-1.75</v>
          </cell>
          <cell r="AF330">
            <v>-7</v>
          </cell>
          <cell r="AG330">
            <v>-2.25</v>
          </cell>
          <cell r="AH330">
            <v>-2.25</v>
          </cell>
          <cell r="AI330">
            <v>-4.5</v>
          </cell>
          <cell r="AJ330">
            <v>-2.25</v>
          </cell>
          <cell r="AK330">
            <v>-6.75</v>
          </cell>
          <cell r="AL330">
            <v>-2.25</v>
          </cell>
          <cell r="AM330">
            <v>-9</v>
          </cell>
          <cell r="BA330">
            <v>-14</v>
          </cell>
          <cell r="BH330">
            <v>-9</v>
          </cell>
          <cell r="BO330">
            <v>-9</v>
          </cell>
          <cell r="BP330">
            <v>-9</v>
          </cell>
          <cell r="BQ330">
            <v>-9</v>
          </cell>
          <cell r="BR330">
            <v>-9</v>
          </cell>
          <cell r="BS330">
            <v>-9</v>
          </cell>
        </row>
        <row r="331">
          <cell r="A331" t="str">
            <v>Extraordinary Items (post tax)</v>
          </cell>
          <cell r="B331">
            <v>25.661000000000001</v>
          </cell>
          <cell r="C331">
            <v>2.1440000000000001</v>
          </cell>
          <cell r="D331">
            <v>-0.87099999999999989</v>
          </cell>
          <cell r="E331">
            <v>0</v>
          </cell>
          <cell r="F331">
            <v>-2.0100000000000002</v>
          </cell>
          <cell r="G331">
            <v>-2.0100000000000002</v>
          </cell>
          <cell r="H331">
            <v>-0.67</v>
          </cell>
          <cell r="I331">
            <v>-2.68</v>
          </cell>
          <cell r="J331">
            <v>138.69</v>
          </cell>
          <cell r="K331">
            <v>136.01</v>
          </cell>
          <cell r="L331">
            <v>0.67</v>
          </cell>
          <cell r="M331">
            <v>2.0100000000000002</v>
          </cell>
          <cell r="N331">
            <v>2.68</v>
          </cell>
          <cell r="O331">
            <v>26.8</v>
          </cell>
          <cell r="P331">
            <v>29.48</v>
          </cell>
          <cell r="Q331">
            <v>10.72</v>
          </cell>
          <cell r="R331">
            <v>40.200000000000003</v>
          </cell>
          <cell r="S331">
            <v>0</v>
          </cell>
          <cell r="T331">
            <v>15.41</v>
          </cell>
          <cell r="U331">
            <v>15.41</v>
          </cell>
          <cell r="V331">
            <v>3.35</v>
          </cell>
          <cell r="W331">
            <v>18.760000000000002</v>
          </cell>
          <cell r="X331">
            <v>-2.68</v>
          </cell>
          <cell r="Y331">
            <v>16.080000000000002</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BA331">
            <v>0</v>
          </cell>
          <cell r="BH331">
            <v>0</v>
          </cell>
          <cell r="BO331">
            <v>-100.5</v>
          </cell>
          <cell r="BP331">
            <v>0</v>
          </cell>
          <cell r="BQ331">
            <v>0</v>
          </cell>
          <cell r="BR331">
            <v>0</v>
          </cell>
          <cell r="BS331">
            <v>0</v>
          </cell>
          <cell r="BV331" t="str">
            <v>2007-FY</v>
          </cell>
          <cell r="BW331" t="str">
            <v>2008-FY</v>
          </cell>
          <cell r="BX331" t="str">
            <v>2009-FY</v>
          </cell>
          <cell r="BY331" t="str">
            <v>2010-FY</v>
          </cell>
          <cell r="BZ331" t="str">
            <v>2011-FY</v>
          </cell>
          <cell r="CA331" t="str">
            <v>2012-FY</v>
          </cell>
          <cell r="CC331" t="str">
            <v>2008-FY</v>
          </cell>
          <cell r="CD331" t="str">
            <v>2009-FY</v>
          </cell>
          <cell r="CE331" t="str">
            <v>2010-FY</v>
          </cell>
          <cell r="CF331" t="str">
            <v>2011-FY</v>
          </cell>
          <cell r="CG331" t="str">
            <v>2012-FY</v>
          </cell>
        </row>
        <row r="332">
          <cell r="A332" t="str">
            <v>MS Net Income</v>
          </cell>
          <cell r="B332" t="str">
            <v>1996-FY</v>
          </cell>
          <cell r="C332" t="str">
            <v>1997-FY</v>
          </cell>
          <cell r="D332" t="str">
            <v>1998-FY</v>
          </cell>
          <cell r="E332">
            <v>38.75</v>
          </cell>
          <cell r="F332">
            <v>33.74</v>
          </cell>
          <cell r="G332">
            <v>72.489999999999995</v>
          </cell>
          <cell r="H332">
            <v>21.08</v>
          </cell>
          <cell r="I332">
            <v>93.570000000000007</v>
          </cell>
          <cell r="J332">
            <v>4.4399999999999977</v>
          </cell>
          <cell r="K332" t="str">
            <v>1999-FY</v>
          </cell>
          <cell r="L332">
            <v>47.92</v>
          </cell>
          <cell r="M332">
            <v>77.260000000000005</v>
          </cell>
          <cell r="N332">
            <v>123.18</v>
          </cell>
          <cell r="O332">
            <v>114.75000000000004</v>
          </cell>
          <cell r="P332">
            <v>238.13000000000008</v>
          </cell>
          <cell r="Q332">
            <v>121.06999999999991</v>
          </cell>
          <cell r="R332" t="str">
            <v>2000-FY</v>
          </cell>
          <cell r="S332">
            <v>55</v>
          </cell>
          <cell r="T332">
            <v>118.16</v>
          </cell>
          <cell r="U332">
            <v>173.16</v>
          </cell>
          <cell r="V332">
            <v>72.349999999999994</v>
          </cell>
          <cell r="W332">
            <v>245.51</v>
          </cell>
          <cell r="X332">
            <v>107.32</v>
          </cell>
          <cell r="Y332" t="str">
            <v>2001-FY</v>
          </cell>
          <cell r="Z332">
            <v>71.75</v>
          </cell>
          <cell r="AA332">
            <v>104.75</v>
          </cell>
          <cell r="AB332">
            <v>176.5</v>
          </cell>
          <cell r="AC332">
            <v>96.75</v>
          </cell>
          <cell r="AD332">
            <v>273.25</v>
          </cell>
          <cell r="AE332">
            <v>124.75</v>
          </cell>
          <cell r="AF332" t="str">
            <v>2002-FY</v>
          </cell>
          <cell r="AG332">
            <v>84.25</v>
          </cell>
          <cell r="AH332">
            <v>119.25</v>
          </cell>
          <cell r="AI332">
            <v>203.5</v>
          </cell>
          <cell r="AJ332">
            <v>125.25</v>
          </cell>
          <cell r="AK332">
            <v>328.75</v>
          </cell>
          <cell r="AL332">
            <v>169.25</v>
          </cell>
          <cell r="AM332" t="str">
            <v>2003-FY</v>
          </cell>
          <cell r="BA332" t="str">
            <v>2004-FY</v>
          </cell>
          <cell r="BH332" t="str">
            <v>2005-FY</v>
          </cell>
          <cell r="BO332" t="str">
            <v>2006-FY</v>
          </cell>
          <cell r="BP332">
            <v>830.66365465717388</v>
          </cell>
          <cell r="BQ332">
            <v>921.04524169351612</v>
          </cell>
          <cell r="BR332">
            <v>991.15836936593576</v>
          </cell>
          <cell r="BS332">
            <v>1065.7395011463477</v>
          </cell>
          <cell r="BV332" t="str">
            <v>2007-FY</v>
          </cell>
          <cell r="BW332" t="str">
            <v>2008-FY</v>
          </cell>
          <cell r="BX332" t="str">
            <v>2009-FY</v>
          </cell>
          <cell r="BY332" t="str">
            <v>2010-FY</v>
          </cell>
          <cell r="BZ332" t="str">
            <v>2011-FY</v>
          </cell>
        </row>
        <row r="333">
          <cell r="A333" t="str">
            <v>Share buybacks</v>
          </cell>
          <cell r="B333" t="str">
            <v>1996-FY</v>
          </cell>
          <cell r="C333" t="str">
            <v>1997-FY</v>
          </cell>
          <cell r="D333" t="str">
            <v>1998-FY</v>
          </cell>
          <cell r="K333" t="str">
            <v>1999-FY</v>
          </cell>
          <cell r="R333" t="str">
            <v>2000-FY</v>
          </cell>
          <cell r="Y333" t="str">
            <v>2001-FY</v>
          </cell>
          <cell r="AF333" t="str">
            <v>2002-FY</v>
          </cell>
          <cell r="AM333" t="str">
            <v>2003-FY</v>
          </cell>
          <cell r="BA333" t="str">
            <v>2004-FY</v>
          </cell>
          <cell r="BH333" t="str">
            <v>2005-FY</v>
          </cell>
          <cell r="BO333" t="str">
            <v>2006-FY</v>
          </cell>
          <cell r="BV333" t="str">
            <v>2007-FY</v>
          </cell>
          <cell r="BW333" t="str">
            <v>2008-FY</v>
          </cell>
          <cell r="BX333" t="str">
            <v>2009-FY</v>
          </cell>
          <cell r="BY333" t="str">
            <v>2010-FY</v>
          </cell>
          <cell r="BZ333" t="str">
            <v>2011-FY</v>
          </cell>
        </row>
        <row r="336">
          <cell r="B336" t="str">
            <v>1996-FY</v>
          </cell>
          <cell r="C336" t="str">
            <v>1997-FY</v>
          </cell>
          <cell r="D336" t="str">
            <v>1998-FY</v>
          </cell>
          <cell r="K336" t="str">
            <v>1999-FY</v>
          </cell>
          <cell r="R336" t="str">
            <v>2000-FY</v>
          </cell>
          <cell r="Y336" t="str">
            <v>2001-FY</v>
          </cell>
          <cell r="AF336" t="str">
            <v>2002-FY</v>
          </cell>
          <cell r="AM336" t="str">
            <v>2003-FY</v>
          </cell>
          <cell r="BA336" t="str">
            <v>2004-FY</v>
          </cell>
          <cell r="BH336" t="str">
            <v>2005-FY</v>
          </cell>
          <cell r="BO336" t="str">
            <v>2006-FY</v>
          </cell>
          <cell r="BP336" t="str">
            <v>2007-FY</v>
          </cell>
          <cell r="BQ336" t="str">
            <v>2008-FY</v>
          </cell>
          <cell r="BR336" t="str">
            <v>2009-FY</v>
          </cell>
          <cell r="BS336" t="str">
            <v>2010-FY</v>
          </cell>
        </row>
      </sheetData>
      <sheetData sheetId="9"/>
      <sheetData sheetId="10"/>
      <sheetData sheetId="11"/>
      <sheetData sheetId="12"/>
      <sheetData sheetId="13"/>
      <sheetData sheetId="14"/>
      <sheetData sheetId="15"/>
      <sheetData sheetId="16"/>
      <sheetData sheetId="17"/>
      <sheetData sheetId="18"/>
      <sheetData sheetId="19"/>
      <sheetData sheetId="20" refreshError="1"/>
      <sheetData sheetId="21"/>
      <sheetData sheetId="22"/>
      <sheetData sheetId="23"/>
      <sheetData sheetId="24" refreshError="1"/>
      <sheetData sheetId="25" refreshError="1"/>
      <sheetData sheetId="26"/>
      <sheetData sheetId="27"/>
      <sheetData sheetId="28"/>
      <sheetData sheetId="29"/>
      <sheetData sheetId="30" refreshError="1"/>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sheetData sheetId="56"/>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DD Org Sales"/>
      <sheetName val="Morningstar Org Sales"/>
      <sheetName val="WWAV Annual Org Sales"/>
      <sheetName val="WWAV Org Sales"/>
      <sheetName val="Protein Valuation"/>
      <sheetName val="Org Sales Illustration"/>
      <sheetName val="C2000"/>
      <sheetName val="FDD OPM"/>
      <sheetName val="FDD TSN OM"/>
      <sheetName val="FDD GM"/>
      <sheetName val="WWAV OPM"/>
      <sheetName val="Milk Inflation - FDD Pricing"/>
      <sheetName val="Milk Inflation - FDD GM"/>
      <sheetName val="Milk Inflation - FDD GM Chg"/>
      <sheetName val="Milk Inflation - FDD OM"/>
      <sheetName val="Milk Inflation - FDD OM Chg"/>
      <sheetName val="Sheet1"/>
      <sheetName val="Milk Inflation - Morningstar OM"/>
      <sheetName val="US Convenient Meals Brands"/>
      <sheetName val="EV Breakdown"/>
      <sheetName val="FDD Morningstar EBIT"/>
      <sheetName val="MW-Cache"/>
      <sheetName val="WWAV Valuation Comparison"/>
      <sheetName val="DF FCF Walk"/>
      <sheetName val="Operating Income"/>
      <sheetName val="Share Returns"/>
      <sheetName val="WWAV Quarterly Org Sales"/>
      <sheetName val="Quero_Sales"/>
      <sheetName val="P&amp;L"/>
      <sheetName val="Tables for notes"/>
      <sheetName val="BHI"/>
      <sheetName val="Earnings Drive"/>
      <sheetName val="Summary Charts"/>
      <sheetName val="BHI Tables"/>
    </sheetNames>
    <sheetDataSet>
      <sheetData sheetId="0"/>
      <sheetData sheetId="1"/>
      <sheetData sheetId="2"/>
      <sheetData sheetId="3"/>
      <sheetData sheetId="4" refreshError="1"/>
      <sheetData sheetId="5" refreshError="1"/>
      <sheetData sheetId="6"/>
      <sheetData sheetId="7"/>
      <sheetData sheetId="8"/>
      <sheetData sheetId="9"/>
      <sheetData sheetId="10"/>
      <sheetData sheetId="11"/>
      <sheetData sheetId="12"/>
      <sheetData sheetId="13"/>
      <sheetData sheetId="14" refreshError="1"/>
      <sheetData sheetId="15"/>
      <sheetData sheetId="16"/>
      <sheetData sheetId="17"/>
      <sheetData sheetId="18" refreshError="1"/>
      <sheetData sheetId="19"/>
      <sheetData sheetId="20"/>
      <sheetData sheetId="21"/>
      <sheetData sheetId="22"/>
      <sheetData sheetId="23" refreshError="1"/>
      <sheetData sheetId="24"/>
      <sheetData sheetId="25"/>
      <sheetData sheetId="26"/>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NZ Tracker"/>
      <sheetName val="C3400"/>
      <sheetName val="Nielsen sales v2"/>
      <sheetName val="Nielsen Sales"/>
      <sheetName val="Nielsen units"/>
      <sheetName val="Nielsen units (2)"/>
      <sheetName val="Nielsen Volume"/>
      <sheetName val="Top 15"/>
      <sheetName val="Ketchup and Sauces"/>
      <sheetName val="Meals and Snacks"/>
      <sheetName val="Infant Nutrition"/>
      <sheetName val="EM Organic Growth"/>
      <sheetName val="DM Organic Growth (2)"/>
      <sheetName val="Global Ketchup"/>
      <sheetName val="Organic Sales Growth"/>
      <sheetName val="EM as % of Sales"/>
      <sheetName val="HNZ Org Sales"/>
      <sheetName val="NACP Org Sales"/>
      <sheetName val="Europe Org Sales"/>
      <sheetName val="US Foodservice Org Sales"/>
      <sheetName val="Asia Pac Org Sales"/>
      <sheetName val="ROW Org Sales"/>
      <sheetName val="C2000"/>
      <sheetName val="L2005"/>
      <sheetName val="CC Op Income"/>
      <sheetName val="C2800"/>
      <sheetName val="HNZ GM"/>
      <sheetName val="NACP Margin"/>
      <sheetName val="Europe Margin"/>
      <sheetName val="US Foodservice Margin"/>
      <sheetName val="AsiaPac Margin"/>
      <sheetName val="ROW margin"/>
      <sheetName val="C2000 (2)"/>
      <sheetName val="Not Quarterly --&gt;"/>
      <sheetName val="COGS Breakdown"/>
      <sheetName val="Productivity Sources"/>
      <sheetName val="Quero_Brands"/>
      <sheetName val="Terrific_Match"/>
      <sheetName val="Quero_Sales"/>
      <sheetName val="Quero_Mix"/>
      <sheetName val="HNZ EM Geog Breakdown"/>
      <sheetName val="Sheet1"/>
      <sheetName val="EmSales_Product"/>
      <sheetName val="C1001"/>
      <sheetName val="O1103"/>
      <sheetName val="Total_Food_PL_Gaps"/>
      <sheetName val="DF FCF Walk"/>
      <sheetName val="Milk Inflation - FDD OM"/>
      <sheetName val="Org Sales Illustration"/>
      <sheetName val="Protein Valuation"/>
      <sheetName val="US Convenient Meals Brand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sheetData sheetId="42" refreshError="1"/>
      <sheetData sheetId="43"/>
      <sheetData sheetId="44"/>
      <sheetData sheetId="45"/>
      <sheetData sheetId="46" refreshError="1"/>
      <sheetData sheetId="47" refreshError="1"/>
      <sheetData sheetId="48" refreshError="1"/>
      <sheetData sheetId="49" refreshError="1"/>
      <sheetData sheetId="5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c Milk Summary"/>
      <sheetName val="Horizon Sales"/>
      <sheetName val="Organic Milk Market Share Chart"/>
      <sheetName val="PBB Market Share C"/>
      <sheetName val="Food vs PPB"/>
      <sheetName val="Plant Based Summary"/>
      <sheetName val="PBB Cateogry Sales"/>
      <sheetName val="PBB Sales"/>
      <sheetName val="Organic Milk"/>
      <sheetName val="Non-Dairy Yogurt"/>
      <sheetName val="Pkgd Milk &amp; Modifiers"/>
      <sheetName val="PBBs data pull"/>
      <sheetName val="PBBs data pull (2)"/>
      <sheetName val="PBB wip"/>
      <sheetName val="PBBs"/>
      <sheetName val="PL Share by Segment"/>
      <sheetName val="Creamers Market Share"/>
      <sheetName val="Creamers Sales"/>
      <sheetName val="Non Dairy Yogurt Chart"/>
      <sheetName val="Milk vs Organic Milk"/>
      <sheetName val="PBB &amp; Soy"/>
      <sheetName val="WWAV CF"/>
      <sheetName val="1Q13 Variance"/>
      <sheetName val="WWAV BS"/>
      <sheetName val="Summary"/>
      <sheetName val="WWAV 3Q13 Preview"/>
      <sheetName val="WWAV DCF Exhibit"/>
      <sheetName val="WWAV IS"/>
      <sheetName val="End-Markets"/>
    </sheetNames>
    <sheetDataSet>
      <sheetData sheetId="0" refreshError="1"/>
      <sheetData sheetId="1" refreshError="1"/>
      <sheetData sheetId="2" refreshError="1">
        <row r="1">
          <cell r="N1" t="str">
            <v>SmartCharts</v>
          </cell>
          <cell r="AW1" t="str">
            <v>.</v>
          </cell>
        </row>
        <row r="2">
          <cell r="AW2" t="str">
            <v>.</v>
          </cell>
        </row>
        <row r="3">
          <cell r="AW3" t="str">
            <v>.</v>
          </cell>
        </row>
        <row r="4">
          <cell r="AW4" t="str">
            <v>.</v>
          </cell>
        </row>
        <row r="5">
          <cell r="C5" t="str">
            <v>Define value axis here:</v>
          </cell>
        </row>
        <row r="6">
          <cell r="C6" t="str">
            <v>Organic Milk Market Share</v>
          </cell>
        </row>
        <row r="10">
          <cell r="C10" t="str">
            <v>Input your data here:</v>
          </cell>
          <cell r="AW10" t="str">
            <v>.</v>
          </cell>
        </row>
        <row r="11">
          <cell r="C11" t="str">
            <v>Horizon (WWAV)</v>
          </cell>
          <cell r="D11">
            <v>0.52898616104510854</v>
          </cell>
        </row>
        <row r="12">
          <cell r="C12" t="str">
            <v>P/L</v>
          </cell>
          <cell r="D12">
            <v>0.15136322581496203</v>
          </cell>
          <cell r="AW12" t="str">
            <v>.</v>
          </cell>
        </row>
        <row r="13">
          <cell r="C13" t="str">
            <v>Organic Valley Family</v>
          </cell>
          <cell r="D13">
            <v>0.15019531434645247</v>
          </cell>
          <cell r="AW13" t="str">
            <v>.</v>
          </cell>
        </row>
        <row r="14">
          <cell r="C14" t="str">
            <v>Stonyfield</v>
          </cell>
          <cell r="D14">
            <v>0.10172917745970529</v>
          </cell>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Summary"/>
      <sheetName val="IS"/>
      <sheetName val="BS"/>
      <sheetName val="__FDSCACHE__"/>
      <sheetName val="CF"/>
      <sheetName val="Valuation Inputs"/>
      <sheetName val="DCF Valuation"/>
      <sheetName val="Residual Income Valuation"/>
      <sheetName val="SALES"/>
      <sheetName val="Pension_K"/>
      <sheetName val="mwareDates"/>
      <sheetName val="ANNUAL_COMBINED"/>
      <sheetName val="DIV_COMBINED"/>
      <sheetName val="QTRLY_COMBINED"/>
      <sheetName val="QTRLY_DIV_COMBINED"/>
      <sheetName val="K KBL BS"/>
      <sheetName val="K KBL CF"/>
      <sheetName val="Actual vs Estimate"/>
      <sheetName val="Switches"/>
      <sheetName val="LBO Summary"/>
      <sheetName val="Important Disclosures Sheet2"/>
      <sheetName val="Sheet2"/>
      <sheetName val="NY UPLOAD"/>
      <sheetName val="mwareTaxoPres"/>
      <sheetName val="mwareValPrintout"/>
      <sheetName val="Charges"/>
      <sheetName val="mwarePreview"/>
      <sheetName val="Inputs"/>
      <sheetName val="Model_Template"/>
      <sheetName val="Upgrade charts"/>
      <sheetName val="ROIC"/>
      <sheetName val="ADDITION INFO"/>
      <sheetName val="Receivables"/>
      <sheetName val="ANNUAL_K"/>
      <sheetName val="ANNUAL_KBL"/>
      <sheetName val="QRTLY_KBL"/>
      <sheetName val="QTRLY"/>
      <sheetName val="EPS"/>
      <sheetName val="DIVISIONAL"/>
      <sheetName val="DIVISIONAL_KBL"/>
      <sheetName val="QTRLY_DIV"/>
      <sheetName val="BAL SHEET"/>
      <sheetName val="CASHFLOW"/>
      <sheetName val="MainCode"/>
      <sheetName val="Sales_Product"/>
      <sheetName val="add'l_div"/>
      <sheetName val="big report"/>
      <sheetName val="world_mkt_shr"/>
      <sheetName val="mwareDates_38473_4452054"/>
      <sheetName val="mwareSettings"/>
      <sheetName val="Sheet1"/>
      <sheetName val="mwareDates_38455_3397748"/>
      <sheetName val="Analysis"/>
      <sheetName val="MACRS"/>
      <sheetName val="RAH Acquisi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row r="1">
          <cell r="A1" t="str">
            <v xml:space="preserve">Kellogg </v>
          </cell>
          <cell r="E1" t="str">
            <v>Weeks</v>
          </cell>
          <cell r="F1">
            <v>0</v>
          </cell>
          <cell r="AE1">
            <v>4569.5628000000006</v>
          </cell>
        </row>
        <row r="2">
          <cell r="A2" t="str">
            <v>Restated for Acquisition of Keebler</v>
          </cell>
          <cell r="AE2">
            <v>4177.7628000000004</v>
          </cell>
        </row>
        <row r="3">
          <cell r="A3" t="str">
            <v>Quarterly Income Statement</v>
          </cell>
        </row>
        <row r="4">
          <cell r="B4" t="str">
            <v>Pro Forma*</v>
          </cell>
          <cell r="G4" t="str">
            <v>Actual (adjusted for EITF)</v>
          </cell>
        </row>
        <row r="5">
          <cell r="B5" t="str">
            <v>1Q00</v>
          </cell>
          <cell r="C5" t="str">
            <v>2Q00</v>
          </cell>
          <cell r="D5" t="str">
            <v>3Q00</v>
          </cell>
          <cell r="E5" t="str">
            <v>4Q00</v>
          </cell>
          <cell r="F5">
            <v>2000</v>
          </cell>
          <cell r="G5" t="str">
            <v>1Q01</v>
          </cell>
          <cell r="H5" t="str">
            <v>2Q01</v>
          </cell>
          <cell r="I5" t="str">
            <v>3Q01</v>
          </cell>
          <cell r="J5" t="str">
            <v>4Q01</v>
          </cell>
          <cell r="K5">
            <v>2001</v>
          </cell>
          <cell r="L5" t="str">
            <v>1Q02</v>
          </cell>
          <cell r="M5" t="str">
            <v>2Q02</v>
          </cell>
          <cell r="N5" t="str">
            <v>3Q02</v>
          </cell>
          <cell r="O5" t="str">
            <v>4Q02</v>
          </cell>
          <cell r="P5">
            <v>2002</v>
          </cell>
          <cell r="Q5" t="str">
            <v>1Q03</v>
          </cell>
          <cell r="R5" t="str">
            <v>2Q03</v>
          </cell>
          <cell r="S5" t="str">
            <v>3Q03</v>
          </cell>
          <cell r="T5" t="str">
            <v>4Q03</v>
          </cell>
          <cell r="U5">
            <v>2003</v>
          </cell>
          <cell r="V5" t="str">
            <v>1Q04</v>
          </cell>
          <cell r="W5" t="str">
            <v>2Q04</v>
          </cell>
          <cell r="X5" t="str">
            <v>3Q04</v>
          </cell>
          <cell r="Y5" t="str">
            <v>4Q04</v>
          </cell>
          <cell r="Z5">
            <v>2004</v>
          </cell>
          <cell r="AA5" t="str">
            <v>1Q05</v>
          </cell>
          <cell r="AB5" t="str">
            <v>2Q05</v>
          </cell>
          <cell r="AC5" t="str">
            <v>3Q05</v>
          </cell>
          <cell r="AD5" t="str">
            <v>4Q05</v>
          </cell>
          <cell r="AE5">
            <v>2005</v>
          </cell>
          <cell r="AF5" t="str">
            <v>1Q06</v>
          </cell>
          <cell r="AG5" t="str">
            <v>2Q06</v>
          </cell>
          <cell r="AH5" t="str">
            <v>3Q06</v>
          </cell>
          <cell r="AI5" t="str">
            <v>4Q06</v>
          </cell>
          <cell r="AJ5">
            <v>2006</v>
          </cell>
          <cell r="AK5" t="str">
            <v>1Q07</v>
          </cell>
          <cell r="AL5" t="str">
            <v>2Q07E</v>
          </cell>
          <cell r="AM5" t="str">
            <v>3Q07E</v>
          </cell>
          <cell r="AN5" t="str">
            <v>4Q07E</v>
          </cell>
          <cell r="AO5" t="str">
            <v>2007E</v>
          </cell>
          <cell r="AP5" t="str">
            <v>1Q08E</v>
          </cell>
          <cell r="AQ5" t="str">
            <v>2Q08E</v>
          </cell>
          <cell r="AR5" t="str">
            <v>3Q08E</v>
          </cell>
          <cell r="AS5" t="str">
            <v>4Q08E</v>
          </cell>
          <cell r="AT5" t="str">
            <v>2008E</v>
          </cell>
        </row>
        <row r="6">
          <cell r="A6" t="str">
            <v>K Sales</v>
          </cell>
          <cell r="B6">
            <v>1751.8999999999999</v>
          </cell>
          <cell r="C6">
            <v>1801.1</v>
          </cell>
          <cell r="D6">
            <v>1845.6999999999998</v>
          </cell>
          <cell r="E6">
            <v>688.00000000000114</v>
          </cell>
          <cell r="F6">
            <v>6086.7000000000007</v>
          </cell>
          <cell r="G6">
            <v>1471.6040000000003</v>
          </cell>
          <cell r="H6">
            <v>1520.7859017000001</v>
          </cell>
          <cell r="I6">
            <v>1550.1797225400001</v>
          </cell>
          <cell r="J6">
            <v>1307.1347981340468</v>
          </cell>
          <cell r="K6">
            <v>5906.4344223740463</v>
          </cell>
          <cell r="L6">
            <v>1568.4499999999998</v>
          </cell>
          <cell r="M6">
            <v>1636.5330295639997</v>
          </cell>
          <cell r="N6">
            <v>1576.9889047825602</v>
          </cell>
          <cell r="O6">
            <v>1173.8743982717288</v>
          </cell>
          <cell r="P6">
            <v>5955.8463326182882</v>
          </cell>
          <cell r="Q6">
            <v>1653.1491088299999</v>
          </cell>
          <cell r="R6">
            <v>1739.1828485135356</v>
          </cell>
          <cell r="S6">
            <v>1676.8889066021241</v>
          </cell>
          <cell r="T6">
            <v>1673.3346320217388</v>
          </cell>
          <cell r="U6">
            <v>6742.5554959673982</v>
          </cell>
        </row>
        <row r="7">
          <cell r="A7" t="str">
            <v>KBL Sales</v>
          </cell>
          <cell r="B7">
            <v>0</v>
          </cell>
          <cell r="C7">
            <v>596.17500000000007</v>
          </cell>
          <cell r="D7">
            <v>831.678</v>
          </cell>
          <cell r="E7">
            <v>630.87500000000011</v>
          </cell>
          <cell r="F7">
            <v>2058.7280000000001</v>
          </cell>
          <cell r="G7">
            <v>0</v>
          </cell>
          <cell r="H7">
            <v>486.2140983000001</v>
          </cell>
          <cell r="I7">
            <v>640.45027746000005</v>
          </cell>
          <cell r="J7">
            <v>532.90820186595306</v>
          </cell>
          <cell r="K7">
            <v>1659.5725776259533</v>
          </cell>
          <cell r="L7">
            <v>493.35</v>
          </cell>
          <cell r="M7">
            <v>488.56697043600025</v>
          </cell>
          <cell r="N7">
            <v>559.51109521743979</v>
          </cell>
          <cell r="O7">
            <v>182.6858555994819</v>
          </cell>
          <cell r="P7">
            <v>1724.113921252922</v>
          </cell>
          <cell r="Q7">
            <v>495.81674999999996</v>
          </cell>
          <cell r="R7">
            <v>493.45264014036013</v>
          </cell>
          <cell r="S7">
            <v>570.70131712178886</v>
          </cell>
          <cell r="T7">
            <v>59.642358325323926</v>
          </cell>
          <cell r="U7">
            <v>1619.6130655874729</v>
          </cell>
        </row>
        <row r="8">
          <cell r="A8" t="str">
            <v>Sales</v>
          </cell>
          <cell r="B8">
            <v>1751.8999999999999</v>
          </cell>
          <cell r="C8">
            <v>2397.2750000000001</v>
          </cell>
          <cell r="D8">
            <v>2677.3779999999997</v>
          </cell>
          <cell r="E8">
            <v>1318.8750000000014</v>
          </cell>
          <cell r="F8">
            <v>8145.4280000000008</v>
          </cell>
          <cell r="G8">
            <v>1471.6040000000003</v>
          </cell>
          <cell r="H8">
            <v>2007.0000000000002</v>
          </cell>
          <cell r="I8">
            <v>2190.63</v>
          </cell>
          <cell r="J8">
            <v>1840.0429999999999</v>
          </cell>
          <cell r="K8">
            <v>7566.0069999999996</v>
          </cell>
          <cell r="L8">
            <v>2061.7999999999997</v>
          </cell>
          <cell r="M8">
            <v>2125.1</v>
          </cell>
          <cell r="N8">
            <v>2136.5</v>
          </cell>
          <cell r="O8">
            <v>1980.7000000000007</v>
          </cell>
          <cell r="P8">
            <v>8304.1</v>
          </cell>
          <cell r="Q8">
            <v>2147.5</v>
          </cell>
          <cell r="R8">
            <v>2247.4</v>
          </cell>
          <cell r="S8">
            <v>2281.6</v>
          </cell>
          <cell r="T8">
            <v>2135.0000000000005</v>
          </cell>
          <cell r="U8">
            <v>8811.5</v>
          </cell>
          <cell r="V8">
            <v>2390.5</v>
          </cell>
          <cell r="W8">
            <v>2387.3000000000002</v>
          </cell>
          <cell r="X8">
            <v>2445.3000000000002</v>
          </cell>
          <cell r="Y8">
            <v>2390.8000000000002</v>
          </cell>
          <cell r="Z8">
            <v>9613.9000000000015</v>
          </cell>
          <cell r="AA8">
            <v>2572.3000000000002</v>
          </cell>
          <cell r="AB8">
            <v>2587.1999999999998</v>
          </cell>
          <cell r="AC8">
            <v>2623.3999999999996</v>
          </cell>
          <cell r="AD8">
            <v>2394.2999999999997</v>
          </cell>
          <cell r="AE8">
            <v>10177.200000000001</v>
          </cell>
          <cell r="AF8">
            <v>2726.4999999999995</v>
          </cell>
          <cell r="AG8">
            <v>2773.9</v>
          </cell>
          <cell r="AH8">
            <v>2822.3999999999996</v>
          </cell>
          <cell r="AI8">
            <v>2583.9</v>
          </cell>
          <cell r="AJ8">
            <v>10906.699999999997</v>
          </cell>
          <cell r="AK8">
            <v>2963</v>
          </cell>
          <cell r="AL8">
            <v>2879.3521999999998</v>
          </cell>
          <cell r="AM8">
            <v>2911.0030999999999</v>
          </cell>
          <cell r="AN8">
            <v>2708.8926999999985</v>
          </cell>
          <cell r="AO8">
            <v>11462.247999999998</v>
          </cell>
          <cell r="AP8">
            <v>3057.4580000000001</v>
          </cell>
          <cell r="AQ8">
            <v>2974.9014316000003</v>
          </cell>
          <cell r="AR8">
            <v>3007.3900533499996</v>
          </cell>
          <cell r="AS8">
            <v>2836.1196757927132</v>
          </cell>
          <cell r="AT8">
            <v>11875.869160742714</v>
          </cell>
        </row>
        <row r="10">
          <cell r="A10" t="str">
            <v>COGS</v>
          </cell>
          <cell r="B10">
            <v>768</v>
          </cell>
          <cell r="C10">
            <v>1040.8710000000001</v>
          </cell>
          <cell r="D10">
            <v>1119.9280000000001</v>
          </cell>
          <cell r="E10">
            <v>953.15200000000004</v>
          </cell>
          <cell r="F10">
            <v>3881.951</v>
          </cell>
          <cell r="G10">
            <v>779.42500000000007</v>
          </cell>
          <cell r="H10">
            <v>1032.8333333333333</v>
          </cell>
          <cell r="I10">
            <v>1115.8333333333335</v>
          </cell>
          <cell r="J10">
            <v>961.88669000000004</v>
          </cell>
          <cell r="K10">
            <v>3889.9783566666665</v>
          </cell>
          <cell r="L10">
            <v>1097.2</v>
          </cell>
          <cell r="M10">
            <v>1085.5</v>
          </cell>
          <cell r="N10">
            <v>1086.1000000000001</v>
          </cell>
          <cell r="O10">
            <v>957.7</v>
          </cell>
          <cell r="P10">
            <v>4226.5</v>
          </cell>
          <cell r="Q10">
            <v>1144.3</v>
          </cell>
          <cell r="R10">
            <v>1142.0999999999999</v>
          </cell>
          <cell r="S10">
            <v>1157.7412206875526</v>
          </cell>
          <cell r="T10">
            <v>1093.8236620626581</v>
          </cell>
          <cell r="U10">
            <v>4539.4648827502106</v>
          </cell>
          <cell r="V10">
            <v>1270.7325000000001</v>
          </cell>
          <cell r="W10">
            <v>1195.4324999999999</v>
          </cell>
          <cell r="X10">
            <v>1226.5</v>
          </cell>
          <cell r="Y10">
            <v>1241.8268096685308</v>
          </cell>
          <cell r="Z10">
            <v>4934.4918096685305</v>
          </cell>
          <cell r="AA10">
            <v>1335.5325</v>
          </cell>
          <cell r="AB10">
            <v>1291.3824999999999</v>
          </cell>
          <cell r="AC10">
            <v>1340.1825000000001</v>
          </cell>
          <cell r="AD10">
            <v>1255.6325000000002</v>
          </cell>
          <cell r="AE10">
            <v>5222.7299999999996</v>
          </cell>
          <cell r="AF10">
            <v>1442.3575000000001</v>
          </cell>
          <cell r="AG10">
            <v>1450.9575</v>
          </cell>
          <cell r="AH10">
            <v>1461.6574999999998</v>
          </cell>
          <cell r="AI10">
            <v>1376.7575000000002</v>
          </cell>
          <cell r="AJ10">
            <v>5731.73</v>
          </cell>
          <cell r="AK10">
            <v>1610.0319528531429</v>
          </cell>
          <cell r="AL10">
            <v>1523.1773137999999</v>
          </cell>
          <cell r="AM10">
            <v>1510.8106089</v>
          </cell>
          <cell r="AN10">
            <v>1448.4372866141123</v>
          </cell>
          <cell r="AO10">
            <v>6092.4571621672549</v>
          </cell>
          <cell r="AP10">
            <v>1577.648328</v>
          </cell>
          <cell r="AQ10">
            <v>1487.4507158000001</v>
          </cell>
          <cell r="AR10">
            <v>1527.7541471017998</v>
          </cell>
          <cell r="AS10">
            <v>1677.605725970353</v>
          </cell>
          <cell r="AT10">
            <v>6270.4589168721532</v>
          </cell>
        </row>
        <row r="11">
          <cell r="A11" t="str">
            <v>K Depreciation</v>
          </cell>
          <cell r="B11">
            <v>68.900000000000006</v>
          </cell>
          <cell r="C11">
            <v>68.900000000000006</v>
          </cell>
          <cell r="D11">
            <v>68.900000000000006</v>
          </cell>
          <cell r="E11">
            <v>68.900000000000006</v>
          </cell>
          <cell r="F11">
            <v>275.60000000000002</v>
          </cell>
          <cell r="G11">
            <v>73.275000000000006</v>
          </cell>
          <cell r="H11">
            <v>73.275000000000006</v>
          </cell>
          <cell r="I11">
            <v>73.275000000000006</v>
          </cell>
          <cell r="J11">
            <v>73.275000000000006</v>
          </cell>
          <cell r="K11">
            <v>293.10000000000002</v>
          </cell>
          <cell r="Y11">
            <v>0</v>
          </cell>
          <cell r="AD11">
            <v>0</v>
          </cell>
          <cell r="AI11">
            <v>0</v>
          </cell>
          <cell r="AN11">
            <v>0</v>
          </cell>
          <cell r="AS11">
            <v>0</v>
          </cell>
        </row>
        <row r="12">
          <cell r="A12" t="str">
            <v>KBL Depreciation</v>
          </cell>
          <cell r="B12">
            <v>0</v>
          </cell>
          <cell r="C12">
            <v>19.045000000000002</v>
          </cell>
          <cell r="D12">
            <v>17.084</v>
          </cell>
          <cell r="E12">
            <v>16.972999999999999</v>
          </cell>
          <cell r="F12">
            <v>53.102000000000004</v>
          </cell>
          <cell r="G12">
            <v>0</v>
          </cell>
          <cell r="H12">
            <v>18.091666666666665</v>
          </cell>
          <cell r="I12">
            <v>18.091666666666665</v>
          </cell>
          <cell r="J12">
            <v>17.938310000000005</v>
          </cell>
          <cell r="K12">
            <v>54.121643333333338</v>
          </cell>
          <cell r="Y12">
            <v>0</v>
          </cell>
          <cell r="AD12">
            <v>0</v>
          </cell>
          <cell r="AI12">
            <v>0</v>
          </cell>
          <cell r="AN12">
            <v>0</v>
          </cell>
          <cell r="AS12">
            <v>0</v>
          </cell>
        </row>
        <row r="13">
          <cell r="A13" t="str">
            <v>Depreciation</v>
          </cell>
          <cell r="B13">
            <v>68.900000000000006</v>
          </cell>
          <cell r="C13">
            <v>89.945000000000007</v>
          </cell>
          <cell r="D13">
            <v>85.984000000000009</v>
          </cell>
          <cell r="E13">
            <v>85.873000000000005</v>
          </cell>
          <cell r="F13">
            <v>328.702</v>
          </cell>
          <cell r="G13">
            <v>73.275000000000006</v>
          </cell>
          <cell r="H13">
            <v>91.366666666666674</v>
          </cell>
          <cell r="I13">
            <v>91.366666666666674</v>
          </cell>
          <cell r="J13">
            <v>91.213310000000007</v>
          </cell>
          <cell r="K13">
            <v>347.2216433333333</v>
          </cell>
          <cell r="L13">
            <v>89</v>
          </cell>
          <cell r="M13">
            <v>89</v>
          </cell>
          <cell r="N13">
            <v>89</v>
          </cell>
          <cell r="O13">
            <v>88.199999999999989</v>
          </cell>
          <cell r="P13">
            <v>355.2</v>
          </cell>
          <cell r="Q13">
            <v>85.3</v>
          </cell>
          <cell r="R13">
            <v>90</v>
          </cell>
          <cell r="S13">
            <v>89.858779312447297</v>
          </cell>
          <cell r="T13">
            <v>94.276337937341921</v>
          </cell>
          <cell r="U13">
            <v>359.43511724978919</v>
          </cell>
          <cell r="V13">
            <v>84.767499999999998</v>
          </cell>
          <cell r="W13">
            <v>111.6675</v>
          </cell>
          <cell r="X13">
            <v>92.6</v>
          </cell>
          <cell r="Y13">
            <v>75.173190331469129</v>
          </cell>
          <cell r="Z13">
            <v>364.2081903314691</v>
          </cell>
          <cell r="AA13">
            <v>100.86749999999999</v>
          </cell>
          <cell r="AB13">
            <v>97.217500000000001</v>
          </cell>
          <cell r="AC13">
            <v>97.217500000000001</v>
          </cell>
          <cell r="AD13">
            <v>93.567499999999995</v>
          </cell>
          <cell r="AE13">
            <v>388.87</v>
          </cell>
          <cell r="AF13">
            <v>87.442499999999995</v>
          </cell>
          <cell r="AG13">
            <v>87.442499999999995</v>
          </cell>
          <cell r="AH13">
            <v>87.442499999999995</v>
          </cell>
          <cell r="AI13">
            <v>87.442499999999995</v>
          </cell>
          <cell r="AJ13">
            <v>349.77</v>
          </cell>
          <cell r="AK13">
            <v>88.96804714685716</v>
          </cell>
          <cell r="AL13">
            <v>88.96804714685716</v>
          </cell>
          <cell r="AM13">
            <v>88.96804714685716</v>
          </cell>
          <cell r="AN13">
            <v>88.968047146857188</v>
          </cell>
          <cell r="AO13">
            <v>355.87218858742864</v>
          </cell>
          <cell r="AP13">
            <v>87.442499999999995</v>
          </cell>
          <cell r="AQ13">
            <v>87.442499999999995</v>
          </cell>
          <cell r="AR13">
            <v>87.442499999999995</v>
          </cell>
          <cell r="AS13">
            <v>99.867077813214053</v>
          </cell>
          <cell r="AT13">
            <v>362.19457781321404</v>
          </cell>
        </row>
        <row r="14">
          <cell r="A14" t="str">
            <v>Cost Savings</v>
          </cell>
          <cell r="B14">
            <v>0</v>
          </cell>
          <cell r="C14">
            <v>0</v>
          </cell>
          <cell r="D14">
            <v>0</v>
          </cell>
          <cell r="E14">
            <v>0</v>
          </cell>
          <cell r="F14">
            <v>0</v>
          </cell>
          <cell r="G14">
            <v>0</v>
          </cell>
          <cell r="H14">
            <v>1.9999999999999991</v>
          </cell>
          <cell r="I14">
            <v>5.4999999999999991</v>
          </cell>
          <cell r="J14">
            <v>18.5</v>
          </cell>
          <cell r="K14">
            <v>26</v>
          </cell>
          <cell r="L14">
            <v>9</v>
          </cell>
          <cell r="M14">
            <v>13</v>
          </cell>
          <cell r="N14">
            <v>17</v>
          </cell>
          <cell r="O14">
            <v>21</v>
          </cell>
          <cell r="P14">
            <v>60</v>
          </cell>
          <cell r="Q14">
            <v>27.5</v>
          </cell>
          <cell r="R14">
            <v>27.5</v>
          </cell>
          <cell r="S14">
            <v>27.5</v>
          </cell>
          <cell r="T14">
            <v>27.5</v>
          </cell>
          <cell r="U14">
            <v>110</v>
          </cell>
          <cell r="Y14">
            <v>0</v>
          </cell>
          <cell r="AD14">
            <v>0</v>
          </cell>
          <cell r="AI14">
            <v>0</v>
          </cell>
          <cell r="AN14">
            <v>0</v>
          </cell>
          <cell r="AS14">
            <v>0</v>
          </cell>
        </row>
        <row r="15">
          <cell r="A15" t="str">
            <v>Gross Profit</v>
          </cell>
          <cell r="B15">
            <v>914.99999999999989</v>
          </cell>
          <cell r="C15">
            <v>1266.4590000000001</v>
          </cell>
          <cell r="D15">
            <v>1471.4659999999997</v>
          </cell>
          <cell r="E15">
            <v>279.85000000000133</v>
          </cell>
          <cell r="F15">
            <v>3934.7750000000005</v>
          </cell>
          <cell r="G15">
            <v>618.90400000000022</v>
          </cell>
          <cell r="H15">
            <v>884.8000000000003</v>
          </cell>
          <cell r="I15">
            <v>988.93</v>
          </cell>
          <cell r="J15">
            <v>805.44299999999987</v>
          </cell>
          <cell r="K15">
            <v>3354.8069999999998</v>
          </cell>
          <cell r="L15">
            <v>884.59999999999968</v>
          </cell>
          <cell r="M15">
            <v>963.59999999999991</v>
          </cell>
          <cell r="N15">
            <v>978.39999999999986</v>
          </cell>
          <cell r="O15">
            <v>955.80000000000064</v>
          </cell>
          <cell r="P15">
            <v>3782.4000000000005</v>
          </cell>
          <cell r="Q15">
            <v>917.90000000000009</v>
          </cell>
          <cell r="R15">
            <v>1015.3000000000002</v>
          </cell>
          <cell r="S15">
            <v>1034</v>
          </cell>
          <cell r="T15">
            <v>946.90000000000043</v>
          </cell>
          <cell r="U15">
            <v>4022.6000000000004</v>
          </cell>
          <cell r="V15">
            <v>1035</v>
          </cell>
          <cell r="W15">
            <v>1080.2000000000003</v>
          </cell>
          <cell r="X15">
            <v>1126.2000000000003</v>
          </cell>
          <cell r="Y15">
            <v>1073.8000000000002</v>
          </cell>
          <cell r="Z15">
            <v>4315.2000000000016</v>
          </cell>
          <cell r="AA15">
            <v>1135.9000000000001</v>
          </cell>
          <cell r="AB15">
            <v>1198.5999999999999</v>
          </cell>
          <cell r="AC15">
            <v>1185.9999999999995</v>
          </cell>
          <cell r="AD15">
            <v>1045.0999999999995</v>
          </cell>
          <cell r="AE15">
            <v>4565.6000000000013</v>
          </cell>
          <cell r="AF15">
            <v>1196.6999999999994</v>
          </cell>
          <cell r="AG15">
            <v>1235.5</v>
          </cell>
          <cell r="AH15">
            <v>1273.2999999999997</v>
          </cell>
          <cell r="AI15">
            <v>1119.6999999999998</v>
          </cell>
          <cell r="AJ15">
            <v>4825.1999999999971</v>
          </cell>
          <cell r="AK15">
            <v>1264</v>
          </cell>
          <cell r="AL15">
            <v>1267.2068390531429</v>
          </cell>
          <cell r="AM15">
            <v>1311.2244439531428</v>
          </cell>
          <cell r="AN15">
            <v>1171.4873662390287</v>
          </cell>
          <cell r="AO15">
            <v>5013.9186492453146</v>
          </cell>
          <cell r="AP15">
            <v>1392.3671720000002</v>
          </cell>
          <cell r="AQ15">
            <v>1400.0082158</v>
          </cell>
          <cell r="AR15">
            <v>1392.1934062481996</v>
          </cell>
          <cell r="AS15">
            <v>1058.6468720091466</v>
          </cell>
          <cell r="AT15">
            <v>5243.2156660573464</v>
          </cell>
        </row>
        <row r="17">
          <cell r="A17" t="str">
            <v>SGA</v>
          </cell>
          <cell r="B17">
            <v>626.04999999999995</v>
          </cell>
          <cell r="C17">
            <v>938.06700000000001</v>
          </cell>
          <cell r="D17">
            <v>1056.902</v>
          </cell>
          <cell r="E17">
            <v>847.60200000000009</v>
          </cell>
          <cell r="F17">
            <v>3468.6210000000001</v>
          </cell>
          <cell r="G17">
            <v>375.73749311090421</v>
          </cell>
          <cell r="H17">
            <v>561.56666666666695</v>
          </cell>
          <cell r="I17">
            <v>570.49666666666644</v>
          </cell>
          <cell r="J17">
            <v>474.20966666666658</v>
          </cell>
          <cell r="K17">
            <v>1982.0104931109045</v>
          </cell>
          <cell r="L17">
            <v>560.09999999999957</v>
          </cell>
          <cell r="M17">
            <v>594.74999999999989</v>
          </cell>
          <cell r="N17">
            <v>569.19999999999993</v>
          </cell>
          <cell r="O17">
            <v>568.80000000000064</v>
          </cell>
          <cell r="P17">
            <v>2227</v>
          </cell>
          <cell r="Q17">
            <v>569</v>
          </cell>
          <cell r="R17">
            <v>601.20000000000005</v>
          </cell>
          <cell r="S17">
            <v>603.20000000000005</v>
          </cell>
          <cell r="T17">
            <v>593.65</v>
          </cell>
          <cell r="U17">
            <v>2368.5</v>
          </cell>
          <cell r="V17">
            <v>614.79999999999995</v>
          </cell>
          <cell r="W17">
            <v>641.79999999999995</v>
          </cell>
          <cell r="X17">
            <v>669.4</v>
          </cell>
          <cell r="Y17">
            <v>708.1</v>
          </cell>
          <cell r="Z17">
            <v>2634.1</v>
          </cell>
          <cell r="AA17">
            <v>668.1</v>
          </cell>
          <cell r="AB17">
            <v>726.1</v>
          </cell>
          <cell r="AC17">
            <v>720.3</v>
          </cell>
          <cell r="AD17">
            <v>700.0675</v>
          </cell>
          <cell r="AE17">
            <v>2814.5675000000001</v>
          </cell>
          <cell r="AF17">
            <v>722.2</v>
          </cell>
          <cell r="AG17">
            <v>774.3</v>
          </cell>
          <cell r="AH17">
            <v>785.7</v>
          </cell>
          <cell r="AI17">
            <v>775.73500000000001</v>
          </cell>
          <cell r="AJ17">
            <v>3057.9349999999999</v>
          </cell>
          <cell r="AK17">
            <v>764.26750000000004</v>
          </cell>
          <cell r="AL17">
            <v>781.14562335447943</v>
          </cell>
          <cell r="AM17">
            <v>803.82705474512341</v>
          </cell>
          <cell r="AN17">
            <v>784.21170214571202</v>
          </cell>
          <cell r="AO17">
            <v>3136.3818802453152</v>
          </cell>
          <cell r="AP17">
            <v>870.37510400000019</v>
          </cell>
          <cell r="AQ17">
            <v>888.91659027480011</v>
          </cell>
          <cell r="AR17">
            <v>879.56643968734465</v>
          </cell>
          <cell r="AS17">
            <v>654.66362309075976</v>
          </cell>
          <cell r="AT17">
            <v>3296.4517570529042</v>
          </cell>
        </row>
        <row r="18">
          <cell r="A18" t="str">
            <v>K Amortization</v>
          </cell>
          <cell r="B18">
            <v>3.75</v>
          </cell>
          <cell r="C18">
            <v>3.75</v>
          </cell>
          <cell r="D18">
            <v>3.75</v>
          </cell>
          <cell r="E18">
            <v>3.75</v>
          </cell>
          <cell r="F18">
            <v>15</v>
          </cell>
          <cell r="G18">
            <v>4</v>
          </cell>
          <cell r="H18">
            <v>-3</v>
          </cell>
          <cell r="I18">
            <v>0</v>
          </cell>
          <cell r="J18">
            <v>0</v>
          </cell>
          <cell r="K18">
            <v>1</v>
          </cell>
          <cell r="L18">
            <v>0.25</v>
          </cell>
          <cell r="M18">
            <v>0.25</v>
          </cell>
          <cell r="N18">
            <v>0.25</v>
          </cell>
          <cell r="O18">
            <v>-0.77083333333333337</v>
          </cell>
          <cell r="P18">
            <v>-2.0833333333333384E-2</v>
          </cell>
          <cell r="T18">
            <v>0</v>
          </cell>
          <cell r="Y18">
            <v>0</v>
          </cell>
          <cell r="AD18">
            <v>0</v>
          </cell>
          <cell r="AI18">
            <v>0</v>
          </cell>
          <cell r="AN18">
            <v>0</v>
          </cell>
          <cell r="AS18">
            <v>0</v>
          </cell>
        </row>
        <row r="19">
          <cell r="A19" t="str">
            <v>Inc. Goodwill Amortization</v>
          </cell>
          <cell r="B19">
            <v>0</v>
          </cell>
          <cell r="C19">
            <v>27</v>
          </cell>
          <cell r="D19">
            <v>36.1</v>
          </cell>
          <cell r="E19">
            <v>27.3</v>
          </cell>
          <cell r="F19">
            <v>90.4</v>
          </cell>
          <cell r="G19">
            <v>0</v>
          </cell>
          <cell r="H19">
            <v>27</v>
          </cell>
          <cell r="I19">
            <v>36.1</v>
          </cell>
          <cell r="J19">
            <v>27.3</v>
          </cell>
          <cell r="K19">
            <v>90.4</v>
          </cell>
          <cell r="L19">
            <v>0</v>
          </cell>
          <cell r="M19">
            <v>0.5</v>
          </cell>
          <cell r="N19">
            <v>1</v>
          </cell>
          <cell r="O19">
            <v>-0.22916666666666652</v>
          </cell>
          <cell r="P19">
            <v>1.2708333333333335</v>
          </cell>
          <cell r="T19">
            <v>0</v>
          </cell>
          <cell r="Y19">
            <v>0</v>
          </cell>
          <cell r="AD19">
            <v>0</v>
          </cell>
          <cell r="AI19">
            <v>0</v>
          </cell>
          <cell r="AN19">
            <v>0</v>
          </cell>
          <cell r="AS19">
            <v>0</v>
          </cell>
        </row>
        <row r="20">
          <cell r="A20" t="str">
            <v>Amortization</v>
          </cell>
          <cell r="B20">
            <v>3.75</v>
          </cell>
          <cell r="C20">
            <v>30.75</v>
          </cell>
          <cell r="D20">
            <v>39.85</v>
          </cell>
          <cell r="E20">
            <v>31.05</v>
          </cell>
          <cell r="F20">
            <v>105.4</v>
          </cell>
          <cell r="G20">
            <v>4</v>
          </cell>
          <cell r="H20">
            <v>24</v>
          </cell>
          <cell r="I20">
            <v>36.1</v>
          </cell>
          <cell r="J20">
            <v>27.299999999999997</v>
          </cell>
          <cell r="K20">
            <v>91.4</v>
          </cell>
          <cell r="L20">
            <v>0.4</v>
          </cell>
          <cell r="M20">
            <v>0.45</v>
          </cell>
          <cell r="N20">
            <v>0.4</v>
          </cell>
          <cell r="O20">
            <v>0</v>
          </cell>
          <cell r="P20">
            <v>1.25</v>
          </cell>
          <cell r="Q20">
            <v>0.4</v>
          </cell>
          <cell r="R20">
            <v>0.4</v>
          </cell>
          <cell r="S20">
            <v>0.4</v>
          </cell>
          <cell r="T20">
            <v>1.45</v>
          </cell>
          <cell r="U20">
            <v>3</v>
          </cell>
          <cell r="V20">
            <v>0.73250000000000004</v>
          </cell>
          <cell r="W20">
            <v>0.73250000000000004</v>
          </cell>
          <cell r="X20">
            <v>0.69999999999999929</v>
          </cell>
          <cell r="Y20">
            <v>0</v>
          </cell>
          <cell r="Z20">
            <v>2.1649999999999991</v>
          </cell>
          <cell r="AA20">
            <v>0.73249999999999971</v>
          </cell>
          <cell r="AB20">
            <v>0.73249999999999971</v>
          </cell>
          <cell r="AC20">
            <v>0.73249999999999971</v>
          </cell>
          <cell r="AD20">
            <v>0.73250000000000004</v>
          </cell>
          <cell r="AE20">
            <v>2.9299999999999988</v>
          </cell>
          <cell r="AF20">
            <v>2</v>
          </cell>
          <cell r="AG20">
            <v>0.73249999999999993</v>
          </cell>
          <cell r="AH20">
            <v>0.73249999999999993</v>
          </cell>
          <cell r="AI20">
            <v>-0.53500000000000014</v>
          </cell>
          <cell r="AJ20">
            <v>2.9299999999999997</v>
          </cell>
          <cell r="AK20">
            <v>0.73250000000000004</v>
          </cell>
          <cell r="AL20">
            <v>0.73250000000000004</v>
          </cell>
          <cell r="AM20">
            <v>0.73250000000000004</v>
          </cell>
          <cell r="AN20">
            <v>0.73250000000000026</v>
          </cell>
          <cell r="AO20">
            <v>2.93</v>
          </cell>
          <cell r="AP20">
            <v>0.73250000000000004</v>
          </cell>
          <cell r="AQ20">
            <v>0.73250000000000004</v>
          </cell>
          <cell r="AR20">
            <v>0.73250000000000004</v>
          </cell>
          <cell r="AS20">
            <v>0.73250000000000026</v>
          </cell>
          <cell r="AT20">
            <v>2.93</v>
          </cell>
        </row>
        <row r="21">
          <cell r="A21" t="str">
            <v>Cost Savings</v>
          </cell>
          <cell r="B21">
            <v>0</v>
          </cell>
          <cell r="C21">
            <v>0</v>
          </cell>
          <cell r="D21">
            <v>0</v>
          </cell>
          <cell r="E21">
            <v>0</v>
          </cell>
          <cell r="F21">
            <v>0</v>
          </cell>
          <cell r="G21">
            <v>0</v>
          </cell>
          <cell r="H21">
            <v>2.166666666666667</v>
          </cell>
          <cell r="I21">
            <v>4.166666666666667</v>
          </cell>
          <cell r="J21">
            <v>7.6666666666666652</v>
          </cell>
          <cell r="K21">
            <v>14</v>
          </cell>
          <cell r="L21">
            <v>3</v>
          </cell>
          <cell r="M21">
            <v>4</v>
          </cell>
          <cell r="N21">
            <v>6</v>
          </cell>
          <cell r="O21">
            <v>7</v>
          </cell>
          <cell r="P21">
            <v>20</v>
          </cell>
          <cell r="Q21">
            <v>15</v>
          </cell>
          <cell r="R21">
            <v>15</v>
          </cell>
          <cell r="S21">
            <v>15</v>
          </cell>
          <cell r="T21">
            <v>15</v>
          </cell>
          <cell r="U21">
            <v>60</v>
          </cell>
          <cell r="V21">
            <v>0</v>
          </cell>
          <cell r="W21">
            <v>0</v>
          </cell>
          <cell r="X21">
            <v>0</v>
          </cell>
          <cell r="Y21">
            <v>-2.2000000000000002</v>
          </cell>
          <cell r="Z21">
            <v>-2.2000000000000002</v>
          </cell>
          <cell r="AD21">
            <v>0</v>
          </cell>
          <cell r="AI21">
            <v>0</v>
          </cell>
          <cell r="AN21">
            <v>0</v>
          </cell>
          <cell r="AS21">
            <v>0</v>
          </cell>
        </row>
        <row r="22">
          <cell r="A22" t="str">
            <v>EBIT</v>
          </cell>
          <cell r="B22">
            <v>285.19999999999993</v>
          </cell>
          <cell r="C22">
            <v>297.64200000000005</v>
          </cell>
          <cell r="D22">
            <v>374.7139999999996</v>
          </cell>
          <cell r="E22">
            <v>-598.80199999999877</v>
          </cell>
          <cell r="F22">
            <v>360.75400000000047</v>
          </cell>
          <cell r="G22">
            <v>239.16650688909598</v>
          </cell>
          <cell r="H22">
            <v>301.39999999999998</v>
          </cell>
          <cell r="I22">
            <v>386.50000000000006</v>
          </cell>
          <cell r="J22">
            <v>311.59999999999997</v>
          </cell>
          <cell r="K22">
            <v>1293.5999999999999</v>
          </cell>
          <cell r="L22">
            <v>327.10000000000008</v>
          </cell>
          <cell r="M22">
            <v>372.4</v>
          </cell>
          <cell r="N22">
            <v>414.8</v>
          </cell>
          <cell r="O22">
            <v>394.00000000000006</v>
          </cell>
          <cell r="P22">
            <v>1508.1</v>
          </cell>
          <cell r="Q22">
            <v>347.4</v>
          </cell>
          <cell r="R22">
            <v>414.1</v>
          </cell>
          <cell r="S22">
            <v>430.80000000000007</v>
          </cell>
          <cell r="T22">
            <v>351.80000000000047</v>
          </cell>
          <cell r="U22">
            <v>1544.1</v>
          </cell>
          <cell r="V22">
            <v>420.20000000000005</v>
          </cell>
          <cell r="W22">
            <v>438.40000000000003</v>
          </cell>
          <cell r="X22">
            <v>456.79999999999995</v>
          </cell>
          <cell r="Y22">
            <v>365.70000000000016</v>
          </cell>
          <cell r="Z22">
            <v>1681.1350000000018</v>
          </cell>
          <cell r="AA22">
            <v>467.8</v>
          </cell>
          <cell r="AB22">
            <v>472.5</v>
          </cell>
          <cell r="AC22">
            <v>465.7</v>
          </cell>
          <cell r="AD22">
            <v>344.30000000000007</v>
          </cell>
          <cell r="AE22">
            <v>1750.3</v>
          </cell>
          <cell r="AF22">
            <v>472.5</v>
          </cell>
          <cell r="AG22">
            <v>461.2</v>
          </cell>
          <cell r="AH22">
            <v>487.6</v>
          </cell>
          <cell r="AI22">
            <v>344.49999999999994</v>
          </cell>
          <cell r="AJ22">
            <v>1765.8</v>
          </cell>
          <cell r="AK22">
            <v>499</v>
          </cell>
          <cell r="AL22">
            <v>485.32871569866347</v>
          </cell>
          <cell r="AM22">
            <v>506.66488920801942</v>
          </cell>
          <cell r="AN22">
            <v>386.5431640933167</v>
          </cell>
          <cell r="AO22">
            <v>1877.5367689999996</v>
          </cell>
          <cell r="AP22">
            <v>521.25956800000006</v>
          </cell>
          <cell r="AQ22">
            <v>510.35912552519994</v>
          </cell>
          <cell r="AR22">
            <v>511.89446656085499</v>
          </cell>
          <cell r="AS22">
            <v>403.25074891838688</v>
          </cell>
          <cell r="AT22">
            <v>1946.763909004442</v>
          </cell>
        </row>
        <row r="23">
          <cell r="A23" t="str">
            <v>K EBIT</v>
          </cell>
          <cell r="B23">
            <v>285.1999999999997</v>
          </cell>
          <cell r="C23">
            <v>279.89999999999986</v>
          </cell>
          <cell r="D23">
            <v>308.0999999999998</v>
          </cell>
          <cell r="E23">
            <v>203.099999999999</v>
          </cell>
          <cell r="F23">
            <v>1076.2999999999984</v>
          </cell>
          <cell r="G23">
            <v>255.5</v>
          </cell>
          <cell r="H23">
            <v>280.10469999999998</v>
          </cell>
          <cell r="I23">
            <v>313.39999999999998</v>
          </cell>
          <cell r="J23">
            <v>233.95499999999947</v>
          </cell>
          <cell r="K23">
            <v>-294.10000000000002</v>
          </cell>
          <cell r="L23">
            <v>0</v>
          </cell>
          <cell r="M23">
            <v>0</v>
          </cell>
          <cell r="N23">
            <v>0</v>
          </cell>
          <cell r="O23">
            <v>0</v>
          </cell>
          <cell r="P23">
            <v>2.0833333333333384E-2</v>
          </cell>
          <cell r="T23">
            <v>0</v>
          </cell>
          <cell r="Y23">
            <v>0</v>
          </cell>
          <cell r="AD23">
            <v>0</v>
          </cell>
          <cell r="AI23">
            <v>0</v>
          </cell>
          <cell r="AN23">
            <v>0</v>
          </cell>
          <cell r="AS23">
            <v>0</v>
          </cell>
        </row>
        <row r="24">
          <cell r="A24" t="str">
            <v>KBL EBIT</v>
          </cell>
          <cell r="B24">
            <v>0</v>
          </cell>
          <cell r="C24">
            <v>73.26366666666668</v>
          </cell>
          <cell r="D24">
            <v>86.864916666666602</v>
          </cell>
          <cell r="E24">
            <v>168.89941666666698</v>
          </cell>
          <cell r="F24">
            <v>329.02800000000025</v>
          </cell>
          <cell r="G24">
            <v>0</v>
          </cell>
          <cell r="H24">
            <v>73.210044764876429</v>
          </cell>
          <cell r="I24">
            <v>87.975667544122246</v>
          </cell>
          <cell r="J24">
            <v>126.21129832483219</v>
          </cell>
          <cell r="K24">
            <v>287.39701063383086</v>
          </cell>
          <cell r="L24">
            <v>0</v>
          </cell>
          <cell r="M24">
            <v>73.210044764876429</v>
          </cell>
          <cell r="N24">
            <v>87.975667544122246</v>
          </cell>
          <cell r="O24">
            <v>126.21129832483219</v>
          </cell>
          <cell r="P24">
            <v>287.39701063383086</v>
          </cell>
          <cell r="T24">
            <v>126.21129832483219</v>
          </cell>
          <cell r="Y24">
            <v>0</v>
          </cell>
          <cell r="AD24">
            <v>0</v>
          </cell>
          <cell r="AI24">
            <v>0</v>
          </cell>
          <cell r="AN24">
            <v>0</v>
          </cell>
          <cell r="AS24">
            <v>0</v>
          </cell>
        </row>
        <row r="25">
          <cell r="Y25">
            <v>0</v>
          </cell>
          <cell r="AD25">
            <v>0</v>
          </cell>
          <cell r="AI25">
            <v>0</v>
          </cell>
          <cell r="AN25">
            <v>0</v>
          </cell>
          <cell r="AS25">
            <v>0</v>
          </cell>
        </row>
        <row r="26">
          <cell r="A26" t="str">
            <v>K EBITDA</v>
          </cell>
          <cell r="Y26">
            <v>0</v>
          </cell>
          <cell r="AD26">
            <v>0</v>
          </cell>
          <cell r="AI26">
            <v>0</v>
          </cell>
          <cell r="AN26">
            <v>0</v>
          </cell>
          <cell r="AS26">
            <v>0</v>
          </cell>
        </row>
        <row r="27">
          <cell r="A27" t="str">
            <v>KBL EBITDA</v>
          </cell>
          <cell r="Y27">
            <v>0</v>
          </cell>
          <cell r="AD27">
            <v>0</v>
          </cell>
          <cell r="AI27">
            <v>0</v>
          </cell>
          <cell r="AN27">
            <v>0</v>
          </cell>
          <cell r="AS27">
            <v>0</v>
          </cell>
        </row>
        <row r="28">
          <cell r="A28" t="str">
            <v>Note:  EBITDA</v>
          </cell>
          <cell r="B28">
            <v>357.59999999999991</v>
          </cell>
          <cell r="C28">
            <v>418.08700000000005</v>
          </cell>
          <cell r="D28">
            <v>500.29799999999966</v>
          </cell>
          <cell r="E28">
            <v>-482.12899999999883</v>
          </cell>
          <cell r="F28">
            <v>793.85600000000079</v>
          </cell>
          <cell r="G28">
            <v>316.44150688909599</v>
          </cell>
          <cell r="H28">
            <v>416.76666666666665</v>
          </cell>
          <cell r="I28">
            <v>513.9666666666667</v>
          </cell>
          <cell r="J28">
            <v>430.11330999999996</v>
          </cell>
          <cell r="K28">
            <v>1732.2216433333333</v>
          </cell>
          <cell r="L28">
            <v>416.50000000000006</v>
          </cell>
          <cell r="M28">
            <v>461.84999999999997</v>
          </cell>
          <cell r="N28">
            <v>504.2</v>
          </cell>
          <cell r="O28">
            <v>482.20000000000005</v>
          </cell>
          <cell r="P28">
            <v>1864.55</v>
          </cell>
          <cell r="Q28">
            <v>433.09999999999997</v>
          </cell>
          <cell r="R28">
            <v>504.5</v>
          </cell>
          <cell r="S28">
            <v>521.05877931244731</v>
          </cell>
          <cell r="T28">
            <v>447.52633793734236</v>
          </cell>
          <cell r="U28">
            <v>1906.535117249789</v>
          </cell>
          <cell r="V28">
            <v>505.70000000000005</v>
          </cell>
          <cell r="W28">
            <v>550.80000000000007</v>
          </cell>
          <cell r="X28">
            <v>550.09999999999991</v>
          </cell>
          <cell r="Y28">
            <v>440.90819033147091</v>
          </cell>
          <cell r="Z28">
            <v>2047.5081903314708</v>
          </cell>
          <cell r="AA28">
            <v>569.4</v>
          </cell>
          <cell r="AB28">
            <v>570.45000000000005</v>
          </cell>
          <cell r="AC28">
            <v>563.65</v>
          </cell>
          <cell r="AD28">
            <v>438.60000000000008</v>
          </cell>
          <cell r="AE28">
            <v>2142.1</v>
          </cell>
          <cell r="AF28">
            <v>561.9425</v>
          </cell>
          <cell r="AG28">
            <v>549.375</v>
          </cell>
          <cell r="AH28">
            <v>575.77500000000009</v>
          </cell>
          <cell r="AI28">
            <v>431.4074999999998</v>
          </cell>
          <cell r="AJ28">
            <v>2118.5</v>
          </cell>
          <cell r="AK28">
            <v>588.70054714685716</v>
          </cell>
          <cell r="AL28">
            <v>575.02926284552063</v>
          </cell>
          <cell r="AM28">
            <v>596.36543635487658</v>
          </cell>
          <cell r="AN28">
            <v>476.24371124017409</v>
          </cell>
          <cell r="AO28">
            <v>2236.3389575874285</v>
          </cell>
          <cell r="AP28">
            <v>609.43456800000001</v>
          </cell>
          <cell r="AQ28">
            <v>598.5341255251999</v>
          </cell>
          <cell r="AR28">
            <v>600.06946656085495</v>
          </cell>
          <cell r="AS28">
            <v>503.85032673160106</v>
          </cell>
          <cell r="AT28">
            <v>2311.888486817656</v>
          </cell>
        </row>
        <row r="29">
          <cell r="Y29">
            <v>0</v>
          </cell>
          <cell r="AD29">
            <v>0</v>
          </cell>
          <cell r="AI29">
            <v>0</v>
          </cell>
          <cell r="AN29">
            <v>0</v>
          </cell>
          <cell r="AS29">
            <v>0</v>
          </cell>
        </row>
        <row r="30">
          <cell r="A30" t="str">
            <v>Other Expense (Income)</v>
          </cell>
          <cell r="B30">
            <v>0.8</v>
          </cell>
          <cell r="C30">
            <v>-13.066666666666666</v>
          </cell>
          <cell r="D30">
            <v>-1.8666666666666667</v>
          </cell>
          <cell r="E30">
            <v>-5.0916666666666677</v>
          </cell>
          <cell r="F30">
            <v>-19.225000000000001</v>
          </cell>
          <cell r="G30">
            <v>-1.9</v>
          </cell>
          <cell r="H30">
            <v>8.9</v>
          </cell>
          <cell r="I30">
            <v>-1.1000000000000001</v>
          </cell>
          <cell r="J30">
            <v>6.4</v>
          </cell>
          <cell r="K30">
            <v>12.3</v>
          </cell>
          <cell r="L30">
            <v>2.0999999999999996</v>
          </cell>
          <cell r="M30">
            <v>-2</v>
          </cell>
          <cell r="N30">
            <v>-8.1</v>
          </cell>
          <cell r="O30">
            <v>-2.9</v>
          </cell>
          <cell r="P30">
            <v>-10.9</v>
          </cell>
          <cell r="Q30">
            <v>-0.7</v>
          </cell>
          <cell r="R30">
            <v>6.1</v>
          </cell>
          <cell r="S30">
            <v>-7.6</v>
          </cell>
          <cell r="T30">
            <v>5.4000000000000012</v>
          </cell>
          <cell r="U30">
            <v>3.2</v>
          </cell>
          <cell r="V30">
            <v>1.3</v>
          </cell>
          <cell r="W30">
            <v>5</v>
          </cell>
          <cell r="X30">
            <v>3.5</v>
          </cell>
          <cell r="Y30">
            <v>-3.2</v>
          </cell>
          <cell r="Z30">
            <v>6.6000000000000005</v>
          </cell>
          <cell r="AA30">
            <v>17.399999999999999</v>
          </cell>
          <cell r="AB30">
            <v>-3.9</v>
          </cell>
          <cell r="AC30">
            <v>5.7</v>
          </cell>
          <cell r="AD30">
            <v>5.7</v>
          </cell>
          <cell r="AE30">
            <v>24.9</v>
          </cell>
          <cell r="AF30">
            <v>-5.0999999999999996</v>
          </cell>
          <cell r="AG30">
            <v>-4.3</v>
          </cell>
          <cell r="AH30">
            <v>-1.9</v>
          </cell>
          <cell r="AI30">
            <v>-1.9</v>
          </cell>
          <cell r="AJ30">
            <v>-13.2</v>
          </cell>
          <cell r="AK30">
            <v>-2</v>
          </cell>
          <cell r="AL30">
            <v>1.5397500000000064</v>
          </cell>
          <cell r="AM30">
            <v>1.5397500000000064</v>
          </cell>
          <cell r="AN30">
            <v>5.0795000000000119</v>
          </cell>
          <cell r="AO30">
            <v>6.1590000000000256</v>
          </cell>
          <cell r="AP30">
            <v>0.96511557993622632</v>
          </cell>
          <cell r="AQ30">
            <v>0.96511557993622632</v>
          </cell>
          <cell r="AR30">
            <v>0.96511557993622632</v>
          </cell>
          <cell r="AS30">
            <v>0.96511557993622632</v>
          </cell>
          <cell r="AT30">
            <v>3.8604623197449053</v>
          </cell>
        </row>
        <row r="31">
          <cell r="A31" t="str">
            <v>K Int Expense</v>
          </cell>
          <cell r="B31">
            <v>31.8</v>
          </cell>
          <cell r="C31">
            <v>34.200000000000003</v>
          </cell>
          <cell r="D31">
            <v>36.4</v>
          </cell>
          <cell r="E31">
            <v>35.099999999999994</v>
          </cell>
          <cell r="F31">
            <v>137.5</v>
          </cell>
          <cell r="G31">
            <v>40.700000000000003</v>
          </cell>
          <cell r="H31">
            <v>33.799999999999997</v>
          </cell>
          <cell r="I31">
            <v>33.200000000000003</v>
          </cell>
          <cell r="J31" t="e">
            <v>#REF!</v>
          </cell>
          <cell r="K31" t="e">
            <v>#REF!</v>
          </cell>
          <cell r="Y31">
            <v>0</v>
          </cell>
          <cell r="AD31">
            <v>0</v>
          </cell>
          <cell r="AI31">
            <v>0</v>
          </cell>
          <cell r="AN31">
            <v>0</v>
          </cell>
          <cell r="AS31">
            <v>0</v>
          </cell>
        </row>
        <row r="32">
          <cell r="A32" t="str">
            <v>Incremental Int Expense</v>
          </cell>
          <cell r="B32">
            <v>0</v>
          </cell>
          <cell r="C32">
            <v>70.575000000000003</v>
          </cell>
          <cell r="D32">
            <v>75.575000000000003</v>
          </cell>
          <cell r="E32">
            <v>75.575000000000003</v>
          </cell>
          <cell r="F32">
            <v>226.72500000000002</v>
          </cell>
          <cell r="G32">
            <v>0</v>
          </cell>
          <cell r="H32">
            <v>73.100000000000009</v>
          </cell>
          <cell r="I32">
            <v>71</v>
          </cell>
          <cell r="J32" t="e">
            <v>#REF!</v>
          </cell>
          <cell r="K32" t="e">
            <v>#REF!</v>
          </cell>
          <cell r="Y32">
            <v>0</v>
          </cell>
          <cell r="AD32">
            <v>0</v>
          </cell>
          <cell r="AI32">
            <v>0</v>
          </cell>
          <cell r="AN32">
            <v>0</v>
          </cell>
          <cell r="AS32">
            <v>0</v>
          </cell>
        </row>
        <row r="33">
          <cell r="A33" t="str">
            <v>Interest Expense</v>
          </cell>
          <cell r="B33">
            <v>31.8</v>
          </cell>
          <cell r="C33">
            <v>104.77500000000001</v>
          </cell>
          <cell r="D33">
            <v>111.97499999999999</v>
          </cell>
          <cell r="E33">
            <v>110.675</v>
          </cell>
          <cell r="F33">
            <v>364.22500000000002</v>
          </cell>
          <cell r="G33">
            <v>40.700000000000003</v>
          </cell>
          <cell r="H33">
            <v>106.9</v>
          </cell>
          <cell r="I33">
            <v>104.2</v>
          </cell>
          <cell r="J33">
            <v>99.7</v>
          </cell>
          <cell r="K33">
            <v>351.5</v>
          </cell>
          <cell r="L33">
            <v>98.1</v>
          </cell>
          <cell r="M33">
            <v>96.9</v>
          </cell>
          <cell r="N33">
            <v>102.2</v>
          </cell>
          <cell r="O33">
            <v>94</v>
          </cell>
          <cell r="P33">
            <v>391.20000000000005</v>
          </cell>
          <cell r="Q33">
            <v>92</v>
          </cell>
          <cell r="R33">
            <v>89.5</v>
          </cell>
          <cell r="S33">
            <v>87</v>
          </cell>
          <cell r="T33">
            <v>102.89999999999998</v>
          </cell>
          <cell r="U33">
            <v>371.4</v>
          </cell>
          <cell r="V33">
            <v>78.2</v>
          </cell>
          <cell r="W33">
            <v>76.099999999999994</v>
          </cell>
          <cell r="X33">
            <v>76.2</v>
          </cell>
          <cell r="Y33">
            <v>78.099999999999994</v>
          </cell>
          <cell r="Z33">
            <v>308.60000000000002</v>
          </cell>
          <cell r="AA33">
            <v>75.900000000000006</v>
          </cell>
          <cell r="AB33">
            <v>89.2</v>
          </cell>
          <cell r="AC33">
            <v>68</v>
          </cell>
          <cell r="AD33">
            <v>67.2</v>
          </cell>
          <cell r="AE33">
            <v>300.3</v>
          </cell>
          <cell r="AF33">
            <v>74.5</v>
          </cell>
          <cell r="AG33">
            <v>77.2</v>
          </cell>
          <cell r="AH33">
            <v>75.8</v>
          </cell>
          <cell r="AI33">
            <v>79.900000000000006</v>
          </cell>
          <cell r="AJ33">
            <v>307.39999999999998</v>
          </cell>
          <cell r="AK33">
            <v>78</v>
          </cell>
          <cell r="AL33">
            <v>78.323667709582907</v>
          </cell>
          <cell r="AM33">
            <v>76.903290315885798</v>
          </cell>
          <cell r="AN33">
            <v>78.647335419165771</v>
          </cell>
          <cell r="AO33">
            <v>311.87429344463447</v>
          </cell>
          <cell r="AP33">
            <v>66.624355827803086</v>
          </cell>
          <cell r="AQ33">
            <v>66.900819323357211</v>
          </cell>
          <cell r="AR33">
            <v>65.687592029928439</v>
          </cell>
          <cell r="AS33">
            <v>67.177282818911308</v>
          </cell>
          <cell r="AT33">
            <v>266.39005000000003</v>
          </cell>
        </row>
        <row r="34">
          <cell r="A34" t="str">
            <v>Pretax  Income</v>
          </cell>
          <cell r="B34">
            <v>252.59999999999991</v>
          </cell>
          <cell r="C34">
            <v>205.93366666666671</v>
          </cell>
          <cell r="D34">
            <v>264.60566666666625</v>
          </cell>
          <cell r="E34">
            <v>-707.38533333333237</v>
          </cell>
          <cell r="F34">
            <v>15.754000000000474</v>
          </cell>
          <cell r="G34">
            <v>200.366506889096</v>
          </cell>
          <cell r="H34">
            <v>185.6</v>
          </cell>
          <cell r="I34">
            <v>283.40000000000009</v>
          </cell>
          <cell r="J34">
            <v>205.5</v>
          </cell>
          <cell r="K34">
            <v>929.8</v>
          </cell>
          <cell r="L34">
            <v>226.90000000000006</v>
          </cell>
          <cell r="M34">
            <v>277.5</v>
          </cell>
          <cell r="N34">
            <v>320.70000000000005</v>
          </cell>
          <cell r="O34">
            <v>302.7</v>
          </cell>
          <cell r="P34">
            <v>1116.8999999999999</v>
          </cell>
          <cell r="Q34">
            <v>256.09999999999997</v>
          </cell>
          <cell r="R34">
            <v>318.5</v>
          </cell>
          <cell r="S34">
            <v>351.40000000000009</v>
          </cell>
          <cell r="T34">
            <v>243.50000000000051</v>
          </cell>
          <cell r="U34">
            <v>1169.5</v>
          </cell>
          <cell r="V34">
            <v>340.70000000000005</v>
          </cell>
          <cell r="W34">
            <v>357.30000000000007</v>
          </cell>
          <cell r="X34">
            <v>377.09999999999997</v>
          </cell>
          <cell r="Y34">
            <v>290.80000000000018</v>
          </cell>
          <cell r="Z34">
            <v>1365.9350000000018</v>
          </cell>
          <cell r="AA34">
            <v>374.5</v>
          </cell>
          <cell r="AB34">
            <v>387.2</v>
          </cell>
          <cell r="AC34">
            <v>392</v>
          </cell>
          <cell r="AD34">
            <v>271.40000000000009</v>
          </cell>
          <cell r="AE34">
            <v>1425.1</v>
          </cell>
          <cell r="AF34">
            <v>403.1</v>
          </cell>
          <cell r="AG34">
            <v>388.3</v>
          </cell>
          <cell r="AH34">
            <v>413.7</v>
          </cell>
          <cell r="AI34">
            <v>266.49999999999989</v>
          </cell>
          <cell r="AJ34">
            <v>1471.6</v>
          </cell>
          <cell r="AK34">
            <v>423</v>
          </cell>
          <cell r="AL34">
            <v>405.46529798908057</v>
          </cell>
          <cell r="AM34">
            <v>428.22184889213361</v>
          </cell>
          <cell r="AN34">
            <v>302.81632867415101</v>
          </cell>
          <cell r="AO34">
            <v>1559.5034755553652</v>
          </cell>
          <cell r="AP34">
            <v>453.67009659226079</v>
          </cell>
          <cell r="AQ34">
            <v>442.49319062190648</v>
          </cell>
          <cell r="AR34">
            <v>445.24175895099029</v>
          </cell>
          <cell r="AS34">
            <v>335.1083505195395</v>
          </cell>
          <cell r="AT34">
            <v>1676.513396684697</v>
          </cell>
        </row>
        <row r="35">
          <cell r="Y35">
            <v>0</v>
          </cell>
        </row>
        <row r="36">
          <cell r="A36" t="str">
            <v>Taxes</v>
          </cell>
          <cell r="B36">
            <v>90.935999999999879</v>
          </cell>
          <cell r="C36">
            <v>72.072531999999995</v>
          </cell>
          <cell r="D36">
            <v>87.319000000000003</v>
          </cell>
          <cell r="E36">
            <v>33.576000000000008</v>
          </cell>
          <cell r="F36">
            <v>283.90353199999993</v>
          </cell>
          <cell r="G36">
            <v>93.9</v>
          </cell>
          <cell r="H36">
            <v>79</v>
          </cell>
          <cell r="I36">
            <v>101.92049999999999</v>
          </cell>
          <cell r="J36">
            <v>87.999999999999986</v>
          </cell>
          <cell r="K36">
            <v>362.82049999999992</v>
          </cell>
          <cell r="L36">
            <v>84.5</v>
          </cell>
          <cell r="M36">
            <v>103.7</v>
          </cell>
          <cell r="N36">
            <v>119.1345</v>
          </cell>
          <cell r="O36">
            <v>111.7</v>
          </cell>
          <cell r="P36">
            <v>414.4</v>
          </cell>
          <cell r="Q36">
            <v>92.2</v>
          </cell>
          <cell r="R36">
            <v>114.6</v>
          </cell>
          <cell r="S36">
            <v>120.1</v>
          </cell>
          <cell r="T36">
            <v>55.09999999999998</v>
          </cell>
          <cell r="U36">
            <v>382</v>
          </cell>
          <cell r="V36">
            <v>120.9</v>
          </cell>
          <cell r="W36">
            <v>119.9</v>
          </cell>
          <cell r="X36">
            <v>130.1</v>
          </cell>
          <cell r="Y36">
            <v>104.4</v>
          </cell>
          <cell r="Z36">
            <v>475.29999999999995</v>
          </cell>
          <cell r="AA36">
            <v>119.8</v>
          </cell>
          <cell r="AB36">
            <v>128.19999999999999</v>
          </cell>
          <cell r="AC36">
            <v>117.7</v>
          </cell>
          <cell r="AD36">
            <v>79</v>
          </cell>
          <cell r="AE36">
            <v>444.7</v>
          </cell>
          <cell r="AF36">
            <v>129</v>
          </cell>
          <cell r="AG36">
            <v>121.5</v>
          </cell>
          <cell r="AH36">
            <v>132.4</v>
          </cell>
          <cell r="AI36">
            <v>84.1</v>
          </cell>
          <cell r="AJ36">
            <v>467</v>
          </cell>
          <cell r="AK36">
            <v>102</v>
          </cell>
          <cell r="AL36">
            <v>133.29671671391023</v>
          </cell>
          <cell r="AM36">
            <v>140.77793282328892</v>
          </cell>
          <cell r="AN36">
            <v>100.46756050718722</v>
          </cell>
          <cell r="AO36">
            <v>476.54221004438637</v>
          </cell>
          <cell r="AP36">
            <v>147.44278139248476</v>
          </cell>
          <cell r="AQ36">
            <v>143.81028695211961</v>
          </cell>
          <cell r="AR36">
            <v>144.70357165907186</v>
          </cell>
          <cell r="AS36">
            <v>84.670812968579781</v>
          </cell>
          <cell r="AT36">
            <v>520.62745297225604</v>
          </cell>
        </row>
        <row r="37">
          <cell r="A37" t="str">
            <v>Earnings from Cont. Ops.</v>
          </cell>
          <cell r="B37">
            <v>161.66400000000004</v>
          </cell>
          <cell r="C37">
            <v>133.86113466666671</v>
          </cell>
          <cell r="D37">
            <v>177.28666666666624</v>
          </cell>
          <cell r="E37">
            <v>-740.96133333333239</v>
          </cell>
          <cell r="F37">
            <v>-268.14953199999945</v>
          </cell>
          <cell r="G37">
            <v>106.466506889096</v>
          </cell>
          <cell r="H37">
            <v>106.6</v>
          </cell>
          <cell r="I37">
            <v>181.47950000000009</v>
          </cell>
          <cell r="J37">
            <v>117.50000000000001</v>
          </cell>
          <cell r="K37">
            <v>566.97950000000003</v>
          </cell>
          <cell r="L37">
            <v>142.40000000000006</v>
          </cell>
          <cell r="M37">
            <v>173.8</v>
          </cell>
          <cell r="N37">
            <v>201.56550000000004</v>
          </cell>
          <cell r="O37">
            <v>191</v>
          </cell>
          <cell r="P37">
            <v>702.49999999999989</v>
          </cell>
          <cell r="Q37">
            <v>163.89999999999998</v>
          </cell>
          <cell r="R37">
            <v>203.9</v>
          </cell>
          <cell r="S37">
            <v>231.3000000000001</v>
          </cell>
          <cell r="T37">
            <v>188.40000000000055</v>
          </cell>
          <cell r="U37">
            <v>787.5</v>
          </cell>
          <cell r="V37">
            <v>219.80000000000004</v>
          </cell>
          <cell r="W37">
            <v>237.40000000000006</v>
          </cell>
          <cell r="X37">
            <v>246.99999999999997</v>
          </cell>
          <cell r="Y37">
            <v>186.40000000000018</v>
          </cell>
          <cell r="Z37">
            <v>890.63500000000181</v>
          </cell>
          <cell r="AA37">
            <v>254.7</v>
          </cell>
          <cell r="AB37">
            <v>259</v>
          </cell>
          <cell r="AC37">
            <v>274.3</v>
          </cell>
          <cell r="AD37">
            <v>192.40000000000009</v>
          </cell>
          <cell r="AE37">
            <v>980.39999999999986</v>
          </cell>
          <cell r="AF37">
            <v>274.10000000000002</v>
          </cell>
          <cell r="AG37">
            <v>266.8</v>
          </cell>
          <cell r="AH37">
            <v>281.29999999999995</v>
          </cell>
          <cell r="AI37">
            <v>182.39999999999989</v>
          </cell>
          <cell r="AJ37">
            <v>1004.5999999999999</v>
          </cell>
          <cell r="AK37">
            <v>321</v>
          </cell>
          <cell r="AL37">
            <v>272.16858127517037</v>
          </cell>
          <cell r="AM37">
            <v>287.44391606884471</v>
          </cell>
          <cell r="AN37">
            <v>202.34876816696374</v>
          </cell>
          <cell r="AO37">
            <v>1082.9612655109788</v>
          </cell>
          <cell r="AP37">
            <v>306.22731519977606</v>
          </cell>
          <cell r="AQ37">
            <v>298.68290366978687</v>
          </cell>
          <cell r="AR37">
            <v>300.53818729191846</v>
          </cell>
          <cell r="AS37">
            <v>250.43753755095975</v>
          </cell>
          <cell r="AT37">
            <v>1155.8859437124411</v>
          </cell>
        </row>
        <row r="38">
          <cell r="A38" t="str">
            <v>Extraordinary Charges</v>
          </cell>
          <cell r="B38">
            <v>0</v>
          </cell>
          <cell r="C38">
            <v>14.7</v>
          </cell>
          <cell r="D38">
            <v>0</v>
          </cell>
          <cell r="E38">
            <v>0</v>
          </cell>
          <cell r="F38">
            <v>0</v>
          </cell>
          <cell r="G38">
            <v>22.366506889096001</v>
          </cell>
          <cell r="H38">
            <v>-8</v>
          </cell>
          <cell r="I38">
            <v>31.279500000000098</v>
          </cell>
          <cell r="J38">
            <v>-7.0999999999999801</v>
          </cell>
          <cell r="K38">
            <v>38.54600688909612</v>
          </cell>
          <cell r="L38">
            <v>-10.199999999999999</v>
          </cell>
          <cell r="M38">
            <v>0</v>
          </cell>
          <cell r="N38">
            <v>-3.3654999999999999</v>
          </cell>
          <cell r="O38">
            <v>0</v>
          </cell>
          <cell r="P38">
            <v>-13.5655</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row>
        <row r="39">
          <cell r="A39" t="str">
            <v>Net Income</v>
          </cell>
          <cell r="B39">
            <v>161.66400000000004</v>
          </cell>
          <cell r="C39">
            <v>119.16113466666671</v>
          </cell>
          <cell r="D39">
            <v>177.28666666666624</v>
          </cell>
          <cell r="E39">
            <v>-740.96133333333239</v>
          </cell>
          <cell r="F39">
            <v>-268.14953199999945</v>
          </cell>
          <cell r="G39">
            <v>84.1</v>
          </cell>
          <cell r="H39">
            <v>114.6</v>
          </cell>
          <cell r="I39">
            <v>150.19999999999999</v>
          </cell>
          <cell r="J39">
            <v>124.6</v>
          </cell>
          <cell r="K39">
            <v>473.5</v>
          </cell>
          <cell r="L39">
            <v>152.60000000000005</v>
          </cell>
          <cell r="M39">
            <v>173.8</v>
          </cell>
          <cell r="N39">
            <v>204.93100000000004</v>
          </cell>
          <cell r="O39">
            <v>191</v>
          </cell>
          <cell r="P39">
            <v>716.06549999999993</v>
          </cell>
          <cell r="Q39">
            <v>163.89999999999998</v>
          </cell>
          <cell r="R39">
            <v>203.9</v>
          </cell>
          <cell r="S39">
            <v>231.3000000000001</v>
          </cell>
          <cell r="T39">
            <v>188.40000000000055</v>
          </cell>
          <cell r="U39">
            <v>787.5</v>
          </cell>
          <cell r="V39">
            <v>219.80000000000004</v>
          </cell>
          <cell r="W39">
            <v>237.40000000000006</v>
          </cell>
          <cell r="X39">
            <v>246.99999999999997</v>
          </cell>
          <cell r="Y39">
            <v>186.40000000000018</v>
          </cell>
          <cell r="Z39">
            <v>890.60000000000025</v>
          </cell>
          <cell r="AA39">
            <v>254.7</v>
          </cell>
          <cell r="AB39">
            <v>259</v>
          </cell>
          <cell r="AC39">
            <v>274.3</v>
          </cell>
          <cell r="AD39">
            <v>192.40000000000009</v>
          </cell>
          <cell r="AE39">
            <v>980.39999999999986</v>
          </cell>
          <cell r="AF39">
            <v>274.10000000000002</v>
          </cell>
          <cell r="AG39">
            <v>266.8</v>
          </cell>
          <cell r="AH39">
            <v>281.29999999999995</v>
          </cell>
          <cell r="AI39">
            <v>182.39999999999992</v>
          </cell>
          <cell r="AJ39">
            <v>1004.5999999999999</v>
          </cell>
          <cell r="AK39">
            <v>321</v>
          </cell>
          <cell r="AL39">
            <v>272.16858127517037</v>
          </cell>
          <cell r="AM39">
            <v>287.44391606884471</v>
          </cell>
          <cell r="AN39">
            <v>202.34876816696351</v>
          </cell>
          <cell r="AO39">
            <v>1082.9612655109786</v>
          </cell>
          <cell r="AP39">
            <v>306.22731519977606</v>
          </cell>
          <cell r="AQ39">
            <v>298.68290366978687</v>
          </cell>
          <cell r="AR39">
            <v>300.53818729191846</v>
          </cell>
          <cell r="AS39">
            <v>250.43753755095975</v>
          </cell>
          <cell r="AT39">
            <v>1155.8859437124411</v>
          </cell>
        </row>
        <row r="40">
          <cell r="A40" t="str">
            <v>Diluted Shares</v>
          </cell>
          <cell r="B40">
            <v>405.6</v>
          </cell>
          <cell r="C40">
            <v>405.6</v>
          </cell>
          <cell r="D40">
            <v>405.6</v>
          </cell>
          <cell r="E40">
            <v>405.6</v>
          </cell>
          <cell r="F40">
            <v>405.6</v>
          </cell>
          <cell r="G40">
            <v>406.1</v>
          </cell>
          <cell r="H40">
            <v>405.9</v>
          </cell>
          <cell r="I40">
            <v>406.2</v>
          </cell>
          <cell r="J40">
            <v>408.3</v>
          </cell>
          <cell r="K40">
            <v>407.2</v>
          </cell>
          <cell r="L40">
            <v>409.4</v>
          </cell>
          <cell r="M40">
            <v>412.6</v>
          </cell>
          <cell r="N40">
            <v>412</v>
          </cell>
          <cell r="O40">
            <v>410.6</v>
          </cell>
          <cell r="P40">
            <v>411.5</v>
          </cell>
          <cell r="Q40">
            <v>409.3</v>
          </cell>
          <cell r="R40">
            <v>409.2</v>
          </cell>
          <cell r="S40">
            <v>410.9</v>
          </cell>
          <cell r="T40">
            <v>412</v>
          </cell>
          <cell r="U40">
            <v>410.5</v>
          </cell>
          <cell r="V40">
            <v>411</v>
          </cell>
          <cell r="W40">
            <v>416.5</v>
          </cell>
          <cell r="X40">
            <v>416.7</v>
          </cell>
          <cell r="Y40">
            <v>417.7</v>
          </cell>
          <cell r="Z40">
            <v>416.4</v>
          </cell>
          <cell r="AA40">
            <v>417.2</v>
          </cell>
          <cell r="AB40">
            <v>415.8</v>
          </cell>
          <cell r="AC40">
            <v>416.7</v>
          </cell>
          <cell r="AD40">
            <v>412.7</v>
          </cell>
          <cell r="AE40">
            <v>415.6</v>
          </cell>
          <cell r="AF40">
            <v>401.6</v>
          </cell>
          <cell r="AG40">
            <v>396.6</v>
          </cell>
          <cell r="AH40">
            <v>399.7</v>
          </cell>
          <cell r="AI40">
            <v>401.2</v>
          </cell>
          <cell r="AJ40">
            <v>400.4</v>
          </cell>
          <cell r="AK40">
            <v>401</v>
          </cell>
          <cell r="AL40">
            <v>396.91050509992277</v>
          </cell>
          <cell r="AM40">
            <v>392.82101019984555</v>
          </cell>
          <cell r="AN40">
            <v>388.73151529976826</v>
          </cell>
          <cell r="AO40">
            <v>394.86575764988419</v>
          </cell>
          <cell r="AP40">
            <v>388.73151529976826</v>
          </cell>
          <cell r="AQ40">
            <v>387.93446411587206</v>
          </cell>
          <cell r="AR40">
            <v>387.13741293197586</v>
          </cell>
          <cell r="AS40">
            <v>386.34036174807966</v>
          </cell>
          <cell r="AT40">
            <v>387.53593852392396</v>
          </cell>
        </row>
        <row r="42">
          <cell r="A42" t="str">
            <v>EPS from Cont. Ops.</v>
          </cell>
          <cell r="B42">
            <v>0.3985798816568048</v>
          </cell>
          <cell r="C42">
            <v>0.33003238330046031</v>
          </cell>
          <cell r="D42">
            <v>0.43709730440499561</v>
          </cell>
          <cell r="E42">
            <v>-1.8268277449046655</v>
          </cell>
          <cell r="F42">
            <v>-0.66111817554240493</v>
          </cell>
          <cell r="G42">
            <v>0.26216820214010339</v>
          </cell>
          <cell r="H42">
            <v>0.26262626262626265</v>
          </cell>
          <cell r="I42">
            <v>0.44677375677006426</v>
          </cell>
          <cell r="J42">
            <v>0.28777859417095275</v>
          </cell>
          <cell r="K42">
            <v>1.3923858055009823</v>
          </cell>
          <cell r="L42">
            <v>0.3478260869565219</v>
          </cell>
          <cell r="M42">
            <v>0.4212312166747455</v>
          </cell>
          <cell r="N42">
            <v>0.48923665048543702</v>
          </cell>
          <cell r="O42">
            <v>0.46517291768144176</v>
          </cell>
          <cell r="P42">
            <v>1.7314702308626972</v>
          </cell>
          <cell r="Q42">
            <v>0.40043977522599555</v>
          </cell>
          <cell r="R42">
            <v>0.49828934506353861</v>
          </cell>
          <cell r="S42">
            <v>0.56291068386468757</v>
          </cell>
          <cell r="T42">
            <v>0.45728155339805959</v>
          </cell>
          <cell r="U42">
            <v>1.9183922046285018</v>
          </cell>
          <cell r="V42">
            <v>0.53479318734793202</v>
          </cell>
          <cell r="W42">
            <v>0.56998799519807941</v>
          </cell>
          <cell r="X42">
            <v>0.59275257979361651</v>
          </cell>
          <cell r="Y42">
            <v>0.44625329183624657</v>
          </cell>
          <cell r="Z42">
            <v>2.1388928914505327</v>
          </cell>
          <cell r="AA42">
            <v>0.61049856184084372</v>
          </cell>
          <cell r="AB42">
            <v>0.62289562289562284</v>
          </cell>
          <cell r="AC42">
            <v>0.65826733861291098</v>
          </cell>
          <cell r="AD42">
            <v>0.4661982069299736</v>
          </cell>
          <cell r="AE42">
            <v>2.3589990375360919</v>
          </cell>
          <cell r="AF42">
            <v>0.6825199203187251</v>
          </cell>
          <cell r="AG42">
            <v>0.67271810388300557</v>
          </cell>
          <cell r="AH42">
            <v>0.70377783337503119</v>
          </cell>
          <cell r="AI42">
            <v>0.45463609172482528</v>
          </cell>
          <cell r="AJ42">
            <v>2.5089910089910088</v>
          </cell>
          <cell r="AK42">
            <v>0.80049875311720697</v>
          </cell>
          <cell r="AL42">
            <v>0.68571775697055826</v>
          </cell>
          <cell r="AM42">
            <v>0.7317427240528942</v>
          </cell>
          <cell r="AN42">
            <v>0.52053605175521611</v>
          </cell>
          <cell r="AO42">
            <v>2.7426061757201254</v>
          </cell>
          <cell r="AP42">
            <v>0.78776045457397625</v>
          </cell>
          <cell r="AQ42">
            <v>0.76993134484842607</v>
          </cell>
          <cell r="AR42">
            <v>0.77630881762576176</v>
          </cell>
          <cell r="AS42">
            <v>0.64823032317359108</v>
          </cell>
          <cell r="AT42">
            <v>2.9826548425807071</v>
          </cell>
        </row>
        <row r="44">
          <cell r="A44" t="str">
            <v>Cash EPS</v>
          </cell>
          <cell r="B44">
            <v>0.40782544378698232</v>
          </cell>
          <cell r="C44">
            <v>0.40584599276791594</v>
          </cell>
          <cell r="D44">
            <v>0.53534681130834871</v>
          </cell>
          <cell r="E44">
            <v>-1.750274490466796</v>
          </cell>
          <cell r="F44">
            <v>-0.40125624260354892</v>
          </cell>
          <cell r="G44">
            <v>0.27201799283205119</v>
          </cell>
          <cell r="H44">
            <v>0.3217541266321754</v>
          </cell>
          <cell r="I44">
            <v>0.53564623338257034</v>
          </cell>
          <cell r="J44">
            <v>0.35464119519960813</v>
          </cell>
          <cell r="K44">
            <v>1.6168455304518665</v>
          </cell>
          <cell r="L44">
            <v>0.34843673668783604</v>
          </cell>
          <cell r="M44">
            <v>0.42304895782840524</v>
          </cell>
          <cell r="N44">
            <v>0.49227063106796126</v>
          </cell>
          <cell r="O44">
            <v>0.46273745737944472</v>
          </cell>
          <cell r="P44">
            <v>1.7314702308626972</v>
          </cell>
          <cell r="Q44">
            <v>0.40043977522599555</v>
          </cell>
          <cell r="R44">
            <v>0.49828934506353861</v>
          </cell>
          <cell r="S44">
            <v>0.56291068386468757</v>
          </cell>
          <cell r="T44">
            <v>0.45728155339805959</v>
          </cell>
          <cell r="U44">
            <v>1.9183922046285018</v>
          </cell>
          <cell r="V44">
            <v>0.53479318734793202</v>
          </cell>
          <cell r="W44">
            <v>0.56998799519807941</v>
          </cell>
          <cell r="X44">
            <v>0.59275257979361651</v>
          </cell>
          <cell r="Y44">
            <v>0.44625329183624657</v>
          </cell>
          <cell r="Z44">
            <v>2.1388928914505327</v>
          </cell>
          <cell r="AA44">
            <v>0.61049856184084372</v>
          </cell>
          <cell r="AB44">
            <v>0.62289562289562284</v>
          </cell>
          <cell r="AC44">
            <v>0.65826733861291098</v>
          </cell>
          <cell r="AD44">
            <v>0.47438756230990942</v>
          </cell>
          <cell r="AE44">
            <v>2.3660490856592871</v>
          </cell>
          <cell r="AF44">
            <v>0.6825199203187251</v>
          </cell>
          <cell r="AG44">
            <v>0.67271810388300557</v>
          </cell>
          <cell r="AH44">
            <v>0.70377783337503119</v>
          </cell>
          <cell r="AI44">
            <v>0.45729283373192919</v>
          </cell>
          <cell r="AJ44">
            <v>2.5163086913086912</v>
          </cell>
          <cell r="AK44">
            <v>0.80049875311720697</v>
          </cell>
          <cell r="AL44">
            <v>0.68571775697055826</v>
          </cell>
          <cell r="AM44">
            <v>0.7317427240528942</v>
          </cell>
          <cell r="AN44">
            <v>0.53206718489820437</v>
          </cell>
          <cell r="AO44">
            <v>2.7500264190388637</v>
          </cell>
          <cell r="AP44">
            <v>0.78776045457397625</v>
          </cell>
          <cell r="AQ44">
            <v>0.76993134484842607</v>
          </cell>
          <cell r="AR44">
            <v>0.77630881762576176</v>
          </cell>
          <cell r="AS44">
            <v>0.65621481465147791</v>
          </cell>
          <cell r="AT44">
            <v>2.9902154316996419</v>
          </cell>
        </row>
        <row r="46">
          <cell r="A46" t="str">
            <v>Net Income per share</v>
          </cell>
          <cell r="B46">
            <v>0.3985798816568048</v>
          </cell>
          <cell r="C46">
            <v>0.29378977975016446</v>
          </cell>
          <cell r="D46">
            <v>0.43709730440499561</v>
          </cell>
          <cell r="E46">
            <v>-1.8268277449046655</v>
          </cell>
          <cell r="F46">
            <v>-0.66111817554240493</v>
          </cell>
          <cell r="G46">
            <v>0.20209184929820237</v>
          </cell>
          <cell r="H46">
            <v>0.28233555062823357</v>
          </cell>
          <cell r="I46">
            <v>0.3647685869030034</v>
          </cell>
          <cell r="J46">
            <v>0.30516776879745283</v>
          </cell>
          <cell r="K46">
            <v>1.1628192534381139</v>
          </cell>
          <cell r="L46">
            <v>0.36774059599413789</v>
          </cell>
          <cell r="M46">
            <v>0.4212312166747455</v>
          </cell>
          <cell r="N46">
            <v>0.49240533980582535</v>
          </cell>
          <cell r="O46">
            <v>0.46517291768144176</v>
          </cell>
          <cell r="P46">
            <v>1.7401348724179828</v>
          </cell>
          <cell r="Q46">
            <v>0.40043977522599555</v>
          </cell>
          <cell r="R46">
            <v>0.49828934506353861</v>
          </cell>
          <cell r="S46">
            <v>0.56291068386468757</v>
          </cell>
          <cell r="T46">
            <v>0.45728155339805959</v>
          </cell>
          <cell r="U46">
            <v>1.9183922046285018</v>
          </cell>
          <cell r="V46">
            <v>0.53479318734793202</v>
          </cell>
          <cell r="W46">
            <v>0.56998799519807941</v>
          </cell>
          <cell r="X46">
            <v>0.59275257979361651</v>
          </cell>
          <cell r="Y46">
            <v>0.44625329183624657</v>
          </cell>
          <cell r="Z46">
            <v>2.1388088376561005</v>
          </cell>
          <cell r="AA46">
            <v>0.61049856184084372</v>
          </cell>
          <cell r="AB46">
            <v>0.62289562289562284</v>
          </cell>
          <cell r="AC46">
            <v>0.65826733861291098</v>
          </cell>
          <cell r="AD46">
            <v>0.46733751418671421</v>
          </cell>
          <cell r="AE46">
            <v>2.3589990375360919</v>
          </cell>
          <cell r="AF46">
            <v>0.6825199203187251</v>
          </cell>
          <cell r="AG46">
            <v>0.67271810388300557</v>
          </cell>
          <cell r="AH46">
            <v>0.70377783337503119</v>
          </cell>
          <cell r="AI46">
            <v>0.44997515141424682</v>
          </cell>
          <cell r="AJ46">
            <v>2.5089910089910088</v>
          </cell>
          <cell r="AK46">
            <v>0.80049875311720697</v>
          </cell>
          <cell r="AL46">
            <v>0.68571775697055826</v>
          </cell>
          <cell r="AM46">
            <v>0.7317427240528942</v>
          </cell>
          <cell r="AN46">
            <v>0.52464694157946568</v>
          </cell>
          <cell r="AO46">
            <v>2.742606175720125</v>
          </cell>
          <cell r="AP46">
            <v>0.78776045457397625</v>
          </cell>
          <cell r="AQ46">
            <v>0.76993134484842607</v>
          </cell>
          <cell r="AR46">
            <v>0.77630881762576176</v>
          </cell>
          <cell r="AS46">
            <v>0.64865422553254315</v>
          </cell>
          <cell r="AT46">
            <v>2.9826548425807071</v>
          </cell>
        </row>
        <row r="48">
          <cell r="B48" t="str">
            <v>Pro Forma*</v>
          </cell>
        </row>
        <row r="49">
          <cell r="A49" t="str">
            <v>Margins</v>
          </cell>
          <cell r="B49" t="str">
            <v>1Q00</v>
          </cell>
          <cell r="C49" t="str">
            <v>2Q00</v>
          </cell>
          <cell r="D49" t="str">
            <v>3Q00</v>
          </cell>
          <cell r="E49" t="str">
            <v>4Q00</v>
          </cell>
          <cell r="F49">
            <v>2000</v>
          </cell>
          <cell r="G49" t="str">
            <v>1Q01</v>
          </cell>
          <cell r="H49" t="str">
            <v>2Q01</v>
          </cell>
          <cell r="I49" t="str">
            <v>3Q01</v>
          </cell>
          <cell r="J49" t="str">
            <v>4Q01</v>
          </cell>
          <cell r="K49">
            <v>2001</v>
          </cell>
          <cell r="L49" t="str">
            <v>1Q02</v>
          </cell>
          <cell r="M49" t="str">
            <v>2Q02</v>
          </cell>
          <cell r="N49" t="str">
            <v>3Q02</v>
          </cell>
          <cell r="O49" t="str">
            <v>4Q02</v>
          </cell>
          <cell r="P49">
            <v>2002</v>
          </cell>
          <cell r="Q49" t="str">
            <v>1Q03</v>
          </cell>
          <cell r="R49" t="str">
            <v>2Q03</v>
          </cell>
          <cell r="S49" t="str">
            <v>3Q03</v>
          </cell>
          <cell r="T49" t="str">
            <v>4Q03</v>
          </cell>
          <cell r="U49">
            <v>2003</v>
          </cell>
          <cell r="V49" t="str">
            <v>1Q04</v>
          </cell>
          <cell r="W49" t="str">
            <v>2Q04</v>
          </cell>
          <cell r="X49" t="str">
            <v>3Q04</v>
          </cell>
          <cell r="Y49" t="str">
            <v>4Q04</v>
          </cell>
          <cell r="Z49">
            <v>2004</v>
          </cell>
          <cell r="AA49" t="str">
            <v>1Q05</v>
          </cell>
          <cell r="AB49" t="str">
            <v>2Q05</v>
          </cell>
          <cell r="AC49" t="str">
            <v>3Q05</v>
          </cell>
          <cell r="AD49" t="str">
            <v>4Q05</v>
          </cell>
          <cell r="AE49">
            <v>2005</v>
          </cell>
          <cell r="AF49" t="str">
            <v>1Q06</v>
          </cell>
          <cell r="AG49" t="str">
            <v>2Q06</v>
          </cell>
          <cell r="AH49" t="str">
            <v>3Q06</v>
          </cell>
          <cell r="AI49" t="str">
            <v>4Q06</v>
          </cell>
          <cell r="AJ49">
            <v>2006</v>
          </cell>
          <cell r="AK49" t="str">
            <v>1Q07</v>
          </cell>
          <cell r="AL49" t="str">
            <v>2Q07E</v>
          </cell>
          <cell r="AM49" t="str">
            <v>3Q07E</v>
          </cell>
          <cell r="AN49" t="str">
            <v>4Q07E</v>
          </cell>
          <cell r="AO49" t="str">
            <v>2007E</v>
          </cell>
          <cell r="AP49" t="str">
            <v>1Q08E</v>
          </cell>
          <cell r="AQ49" t="str">
            <v>2Q08E</v>
          </cell>
          <cell r="AR49" t="str">
            <v>3Q08E</v>
          </cell>
          <cell r="AS49" t="str">
            <v>4Q08E</v>
          </cell>
          <cell r="AT49" t="str">
            <v>2008E</v>
          </cell>
        </row>
        <row r="50">
          <cell r="A50" t="str">
            <v>COGS</v>
          </cell>
          <cell r="B50">
            <v>0.43838118614076149</v>
          </cell>
          <cell r="C50">
            <v>0.43418923569469503</v>
          </cell>
          <cell r="D50">
            <v>0.41829282230600245</v>
          </cell>
          <cell r="E50">
            <v>0.72270078665529258</v>
          </cell>
          <cell r="F50">
            <v>0.47658035894491974</v>
          </cell>
          <cell r="G50">
            <v>0.52964316487315877</v>
          </cell>
          <cell r="H50">
            <v>0.51461551237335978</v>
          </cell>
          <cell r="I50">
            <v>0.50936640753268847</v>
          </cell>
          <cell r="J50">
            <v>0.52275228894107373</v>
          </cell>
          <cell r="K50">
            <v>0.51413887889168841</v>
          </cell>
          <cell r="L50">
            <v>0.53215636822194212</v>
          </cell>
          <cell r="M50">
            <v>0.51079949178862172</v>
          </cell>
          <cell r="N50">
            <v>0.50835478586473215</v>
          </cell>
          <cell r="O50">
            <v>0.48351592871207133</v>
          </cell>
          <cell r="P50">
            <v>0.50896545080141131</v>
          </cell>
          <cell r="Q50">
            <v>0.53285215366705474</v>
          </cell>
          <cell r="R50">
            <v>0.50818723858681136</v>
          </cell>
          <cell r="S50">
            <v>0.50742514931957949</v>
          </cell>
          <cell r="T50">
            <v>0.51232958410428941</v>
          </cell>
          <cell r="U50">
            <v>0.51517504201897635</v>
          </cell>
          <cell r="V50">
            <v>0.53157603011922194</v>
          </cell>
          <cell r="W50">
            <v>0.50074665940602348</v>
          </cell>
          <cell r="X50">
            <v>0.50157444894286995</v>
          </cell>
          <cell r="Y50">
            <v>0.51941894331124761</v>
          </cell>
          <cell r="Z50">
            <v>0.51326639653715245</v>
          </cell>
          <cell r="AA50">
            <v>0.51919779963456825</v>
          </cell>
          <cell r="AB50">
            <v>0.49914289579468152</v>
          </cell>
          <cell r="AC50">
            <v>0.51085709384767874</v>
          </cell>
          <cell r="AD50">
            <v>0.52442571941694871</v>
          </cell>
          <cell r="AE50">
            <v>0.51317945996934311</v>
          </cell>
          <cell r="AF50">
            <v>0.52901430405281513</v>
          </cell>
          <cell r="AG50">
            <v>0.52307491257795879</v>
          </cell>
          <cell r="AH50">
            <v>0.51787751558956918</v>
          </cell>
          <cell r="AI50">
            <v>0.53282151012036072</v>
          </cell>
          <cell r="AJ50">
            <v>0.52552376062420358</v>
          </cell>
          <cell r="AK50">
            <v>0.54337899185053762</v>
          </cell>
          <cell r="AL50">
            <v>0.52900000000000003</v>
          </cell>
          <cell r="AM50">
            <v>0.51900000000000002</v>
          </cell>
          <cell r="AN50">
            <v>0.53469717963140917</v>
          </cell>
          <cell r="AO50">
            <v>0.53152376062420359</v>
          </cell>
          <cell r="AP50">
            <v>0.51600000000000001</v>
          </cell>
          <cell r="AQ50">
            <v>0.5</v>
          </cell>
          <cell r="AR50">
            <v>0.50800000000000001</v>
          </cell>
          <cell r="AS50">
            <v>0.59151443441872797</v>
          </cell>
          <cell r="AT50">
            <v>0.52800000000000002</v>
          </cell>
        </row>
        <row r="51">
          <cell r="A51" t="str">
            <v>Depreciation</v>
          </cell>
          <cell r="B51">
            <v>3.9328728808721965E-2</v>
          </cell>
          <cell r="C51">
            <v>3.7519683807656613E-2</v>
          </cell>
          <cell r="D51">
            <v>3.2115002065453598E-2</v>
          </cell>
          <cell r="E51">
            <v>6.5110795185290435E-2</v>
          </cell>
          <cell r="F51">
            <v>4.035417168993452E-2</v>
          </cell>
          <cell r="G51">
            <v>4.9792607250320052E-2</v>
          </cell>
          <cell r="H51">
            <v>4.5523999335658524E-2</v>
          </cell>
          <cell r="I51">
            <v>4.1707940942407741E-2</v>
          </cell>
          <cell r="J51">
            <v>4.9571292627400565E-2</v>
          </cell>
          <cell r="K51">
            <v>4.5892323828583999E-2</v>
          </cell>
          <cell r="L51">
            <v>4.3166165486468143E-2</v>
          </cell>
          <cell r="M51">
            <v>4.1880382099665901E-2</v>
          </cell>
          <cell r="N51">
            <v>4.1656915516030894E-2</v>
          </cell>
          <cell r="O51">
            <v>4.4529711718079443E-2</v>
          </cell>
          <cell r="P51">
            <v>4.2774051372213726E-2</v>
          </cell>
          <cell r="Q51">
            <v>3.9720605355064026E-2</v>
          </cell>
          <cell r="R51">
            <v>4.004627569636024E-2</v>
          </cell>
          <cell r="S51">
            <v>3.9384107342412038E-2</v>
          </cell>
          <cell r="T51">
            <v>4.4157535333649606E-2</v>
          </cell>
          <cell r="U51">
            <v>4.079159249274121E-2</v>
          </cell>
          <cell r="V51">
            <v>3.5460154779334868E-2</v>
          </cell>
          <cell r="W51">
            <v>4.6775646127424284E-2</v>
          </cell>
          <cell r="X51">
            <v>3.7868564184353651E-2</v>
          </cell>
          <cell r="Y51">
            <v>3.1442692961129802E-2</v>
          </cell>
          <cell r="Z51">
            <v>3.7883501007028267E-2</v>
          </cell>
          <cell r="AA51">
            <v>3.9212961163161371E-2</v>
          </cell>
          <cell r="AB51">
            <v>3.7576337353123074E-2</v>
          </cell>
          <cell r="AC51">
            <v>3.7057825722345054E-2</v>
          </cell>
          <cell r="AD51">
            <v>3.9079271603391391E-2</v>
          </cell>
          <cell r="AE51">
            <v>3.8209920213811262E-2</v>
          </cell>
          <cell r="AF51">
            <v>3.2071336878782324E-2</v>
          </cell>
          <cell r="AG51">
            <v>3.1523306535924146E-2</v>
          </cell>
          <cell r="AH51">
            <v>3.0981611394557827E-2</v>
          </cell>
          <cell r="AI51">
            <v>3.3841286427493324E-2</v>
          </cell>
          <cell r="AJ51">
            <v>3.2069278516874952E-2</v>
          </cell>
          <cell r="AK51">
            <v>3.0026340582807006E-2</v>
          </cell>
          <cell r="AL51">
            <v>3.0898633083808632E-2</v>
          </cell>
          <cell r="AM51">
            <v>3.0562676881675997E-2</v>
          </cell>
          <cell r="AN51">
            <v>3.2842957252185452E-2</v>
          </cell>
          <cell r="AO51">
            <v>3.1047329336045485E-2</v>
          </cell>
          <cell r="AP51">
            <v>2.8599738737212416E-2</v>
          </cell>
          <cell r="AQ51">
            <v>2.9393410844194098E-2</v>
          </cell>
          <cell r="AR51">
            <v>2.9075875908612461E-2</v>
          </cell>
          <cell r="AS51">
            <v>3.5212575359782936E-2</v>
          </cell>
          <cell r="AT51">
            <v>3.0498363775385555E-2</v>
          </cell>
        </row>
        <row r="52">
          <cell r="A52" t="str">
            <v>Cost Savings</v>
          </cell>
          <cell r="B52">
            <v>0</v>
          </cell>
          <cell r="C52">
            <v>0</v>
          </cell>
          <cell r="D52">
            <v>0</v>
          </cell>
          <cell r="E52">
            <v>0</v>
          </cell>
          <cell r="F52">
            <v>0</v>
          </cell>
          <cell r="G52">
            <v>0</v>
          </cell>
          <cell r="H52">
            <v>9.9651220727453864E-4</v>
          </cell>
          <cell r="I52">
            <v>2.5106932708855436E-3</v>
          </cell>
          <cell r="J52">
            <v>1.0054112865840636E-2</v>
          </cell>
          <cell r="K52">
            <v>3.4364229374886915E-3</v>
          </cell>
          <cell r="L52">
            <v>4.3651178581821711E-3</v>
          </cell>
          <cell r="M52">
            <v>6.1173591830972667E-3</v>
          </cell>
          <cell r="N52">
            <v>7.9569389187924174E-3</v>
          </cell>
          <cell r="O52">
            <v>1.060231231382844E-2</v>
          </cell>
          <cell r="P52">
            <v>7.2253465155766427E-3</v>
          </cell>
          <cell r="Q52">
            <v>1.2805587892898719E-2</v>
          </cell>
          <cell r="R52">
            <v>1.2236362018332295E-2</v>
          </cell>
          <cell r="S52">
            <v>1.2052945301542778E-2</v>
          </cell>
          <cell r="T52">
            <v>1.2880562060889927E-2</v>
          </cell>
          <cell r="U52">
            <v>1.2483686092038813E-2</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row>
        <row r="53">
          <cell r="A53" t="str">
            <v>Gross Profit</v>
          </cell>
          <cell r="B53">
            <v>0.52229008505051655</v>
          </cell>
          <cell r="C53">
            <v>0.52829108049764839</v>
          </cell>
          <cell r="D53">
            <v>0.54959217562854401</v>
          </cell>
          <cell r="E53">
            <v>0.21218841815941697</v>
          </cell>
          <cell r="F53">
            <v>0.48306546936514572</v>
          </cell>
          <cell r="G53">
            <v>0.4205642278765212</v>
          </cell>
          <cell r="H53">
            <v>0.44085700049825621</v>
          </cell>
          <cell r="I53">
            <v>0.45143634479578931</v>
          </cell>
          <cell r="J53">
            <v>0.43773053129736639</v>
          </cell>
          <cell r="K53">
            <v>0.44340522021721629</v>
          </cell>
          <cell r="L53">
            <v>0.42904258414977192</v>
          </cell>
          <cell r="M53">
            <v>0.45343748529480965</v>
          </cell>
          <cell r="N53">
            <v>0.4579452375380294</v>
          </cell>
          <cell r="O53">
            <v>0.48255667188367762</v>
          </cell>
          <cell r="P53">
            <v>0.45548584434195161</v>
          </cell>
          <cell r="Q53">
            <v>0.42742724097788132</v>
          </cell>
          <cell r="R53">
            <v>0.45176648571682843</v>
          </cell>
          <cell r="S53">
            <v>0.45319074333800841</v>
          </cell>
          <cell r="T53">
            <v>0.44351288056206101</v>
          </cell>
          <cell r="U53">
            <v>0.45651705158032119</v>
          </cell>
          <cell r="V53">
            <v>0.43296381510144322</v>
          </cell>
          <cell r="W53">
            <v>0.45247769446655223</v>
          </cell>
          <cell r="X53">
            <v>0.46055698687277641</v>
          </cell>
          <cell r="Y53">
            <v>0.44913836372762261</v>
          </cell>
          <cell r="Z53">
            <v>0.4488501024558193</v>
          </cell>
          <cell r="AA53">
            <v>0.44158923920227033</v>
          </cell>
          <cell r="AB53">
            <v>0.46328076685219544</v>
          </cell>
          <cell r="AC53">
            <v>0.45208508042997625</v>
          </cell>
          <cell r="AD53">
            <v>0.43649500897965987</v>
          </cell>
          <cell r="AE53">
            <v>0.44861061981684558</v>
          </cell>
          <cell r="AF53">
            <v>0.43891435906840254</v>
          </cell>
          <cell r="AG53">
            <v>0.44540178088611698</v>
          </cell>
          <cell r="AH53">
            <v>0.45114087301587297</v>
          </cell>
          <cell r="AI53">
            <v>0.43333720345214588</v>
          </cell>
          <cell r="AJ53">
            <v>0.44240696085892145</v>
          </cell>
          <cell r="AK53">
            <v>0.42659466756665543</v>
          </cell>
          <cell r="AL53">
            <v>0.44010136691619139</v>
          </cell>
          <cell r="AM53">
            <v>0.45043732311832402</v>
          </cell>
          <cell r="AN53">
            <v>0.43245986311640522</v>
          </cell>
          <cell r="AO53">
            <v>0.43742891003975098</v>
          </cell>
          <cell r="AP53">
            <v>0.45540026126278765</v>
          </cell>
          <cell r="AQ53">
            <v>0.47060658915580589</v>
          </cell>
          <cell r="AR53">
            <v>0.4629241240913875</v>
          </cell>
          <cell r="AS53">
            <v>0.37327299022148919</v>
          </cell>
          <cell r="AT53">
            <v>0.44150163622461441</v>
          </cell>
        </row>
        <row r="55">
          <cell r="A55" t="str">
            <v>SGA</v>
          </cell>
          <cell r="B55">
            <v>0.3573548718534163</v>
          </cell>
          <cell r="C55">
            <v>0.3913055448373674</v>
          </cell>
          <cell r="D55">
            <v>0.39475262738395556</v>
          </cell>
          <cell r="E55">
            <v>0.64267045777651344</v>
          </cell>
          <cell r="F55">
            <v>0.42583655518163072</v>
          </cell>
          <cell r="G55">
            <v>0.25532513713669175</v>
          </cell>
          <cell r="H55">
            <v>0.27980401926590276</v>
          </cell>
          <cell r="I55">
            <v>0.2604258440113878</v>
          </cell>
          <cell r="J55">
            <v>0.25771662220212604</v>
          </cell>
          <cell r="K55">
            <v>0.26196255080267633</v>
          </cell>
          <cell r="L55">
            <v>0.2716558347075369</v>
          </cell>
          <cell r="M55">
            <v>0.27986918262669985</v>
          </cell>
          <cell r="N55">
            <v>0.26641703721039078</v>
          </cell>
          <cell r="O55">
            <v>0.28717120210026781</v>
          </cell>
          <cell r="P55">
            <v>0.26818077816981972</v>
          </cell>
          <cell r="Q55">
            <v>0.26495925494761352</v>
          </cell>
          <cell r="R55">
            <v>0.26750912165168639</v>
          </cell>
          <cell r="S55">
            <v>0.26437587657784012</v>
          </cell>
          <cell r="T55">
            <v>0.2780562060889929</v>
          </cell>
          <cell r="U55">
            <v>0.26879645917267209</v>
          </cell>
          <cell r="V55">
            <v>0.25718468939552391</v>
          </cell>
          <cell r="W55">
            <v>0.26883927449419842</v>
          </cell>
          <cell r="X55">
            <v>0.27374964217069475</v>
          </cell>
          <cell r="Y55">
            <v>0.29617701187886897</v>
          </cell>
          <cell r="Z55">
            <v>0.27398870385587532</v>
          </cell>
          <cell r="AA55">
            <v>0.25972864751389807</v>
          </cell>
          <cell r="AB55">
            <v>0.28065089672232535</v>
          </cell>
          <cell r="AC55">
            <v>0.274567355340398</v>
          </cell>
          <cell r="AD55">
            <v>0.29238921605479684</v>
          </cell>
          <cell r="AE55">
            <v>0.27655617458633019</v>
          </cell>
          <cell r="AF55">
            <v>0.26488171648633785</v>
          </cell>
          <cell r="AG55">
            <v>0.27913767619596958</v>
          </cell>
          <cell r="AH55">
            <v>0.27838010204081637</v>
          </cell>
          <cell r="AI55">
            <v>0.30021866171291456</v>
          </cell>
          <cell r="AJ55">
            <v>0.28037215656431375</v>
          </cell>
          <cell r="AK55">
            <v>0.25793705703678704</v>
          </cell>
          <cell r="AL55">
            <v>0.27129214111232364</v>
          </cell>
          <cell r="AM55">
            <v>0.27613404284767801</v>
          </cell>
          <cell r="AN55">
            <v>0.28949529900010895</v>
          </cell>
          <cell r="AO55">
            <v>0.27362711749434454</v>
          </cell>
          <cell r="AP55">
            <v>0.28467279158045677</v>
          </cell>
          <cell r="AQ55">
            <v>0.29880539261992001</v>
          </cell>
          <cell r="AR55">
            <v>0.2924683609655408</v>
          </cell>
          <cell r="AS55">
            <v>0.23083074691048683</v>
          </cell>
          <cell r="AT55">
            <v>0.27757562098694805</v>
          </cell>
        </row>
        <row r="56">
          <cell r="A56" t="str">
            <v>Amortization</v>
          </cell>
          <cell r="B56">
            <v>2.1405331354529371E-3</v>
          </cell>
          <cell r="C56">
            <v>1.2827064062320759E-2</v>
          </cell>
          <cell r="D56">
            <v>1.4883964834252021E-2</v>
          </cell>
          <cell r="E56">
            <v>2.354279215240259E-2</v>
          </cell>
          <cell r="F56">
            <v>1.2939774312657358E-2</v>
          </cell>
          <cell r="G56">
            <v>2.7181225384002757E-3</v>
          </cell>
          <cell r="H56">
            <v>1.1958146487294468E-2</v>
          </cell>
          <cell r="I56">
            <v>1.6479277650721481E-2</v>
          </cell>
          <cell r="J56">
            <v>1.4836609796618883E-2</v>
          </cell>
          <cell r="K56">
            <v>1.2080348326402554E-2</v>
          </cell>
          <cell r="L56">
            <v>1.9400523814142986E-4</v>
          </cell>
          <cell r="M56">
            <v>2.1175474095336692E-4</v>
          </cell>
          <cell r="N56">
            <v>1.8722209220688041E-4</v>
          </cell>
          <cell r="O56">
            <v>0</v>
          </cell>
          <cell r="P56">
            <v>1.5052805240784673E-4</v>
          </cell>
          <cell r="Q56">
            <v>1.8626309662398137E-4</v>
          </cell>
          <cell r="R56">
            <v>1.7798344753937884E-4</v>
          </cell>
          <cell r="S56">
            <v>1.7531556802244041E-4</v>
          </cell>
          <cell r="T56">
            <v>6.7915690866510517E-4</v>
          </cell>
          <cell r="U56">
            <v>3.4046416614651306E-4</v>
          </cell>
          <cell r="V56">
            <v>3.0642125078435473E-4</v>
          </cell>
          <cell r="W56">
            <v>3.0683198592552257E-4</v>
          </cell>
          <cell r="X56">
            <v>2.862634441581807E-4</v>
          </cell>
          <cell r="Y56">
            <v>0</v>
          </cell>
          <cell r="Z56">
            <v>2.2519477007249908E-4</v>
          </cell>
          <cell r="AA56">
            <v>2.8476460754966359E-4</v>
          </cell>
          <cell r="AB56">
            <v>2.8312461348175622E-4</v>
          </cell>
          <cell r="AC56">
            <v>2.792178089502172E-4</v>
          </cell>
          <cell r="AD56">
            <v>3.0593492878920776E-4</v>
          </cell>
          <cell r="AE56">
            <v>2.8789843964941228E-4</v>
          </cell>
          <cell r="AF56">
            <v>7.3354116999816625E-4</v>
          </cell>
          <cell r="AG56">
            <v>2.6406863982119034E-4</v>
          </cell>
          <cell r="AH56">
            <v>2.5953089569160997E-4</v>
          </cell>
          <cell r="AI56">
            <v>-2.0705135647664389E-4</v>
          </cell>
          <cell r="AJ56">
            <v>2.686422107511897E-4</v>
          </cell>
          <cell r="AK56">
            <v>2.4721565980425248E-4</v>
          </cell>
          <cell r="AL56">
            <v>2.5439749954868325E-4</v>
          </cell>
          <cell r="AM56">
            <v>2.5163147370059485E-4</v>
          </cell>
          <cell r="AN56">
            <v>2.7040569011832792E-4</v>
          </cell>
          <cell r="AO56">
            <v>2.5562175936168896E-4</v>
          </cell>
          <cell r="AP56">
            <v>2.395781070418629E-4</v>
          </cell>
          <cell r="AQ56">
            <v>2.4622664543411018E-4</v>
          </cell>
          <cell r="AR56">
            <v>2.43566676422319E-4</v>
          </cell>
          <cell r="AS56">
            <v>2.5827541984640051E-4</v>
          </cell>
          <cell r="AT56">
            <v>2.4671878414470158E-4</v>
          </cell>
        </row>
        <row r="57">
          <cell r="A57" t="str">
            <v>Cost Savings</v>
          </cell>
          <cell r="B57">
            <v>0</v>
          </cell>
          <cell r="C57">
            <v>0</v>
          </cell>
          <cell r="D57">
            <v>0</v>
          </cell>
          <cell r="E57">
            <v>0</v>
          </cell>
          <cell r="F57">
            <v>0</v>
          </cell>
          <cell r="G57">
            <v>0</v>
          </cell>
          <cell r="H57">
            <v>1.079554891214084E-3</v>
          </cell>
          <cell r="I57">
            <v>1.9020403567314729E-3</v>
          </cell>
          <cell r="J57">
            <v>4.1665692957537758E-3</v>
          </cell>
          <cell r="K57">
            <v>1.85038158172468E-3</v>
          </cell>
          <cell r="L57">
            <v>1.4550392860607239E-3</v>
          </cell>
          <cell r="M57">
            <v>1.882264364029928E-3</v>
          </cell>
          <cell r="N57">
            <v>2.8083313831032061E-3</v>
          </cell>
          <cell r="O57">
            <v>3.5341041046094801E-3</v>
          </cell>
          <cell r="P57">
            <v>2.4084488385255477E-3</v>
          </cell>
          <cell r="Q57">
            <v>6.9848661233993014E-3</v>
          </cell>
          <cell r="R57">
            <v>6.674379282726706E-3</v>
          </cell>
          <cell r="S57">
            <v>6.5743338008415154E-3</v>
          </cell>
          <cell r="T57">
            <v>7.0257611241217781E-3</v>
          </cell>
          <cell r="U57">
            <v>6.8092833229302617E-3</v>
          </cell>
          <cell r="V57">
            <v>0</v>
          </cell>
          <cell r="W57">
            <v>0</v>
          </cell>
          <cell r="X57">
            <v>0</v>
          </cell>
          <cell r="Y57">
            <v>-9.2019407729630254E-4</v>
          </cell>
          <cell r="Z57">
            <v>-2.2883533217528786E-4</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row>
        <row r="58">
          <cell r="A58" t="str">
            <v>EBIT</v>
          </cell>
          <cell r="B58">
            <v>0.16279468006164732</v>
          </cell>
          <cell r="C58">
            <v>0.1241584715979602</v>
          </cell>
          <cell r="D58">
            <v>0.1399555834103364</v>
          </cell>
          <cell r="E58">
            <v>-0.45402483176949909</v>
          </cell>
          <cell r="F58">
            <v>4.4289139870857669E-2</v>
          </cell>
          <cell r="G58">
            <v>0.16252096820142914</v>
          </cell>
          <cell r="H58">
            <v>0.15017438963627303</v>
          </cell>
          <cell r="I58">
            <v>0.17643326349041144</v>
          </cell>
          <cell r="J58">
            <v>0.16934386859437522</v>
          </cell>
          <cell r="K58">
            <v>0.17097525815136042</v>
          </cell>
          <cell r="L58">
            <v>0.15864778349015429</v>
          </cell>
          <cell r="M58">
            <v>0.17523881229118629</v>
          </cell>
          <cell r="N58">
            <v>0.19414930961853499</v>
          </cell>
          <cell r="O58">
            <v>0.19891957388801934</v>
          </cell>
          <cell r="P58">
            <v>0.1816090846690189</v>
          </cell>
          <cell r="Q58">
            <v>0.16176949941792781</v>
          </cell>
          <cell r="R58">
            <v>0.18425736406514195</v>
          </cell>
          <cell r="S58">
            <v>0.18881486676016834</v>
          </cell>
          <cell r="T58">
            <v>0.16477751756440298</v>
          </cell>
          <cell r="U58">
            <v>0.17523690631561026</v>
          </cell>
          <cell r="V58">
            <v>0.17577912570591928</v>
          </cell>
          <cell r="W58">
            <v>0.18363841997235369</v>
          </cell>
          <cell r="X58">
            <v>0.18680734470208152</v>
          </cell>
          <cell r="Y58">
            <v>0.15296135184875362</v>
          </cell>
          <cell r="Z58">
            <v>0.17486503916204679</v>
          </cell>
          <cell r="AA58">
            <v>0.18186059168837226</v>
          </cell>
          <cell r="AB58">
            <v>0.18262987012987014</v>
          </cell>
          <cell r="AC58">
            <v>0.17751772508957844</v>
          </cell>
          <cell r="AD58">
            <v>0.14379985799607406</v>
          </cell>
          <cell r="AE58">
            <v>0.1719824706206029</v>
          </cell>
          <cell r="AF58">
            <v>0.17329910141206678</v>
          </cell>
          <cell r="AG58">
            <v>0.16626410469014744</v>
          </cell>
          <cell r="AH58">
            <v>0.17276077097505671</v>
          </cell>
          <cell r="AI58">
            <v>0.13332559309570802</v>
          </cell>
          <cell r="AJ58">
            <v>0.16190048318923234</v>
          </cell>
          <cell r="AK58">
            <v>0.16841039487006412</v>
          </cell>
          <cell r="AL58">
            <v>0.16855482830431912</v>
          </cell>
          <cell r="AM58">
            <v>0.17405164879694543</v>
          </cell>
          <cell r="AN58">
            <v>0.14269415842617794</v>
          </cell>
          <cell r="AO58">
            <v>0.16380179254540644</v>
          </cell>
          <cell r="AP58">
            <v>0.17048789157528904</v>
          </cell>
          <cell r="AQ58">
            <v>0.17155496989045177</v>
          </cell>
          <cell r="AR58">
            <v>0.17021219644942437</v>
          </cell>
          <cell r="AS58">
            <v>0.142183967891156</v>
          </cell>
          <cell r="AT58">
            <v>0.16392601523766634</v>
          </cell>
        </row>
        <row r="60">
          <cell r="A60" t="str">
            <v>Note:  EBITDA</v>
          </cell>
          <cell r="B60">
            <v>0.20412123979679203</v>
          </cell>
          <cell r="C60">
            <v>0.17440093439426016</v>
          </cell>
          <cell r="D60">
            <v>0.18686117537381711</v>
          </cell>
          <cell r="E60">
            <v>-0.36556079992417656</v>
          </cell>
          <cell r="F60">
            <v>9.7460317616213751E-2</v>
          </cell>
          <cell r="G60">
            <v>0.21503169799014948</v>
          </cell>
          <cell r="H60">
            <v>0.20765653545922602</v>
          </cell>
          <cell r="I60">
            <v>0.23462048208354067</v>
          </cell>
          <cell r="J60">
            <v>0.23375177101839467</v>
          </cell>
          <cell r="K60">
            <v>0.22894793030634697</v>
          </cell>
          <cell r="L60">
            <v>0.20200795421476386</v>
          </cell>
          <cell r="M60">
            <v>0.21733094913180556</v>
          </cell>
          <cell r="N60">
            <v>0.23599344722677276</v>
          </cell>
          <cell r="O60">
            <v>0.2434492856060988</v>
          </cell>
          <cell r="P60">
            <v>0.22453366409364048</v>
          </cell>
          <cell r="Q60">
            <v>0.20167636786961582</v>
          </cell>
          <cell r="R60">
            <v>0.22448162320904155</v>
          </cell>
          <cell r="S60">
            <v>0.2283742896706028</v>
          </cell>
          <cell r="T60">
            <v>0.20961420980671769</v>
          </cell>
          <cell r="U60">
            <v>0.21636896297449798</v>
          </cell>
          <cell r="V60">
            <v>0.21154570173603851</v>
          </cell>
          <cell r="W60">
            <v>0.23072089808570354</v>
          </cell>
          <cell r="X60">
            <v>0.22496217233059332</v>
          </cell>
          <cell r="Y60">
            <v>0.1844186842611138</v>
          </cell>
          <cell r="Z60">
            <v>0.21297373493914754</v>
          </cell>
          <cell r="AA60">
            <v>0.2213583174590833</v>
          </cell>
          <cell r="AB60">
            <v>0.22048933209647498</v>
          </cell>
          <cell r="AC60">
            <v>0.21485476862087369</v>
          </cell>
          <cell r="AD60">
            <v>0.18318506452825467</v>
          </cell>
          <cell r="AE60">
            <v>0.21048028927406356</v>
          </cell>
          <cell r="AF60">
            <v>0.20610397946084727</v>
          </cell>
          <cell r="AG60">
            <v>0.19805147986589278</v>
          </cell>
          <cell r="AH60">
            <v>0.20400191326530617</v>
          </cell>
          <cell r="AI60">
            <v>0.16695982816672464</v>
          </cell>
          <cell r="AJ60">
            <v>0.19423840391685851</v>
          </cell>
          <cell r="AK60">
            <v>0.19868395111267539</v>
          </cell>
          <cell r="AL60">
            <v>0.19970785888767642</v>
          </cell>
          <cell r="AM60">
            <v>0.20486595715232203</v>
          </cell>
          <cell r="AN60">
            <v>0.1758075213684818</v>
          </cell>
          <cell r="AO60">
            <v>0.19510474364081365</v>
          </cell>
          <cell r="AP60">
            <v>0.19932720841954329</v>
          </cell>
          <cell r="AQ60">
            <v>0.20119460738007997</v>
          </cell>
          <cell r="AR60">
            <v>0.19953163903445914</v>
          </cell>
          <cell r="AS60">
            <v>0.17765481867078536</v>
          </cell>
          <cell r="AT60">
            <v>0.1946710977971966</v>
          </cell>
        </row>
        <row r="62">
          <cell r="A62" t="str">
            <v>Other Expense (Income)</v>
          </cell>
          <cell r="B62">
            <v>4.566470688966266E-4</v>
          </cell>
          <cell r="C62">
            <v>-5.4506331842056775E-3</v>
          </cell>
          <cell r="D62">
            <v>-6.9719952381272531E-4</v>
          </cell>
          <cell r="E62">
            <v>-3.8606135279436356E-3</v>
          </cell>
          <cell r="F62">
            <v>-2.3602197453589913E-3</v>
          </cell>
          <cell r="G62">
            <v>-1.2911082057401309E-3</v>
          </cell>
          <cell r="H62">
            <v>4.4344793223716986E-3</v>
          </cell>
          <cell r="I62">
            <v>-5.0213865417710892E-4</v>
          </cell>
          <cell r="J62">
            <v>3.4781795860205447E-3</v>
          </cell>
          <cell r="K62">
            <v>1.6256923896581117E-3</v>
          </cell>
          <cell r="L62">
            <v>1.0185275002425065E-3</v>
          </cell>
          <cell r="M62">
            <v>-9.4113218201496399E-4</v>
          </cell>
          <cell r="N62">
            <v>-3.7912473671893282E-3</v>
          </cell>
          <cell r="O62">
            <v>-1.4641288433382132E-3</v>
          </cell>
          <cell r="P62">
            <v>-1.3126046169964233E-3</v>
          </cell>
          <cell r="Q62">
            <v>-3.2596041909196738E-4</v>
          </cell>
          <cell r="R62">
            <v>2.7142475749755272E-3</v>
          </cell>
          <cell r="S62">
            <v>-3.3309957924263674E-3</v>
          </cell>
          <cell r="T62">
            <v>2.5292740046838407E-3</v>
          </cell>
          <cell r="U62">
            <v>3.6316177722294733E-4</v>
          </cell>
          <cell r="V62">
            <v>5.438192846684794E-4</v>
          </cell>
          <cell r="W62">
            <v>2.0944162861810411E-3</v>
          </cell>
          <cell r="X62">
            <v>1.431317220790905E-3</v>
          </cell>
          <cell r="Y62">
            <v>-1.3384641124309855E-3</v>
          </cell>
          <cell r="Z62">
            <v>6.8650599652586358E-4</v>
          </cell>
          <cell r="AA62">
            <v>6.7643742953776764E-3</v>
          </cell>
          <cell r="AB62">
            <v>-1.5074211502782932E-3</v>
          </cell>
          <cell r="AC62">
            <v>2.1727529160631247E-3</v>
          </cell>
          <cell r="AD62">
            <v>2.3806540533767703E-3</v>
          </cell>
          <cell r="AE62">
            <v>2.4466454427543916E-3</v>
          </cell>
          <cell r="AF62">
            <v>-1.8705299834953239E-3</v>
          </cell>
          <cell r="AG62">
            <v>-1.5501640289844621E-3</v>
          </cell>
          <cell r="AH62">
            <v>-6.7318594104308392E-4</v>
          </cell>
          <cell r="AI62">
            <v>-7.3532257440303409E-4</v>
          </cell>
          <cell r="AJ62">
            <v>-1.2102652498005816E-3</v>
          </cell>
          <cell r="AK62">
            <v>-6.7499156260546742E-4</v>
          </cell>
          <cell r="AL62">
            <v>5.3475569956325816E-4</v>
          </cell>
          <cell r="AM62">
            <v>5.2894138106551877E-4</v>
          </cell>
          <cell r="AN62">
            <v>1.8751204135918763E-3</v>
          </cell>
          <cell r="AO62">
            <v>5.3732915218725219E-4</v>
          </cell>
          <cell r="AP62">
            <v>3.1565947265219221E-4</v>
          </cell>
          <cell r="AQ62">
            <v>3.2441934703603115E-4</v>
          </cell>
          <cell r="AR62">
            <v>3.2091466780677895E-4</v>
          </cell>
          <cell r="AS62">
            <v>3.4029437762229497E-4</v>
          </cell>
          <cell r="AT62">
            <v>3.250677712504769E-4</v>
          </cell>
        </row>
        <row r="63">
          <cell r="A63" t="str">
            <v>Interest Expense</v>
          </cell>
          <cell r="B63">
            <v>1.8151720988640905E-2</v>
          </cell>
          <cell r="C63">
            <v>4.3705874378200248E-2</v>
          </cell>
          <cell r="D63">
            <v>4.1822633935141025E-2</v>
          </cell>
          <cell r="E63">
            <v>8.3916216472372199E-2</v>
          </cell>
          <cell r="F63">
            <v>4.4715268491723206E-2</v>
          </cell>
          <cell r="G63">
            <v>2.7656896828222807E-2</v>
          </cell>
          <cell r="H63">
            <v>5.3263577478824112E-2</v>
          </cell>
          <cell r="I63">
            <v>4.7566225241140674E-2</v>
          </cell>
          <cell r="J63">
            <v>5.4183516363476292E-2</v>
          </cell>
          <cell r="K63">
            <v>4.64577947125875E-2</v>
          </cell>
          <cell r="L63">
            <v>4.7579784654185664E-2</v>
          </cell>
          <cell r="M63">
            <v>4.5597854218625007E-2</v>
          </cell>
          <cell r="N63">
            <v>4.7835244558857945E-2</v>
          </cell>
          <cell r="O63">
            <v>4.7457969404755877E-2</v>
          </cell>
          <cell r="P63">
            <v>4.7109259281559714E-2</v>
          </cell>
          <cell r="Q63">
            <v>4.2840512223515717E-2</v>
          </cell>
          <cell r="R63">
            <v>3.9823796386936013E-2</v>
          </cell>
          <cell r="S63">
            <v>3.813113604488079E-2</v>
          </cell>
          <cell r="T63">
            <v>4.8196721311475392E-2</v>
          </cell>
          <cell r="U63">
            <v>4.2149463768938314E-2</v>
          </cell>
          <cell r="V63">
            <v>3.2712821585442378E-2</v>
          </cell>
          <cell r="W63">
            <v>3.1877015875675443E-2</v>
          </cell>
          <cell r="X63">
            <v>3.1161820635504846E-2</v>
          </cell>
          <cell r="Y63">
            <v>3.2666889744018733E-2</v>
          </cell>
          <cell r="Z63">
            <v>3.2099356140588106E-2</v>
          </cell>
          <cell r="AA63">
            <v>2.9506667185009525E-2</v>
          </cell>
          <cell r="AB63">
            <v>3.4477427334570196E-2</v>
          </cell>
          <cell r="AC63">
            <v>2.5920561103910958E-2</v>
          </cell>
          <cell r="AD63">
            <v>2.8066658313494555E-2</v>
          </cell>
          <cell r="AE63">
            <v>2.9507133592736705E-2</v>
          </cell>
          <cell r="AF63">
            <v>2.7324408582431695E-2</v>
          </cell>
          <cell r="AG63">
            <v>2.7830851869209416E-2</v>
          </cell>
          <cell r="AH63">
            <v>2.6856575963718824E-2</v>
          </cell>
          <cell r="AI63">
            <v>3.0922249313053912E-2</v>
          </cell>
          <cell r="AJ63">
            <v>2.8184510438537785E-2</v>
          </cell>
          <cell r="AK63">
            <v>2.632467094161323E-2</v>
          </cell>
          <cell r="AL63">
            <v>2.7201836478907622E-2</v>
          </cell>
          <cell r="AM63">
            <v>2.6418140989230069E-2</v>
          </cell>
          <cell r="AN63">
            <v>2.9033019808856149E-2</v>
          </cell>
          <cell r="AO63">
            <v>2.7208824433447482E-2</v>
          </cell>
          <cell r="AP63">
            <v>2.1790767306632857E-2</v>
          </cell>
          <cell r="AQ63">
            <v>2.2488415452264494E-2</v>
          </cell>
          <cell r="AR63">
            <v>2.1842059348689255E-2</v>
          </cell>
          <cell r="AS63">
            <v>2.3686335732689009E-2</v>
          </cell>
          <cell r="AT63">
            <v>2.2431204520220571E-2</v>
          </cell>
        </row>
        <row r="64">
          <cell r="A64" t="str">
            <v>Pretax Income</v>
          </cell>
          <cell r="B64">
            <v>0.14418631200410978</v>
          </cell>
          <cell r="C64">
            <v>8.5903230403965622E-2</v>
          </cell>
          <cell r="D64">
            <v>9.8830148999008091E-2</v>
          </cell>
          <cell r="E64">
            <v>-0.53635510062237257</v>
          </cell>
          <cell r="F64">
            <v>1.9340911244934548E-3</v>
          </cell>
          <cell r="G64">
            <v>0.13615517957894649</v>
          </cell>
          <cell r="H64">
            <v>9.247633283507721E-2</v>
          </cell>
          <cell r="I64">
            <v>0.1293691769034479</v>
          </cell>
          <cell r="J64">
            <v>0.11168217264487841</v>
          </cell>
          <cell r="K64">
            <v>0.12289177104911481</v>
          </cell>
          <cell r="L64">
            <v>0.11004947133572611</v>
          </cell>
          <cell r="M64">
            <v>0.13058209025457626</v>
          </cell>
          <cell r="N64">
            <v>0.15010531242686639</v>
          </cell>
          <cell r="O64">
            <v>0.1528247589236128</v>
          </cell>
          <cell r="P64">
            <v>0.13449982538745919</v>
          </cell>
          <cell r="Q64">
            <v>0.11925494761350405</v>
          </cell>
          <cell r="R64">
            <v>0.14171932010323041</v>
          </cell>
          <cell r="S64">
            <v>0.15401472650771392</v>
          </cell>
          <cell r="T64">
            <v>0.11405152224824378</v>
          </cell>
          <cell r="U64">
            <v>0.132724280769449</v>
          </cell>
          <cell r="V64">
            <v>0.14252248483580843</v>
          </cell>
          <cell r="W64">
            <v>0.14966698781049723</v>
          </cell>
          <cell r="X64">
            <v>0.15421420684578577</v>
          </cell>
          <cell r="Y64">
            <v>0.12163292621716587</v>
          </cell>
          <cell r="Z64">
            <v>0.14207917702493281</v>
          </cell>
          <cell r="AA64">
            <v>0.14558955020798506</v>
          </cell>
          <cell r="AB64">
            <v>0.14965986394557823</v>
          </cell>
          <cell r="AC64">
            <v>0.14942441106960436</v>
          </cell>
          <cell r="AD64">
            <v>0.11335254562920274</v>
          </cell>
          <cell r="AE64">
            <v>0.1400286915851118</v>
          </cell>
          <cell r="AF64">
            <v>0.14784522281313042</v>
          </cell>
          <cell r="AG64">
            <v>0.13998341684992249</v>
          </cell>
          <cell r="AH64">
            <v>0.14657738095238096</v>
          </cell>
          <cell r="AI64">
            <v>0.10313866635705711</v>
          </cell>
          <cell r="AJ64">
            <v>0.13492623800049514</v>
          </cell>
          <cell r="AK64">
            <v>0.14276071549105637</v>
          </cell>
          <cell r="AL64">
            <v>0.14081823612584823</v>
          </cell>
          <cell r="AM64">
            <v>0.14710456642664985</v>
          </cell>
          <cell r="AN64">
            <v>0.11178601820372995</v>
          </cell>
          <cell r="AO64">
            <v>0.13605563895977171</v>
          </cell>
          <cell r="AP64">
            <v>0.148381464796004</v>
          </cell>
          <cell r="AQ64">
            <v>0.14874213509115125</v>
          </cell>
          <cell r="AR64">
            <v>0.14804922243292834</v>
          </cell>
          <cell r="AS64">
            <v>0.11815733778084474</v>
          </cell>
          <cell r="AT64">
            <v>0.1411697429461953</v>
          </cell>
        </row>
        <row r="66">
          <cell r="A66" t="str">
            <v>Effective Tax Rate</v>
          </cell>
          <cell r="B66">
            <v>0.35473376243417171</v>
          </cell>
          <cell r="C66">
            <v>0.30450995210203202</v>
          </cell>
          <cell r="D66">
            <v>0.28680366161685317</v>
          </cell>
          <cell r="E66">
            <v>-4.9644012881184266E-2</v>
          </cell>
          <cell r="F66">
            <v>2.3433277646631461</v>
          </cell>
          <cell r="G66">
            <v>0.45946863519547709</v>
          </cell>
          <cell r="H66">
            <v>0.37690839694656492</v>
          </cell>
          <cell r="I66">
            <v>0.36499999999999999</v>
          </cell>
          <cell r="J66">
            <v>0.37800687285223361</v>
          </cell>
          <cell r="K66">
            <v>0.35528838621229919</v>
          </cell>
          <cell r="L66">
            <v>0.37175538935327751</v>
          </cell>
          <cell r="M66">
            <v>0.37308868501529052</v>
          </cell>
          <cell r="N66">
            <v>0.37101993148551854</v>
          </cell>
          <cell r="O66">
            <v>0.36901222332342254</v>
          </cell>
          <cell r="P66">
            <v>0.36158798283261806</v>
          </cell>
          <cell r="Q66">
            <v>0.35945419103313847</v>
          </cell>
          <cell r="R66">
            <v>0.35936030103480715</v>
          </cell>
          <cell r="S66">
            <v>0.34138715179079016</v>
          </cell>
          <cell r="T66">
            <v>0.2249438660951209</v>
          </cell>
          <cell r="U66">
            <v>0.32579957356076761</v>
          </cell>
          <cell r="V66">
            <v>0.3540963440797229</v>
          </cell>
          <cell r="W66">
            <v>0.33488579947351144</v>
          </cell>
          <cell r="X66">
            <v>0.34436209634727372</v>
          </cell>
          <cell r="Y66">
            <v>0.35900962861072883</v>
          </cell>
          <cell r="Z66">
            <v>0.34741612455229831</v>
          </cell>
          <cell r="AD66">
            <v>0.29029976206443542</v>
          </cell>
          <cell r="AE66">
            <v>0</v>
          </cell>
          <cell r="AI66">
            <v>0.31620701972064008</v>
          </cell>
          <cell r="AJ66">
            <v>0</v>
          </cell>
          <cell r="AN66">
            <v>0.33097660414639785</v>
          </cell>
          <cell r="AO66">
            <v>0</v>
          </cell>
          <cell r="AS66">
            <v>0.25211588416833636</v>
          </cell>
          <cell r="AT66">
            <v>0</v>
          </cell>
        </row>
        <row r="67">
          <cell r="A67" t="str">
            <v>Reported Tax Rate</v>
          </cell>
          <cell r="B67">
            <v>0.35999999999999965</v>
          </cell>
          <cell r="C67">
            <v>0.34997935581198469</v>
          </cell>
          <cell r="D67">
            <v>0.32999671208855497</v>
          </cell>
          <cell r="E67">
            <v>-4.7464936602210281E-2</v>
          </cell>
          <cell r="F67">
            <v>0.33139073263385249</v>
          </cell>
          <cell r="G67">
            <v>0.46864119886051708</v>
          </cell>
          <cell r="H67">
            <v>0.42564655172413796</v>
          </cell>
          <cell r="I67">
            <v>0.35963479181369074</v>
          </cell>
          <cell r="J67">
            <v>0.42822384428223836</v>
          </cell>
          <cell r="K67">
            <v>0.39021348677134859</v>
          </cell>
          <cell r="L67">
            <v>0.37241075363596288</v>
          </cell>
          <cell r="M67">
            <v>0.37369369369369371</v>
          </cell>
          <cell r="N67">
            <v>0.3714826941066417</v>
          </cell>
          <cell r="O67">
            <v>0.36901222332342254</v>
          </cell>
          <cell r="P67">
            <v>0.37102694959262245</v>
          </cell>
          <cell r="Q67">
            <v>0.36001561889886768</v>
          </cell>
          <cell r="R67">
            <v>0.35981161695447406</v>
          </cell>
          <cell r="S67">
            <v>0.34177575412635164</v>
          </cell>
          <cell r="T67">
            <v>0.22628336755646761</v>
          </cell>
          <cell r="U67">
            <v>0.32663531423685338</v>
          </cell>
          <cell r="V67">
            <v>0.35485764602289399</v>
          </cell>
          <cell r="W67">
            <v>0.33557234816680653</v>
          </cell>
          <cell r="X67">
            <v>0.34500132590824717</v>
          </cell>
          <cell r="Y67">
            <v>0.35900962861072883</v>
          </cell>
          <cell r="Z67">
            <v>0.34796677733567066</v>
          </cell>
          <cell r="AA67">
            <v>0.31989319092122831</v>
          </cell>
          <cell r="AB67">
            <v>0.33109504132231404</v>
          </cell>
          <cell r="AC67">
            <v>0.30025510204081635</v>
          </cell>
          <cell r="AD67">
            <v>0.29029976206443542</v>
          </cell>
          <cell r="AE67">
            <v>0.31140802364095993</v>
          </cell>
          <cell r="AF67">
            <v>0.3200198461920119</v>
          </cell>
          <cell r="AG67">
            <v>0.31545000000000001</v>
          </cell>
          <cell r="AH67">
            <v>0.31947301430269104</v>
          </cell>
          <cell r="AI67">
            <v>0.31620701972064008</v>
          </cell>
          <cell r="AJ67">
            <v>0.31671108760079486</v>
          </cell>
          <cell r="AK67">
            <v>0.24113475177304963</v>
          </cell>
          <cell r="AL67">
            <v>0.32874999999999999</v>
          </cell>
          <cell r="AM67">
            <v>0.32874999999999999</v>
          </cell>
          <cell r="AN67">
            <v>0.33177722267182125</v>
          </cell>
          <cell r="AO67">
            <v>0.30557303495247534</v>
          </cell>
          <cell r="AP67">
            <v>0.32500000000000001</v>
          </cell>
          <cell r="AQ67">
            <v>0.32500000000000001</v>
          </cell>
          <cell r="AR67">
            <v>0.32500000000000001</v>
          </cell>
          <cell r="AS67">
            <v>0.25211588416833636</v>
          </cell>
          <cell r="AT67">
            <v>0.31054177914819897</v>
          </cell>
        </row>
        <row r="69">
          <cell r="A69" t="str">
            <v>Net Income</v>
          </cell>
          <cell r="B69">
            <v>9.2279239682630326E-2</v>
          </cell>
          <cell r="C69">
            <v>5.583887316501724E-2</v>
          </cell>
          <cell r="D69">
            <v>6.6216524774113425E-2</v>
          </cell>
          <cell r="E69">
            <v>-0.56181316146968563</v>
          </cell>
          <cell r="F69">
            <v>-3.2920250722245588E-2</v>
          </cell>
          <cell r="G69">
            <v>7.2347252990000013E-2</v>
          </cell>
          <cell r="H69">
            <v>5.3114100647732927E-2</v>
          </cell>
          <cell r="I69">
            <v>8.2843519900667878E-2</v>
          </cell>
          <cell r="J69">
            <v>6.3857203337095936E-2</v>
          </cell>
          <cell r="K69">
            <v>7.4937744572533452E-2</v>
          </cell>
          <cell r="L69">
            <v>6.9065864778349056E-2</v>
          </cell>
          <cell r="M69">
            <v>8.1784386617100385E-2</v>
          </cell>
          <cell r="N69">
            <v>9.4343786566814899E-2</v>
          </cell>
          <cell r="O69">
            <v>9.6430554854344389E-2</v>
          </cell>
          <cell r="P69">
            <v>8.4596765453209849E-2</v>
          </cell>
          <cell r="Q69">
            <v>7.6321303841676361E-2</v>
          </cell>
          <cell r="R69">
            <v>9.0727062383198359E-2</v>
          </cell>
          <cell r="S69">
            <v>0.1013762272089762</v>
          </cell>
          <cell r="T69">
            <v>8.8243559718969786E-2</v>
          </cell>
          <cell r="U69">
            <v>8.9371843613459678E-2</v>
          </cell>
          <cell r="V69">
            <v>9.1947291361639844E-2</v>
          </cell>
          <cell r="W69">
            <v>9.9442885267875855E-2</v>
          </cell>
          <cell r="X69">
            <v>0.10101010101010099</v>
          </cell>
          <cell r="Y69">
            <v>7.7965534549104973E-2</v>
          </cell>
          <cell r="Z69">
            <v>9.264034366906268E-2</v>
          </cell>
          <cell r="AA69">
            <v>9.9016444427166339E-2</v>
          </cell>
          <cell r="AB69">
            <v>0.10010822510822512</v>
          </cell>
          <cell r="AC69">
            <v>0.10455896927651141</v>
          </cell>
          <cell r="AD69">
            <v>8.0357515766612417E-2</v>
          </cell>
          <cell r="AE69">
            <v>9.6332979601462074E-2</v>
          </cell>
          <cell r="AF69">
            <v>0.10053181734824869</v>
          </cell>
          <cell r="AG69">
            <v>9.6182270449547566E-2</v>
          </cell>
          <cell r="AH69">
            <v>9.9666950113378686E-2</v>
          </cell>
          <cell r="AI69">
            <v>7.0590967142691238E-2</v>
          </cell>
          <cell r="AJ69">
            <v>9.2108520450732131E-2</v>
          </cell>
          <cell r="AK69">
            <v>0.10833614579817752</v>
          </cell>
          <cell r="AL69">
            <v>9.4524240999475637E-2</v>
          </cell>
          <cell r="AM69">
            <v>9.8743940213888715E-2</v>
          </cell>
          <cell r="AN69">
            <v>7.4697963550554747E-2</v>
          </cell>
          <cell r="AO69">
            <v>9.4480704440436034E-2</v>
          </cell>
          <cell r="AP69">
            <v>0.10015748873730271</v>
          </cell>
          <cell r="AQ69">
            <v>0.10040094118652709</v>
          </cell>
          <cell r="AR69">
            <v>9.9933225142226634E-2</v>
          </cell>
          <cell r="AS69">
            <v>8.830288075941678E-2</v>
          </cell>
          <cell r="AT69">
            <v>9.7330639809789912E-2</v>
          </cell>
        </row>
        <row r="73">
          <cell r="AN73">
            <v>3.0272226718212614E-3</v>
          </cell>
        </row>
        <row r="74">
          <cell r="A74" t="str">
            <v>% Change</v>
          </cell>
          <cell r="G74" t="str">
            <v>1Q01</v>
          </cell>
          <cell r="H74" t="str">
            <v>2Q01</v>
          </cell>
          <cell r="I74" t="str">
            <v>3Q01</v>
          </cell>
          <cell r="J74" t="str">
            <v>4Q01</v>
          </cell>
          <cell r="K74">
            <v>2001</v>
          </cell>
          <cell r="L74" t="str">
            <v>1Q02</v>
          </cell>
          <cell r="M74" t="str">
            <v>2Q02</v>
          </cell>
          <cell r="N74" t="str">
            <v>3Q02</v>
          </cell>
          <cell r="O74" t="str">
            <v>4Q02</v>
          </cell>
          <cell r="P74">
            <v>2002</v>
          </cell>
          <cell r="Q74" t="str">
            <v>1Q03</v>
          </cell>
          <cell r="R74" t="str">
            <v>2Q03</v>
          </cell>
          <cell r="S74" t="str">
            <v>3Q03</v>
          </cell>
          <cell r="T74" t="str">
            <v>4Q03</v>
          </cell>
          <cell r="U74">
            <v>2003</v>
          </cell>
          <cell r="V74" t="str">
            <v>1Q04</v>
          </cell>
          <cell r="W74" t="str">
            <v>2Q04</v>
          </cell>
          <cell r="X74" t="str">
            <v>3Q04</v>
          </cell>
          <cell r="Y74" t="str">
            <v>4Q04</v>
          </cell>
          <cell r="Z74">
            <v>2004</v>
          </cell>
          <cell r="AA74" t="str">
            <v>1Q05</v>
          </cell>
          <cell r="AB74" t="str">
            <v>2Q05</v>
          </cell>
          <cell r="AC74" t="str">
            <v>3Q05</v>
          </cell>
          <cell r="AD74" t="str">
            <v>4Q05</v>
          </cell>
          <cell r="AE74">
            <v>2005</v>
          </cell>
          <cell r="AF74" t="str">
            <v>1Q06</v>
          </cell>
          <cell r="AG74" t="str">
            <v>2Q06</v>
          </cell>
          <cell r="AH74" t="str">
            <v>3Q06</v>
          </cell>
          <cell r="AI74" t="str">
            <v>4Q06</v>
          </cell>
          <cell r="AJ74">
            <v>2006</v>
          </cell>
          <cell r="AK74" t="str">
            <v>1Q07</v>
          </cell>
          <cell r="AL74" t="str">
            <v>2Q07E</v>
          </cell>
          <cell r="AM74" t="str">
            <v>3Q07E</v>
          </cell>
          <cell r="AN74" t="str">
            <v>4Q07E</v>
          </cell>
          <cell r="AO74" t="str">
            <v>2007E</v>
          </cell>
          <cell r="AP74" t="str">
            <v>1Q08E</v>
          </cell>
          <cell r="AQ74" t="str">
            <v>2Q08E</v>
          </cell>
          <cell r="AR74" t="str">
            <v>3Q08E</v>
          </cell>
          <cell r="AS74" t="str">
            <v>4Q08E</v>
          </cell>
          <cell r="AT74" t="str">
            <v>2008E</v>
          </cell>
        </row>
        <row r="75">
          <cell r="A75" t="str">
            <v>K Sales</v>
          </cell>
          <cell r="G75">
            <v>-0.15999543352931078</v>
          </cell>
          <cell r="H75">
            <v>-0.15563494436733094</v>
          </cell>
          <cell r="I75">
            <v>-0.1601128446984883</v>
          </cell>
          <cell r="J75">
            <v>0.89990522984599508</v>
          </cell>
          <cell r="K75">
            <v>-2.9616307297214317E-2</v>
          </cell>
          <cell r="L75">
            <v>6.5809823838477888E-2</v>
          </cell>
          <cell r="M75">
            <v>7.6110074228471269E-2</v>
          </cell>
          <cell r="N75">
            <v>1.7294241340373606E-2</v>
          </cell>
          <cell r="O75">
            <v>-0.10194847543845453</v>
          </cell>
          <cell r="P75">
            <v>8.3657764923394939E-3</v>
          </cell>
        </row>
        <row r="76">
          <cell r="A76" t="str">
            <v>KBL Sales</v>
          </cell>
          <cell r="G76" t="str">
            <v>NA</v>
          </cell>
          <cell r="H76">
            <v>-0.18444399999999994</v>
          </cell>
          <cell r="I76">
            <v>-0.22992999999999997</v>
          </cell>
          <cell r="J76">
            <v>-0.15528717754554711</v>
          </cell>
          <cell r="K76">
            <v>-0.19388448710759598</v>
          </cell>
          <cell r="L76" t="str">
            <v>NA</v>
          </cell>
          <cell r="M76">
            <v>4.8391688851201486E-3</v>
          </cell>
          <cell r="N76">
            <v>-0.12637855754167493</v>
          </cell>
          <cell r="O76">
            <v>-0.65719076013501776</v>
          </cell>
          <cell r="P76">
            <v>3.8890341101740944E-2</v>
          </cell>
        </row>
        <row r="77">
          <cell r="A77" t="str">
            <v>Sales</v>
          </cell>
          <cell r="L77">
            <v>0.40105626241842196</v>
          </cell>
          <cell r="M77">
            <v>5.8844045839561376E-2</v>
          </cell>
          <cell r="N77">
            <v>-2.4709786682370005E-2</v>
          </cell>
          <cell r="O77">
            <v>7.6442235317327301E-2</v>
          </cell>
          <cell r="P77">
            <v>9.7553835199994055E-2</v>
          </cell>
          <cell r="Q77">
            <v>4.1565622271801494E-2</v>
          </cell>
          <cell r="R77">
            <v>5.7550232930215106E-2</v>
          </cell>
          <cell r="S77">
            <v>6.7914813948045882E-2</v>
          </cell>
          <cell r="T77">
            <v>7.790175190589177E-2</v>
          </cell>
          <cell r="U77">
            <v>6.1102347033393123E-2</v>
          </cell>
          <cell r="V77">
            <v>0.11315483119906866</v>
          </cell>
          <cell r="W77">
            <v>6.2249710776897782E-2</v>
          </cell>
          <cell r="X77">
            <v>7.1747896213183893E-2</v>
          </cell>
          <cell r="Y77">
            <v>0.11981264637002331</v>
          </cell>
          <cell r="Z77">
            <v>9.1062815638654149E-2</v>
          </cell>
          <cell r="AA77">
            <v>7.6051035348253526E-2</v>
          </cell>
          <cell r="AB77">
            <v>8.3734763121517952E-2</v>
          </cell>
          <cell r="AC77">
            <v>7.2833599149388473E-2</v>
          </cell>
          <cell r="AD77">
            <v>1.4639451229712108E-3</v>
          </cell>
          <cell r="AE77">
            <v>5.8592246642881651E-2</v>
          </cell>
          <cell r="AF77">
            <v>5.9946351514208907E-2</v>
          </cell>
          <cell r="AG77">
            <v>7.2162956091527564E-2</v>
          </cell>
          <cell r="AH77">
            <v>7.5855759701151104E-2</v>
          </cell>
          <cell r="AI77">
            <v>7.9188071670216909E-2</v>
          </cell>
          <cell r="AJ77">
            <v>7.1679833352984668E-2</v>
          </cell>
          <cell r="AK77">
            <v>8.6741243352283393E-2</v>
          </cell>
          <cell r="AL77">
            <v>3.8015862143552237E-2</v>
          </cell>
          <cell r="AM77">
            <v>3.1392821712018293E-2</v>
          </cell>
          <cell r="AN77">
            <v>4.837365997136045E-2</v>
          </cell>
          <cell r="AO77">
            <v>5.0936396893652702E-2</v>
          </cell>
          <cell r="AP77">
            <v>3.1879176510293705E-2</v>
          </cell>
          <cell r="AQ77">
            <v>3.3184280686468393E-2</v>
          </cell>
          <cell r="AR77">
            <v>3.3111250671632675E-2</v>
          </cell>
          <cell r="AS77">
            <v>4.6966413912487015E-2</v>
          </cell>
          <cell r="AT77">
            <v>3.6085518368012659E-2</v>
          </cell>
        </row>
        <row r="79">
          <cell r="A79" t="str">
            <v>COGS</v>
          </cell>
          <cell r="L79">
            <v>0.40770439747249565</v>
          </cell>
          <cell r="M79">
            <v>5.0992415685009007E-2</v>
          </cell>
          <cell r="N79">
            <v>-2.6646751306945493E-2</v>
          </cell>
          <cell r="O79">
            <v>-4.3525812796100238E-3</v>
          </cell>
          <cell r="P79">
            <v>8.6509901207188156E-2</v>
          </cell>
          <cell r="Q79">
            <v>4.292745169522405E-2</v>
          </cell>
          <cell r="R79">
            <v>5.2141870105941956E-2</v>
          </cell>
          <cell r="S79">
            <v>6.5961901010544555E-2</v>
          </cell>
          <cell r="T79">
            <v>0.1421360155191167</v>
          </cell>
          <cell r="U79">
            <v>7.4048239145915185E-2</v>
          </cell>
          <cell r="V79">
            <v>0.11048894520667663</v>
          </cell>
          <cell r="W79">
            <v>4.6696874179143588E-2</v>
          </cell>
          <cell r="X79">
            <v>5.9390456246874557E-2</v>
          </cell>
          <cell r="Y79">
            <v>0.13530805077555041</v>
          </cell>
          <cell r="Z79">
            <v>8.702059320238531E-2</v>
          </cell>
          <cell r="AA79">
            <v>5.0994210032402565E-2</v>
          </cell>
          <cell r="AB79">
            <v>8.0263837565065499E-2</v>
          </cell>
          <cell r="AC79">
            <v>9.2688544639217385E-2</v>
          </cell>
          <cell r="AD79">
            <v>1.1117242939177929E-2</v>
          </cell>
          <cell r="AE79">
            <v>5.8412943307900811E-2</v>
          </cell>
          <cell r="AF79">
            <v>7.9986821735899438E-2</v>
          </cell>
          <cell r="AG79">
            <v>0.12356912069042281</v>
          </cell>
          <cell r="AH79">
            <v>9.0640640360547753E-2</v>
          </cell>
          <cell r="AI79">
            <v>9.6465327235476961E-2</v>
          </cell>
          <cell r="AJ79">
            <v>9.7458608811866521E-2</v>
          </cell>
          <cell r="AK79">
            <v>0.11625027280209155</v>
          </cell>
          <cell r="AL79">
            <v>4.9773900200384746E-2</v>
          </cell>
          <cell r="AM79">
            <v>3.3628335571089796E-2</v>
          </cell>
          <cell r="AN79">
            <v>5.2064206379200506E-2</v>
          </cell>
          <cell r="AO79">
            <v>6.2935128166758503E-2</v>
          </cell>
          <cell r="AP79">
            <v>-2.0113653518339047E-2</v>
          </cell>
          <cell r="AQ79">
            <v>-2.345531126042677E-2</v>
          </cell>
          <cell r="AR79">
            <v>1.1214865782638528E-2</v>
          </cell>
          <cell r="AS79">
            <v>0.15821771606829316</v>
          </cell>
          <cell r="AT79">
            <v>2.9216742927672623E-2</v>
          </cell>
        </row>
        <row r="80">
          <cell r="A80" t="str">
            <v>Depreciation</v>
          </cell>
          <cell r="L80">
            <v>0.21460252473558494</v>
          </cell>
          <cell r="M80">
            <v>-2.59029551258666E-2</v>
          </cell>
          <cell r="N80">
            <v>-2.59029551258666E-2</v>
          </cell>
          <cell r="O80">
            <v>-3.3035858472848068E-2</v>
          </cell>
          <cell r="P80">
            <v>2.297770550843059E-2</v>
          </cell>
          <cell r="Q80">
            <v>-4.1573033707865248E-2</v>
          </cell>
          <cell r="R80">
            <v>1.1235955056179803E-2</v>
          </cell>
          <cell r="S80">
            <v>9.649205757834789E-3</v>
          </cell>
          <cell r="T80">
            <v>6.8892720378026517E-2</v>
          </cell>
          <cell r="U80">
            <v>1.1923190455487509E-2</v>
          </cell>
          <cell r="V80">
            <v>-6.2426729191089603E-3</v>
          </cell>
          <cell r="W80">
            <v>0.24075000000000002</v>
          </cell>
          <cell r="X80">
            <v>3.050587497990831E-2</v>
          </cell>
          <cell r="Y80">
            <v>-0.20262929197111113</v>
          </cell>
          <cell r="Z80">
            <v>1.3279373251564808E-2</v>
          </cell>
          <cell r="AA80">
            <v>0.18993128262600645</v>
          </cell>
          <cell r="AB80">
            <v>-0.12940201938791507</v>
          </cell>
          <cell r="AC80">
            <v>4.9865010799136078E-2</v>
          </cell>
          <cell r="AD80">
            <v>0.24469241743529691</v>
          </cell>
          <cell r="AE80">
            <v>6.7713495531459555E-2</v>
          </cell>
          <cell r="AF80">
            <v>-0.13309539742731802</v>
          </cell>
          <cell r="AG80">
            <v>-0.10054774089027185</v>
          </cell>
          <cell r="AH80">
            <v>-0.10054774089027185</v>
          </cell>
          <cell r="AI80">
            <v>-6.5460763619846651E-2</v>
          </cell>
          <cell r="AJ80">
            <v>-0.10054774089027185</v>
          </cell>
          <cell r="AK80">
            <v>1.7446289239868129E-2</v>
          </cell>
          <cell r="AL80">
            <v>1.7446289239868129E-2</v>
          </cell>
          <cell r="AM80">
            <v>1.7446289239868129E-2</v>
          </cell>
          <cell r="AN80">
            <v>1.7446289239868351E-2</v>
          </cell>
          <cell r="AO80">
            <v>1.7446289239868129E-2</v>
          </cell>
          <cell r="AP80">
            <v>-1.7147135356798238E-2</v>
          </cell>
          <cell r="AQ80">
            <v>-1.7147135356798238E-2</v>
          </cell>
          <cell r="AR80">
            <v>-1.7147135356798238E-2</v>
          </cell>
          <cell r="AS80">
            <v>0.1225050005690933</v>
          </cell>
          <cell r="AT80">
            <v>1.7765898624674703E-2</v>
          </cell>
        </row>
        <row r="81">
          <cell r="A81" t="str">
            <v>Gross Profit</v>
          </cell>
          <cell r="L81">
            <v>0.4293008285614559</v>
          </cell>
          <cell r="M81">
            <v>8.9059674502711905E-2</v>
          </cell>
          <cell r="N81">
            <v>-1.0647871942402465E-2</v>
          </cell>
          <cell r="O81">
            <v>0.18667615212994693</v>
          </cell>
          <cell r="P81">
            <v>0.12745681048119928</v>
          </cell>
          <cell r="Q81">
            <v>3.7644132941442976E-2</v>
          </cell>
          <cell r="R81">
            <v>5.3652968036529858E-2</v>
          </cell>
          <cell r="S81">
            <v>5.6827473426001696E-2</v>
          </cell>
          <cell r="T81">
            <v>-9.311571458464285E-3</v>
          </cell>
          <cell r="U81">
            <v>6.3504653130287636E-2</v>
          </cell>
          <cell r="V81">
            <v>0.12757380978320065</v>
          </cell>
          <cell r="W81">
            <v>6.3921993499458374E-2</v>
          </cell>
          <cell r="X81">
            <v>8.9168278529980993E-2</v>
          </cell>
          <cell r="Y81">
            <v>0.13401626359700036</v>
          </cell>
          <cell r="Z81">
            <v>7.2739024511510264E-2</v>
          </cell>
          <cell r="AA81">
            <v>9.7487922705314034E-2</v>
          </cell>
          <cell r="AB81">
            <v>0.10960933160525799</v>
          </cell>
          <cell r="AC81">
            <v>5.3098916711063149E-2</v>
          </cell>
          <cell r="AD81">
            <v>-2.6727509778357916E-2</v>
          </cell>
          <cell r="AE81">
            <v>5.8027437893956035E-2</v>
          </cell>
          <cell r="AF81">
            <v>5.3525838542124449E-2</v>
          </cell>
          <cell r="AG81">
            <v>3.0785916903053545E-2</v>
          </cell>
          <cell r="AH81">
            <v>7.3608768971332283E-2</v>
          </cell>
          <cell r="AI81">
            <v>7.1380729116831354E-2</v>
          </cell>
          <cell r="AJ81">
            <v>5.6859996495530973E-2</v>
          </cell>
          <cell r="AK81">
            <v>5.6237987799783395E-2</v>
          </cell>
          <cell r="AL81">
            <v>2.5663163944267708E-2</v>
          </cell>
          <cell r="AM81">
            <v>2.978437442326487E-2</v>
          </cell>
          <cell r="AN81">
            <v>4.6251108546064845E-2</v>
          </cell>
          <cell r="AO81">
            <v>3.9111052235206278E-2</v>
          </cell>
          <cell r="AP81">
            <v>0.10155630696202556</v>
          </cell>
          <cell r="AQ81">
            <v>0.10479850065052232</v>
          </cell>
          <cell r="AR81">
            <v>6.1750650446194877E-2</v>
          </cell>
          <cell r="AS81">
            <v>-9.6322416683116252E-2</v>
          </cell>
          <cell r="AT81">
            <v>4.5732097557375617E-2</v>
          </cell>
        </row>
        <row r="83">
          <cell r="A83" t="str">
            <v>SGA</v>
          </cell>
          <cell r="L83">
            <v>0.49066837957179366</v>
          </cell>
          <cell r="M83">
            <v>5.9090639282957769E-2</v>
          </cell>
          <cell r="N83">
            <v>-2.2728733442787252E-3</v>
          </cell>
          <cell r="O83">
            <v>0.19946943300045361</v>
          </cell>
          <cell r="P83">
            <v>0.12360656401196302</v>
          </cell>
          <cell r="Q83">
            <v>1.5890019639350994E-2</v>
          </cell>
          <cell r="R83">
            <v>1.0844892812106099E-2</v>
          </cell>
          <cell r="S83">
            <v>5.9732958538299519E-2</v>
          </cell>
          <cell r="T83">
            <v>4.3688466947959359E-2</v>
          </cell>
          <cell r="U83">
            <v>6.3538392456219173E-2</v>
          </cell>
          <cell r="V83">
            <v>8.0492091388400633E-2</v>
          </cell>
          <cell r="W83">
            <v>6.7531603459747069E-2</v>
          </cell>
          <cell r="X83">
            <v>0.10974801061007944</v>
          </cell>
          <cell r="Y83">
            <v>0.19279036469300093</v>
          </cell>
          <cell r="Z83">
            <v>0.11213848427274642</v>
          </cell>
          <cell r="AA83">
            <v>8.6694860117111361E-2</v>
          </cell>
          <cell r="AB83">
            <v>0.1313493300093489</v>
          </cell>
          <cell r="AC83">
            <v>7.6038243202868117E-2</v>
          </cell>
          <cell r="AD83">
            <v>-1.1343736760344614E-2</v>
          </cell>
          <cell r="AE83">
            <v>6.8512015489161415E-2</v>
          </cell>
          <cell r="AF83">
            <v>8.0975901811106255E-2</v>
          </cell>
          <cell r="AG83">
            <v>6.6382041041178841E-2</v>
          </cell>
          <cell r="AH83">
            <v>9.0795501874219253E-2</v>
          </cell>
          <cell r="AI83">
            <v>0.10808600599227924</v>
          </cell>
          <cell r="AJ83">
            <v>8.646710373796318E-2</v>
          </cell>
          <cell r="AK83">
            <v>5.8249099972306873E-2</v>
          </cell>
          <cell r="AL83">
            <v>8.8410478554559191E-3</v>
          </cell>
          <cell r="AM83">
            <v>2.3071216425001095E-2</v>
          </cell>
          <cell r="AN83">
            <v>1.0927316861701453E-2</v>
          </cell>
          <cell r="AO83">
            <v>2.5653547326975668E-2</v>
          </cell>
          <cell r="AP83">
            <v>0.13883568776639099</v>
          </cell>
          <cell r="AQ83">
            <v>0.13796527010868864</v>
          </cell>
          <cell r="AR83">
            <v>9.4223483142448661E-2</v>
          </cell>
          <cell r="AS83">
            <v>-0.16519528935935379</v>
          </cell>
          <cell r="AT83">
            <v>5.1036475441909257E-2</v>
          </cell>
        </row>
        <row r="84">
          <cell r="A84" t="str">
            <v>Amortization</v>
          </cell>
          <cell r="L84">
            <v>-0.9</v>
          </cell>
          <cell r="M84">
            <v>-0.98124999999999996</v>
          </cell>
          <cell r="N84">
            <v>-0.9889196675900277</v>
          </cell>
          <cell r="O84">
            <v>-1</v>
          </cell>
          <cell r="P84">
            <v>-0.98632385120350108</v>
          </cell>
          <cell r="Q84">
            <v>0</v>
          </cell>
          <cell r="R84">
            <v>-0.11111111111111105</v>
          </cell>
          <cell r="S84">
            <v>0</v>
          </cell>
          <cell r="T84" t="str">
            <v>NM</v>
          </cell>
          <cell r="U84" t="str">
            <v>NM</v>
          </cell>
          <cell r="V84">
            <v>0.83125000000000004</v>
          </cell>
          <cell r="W84">
            <v>0.83125000000000004</v>
          </cell>
          <cell r="X84">
            <v>0.74999999999999822</v>
          </cell>
          <cell r="Y84" t="str">
            <v>NM</v>
          </cell>
          <cell r="Z84" t="str">
            <v>NM</v>
          </cell>
          <cell r="AA84">
            <v>0</v>
          </cell>
          <cell r="AB84">
            <v>0</v>
          </cell>
          <cell r="AC84">
            <v>4.6428571428572152E-2</v>
          </cell>
          <cell r="AD84" t="str">
            <v>NM</v>
          </cell>
          <cell r="AE84" t="str">
            <v>NM</v>
          </cell>
          <cell r="AF84">
            <v>1.7303754266211615</v>
          </cell>
          <cell r="AG84">
            <v>0</v>
          </cell>
          <cell r="AH84">
            <v>0</v>
          </cell>
          <cell r="AI84" t="str">
            <v>NM</v>
          </cell>
          <cell r="AJ84" t="str">
            <v>NM</v>
          </cell>
          <cell r="AK84">
            <v>-0.63375000000000004</v>
          </cell>
          <cell r="AL84">
            <v>0</v>
          </cell>
          <cell r="AM84">
            <v>0</v>
          </cell>
          <cell r="AN84" t="str">
            <v>NM</v>
          </cell>
          <cell r="AO84" t="str">
            <v>NM</v>
          </cell>
          <cell r="AP84">
            <v>0</v>
          </cell>
          <cell r="AQ84">
            <v>0</v>
          </cell>
          <cell r="AR84">
            <v>0</v>
          </cell>
          <cell r="AS84" t="str">
            <v>NM</v>
          </cell>
          <cell r="AT84" t="str">
            <v>NM</v>
          </cell>
        </row>
        <row r="85">
          <cell r="A85" t="str">
            <v>EBIT</v>
          </cell>
          <cell r="L85" t="str">
            <v>NM</v>
          </cell>
          <cell r="M85">
            <v>0.23556735235567361</v>
          </cell>
          <cell r="N85">
            <v>7.3221216041396975E-2</v>
          </cell>
          <cell r="O85">
            <v>0.26444159178433924</v>
          </cell>
          <cell r="P85">
            <v>0.16581632653061229</v>
          </cell>
          <cell r="Q85">
            <v>6.2060531947416342E-2</v>
          </cell>
          <cell r="R85">
            <v>0.11197636949516654</v>
          </cell>
          <cell r="S85">
            <v>3.8572806171649043E-2</v>
          </cell>
          <cell r="T85">
            <v>-0.10710659898477048</v>
          </cell>
          <cell r="U85">
            <v>2.3871096081161669E-2</v>
          </cell>
          <cell r="V85">
            <v>0.20955670696603357</v>
          </cell>
          <cell r="W85">
            <v>5.8681477903888002E-2</v>
          </cell>
          <cell r="X85">
            <v>6.0352831940575502E-2</v>
          </cell>
          <cell r="Y85">
            <v>3.9511085844228688E-2</v>
          </cell>
          <cell r="Z85">
            <v>8.8747490447511179E-2</v>
          </cell>
          <cell r="AA85">
            <v>0.11327939076630167</v>
          </cell>
          <cell r="AB85">
            <v>7.7782846715328313E-2</v>
          </cell>
          <cell r="AC85">
            <v>1.9483362521891534E-2</v>
          </cell>
          <cell r="AD85">
            <v>-5.8517910855893085E-2</v>
          </cell>
          <cell r="AE85">
            <v>4.1141847620802752E-2</v>
          </cell>
          <cell r="AF85">
            <v>1.0047028644719846E-2</v>
          </cell>
          <cell r="AG85">
            <v>-2.391534391534389E-2</v>
          </cell>
          <cell r="AH85">
            <v>4.7025982392097987E-2</v>
          </cell>
          <cell r="AI85">
            <v>5.8088875980222276E-4</v>
          </cell>
          <cell r="AJ85">
            <v>8.8556247500428675E-3</v>
          </cell>
          <cell r="AK85">
            <v>5.6084656084656181E-2</v>
          </cell>
          <cell r="AL85">
            <v>5.2317249997102078E-2</v>
          </cell>
          <cell r="AM85">
            <v>3.9099444643189818E-2</v>
          </cell>
          <cell r="AN85">
            <v>0.12204111492980196</v>
          </cell>
          <cell r="AO85">
            <v>6.3278269905991502E-2</v>
          </cell>
          <cell r="AP85">
            <v>4.4608352705410859E-2</v>
          </cell>
          <cell r="AQ85">
            <v>5.1574137315372859E-2</v>
          </cell>
          <cell r="AR85">
            <v>1.0321570458553087E-2</v>
          </cell>
          <cell r="AS85">
            <v>4.322307668862746E-2</v>
          </cell>
          <cell r="AT85">
            <v>3.6871256609964265E-2</v>
          </cell>
        </row>
        <row r="86">
          <cell r="A86" t="str">
            <v>Note:  EBITDA</v>
          </cell>
          <cell r="L86" t="str">
            <v>NM</v>
          </cell>
          <cell r="M86">
            <v>0.1081740382308245</v>
          </cell>
          <cell r="N86">
            <v>-1.9002529346909713E-2</v>
          </cell>
          <cell r="O86">
            <v>0.12109992597067065</v>
          </cell>
          <cell r="P86">
            <v>7.6392277614096615E-2</v>
          </cell>
          <cell r="Q86" t="str">
            <v>NM</v>
          </cell>
          <cell r="R86">
            <v>9.234599978347946E-2</v>
          </cell>
          <cell r="S86">
            <v>3.3436690425322046E-2</v>
          </cell>
          <cell r="T86">
            <v>-7.1907221200036675E-2</v>
          </cell>
          <cell r="U86">
            <v>2.2517560403201298E-2</v>
          </cell>
          <cell r="V86">
            <v>0.16762872315862398</v>
          </cell>
          <cell r="W86">
            <v>9.1774033696729651E-2</v>
          </cell>
          <cell r="X86">
            <v>5.5735018467347075E-2</v>
          </cell>
          <cell r="Y86">
            <v>-1.4788286285841057E-2</v>
          </cell>
          <cell r="Z86">
            <v>7.3942028030953955E-2</v>
          </cell>
          <cell r="AA86">
            <v>0.12596401028277615</v>
          </cell>
          <cell r="AB86">
            <v>3.5675381263616579E-2</v>
          </cell>
          <cell r="AC86">
            <v>2.4631885111797924E-2</v>
          </cell>
          <cell r="AD86">
            <v>-5.2350815477832935E-3</v>
          </cell>
          <cell r="AE86">
            <v>4.6198501239311573E-2</v>
          </cell>
          <cell r="AF86">
            <v>-1.3097119775201893E-2</v>
          </cell>
          <cell r="AG86">
            <v>-3.6944517486195205E-2</v>
          </cell>
          <cell r="AH86">
            <v>2.1511576332830851E-2</v>
          </cell>
          <cell r="AI86">
            <v>-1.6398768809850139E-2</v>
          </cell>
          <cell r="AJ86">
            <v>-1.1017226086550536E-2</v>
          </cell>
          <cell r="AK86">
            <v>4.7617055387085383E-2</v>
          </cell>
          <cell r="AL86">
            <v>4.6697179240993147E-2</v>
          </cell>
          <cell r="AM86">
            <v>3.5761254578396962E-2</v>
          </cell>
          <cell r="AN86">
            <v>0.10393006899549562</v>
          </cell>
          <cell r="AO86">
            <v>5.5623770397653205E-2</v>
          </cell>
          <cell r="AP86">
            <v>3.5219978907154781E-2</v>
          </cell>
          <cell r="AQ86">
            <v>4.0875941797059001E-2</v>
          </cell>
          <cell r="AR86">
            <v>6.2110075134773624E-3</v>
          </cell>
          <cell r="AS86">
            <v>5.7967412146057162E-2</v>
          </cell>
          <cell r="AT86">
            <v>3.3782682617902848E-2</v>
          </cell>
        </row>
        <row r="88">
          <cell r="A88" t="str">
            <v>Other Expense (Income)</v>
          </cell>
          <cell r="L88" t="str">
            <v>NM</v>
          </cell>
          <cell r="M88" t="str">
            <v>NM</v>
          </cell>
          <cell r="N88" t="str">
            <v>NM</v>
          </cell>
          <cell r="O88" t="str">
            <v>NM</v>
          </cell>
          <cell r="P88" t="str">
            <v>NM</v>
          </cell>
          <cell r="Q88" t="str">
            <v>NM</v>
          </cell>
          <cell r="R88" t="str">
            <v>NM</v>
          </cell>
          <cell r="S88" t="str">
            <v>NM</v>
          </cell>
          <cell r="T88" t="str">
            <v>NM</v>
          </cell>
          <cell r="U88" t="str">
            <v>NM</v>
          </cell>
          <cell r="V88" t="str">
            <v>NM</v>
          </cell>
          <cell r="W88" t="str">
            <v>NM</v>
          </cell>
          <cell r="X88" t="str">
            <v>NM</v>
          </cell>
          <cell r="Y88" t="str">
            <v>NM</v>
          </cell>
          <cell r="Z88" t="str">
            <v>NM</v>
          </cell>
          <cell r="AA88" t="str">
            <v>NM</v>
          </cell>
          <cell r="AB88" t="str">
            <v>NM</v>
          </cell>
          <cell r="AC88" t="str">
            <v>NM</v>
          </cell>
          <cell r="AD88" t="str">
            <v>NM</v>
          </cell>
          <cell r="AE88" t="str">
            <v>NM</v>
          </cell>
          <cell r="AF88" t="str">
            <v>NM</v>
          </cell>
          <cell r="AG88" t="str">
            <v>NM</v>
          </cell>
          <cell r="AH88" t="str">
            <v>NM</v>
          </cell>
          <cell r="AI88" t="str">
            <v>NM</v>
          </cell>
          <cell r="AJ88" t="str">
            <v>NM</v>
          </cell>
          <cell r="AK88" t="str">
            <v>NM</v>
          </cell>
          <cell r="AL88" t="str">
            <v>NM</v>
          </cell>
          <cell r="AM88" t="str">
            <v>NM</v>
          </cell>
          <cell r="AN88" t="str">
            <v>NM</v>
          </cell>
          <cell r="AO88" t="str">
            <v>NM</v>
          </cell>
          <cell r="AP88" t="str">
            <v>NM</v>
          </cell>
          <cell r="AQ88" t="str">
            <v>NM</v>
          </cell>
          <cell r="AR88" t="str">
            <v>NM</v>
          </cell>
          <cell r="AS88" t="str">
            <v>NM</v>
          </cell>
          <cell r="AT88" t="str">
            <v>NM</v>
          </cell>
        </row>
        <row r="89">
          <cell r="A89" t="str">
            <v>Interest Expense</v>
          </cell>
          <cell r="L89" t="str">
            <v>NM</v>
          </cell>
          <cell r="M89">
            <v>-9.3545369504209552E-2</v>
          </cell>
          <cell r="N89">
            <v>-1.9193857965451033E-2</v>
          </cell>
          <cell r="O89">
            <v>-5.7171514543630897E-2</v>
          </cell>
          <cell r="P89">
            <v>0.1129445234708395</v>
          </cell>
          <cell r="Q89" t="str">
            <v>NM</v>
          </cell>
          <cell r="R89">
            <v>-7.636738906088758E-2</v>
          </cell>
          <cell r="S89">
            <v>-0.14872798434442269</v>
          </cell>
          <cell r="T89">
            <v>9.4680851063829508E-2</v>
          </cell>
          <cell r="U89">
            <v>-5.0613496932515489E-2</v>
          </cell>
          <cell r="V89">
            <v>-0.15000000000000002</v>
          </cell>
          <cell r="W89">
            <v>-0.14972067039106152</v>
          </cell>
          <cell r="X89">
            <v>-0.12413793103448267</v>
          </cell>
          <cell r="Y89">
            <v>-0.24101068999028175</v>
          </cell>
          <cell r="Z89">
            <v>-0.16908992999461481</v>
          </cell>
          <cell r="AA89">
            <v>-2.9411764705882359E-2</v>
          </cell>
          <cell r="AB89">
            <v>0.17214191852825245</v>
          </cell>
          <cell r="AC89">
            <v>-0.10761154855643051</v>
          </cell>
          <cell r="AD89">
            <v>-0.13956466069142115</v>
          </cell>
          <cell r="AE89">
            <v>-2.6895657809462126E-2</v>
          </cell>
          <cell r="AF89">
            <v>-1.8445322793148922E-2</v>
          </cell>
          <cell r="AG89">
            <v>-0.13452914798206272</v>
          </cell>
          <cell r="AH89">
            <v>0.11470588235294121</v>
          </cell>
          <cell r="AI89">
            <v>0.18898809523809534</v>
          </cell>
          <cell r="AJ89">
            <v>2.364302364302362E-2</v>
          </cell>
          <cell r="AK89">
            <v>4.6979865771812124E-2</v>
          </cell>
          <cell r="AL89">
            <v>1.4555281212213833E-2</v>
          </cell>
          <cell r="AM89">
            <v>1.4555281212213833E-2</v>
          </cell>
          <cell r="AN89">
            <v>-1.5677904641229423E-2</v>
          </cell>
          <cell r="AO89">
            <v>1.4555281212213611E-2</v>
          </cell>
          <cell r="AP89">
            <v>-0.14584159195124247</v>
          </cell>
          <cell r="AQ89">
            <v>-0.14584159195124247</v>
          </cell>
          <cell r="AR89">
            <v>-0.14584159195124258</v>
          </cell>
          <cell r="AS89">
            <v>-0.14584159195124236</v>
          </cell>
          <cell r="AT89">
            <v>-0.14584159195124247</v>
          </cell>
        </row>
        <row r="90">
          <cell r="A90" t="str">
            <v>Pretax  Income</v>
          </cell>
          <cell r="L90" t="str">
            <v>NM</v>
          </cell>
          <cell r="M90">
            <v>0.49515086206896552</v>
          </cell>
          <cell r="N90">
            <v>0.13161609033168653</v>
          </cell>
          <cell r="O90">
            <v>0.47299270072992705</v>
          </cell>
          <cell r="P90">
            <v>0.20122607012260696</v>
          </cell>
          <cell r="Q90" t="str">
            <v>NM</v>
          </cell>
          <cell r="R90">
            <v>0.14774774774774779</v>
          </cell>
          <cell r="S90">
            <v>9.5728094792641327E-2</v>
          </cell>
          <cell r="T90">
            <v>-0.19557317476048719</v>
          </cell>
          <cell r="U90">
            <v>4.7094636941534818E-2</v>
          </cell>
          <cell r="V90">
            <v>0.33033971105037141</v>
          </cell>
          <cell r="W90">
            <v>0.12182103610675066</v>
          </cell>
          <cell r="X90">
            <v>7.3136027319293806E-2</v>
          </cell>
          <cell r="Y90">
            <v>0.19425051334702093</v>
          </cell>
          <cell r="Z90">
            <v>0.1679649422830285</v>
          </cell>
          <cell r="AA90">
            <v>9.9207513941884207E-2</v>
          </cell>
          <cell r="AB90">
            <v>8.368317940106329E-2</v>
          </cell>
          <cell r="AC90">
            <v>3.9512065765049176E-2</v>
          </cell>
          <cell r="AD90">
            <v>-6.6712517193947996E-2</v>
          </cell>
          <cell r="AE90">
            <v>4.331465260059808E-2</v>
          </cell>
          <cell r="AF90">
            <v>7.6368491321762377E-2</v>
          </cell>
          <cell r="AG90">
            <v>2.8409090909091717E-3</v>
          </cell>
          <cell r="AH90">
            <v>5.5357142857142883E-2</v>
          </cell>
          <cell r="AI90">
            <v>-1.80545320560066E-2</v>
          </cell>
          <cell r="AJ90">
            <v>3.2629289172689591E-2</v>
          </cell>
          <cell r="AK90">
            <v>4.9367402629620472E-2</v>
          </cell>
          <cell r="AL90">
            <v>4.4206278622406892E-2</v>
          </cell>
          <cell r="AM90">
            <v>3.5102366188382028E-2</v>
          </cell>
          <cell r="AN90">
            <v>0.13627140215441336</v>
          </cell>
          <cell r="AO90">
            <v>5.9733266890028114E-2</v>
          </cell>
          <cell r="AP90">
            <v>7.2506138515982865E-2</v>
          </cell>
          <cell r="AQ90">
            <v>9.1321977038397728E-2</v>
          </cell>
          <cell r="AR90">
            <v>3.9745543350694135E-2</v>
          </cell>
          <cell r="AS90">
            <v>0.10663897150716961</v>
          </cell>
          <cell r="AT90">
            <v>7.5030240690975525E-2</v>
          </cell>
        </row>
        <row r="92">
          <cell r="A92" t="str">
            <v>Taxes</v>
          </cell>
          <cell r="L92">
            <v>-0.10010649627263046</v>
          </cell>
          <cell r="M92">
            <v>0.31265822784810138</v>
          </cell>
          <cell r="N92">
            <v>0.16889634568119294</v>
          </cell>
          <cell r="O92" t="str">
            <v>NA</v>
          </cell>
          <cell r="P92">
            <v>0.14216258452871333</v>
          </cell>
          <cell r="Q92">
            <v>9.1124260355029518E-2</v>
          </cell>
          <cell r="R92">
            <v>0.10511089681774344</v>
          </cell>
          <cell r="S92">
            <v>8.1042854924475716E-3</v>
          </cell>
          <cell r="T92">
            <v>-0.5067144136078785</v>
          </cell>
          <cell r="U92">
            <v>-7.8185328185328085E-2</v>
          </cell>
          <cell r="V92">
            <v>0.31127982646420826</v>
          </cell>
          <cell r="W92">
            <v>4.6247818499127513E-2</v>
          </cell>
          <cell r="X92">
            <v>8.3263946711074066E-2</v>
          </cell>
          <cell r="Y92">
            <v>0.89473684210526394</v>
          </cell>
          <cell r="Z92">
            <v>0.24424083769633498</v>
          </cell>
          <cell r="AA92">
            <v>-9.0984284532672488E-3</v>
          </cell>
          <cell r="AB92">
            <v>6.9224353628023261E-2</v>
          </cell>
          <cell r="AC92">
            <v>-9.5311299000768623E-2</v>
          </cell>
          <cell r="AD92">
            <v>-0.24329501915708818</v>
          </cell>
          <cell r="AE92">
            <v>-6.438039133179041E-2</v>
          </cell>
          <cell r="AF92">
            <v>7.6794657762938145E-2</v>
          </cell>
          <cell r="AG92">
            <v>-5.2262090483619295E-2</v>
          </cell>
          <cell r="AH92">
            <v>0.12489379779099408</v>
          </cell>
          <cell r="AI92">
            <v>6.4556962025316356E-2</v>
          </cell>
          <cell r="AJ92">
            <v>5.0146165954576105E-2</v>
          </cell>
          <cell r="AK92">
            <v>-0.20930232558139539</v>
          </cell>
          <cell r="AL92">
            <v>9.7092318633005936E-2</v>
          </cell>
          <cell r="AM92">
            <v>6.3277438242363315E-2</v>
          </cell>
          <cell r="AN92">
            <v>0.19462022006167912</v>
          </cell>
          <cell r="AO92">
            <v>2.0432997953718113E-2</v>
          </cell>
          <cell r="AP92">
            <v>0.44551746463220354</v>
          </cell>
          <cell r="AQ92">
            <v>7.8873437376362876E-2</v>
          </cell>
          <cell r="AR92">
            <v>2.788532802730237E-2</v>
          </cell>
          <cell r="AS92">
            <v>-0.15723231915716085</v>
          </cell>
          <cell r="AT92">
            <v>9.2510677960224053E-2</v>
          </cell>
        </row>
        <row r="93">
          <cell r="A93" t="str">
            <v>Earnings from Cont. Ops.</v>
          </cell>
          <cell r="L93">
            <v>0.33750983441520499</v>
          </cell>
          <cell r="M93">
            <v>0.63039399624765502</v>
          </cell>
          <cell r="N93">
            <v>0.11067916761948293</v>
          </cell>
          <cell r="O93">
            <v>0.62553191489361692</v>
          </cell>
          <cell r="P93">
            <v>0.23902186939739423</v>
          </cell>
          <cell r="Q93">
            <v>0.15098314606741514</v>
          </cell>
          <cell r="R93">
            <v>0.17318757192174905</v>
          </cell>
          <cell r="S93">
            <v>0.14751780438616757</v>
          </cell>
          <cell r="T93">
            <v>-1.3612565445023317E-2</v>
          </cell>
          <cell r="U93">
            <v>0.12099644128113907</v>
          </cell>
          <cell r="V93">
            <v>0.3410616229408181</v>
          </cell>
          <cell r="W93">
            <v>0.16429622363903906</v>
          </cell>
          <cell r="X93">
            <v>6.7877215737137453E-2</v>
          </cell>
          <cell r="Y93">
            <v>-1.0615711252655813E-2</v>
          </cell>
          <cell r="Z93">
            <v>0.13096507936508162</v>
          </cell>
          <cell r="AA93">
            <v>0.15878070973612357</v>
          </cell>
          <cell r="AB93">
            <v>9.0985678180286245E-2</v>
          </cell>
          <cell r="AC93">
            <v>0.11052631578947381</v>
          </cell>
          <cell r="AD93">
            <v>3.2188841201716167E-2</v>
          </cell>
          <cell r="AE93">
            <v>0.10078764027912435</v>
          </cell>
          <cell r="AF93">
            <v>7.6168040832351958E-2</v>
          </cell>
          <cell r="AG93">
            <v>3.0115830115830189E-2</v>
          </cell>
          <cell r="AH93">
            <v>2.5519504192489828E-2</v>
          </cell>
          <cell r="AI93">
            <v>-5.1975051975053033E-2</v>
          </cell>
          <cell r="AJ93">
            <v>2.4683802529579912E-2</v>
          </cell>
          <cell r="AK93">
            <v>0.17110543597227279</v>
          </cell>
          <cell r="AL93">
            <v>2.012211872252756E-2</v>
          </cell>
          <cell r="AM93">
            <v>2.1841152039974165E-2</v>
          </cell>
          <cell r="AN93">
            <v>0.10936824652940702</v>
          </cell>
          <cell r="AO93">
            <v>7.8002454221559825E-2</v>
          </cell>
          <cell r="AP93">
            <v>-4.6020824922816006E-2</v>
          </cell>
          <cell r="AQ93">
            <v>9.741874785984117E-2</v>
          </cell>
          <cell r="AR93">
            <v>4.5554177671089047E-2</v>
          </cell>
          <cell r="AS93">
            <v>0.23765288921510308</v>
          </cell>
          <cell r="AT93">
            <v>6.7338214693259513E-2</v>
          </cell>
        </row>
        <row r="94">
          <cell r="A94" t="str">
            <v>Extraordinary Charges</v>
          </cell>
          <cell r="L94" t="str">
            <v>NA</v>
          </cell>
          <cell r="M94" t="str">
            <v>NA</v>
          </cell>
          <cell r="N94" t="str">
            <v>NA</v>
          </cell>
          <cell r="O94" t="str">
            <v>NA</v>
          </cell>
          <cell r="P94" t="str">
            <v>NA</v>
          </cell>
          <cell r="Q94" t="str">
            <v>NA</v>
          </cell>
          <cell r="R94" t="str">
            <v>NA</v>
          </cell>
          <cell r="S94" t="str">
            <v>NA</v>
          </cell>
          <cell r="T94" t="str">
            <v>NA</v>
          </cell>
          <cell r="U94" t="str">
            <v>NA</v>
          </cell>
          <cell r="V94" t="str">
            <v>NA</v>
          </cell>
          <cell r="W94" t="str">
            <v>NA</v>
          </cell>
          <cell r="X94" t="str">
            <v>NA</v>
          </cell>
          <cell r="Y94" t="str">
            <v>NA</v>
          </cell>
          <cell r="Z94" t="str">
            <v>NA</v>
          </cell>
          <cell r="AA94" t="str">
            <v>NA</v>
          </cell>
          <cell r="AB94" t="str">
            <v>NA</v>
          </cell>
          <cell r="AC94" t="str">
            <v>NA</v>
          </cell>
          <cell r="AD94" t="str">
            <v>NA</v>
          </cell>
          <cell r="AE94" t="str">
            <v>NA</v>
          </cell>
          <cell r="AF94" t="str">
            <v>NA</v>
          </cell>
          <cell r="AG94" t="str">
            <v>NA</v>
          </cell>
          <cell r="AH94" t="str">
            <v>NA</v>
          </cell>
          <cell r="AI94" t="str">
            <v>NA</v>
          </cell>
          <cell r="AJ94" t="str">
            <v>NA</v>
          </cell>
          <cell r="AK94" t="str">
            <v>NA</v>
          </cell>
          <cell r="AL94" t="str">
            <v>NA</v>
          </cell>
          <cell r="AM94" t="str">
            <v>NA</v>
          </cell>
          <cell r="AN94" t="str">
            <v>NA</v>
          </cell>
          <cell r="AO94" t="str">
            <v>NA</v>
          </cell>
          <cell r="AP94" t="str">
            <v>NA</v>
          </cell>
          <cell r="AQ94" t="str">
            <v>NA</v>
          </cell>
          <cell r="AR94" t="str">
            <v>NA</v>
          </cell>
          <cell r="AS94" t="str">
            <v>NA</v>
          </cell>
          <cell r="AT94" t="str">
            <v>NA</v>
          </cell>
        </row>
        <row r="95">
          <cell r="A95" t="str">
            <v>Net Income</v>
          </cell>
          <cell r="L95">
            <v>0.81450653983353227</v>
          </cell>
          <cell r="M95">
            <v>0.51657940663176283</v>
          </cell>
          <cell r="N95">
            <v>0.36438748335552629</v>
          </cell>
          <cell r="O95">
            <v>0.5329052969502408</v>
          </cell>
          <cell r="P95">
            <v>0.51228194297782448</v>
          </cell>
          <cell r="Q95">
            <v>7.4049803407601145E-2</v>
          </cell>
          <cell r="R95">
            <v>0.17318757192174905</v>
          </cell>
          <cell r="S95">
            <v>0.12867257759928985</v>
          </cell>
          <cell r="T95">
            <v>-1.3612565445023317E-2</v>
          </cell>
          <cell r="U95">
            <v>9.9759728684038151E-2</v>
          </cell>
          <cell r="V95">
            <v>0.3410616229408181</v>
          </cell>
          <cell r="W95">
            <v>0.16429622363903906</v>
          </cell>
          <cell r="X95">
            <v>6.7877215737137453E-2</v>
          </cell>
          <cell r="Y95">
            <v>-1.0615711252655813E-2</v>
          </cell>
          <cell r="Z95">
            <v>0.13092063492063533</v>
          </cell>
          <cell r="AA95">
            <v>0.15878070973612357</v>
          </cell>
          <cell r="AB95">
            <v>9.0985678180286245E-2</v>
          </cell>
          <cell r="AC95">
            <v>0.11052631578947381</v>
          </cell>
          <cell r="AD95">
            <v>3.2188841201716167E-2</v>
          </cell>
          <cell r="AE95">
            <v>0.10083090051650534</v>
          </cell>
          <cell r="AF95">
            <v>7.6168040832351958E-2</v>
          </cell>
          <cell r="AG95">
            <v>3.0115830115830189E-2</v>
          </cell>
          <cell r="AH95">
            <v>2.5519504192489828E-2</v>
          </cell>
          <cell r="AI95">
            <v>-5.1975051975052811E-2</v>
          </cell>
          <cell r="AJ95">
            <v>2.4683802529579912E-2</v>
          </cell>
          <cell r="AK95">
            <v>0.17110543597227279</v>
          </cell>
          <cell r="AL95">
            <v>2.012211872252756E-2</v>
          </cell>
          <cell r="AM95">
            <v>2.1841152039974165E-2</v>
          </cell>
          <cell r="AN95">
            <v>0.10936824652940569</v>
          </cell>
          <cell r="AO95">
            <v>7.8002454221559603E-2</v>
          </cell>
          <cell r="AP95">
            <v>-4.6020824922816006E-2</v>
          </cell>
          <cell r="AQ95">
            <v>9.741874785984117E-2</v>
          </cell>
          <cell r="AR95">
            <v>4.5554177671089047E-2</v>
          </cell>
          <cell r="AS95">
            <v>0.23765288921510441</v>
          </cell>
          <cell r="AT95">
            <v>6.7338214693259735E-2</v>
          </cell>
        </row>
        <row r="96">
          <cell r="A96" t="str">
            <v>Diluted Shares</v>
          </cell>
          <cell r="L96">
            <v>8.1260773208569059E-3</v>
          </cell>
          <cell r="M96">
            <v>1.6506528701650813E-2</v>
          </cell>
          <cell r="N96">
            <v>1.4278680452978865E-2</v>
          </cell>
          <cell r="O96">
            <v>5.6331129071760522E-3</v>
          </cell>
          <cell r="P96">
            <v>1.0559921414538431E-2</v>
          </cell>
          <cell r="Q96">
            <v>-2.4425989252552238E-4</v>
          </cell>
          <cell r="R96">
            <v>-8.2404265632575191E-3</v>
          </cell>
          <cell r="S96">
            <v>-2.6699029126213691E-3</v>
          </cell>
          <cell r="T96">
            <v>3.4096444227957878E-3</v>
          </cell>
          <cell r="U96">
            <v>-2.430133657351119E-3</v>
          </cell>
          <cell r="V96">
            <v>4.1534326899583807E-3</v>
          </cell>
          <cell r="W96">
            <v>1.7839687194525888E-2</v>
          </cell>
          <cell r="X96">
            <v>1.411535653443674E-2</v>
          </cell>
          <cell r="Y96">
            <v>1.3834951456310751E-2</v>
          </cell>
          <cell r="Z96">
            <v>1.4372716199756441E-2</v>
          </cell>
          <cell r="AA96">
            <v>1.5085158150851541E-2</v>
          </cell>
          <cell r="AB96">
            <v>-1.6806722689075571E-3</v>
          </cell>
          <cell r="AC96">
            <v>0</v>
          </cell>
          <cell r="AD96">
            <v>-1.1970313622216899E-2</v>
          </cell>
          <cell r="AE96">
            <v>-1.9212295869355245E-3</v>
          </cell>
          <cell r="AF96">
            <v>-3.7392138063278901E-2</v>
          </cell>
          <cell r="AG96">
            <v>-4.6176046176046093E-2</v>
          </cell>
          <cell r="AH96">
            <v>-4.0796736261099142E-2</v>
          </cell>
          <cell r="AI96">
            <v>-2.7865277441240566E-2</v>
          </cell>
          <cell r="AJ96">
            <v>-3.6573628488931753E-2</v>
          </cell>
          <cell r="AK96">
            <v>-1.4940239043825798E-3</v>
          </cell>
          <cell r="AL96">
            <v>7.829175489730833E-4</v>
          </cell>
          <cell r="AM96">
            <v>-1.7210382287101478E-2</v>
          </cell>
          <cell r="AN96">
            <v>-3.1077977817127955E-2</v>
          </cell>
          <cell r="AO96">
            <v>-1.3821784091198275E-2</v>
          </cell>
          <cell r="AP96">
            <v>-3.0594724938233786E-2</v>
          </cell>
          <cell r="AQ96">
            <v>-2.261477302494419E-2</v>
          </cell>
          <cell r="AR96">
            <v>-1.4468669241948562E-2</v>
          </cell>
          <cell r="AS96">
            <v>-6.1511697857702385E-3</v>
          </cell>
          <cell r="AT96">
            <v>-1.8562812763469272E-2</v>
          </cell>
        </row>
        <row r="98">
          <cell r="A98" t="str">
            <v>EPS from Cont. Ops.</v>
          </cell>
          <cell r="L98">
            <v>0.32672873413779868</v>
          </cell>
          <cell r="M98">
            <v>0.60391886349230006</v>
          </cell>
          <cell r="N98">
            <v>9.5043392929694104E-2</v>
          </cell>
          <cell r="O98">
            <v>0.61642640246240554</v>
          </cell>
          <cell r="P98">
            <v>0.24352763725547444</v>
          </cell>
          <cell r="Q98">
            <v>0.15126435377473668</v>
          </cell>
          <cell r="R98">
            <v>0.18293546474807854</v>
          </cell>
          <cell r="S98">
            <v>0.15058976735726715</v>
          </cell>
          <cell r="T98">
            <v>-1.6964367407103276E-2</v>
          </cell>
          <cell r="U98">
            <v>0.10795563818193488</v>
          </cell>
          <cell r="V98">
            <v>0.3355146527242745</v>
          </cell>
          <cell r="W98">
            <v>0.14388959114788658</v>
          </cell>
          <cell r="X98">
            <v>5.301355398701646E-2</v>
          </cell>
          <cell r="Y98">
            <v>-2.4117005113943435E-2</v>
          </cell>
          <cell r="Z98">
            <v>0.11494035801961111</v>
          </cell>
          <cell r="AA98">
            <v>0.14156009516190493</v>
          </cell>
          <cell r="AB98">
            <v>9.2822354406178809E-2</v>
          </cell>
          <cell r="AC98">
            <v>0.11052631578947381</v>
          </cell>
          <cell r="AD98">
            <v>4.469415791121123E-2</v>
          </cell>
          <cell r="AE98">
            <v>0.10290657702653339</v>
          </cell>
          <cell r="AF98">
            <v>0.11797138106388738</v>
          </cell>
          <cell r="AG98">
            <v>7.9985280287852234E-2</v>
          </cell>
          <cell r="AH98">
            <v>6.9136796089593444E-2</v>
          </cell>
          <cell r="AI98">
            <v>-2.4800857303350909E-2</v>
          </cell>
          <cell r="AJ98">
            <v>6.358288794029332E-2</v>
          </cell>
          <cell r="AK98">
            <v>0.17285771343258061</v>
          </cell>
          <cell r="AL98">
            <v>1.9324072018453542E-2</v>
          </cell>
          <cell r="AM98">
            <v>3.9735395677006125E-2</v>
          </cell>
          <cell r="AN98">
            <v>0.14495100857561849</v>
          </cell>
          <cell r="AO98">
            <v>9.3111201232668028E-2</v>
          </cell>
          <cell r="AP98">
            <v>-1.5912952385780388E-2</v>
          </cell>
          <cell r="AQ98">
            <v>0.12281086062276714</v>
          </cell>
          <cell r="AR98">
            <v>6.0904047430810015E-2</v>
          </cell>
          <cell r="AS98">
            <v>0.2453130210439749</v>
          </cell>
          <cell r="AT98">
            <v>8.7525751595579404E-2</v>
          </cell>
        </row>
        <row r="100">
          <cell r="A100" t="str">
            <v>Cash EPS</v>
          </cell>
          <cell r="L100">
            <v>0.28093268044576436</v>
          </cell>
          <cell r="M100">
            <v>0.31482061242381087</v>
          </cell>
          <cell r="N100">
            <v>-8.0978077715015417E-2</v>
          </cell>
          <cell r="O100">
            <v>0.30480458458582382</v>
          </cell>
          <cell r="P100">
            <v>7.0894033011796864E-2</v>
          </cell>
          <cell r="Q100">
            <v>0.14924671558024882</v>
          </cell>
          <cell r="R100">
            <v>0.17785267128740201</v>
          </cell>
          <cell r="S100">
            <v>0.14349840989594598</v>
          </cell>
          <cell r="T100">
            <v>-1.1790495656614386E-2</v>
          </cell>
          <cell r="U100">
            <v>0.10795563818193488</v>
          </cell>
          <cell r="V100">
            <v>0.3355146527242745</v>
          </cell>
          <cell r="W100">
            <v>0.14388959114788658</v>
          </cell>
          <cell r="X100">
            <v>5.301355398701646E-2</v>
          </cell>
          <cell r="Y100">
            <v>-2.4117005113943435E-2</v>
          </cell>
          <cell r="Z100">
            <v>0.11494035801961111</v>
          </cell>
          <cell r="AA100">
            <v>0.14156009516190493</v>
          </cell>
          <cell r="AB100">
            <v>9.2822354406178809E-2</v>
          </cell>
          <cell r="AC100">
            <v>0.11052631578947381</v>
          </cell>
          <cell r="AD100">
            <v>6.3045519189103949E-2</v>
          </cell>
          <cell r="AE100">
            <v>0.10620269725367315</v>
          </cell>
          <cell r="AF100">
            <v>0.11797138106388738</v>
          </cell>
          <cell r="AG100">
            <v>7.9985280287852234E-2</v>
          </cell>
          <cell r="AH100">
            <v>6.9136796089593444E-2</v>
          </cell>
          <cell r="AI100">
            <v>-3.603536419618969E-2</v>
          </cell>
          <cell r="AJ100">
            <v>6.3506546233606631E-2</v>
          </cell>
          <cell r="AK100">
            <v>0.17285771343258061</v>
          </cell>
          <cell r="AL100">
            <v>1.9324072018453542E-2</v>
          </cell>
          <cell r="AM100">
            <v>3.9735395677006125E-2</v>
          </cell>
          <cell r="AN100">
            <v>0.16351524810928675</v>
          </cell>
          <cell r="AO100">
            <v>9.2881182876104029E-2</v>
          </cell>
          <cell r="AP100">
            <v>-1.5912952385780388E-2</v>
          </cell>
          <cell r="AQ100">
            <v>0.12281086062276714</v>
          </cell>
          <cell r="AR100">
            <v>6.0904047430810015E-2</v>
          </cell>
          <cell r="AS100">
            <v>0.23333073957008943</v>
          </cell>
          <cell r="AT100">
            <v>8.7340620074742636E-2</v>
          </cell>
        </row>
        <row r="103">
          <cell r="A103" t="str">
            <v>2001 estimates assumes Keebler closed on March 26, 2001</v>
          </cell>
        </row>
        <row r="105">
          <cell r="A105" t="str">
            <v>*  For comparison purposes, pro forma assumes no earnings contribution from Keebler in 1Q00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row r="1">
          <cell r="Y1" t="str">
            <v>Core Working Capital as % of Sales</v>
          </cell>
          <cell r="AI1" t="str">
            <v>Total Debt at end of Quarter</v>
          </cell>
          <cell r="AT1" t="str">
            <v>Net Debt/ LTM EBITDA</v>
          </cell>
          <cell r="BD1" t="str">
            <v>NA Cereal Retail- Internal Organic Net Sales Growth</v>
          </cell>
          <cell r="BQ1" t="str">
            <v>Internal Operating Profit Growth</v>
          </cell>
          <cell r="BZ1" t="str">
            <v>Total Internal Organic Sales Growth</v>
          </cell>
        </row>
        <row r="6">
          <cell r="F6">
            <v>2002</v>
          </cell>
          <cell r="G6">
            <v>100</v>
          </cell>
          <cell r="L6">
            <v>2002</v>
          </cell>
          <cell r="M6">
            <v>0.32700000000000001</v>
          </cell>
        </row>
        <row r="7">
          <cell r="F7">
            <v>2003</v>
          </cell>
          <cell r="G7">
            <v>100.61162079510704</v>
          </cell>
          <cell r="I7">
            <v>2003</v>
          </cell>
          <cell r="J7">
            <v>0.06</v>
          </cell>
          <cell r="L7">
            <v>2003</v>
          </cell>
          <cell r="M7">
            <v>0.32900000000000001</v>
          </cell>
        </row>
        <row r="8">
          <cell r="F8">
            <v>2004</v>
          </cell>
          <cell r="G8">
            <v>101.83486238532112</v>
          </cell>
          <cell r="I8">
            <v>2004</v>
          </cell>
          <cell r="J8">
            <v>0.02</v>
          </cell>
          <cell r="L8">
            <v>2004</v>
          </cell>
          <cell r="M8">
            <v>0.33300000000000002</v>
          </cell>
        </row>
        <row r="10">
          <cell r="F10">
            <v>2002</v>
          </cell>
          <cell r="G10">
            <v>100</v>
          </cell>
          <cell r="H10">
            <v>32.700000000000003</v>
          </cell>
        </row>
        <row r="11">
          <cell r="F11">
            <v>2003</v>
          </cell>
          <cell r="G11">
            <v>105.35562310030396</v>
          </cell>
          <cell r="H11">
            <v>34.662000000000006</v>
          </cell>
          <cell r="K11">
            <v>8811.5</v>
          </cell>
        </row>
        <row r="12">
          <cell r="F12">
            <v>2004</v>
          </cell>
          <cell r="G12">
            <v>106.17189189189192</v>
          </cell>
          <cell r="H12">
            <v>35.355240000000009</v>
          </cell>
          <cell r="K12">
            <v>9613.9</v>
          </cell>
          <cell r="L12">
            <v>9.1062815638653927E-2</v>
          </cell>
        </row>
        <row r="15">
          <cell r="A15">
            <v>1000</v>
          </cell>
          <cell r="B15" t="str">
            <v>1Q01</v>
          </cell>
          <cell r="C15" t="str">
            <v>2Q01</v>
          </cell>
          <cell r="D15" t="str">
            <v>3Q01</v>
          </cell>
          <cell r="E15" t="str">
            <v>4Q01</v>
          </cell>
          <cell r="F15" t="str">
            <v>1Q02</v>
          </cell>
          <cell r="G15" t="str">
            <v>2Q02</v>
          </cell>
          <cell r="H15" t="str">
            <v>3Q02</v>
          </cell>
          <cell r="I15" t="str">
            <v>4Q02</v>
          </cell>
          <cell r="J15" t="str">
            <v>1Q03</v>
          </cell>
          <cell r="K15" t="str">
            <v>2Q03</v>
          </cell>
          <cell r="L15" t="str">
            <v>3Q03</v>
          </cell>
          <cell r="M15" t="str">
            <v>4Q03</v>
          </cell>
          <cell r="N15" t="str">
            <v>1Q04</v>
          </cell>
          <cell r="O15" t="str">
            <v>2Q04</v>
          </cell>
          <cell r="P15" t="str">
            <v>3Q04</v>
          </cell>
          <cell r="Q15" t="str">
            <v>4Q04</v>
          </cell>
          <cell r="R15" t="str">
            <v>1Q05</v>
          </cell>
          <cell r="S15" t="str">
            <v>2Q05</v>
          </cell>
          <cell r="T15" t="str">
            <v>3Q05</v>
          </cell>
          <cell r="U15" t="str">
            <v>4Q05</v>
          </cell>
        </row>
        <row r="16">
          <cell r="A16" t="str">
            <v>Total debt at end of Quarter</v>
          </cell>
          <cell r="B16">
            <v>6817.6</v>
          </cell>
          <cell r="C16">
            <v>6534</v>
          </cell>
          <cell r="D16">
            <v>6353.7</v>
          </cell>
          <cell r="E16">
            <v>6214.6</v>
          </cell>
          <cell r="F16">
            <v>6055.4000000000005</v>
          </cell>
          <cell r="G16">
            <v>5780.8</v>
          </cell>
          <cell r="H16">
            <v>5791.3</v>
          </cell>
          <cell r="I16">
            <v>5780.8</v>
          </cell>
          <cell r="J16">
            <v>5726.4</v>
          </cell>
          <cell r="K16">
            <v>5580.5</v>
          </cell>
          <cell r="L16">
            <v>5382.0999999999995</v>
          </cell>
          <cell r="M16">
            <v>5164.2999999999993</v>
          </cell>
          <cell r="N16">
            <v>5111.0999999999995</v>
          </cell>
          <cell r="O16">
            <v>5019.7</v>
          </cell>
          <cell r="P16">
            <v>4894.3</v>
          </cell>
          <cell r="Q16">
            <v>4880.8999999999996</v>
          </cell>
          <cell r="R16">
            <v>4830.7</v>
          </cell>
          <cell r="S16">
            <v>4667.3</v>
          </cell>
          <cell r="T16">
            <v>4473.0999999999995</v>
          </cell>
          <cell r="U16">
            <v>4897.2999999999993</v>
          </cell>
        </row>
        <row r="17">
          <cell r="A17" t="str">
            <v>Cash at end of Quarter</v>
          </cell>
          <cell r="B17">
            <v>346</v>
          </cell>
          <cell r="C17">
            <v>240.6</v>
          </cell>
          <cell r="D17">
            <v>327</v>
          </cell>
          <cell r="E17">
            <v>231.8</v>
          </cell>
          <cell r="F17">
            <v>261</v>
          </cell>
          <cell r="G17">
            <v>196.3</v>
          </cell>
          <cell r="H17">
            <v>461.2</v>
          </cell>
          <cell r="I17">
            <v>100.6</v>
          </cell>
          <cell r="J17">
            <v>136.80000000000001</v>
          </cell>
          <cell r="K17">
            <v>160.69999999999999</v>
          </cell>
          <cell r="L17">
            <v>341.9</v>
          </cell>
          <cell r="M17">
            <v>141.19999999999999</v>
          </cell>
          <cell r="N17">
            <v>196.1</v>
          </cell>
          <cell r="O17">
            <v>211.3</v>
          </cell>
          <cell r="P17">
            <v>423</v>
          </cell>
          <cell r="Q17">
            <v>417.4</v>
          </cell>
          <cell r="R17">
            <v>265.3</v>
          </cell>
          <cell r="S17">
            <v>303.2</v>
          </cell>
          <cell r="T17">
            <v>463.5</v>
          </cell>
          <cell r="U17">
            <v>219.1</v>
          </cell>
        </row>
        <row r="18">
          <cell r="A18" t="str">
            <v>LTM Total Debt</v>
          </cell>
          <cell r="F18">
            <v>6289.4250000000011</v>
          </cell>
          <cell r="G18">
            <v>6101.125</v>
          </cell>
          <cell r="H18">
            <v>5960.5249999999996</v>
          </cell>
          <cell r="I18">
            <v>5852.0749999999998</v>
          </cell>
          <cell r="J18">
            <v>5769.8250000000007</v>
          </cell>
          <cell r="K18">
            <v>5719.75</v>
          </cell>
          <cell r="L18">
            <v>5617.45</v>
          </cell>
          <cell r="M18">
            <v>5463.3249999999998</v>
          </cell>
          <cell r="N18">
            <v>5309.4999999999991</v>
          </cell>
          <cell r="O18">
            <v>5169.2999999999993</v>
          </cell>
          <cell r="P18">
            <v>5047.3499999999995</v>
          </cell>
          <cell r="Q18">
            <v>4976.5</v>
          </cell>
          <cell r="R18">
            <v>4906.3999999999996</v>
          </cell>
          <cell r="S18">
            <v>4818.3</v>
          </cell>
          <cell r="T18">
            <v>4712.9999999999991</v>
          </cell>
          <cell r="U18">
            <v>4717.0999999999995</v>
          </cell>
        </row>
        <row r="19">
          <cell r="A19" t="str">
            <v>LTM EBITDA</v>
          </cell>
          <cell r="F19">
            <v>1777.3466433333333</v>
          </cell>
          <cell r="G19">
            <v>1822.4299766666666</v>
          </cell>
          <cell r="H19">
            <v>1812.6633099999999</v>
          </cell>
          <cell r="I19">
            <v>1864.75</v>
          </cell>
          <cell r="J19">
            <v>1881.35</v>
          </cell>
          <cell r="K19">
            <v>1924</v>
          </cell>
          <cell r="L19">
            <v>1940.8587793124473</v>
          </cell>
          <cell r="M19">
            <v>1906.1851172497895</v>
          </cell>
          <cell r="N19">
            <v>1978.7851172497897</v>
          </cell>
          <cell r="O19">
            <v>2025.0851172497896</v>
          </cell>
          <cell r="P19">
            <v>2054.1263379373422</v>
          </cell>
          <cell r="Q19">
            <v>2047.5081903314708</v>
          </cell>
          <cell r="R19">
            <v>2111.2081903314711</v>
          </cell>
          <cell r="S19">
            <v>2130.8581903314707</v>
          </cell>
          <cell r="T19">
            <v>2144.4081903314709</v>
          </cell>
          <cell r="U19">
            <v>2142.1</v>
          </cell>
        </row>
        <row r="20">
          <cell r="A20" t="str">
            <v>LTM EBIT</v>
          </cell>
          <cell r="F20">
            <v>1326.6000000000001</v>
          </cell>
          <cell r="G20">
            <v>1397.6</v>
          </cell>
          <cell r="H20">
            <v>1425.9</v>
          </cell>
          <cell r="I20">
            <v>1508.3000000000002</v>
          </cell>
          <cell r="J20">
            <v>1528.6</v>
          </cell>
          <cell r="K20">
            <v>1570.3000000000002</v>
          </cell>
          <cell r="L20">
            <v>1586.3000000000002</v>
          </cell>
          <cell r="M20">
            <v>1544.1000000000006</v>
          </cell>
          <cell r="N20">
            <v>1616.9000000000005</v>
          </cell>
          <cell r="O20">
            <v>1641.2000000000007</v>
          </cell>
          <cell r="P20">
            <v>1667.2000000000005</v>
          </cell>
          <cell r="Q20">
            <v>1681.1000000000004</v>
          </cell>
          <cell r="R20">
            <v>1728.7</v>
          </cell>
          <cell r="S20">
            <v>1762.8000000000002</v>
          </cell>
          <cell r="T20">
            <v>1771.7000000000003</v>
          </cell>
          <cell r="U20">
            <v>1750.3000000000002</v>
          </cell>
        </row>
        <row r="21">
          <cell r="A21" t="str">
            <v>LTM Interest 1</v>
          </cell>
          <cell r="F21">
            <v>408.9</v>
          </cell>
          <cell r="G21">
            <v>398.9</v>
          </cell>
          <cell r="H21">
            <v>396.90000000000003</v>
          </cell>
          <cell r="I21">
            <v>391.20000000000005</v>
          </cell>
          <cell r="J21">
            <v>385.1</v>
          </cell>
          <cell r="K21">
            <v>377.7</v>
          </cell>
          <cell r="L21">
            <v>362.5</v>
          </cell>
          <cell r="M21">
            <v>359.79999999999995</v>
          </cell>
          <cell r="N21">
            <v>345.99999999999994</v>
          </cell>
          <cell r="O21">
            <v>332.59999999999991</v>
          </cell>
          <cell r="P21">
            <v>321.7999999999999</v>
          </cell>
          <cell r="Q21">
            <v>308.60000000000002</v>
          </cell>
          <cell r="R21">
            <v>306.3</v>
          </cell>
          <cell r="S21">
            <v>305.40000000000003</v>
          </cell>
          <cell r="T21">
            <v>297.2</v>
          </cell>
          <cell r="U21">
            <v>286.3</v>
          </cell>
        </row>
        <row r="22">
          <cell r="AI22" t="str">
            <v>Total Debt at end of Quarter</v>
          </cell>
          <cell r="BQ22" t="str">
            <v>Internal operating Profit, excludes foreign currency translation, acquisitions, divestitures, shipping days, intergration impact</v>
          </cell>
        </row>
        <row r="23">
          <cell r="Y23" t="str">
            <v>LTM EBITDA/ Interest 1</v>
          </cell>
          <cell r="BQ23" t="str">
            <v>Underlying Operating Income</v>
          </cell>
          <cell r="CA23" t="str">
            <v>US Retail Cereal- Dollar Share of Category</v>
          </cell>
        </row>
        <row r="24">
          <cell r="B24" t="str">
            <v>1Q01</v>
          </cell>
          <cell r="C24" t="str">
            <v>2Q01</v>
          </cell>
          <cell r="D24" t="str">
            <v>3Q01</v>
          </cell>
          <cell r="E24" t="str">
            <v>4Q01</v>
          </cell>
          <cell r="F24" t="str">
            <v>1Q02</v>
          </cell>
          <cell r="G24" t="str">
            <v>2Q02</v>
          </cell>
          <cell r="H24" t="str">
            <v>3Q02</v>
          </cell>
          <cell r="I24" t="str">
            <v>4Q02</v>
          </cell>
          <cell r="J24" t="str">
            <v>1Q03</v>
          </cell>
          <cell r="K24" t="str">
            <v>2Q03</v>
          </cell>
          <cell r="L24" t="str">
            <v>3Q03</v>
          </cell>
          <cell r="M24" t="str">
            <v>4Q03</v>
          </cell>
          <cell r="N24" t="str">
            <v>1Q04</v>
          </cell>
          <cell r="O24" t="str">
            <v>2Q04</v>
          </cell>
          <cell r="P24" t="str">
            <v>3Q04</v>
          </cell>
          <cell r="Q24" t="str">
            <v>4Q04</v>
          </cell>
          <cell r="R24" t="str">
            <v>1Q05</v>
          </cell>
          <cell r="S24" t="str">
            <v>2Q05</v>
          </cell>
          <cell r="T24" t="str">
            <v>3Q05</v>
          </cell>
          <cell r="U24" t="str">
            <v>4Q05</v>
          </cell>
          <cell r="AT24" t="str">
            <v>Internal Organic Net Sales Growth</v>
          </cell>
          <cell r="BD24" t="str">
            <v>Kellogg International- Net Sales Growth</v>
          </cell>
        </row>
        <row r="25">
          <cell r="A25" t="str">
            <v>Total Debt at end of Quarter</v>
          </cell>
          <cell r="B25">
            <v>6817.6</v>
          </cell>
          <cell r="C25">
            <v>6534</v>
          </cell>
          <cell r="D25">
            <v>6353.7</v>
          </cell>
          <cell r="E25">
            <v>6214.6</v>
          </cell>
          <cell r="F25">
            <v>6055.4000000000005</v>
          </cell>
          <cell r="G25">
            <v>5780.8</v>
          </cell>
          <cell r="H25">
            <v>5791.3</v>
          </cell>
          <cell r="I25">
            <v>5780.8</v>
          </cell>
          <cell r="J25">
            <v>5726.4</v>
          </cell>
          <cell r="K25">
            <v>5580.5</v>
          </cell>
          <cell r="L25">
            <v>5382.0999999999995</v>
          </cell>
          <cell r="M25">
            <v>5164.2999999999993</v>
          </cell>
          <cell r="N25">
            <v>5111.0999999999995</v>
          </cell>
          <cell r="O25">
            <v>5019.7</v>
          </cell>
          <cell r="P25">
            <v>4894.3</v>
          </cell>
          <cell r="Q25">
            <v>4880.8999999999996</v>
          </cell>
          <cell r="R25">
            <v>4830.7</v>
          </cell>
          <cell r="S25">
            <v>4667.3</v>
          </cell>
          <cell r="T25">
            <v>4473.0999999999995</v>
          </cell>
          <cell r="U25">
            <v>4897.2999999999993</v>
          </cell>
        </row>
        <row r="26">
          <cell r="A26" t="str">
            <v>Net Debt at end of Quarter</v>
          </cell>
          <cell r="B26">
            <v>6471.6</v>
          </cell>
          <cell r="C26">
            <v>6293.4</v>
          </cell>
          <cell r="D26">
            <v>6026.7</v>
          </cell>
          <cell r="E26">
            <v>5982.8</v>
          </cell>
          <cell r="F26">
            <v>5794.4000000000005</v>
          </cell>
          <cell r="G26">
            <v>5584.5</v>
          </cell>
          <cell r="H26">
            <v>5330.1</v>
          </cell>
          <cell r="I26">
            <v>5680.2</v>
          </cell>
          <cell r="J26">
            <v>5589.5999999999995</v>
          </cell>
          <cell r="K26">
            <v>5419.8</v>
          </cell>
          <cell r="L26">
            <v>5040.2</v>
          </cell>
          <cell r="M26">
            <v>5023.0999999999995</v>
          </cell>
          <cell r="N26">
            <v>4914.9999999999991</v>
          </cell>
          <cell r="O26">
            <v>4808.3999999999996</v>
          </cell>
          <cell r="P26">
            <v>4471.3</v>
          </cell>
          <cell r="Q26">
            <v>4463.5</v>
          </cell>
          <cell r="R26">
            <v>4565.3999999999996</v>
          </cell>
          <cell r="S26">
            <v>4364.1000000000004</v>
          </cell>
          <cell r="T26">
            <v>4009.5999999999995</v>
          </cell>
          <cell r="U26">
            <v>4678.1999999999989</v>
          </cell>
        </row>
        <row r="27">
          <cell r="A27" t="str">
            <v>Net Debt/ LTM EBITDA</v>
          </cell>
          <cell r="F27">
            <v>3.2601406268913671</v>
          </cell>
          <cell r="G27">
            <v>3.0643152667047238</v>
          </cell>
          <cell r="H27">
            <v>2.9404798842648834</v>
          </cell>
          <cell r="I27">
            <v>3.0460919694328998</v>
          </cell>
          <cell r="J27">
            <v>2.9710580168496024</v>
          </cell>
          <cell r="K27">
            <v>2.8169438669438671</v>
          </cell>
          <cell r="L27">
            <v>2.5968916717297175</v>
          </cell>
          <cell r="M27">
            <v>2.6351585449619082</v>
          </cell>
          <cell r="N27">
            <v>2.4838472642401421</v>
          </cell>
          <cell r="O27">
            <v>2.3744187140786215</v>
          </cell>
          <cell r="P27">
            <v>2.1767405039408971</v>
          </cell>
          <cell r="Q27">
            <v>2.1799668597552251</v>
          </cell>
          <cell r="R27">
            <v>2.162458454314355</v>
          </cell>
          <cell r="S27">
            <v>2.0480480680514606</v>
          </cell>
          <cell r="T27">
            <v>1.8697932688739718</v>
          </cell>
          <cell r="U27">
            <v>2.1839316558517337</v>
          </cell>
        </row>
        <row r="28">
          <cell r="A28" t="str">
            <v>LTM EBITDA/ Interest 1</v>
          </cell>
          <cell r="F28">
            <v>4.3466535664791719</v>
          </cell>
          <cell r="G28">
            <v>4.5686386980864047</v>
          </cell>
          <cell r="H28">
            <v>4.5670529352481726</v>
          </cell>
          <cell r="I28">
            <v>4.7667433537832302</v>
          </cell>
          <cell r="J28">
            <v>4.8853544533887296</v>
          </cell>
          <cell r="K28">
            <v>5.0939899391051098</v>
          </cell>
          <cell r="L28">
            <v>5.3540931843101998</v>
          </cell>
          <cell r="M28">
            <v>5.2979019378815728</v>
          </cell>
          <cell r="N28">
            <v>5.7190321307797403</v>
          </cell>
          <cell r="O28">
            <v>6.0886503825910712</v>
          </cell>
          <cell r="P28">
            <v>6.3832390861943535</v>
          </cell>
          <cell r="Q28">
            <v>6.6348288734007479</v>
          </cell>
          <cell r="R28">
            <v>6.8926157046407805</v>
          </cell>
          <cell r="S28">
            <v>6.9772697784265567</v>
          </cell>
          <cell r="T28">
            <v>7.2153707615459997</v>
          </cell>
          <cell r="U28">
            <v>7.4820118756549068</v>
          </cell>
        </row>
        <row r="30">
          <cell r="A30" t="str">
            <v>Debt/ LTM EBITDA</v>
          </cell>
          <cell r="F30">
            <v>3.406988739486053</v>
          </cell>
          <cell r="G30">
            <v>3.1720285958933956</v>
          </cell>
          <cell r="H30">
            <v>3.1949121318067615</v>
          </cell>
          <cell r="I30">
            <v>3.1000402198686152</v>
          </cell>
          <cell r="J30">
            <v>3.0437717596406837</v>
          </cell>
          <cell r="K30">
            <v>2.9004677754677757</v>
          </cell>
          <cell r="L30">
            <v>2.773050804812609</v>
          </cell>
          <cell r="M30">
            <v>2.7092331973774724</v>
          </cell>
          <cell r="N30">
            <v>2.5829484745183708</v>
          </cell>
          <cell r="O30">
            <v>2.4787600072915015</v>
          </cell>
          <cell r="P30">
            <v>2.3826674677248079</v>
          </cell>
          <cell r="Q30">
            <v>2.3838244081503923</v>
          </cell>
          <cell r="R30">
            <v>2.2881210967837111</v>
          </cell>
          <cell r="S30">
            <v>2.1903381563246906</v>
          </cell>
          <cell r="T30">
            <v>2.0859368193835204</v>
          </cell>
          <cell r="U30">
            <v>2.2862144624433962</v>
          </cell>
        </row>
        <row r="32">
          <cell r="A32" t="str">
            <v>1 LTM Interest for 4Q03, 1Q04, 2Q04 and 3Q04 excludes $12 million and LTM interest for 2Q05 excludes $14 million charges for debt retirement</v>
          </cell>
        </row>
        <row r="34">
          <cell r="A34" t="str">
            <v>LTM</v>
          </cell>
          <cell r="F34" t="str">
            <v>1Q02</v>
          </cell>
          <cell r="G34" t="str">
            <v>2Q02</v>
          </cell>
          <cell r="H34" t="str">
            <v>3Q02</v>
          </cell>
          <cell r="I34" t="str">
            <v>4Q02</v>
          </cell>
          <cell r="J34" t="str">
            <v>1Q03</v>
          </cell>
          <cell r="K34" t="str">
            <v>2Q03</v>
          </cell>
          <cell r="L34" t="str">
            <v>3Q03</v>
          </cell>
          <cell r="M34" t="str">
            <v>4Q03</v>
          </cell>
          <cell r="N34" t="str">
            <v>1Q04</v>
          </cell>
          <cell r="O34" t="str">
            <v>2Q04</v>
          </cell>
          <cell r="P34" t="str">
            <v>3Q04</v>
          </cell>
          <cell r="Q34" t="str">
            <v>4Q04</v>
          </cell>
          <cell r="R34" t="str">
            <v>1Q05</v>
          </cell>
          <cell r="S34" t="str">
            <v>2Q05</v>
          </cell>
          <cell r="T34" t="str">
            <v>3Q05</v>
          </cell>
          <cell r="U34" t="str">
            <v>4Q05</v>
          </cell>
        </row>
        <row r="35">
          <cell r="A35" t="str">
            <v>Average Trade Receivables</v>
          </cell>
          <cell r="F35">
            <v>843.59999999999991</v>
          </cell>
          <cell r="G35">
            <v>826.125</v>
          </cell>
          <cell r="H35">
            <v>803.57500000000005</v>
          </cell>
          <cell r="I35">
            <v>798.25</v>
          </cell>
          <cell r="J35">
            <v>797.4</v>
          </cell>
          <cell r="K35">
            <v>798</v>
          </cell>
          <cell r="L35">
            <v>805.9</v>
          </cell>
          <cell r="M35">
            <v>809.34999999999991</v>
          </cell>
          <cell r="N35">
            <v>825.02500000000009</v>
          </cell>
          <cell r="O35">
            <v>842.52499999999998</v>
          </cell>
          <cell r="P35">
            <v>862.07499999999993</v>
          </cell>
          <cell r="Q35">
            <v>867.47500000000002</v>
          </cell>
          <cell r="R35">
            <v>886.34999999999991</v>
          </cell>
          <cell r="S35">
            <v>896.27500000000009</v>
          </cell>
          <cell r="T35">
            <v>922.625</v>
          </cell>
          <cell r="U35">
            <v>948.3</v>
          </cell>
        </row>
        <row r="36">
          <cell r="A36" t="str">
            <v>Average Inventory</v>
          </cell>
          <cell r="F36">
            <v>545.5</v>
          </cell>
          <cell r="G36">
            <v>550.32500000000005</v>
          </cell>
          <cell r="H36">
            <v>562.52499999999998</v>
          </cell>
          <cell r="I36">
            <v>569.70000000000005</v>
          </cell>
          <cell r="J36">
            <v>584.92499999999995</v>
          </cell>
          <cell r="K36">
            <v>593.45000000000005</v>
          </cell>
          <cell r="L36">
            <v>593.57500000000005</v>
          </cell>
          <cell r="M36">
            <v>605.22499999999991</v>
          </cell>
          <cell r="N36">
            <v>612.35</v>
          </cell>
          <cell r="O36">
            <v>619.875</v>
          </cell>
          <cell r="P36">
            <v>633.95000000000005</v>
          </cell>
          <cell r="Q36">
            <v>641.75</v>
          </cell>
          <cell r="R36">
            <v>646.45000000000005</v>
          </cell>
          <cell r="S36">
            <v>661.52499999999998</v>
          </cell>
          <cell r="T36">
            <v>670.375</v>
          </cell>
          <cell r="U36">
            <v>679.375</v>
          </cell>
        </row>
        <row r="37">
          <cell r="A37" t="str">
            <v>Average Trade Payables</v>
          </cell>
          <cell r="F37">
            <v>527.29999999999995</v>
          </cell>
          <cell r="G37">
            <v>549.59999999999991</v>
          </cell>
          <cell r="H37">
            <v>560.54999999999995</v>
          </cell>
          <cell r="I37">
            <v>570.92500000000007</v>
          </cell>
          <cell r="J37">
            <v>588.59999999999991</v>
          </cell>
          <cell r="K37">
            <v>595.07500000000005</v>
          </cell>
          <cell r="L37">
            <v>607.75</v>
          </cell>
          <cell r="M37">
            <v>628.95000000000005</v>
          </cell>
          <cell r="N37">
            <v>660.8</v>
          </cell>
          <cell r="O37">
            <v>692.67500000000007</v>
          </cell>
          <cell r="P37">
            <v>736.17499999999995</v>
          </cell>
          <cell r="Q37">
            <v>752.02500000000009</v>
          </cell>
          <cell r="R37">
            <v>758.32500000000005</v>
          </cell>
          <cell r="S37">
            <v>763.55000000000007</v>
          </cell>
          <cell r="T37">
            <v>768.67499999999995</v>
          </cell>
          <cell r="U37">
            <v>797.7</v>
          </cell>
        </row>
        <row r="38">
          <cell r="A38" t="str">
            <v>Sales</v>
          </cell>
          <cell r="F38">
            <v>8099.473</v>
          </cell>
          <cell r="G38">
            <v>8217.5730000000003</v>
          </cell>
          <cell r="H38">
            <v>8163.4429999999993</v>
          </cell>
          <cell r="I38">
            <v>8304.1</v>
          </cell>
          <cell r="J38">
            <v>8389.8000000000011</v>
          </cell>
          <cell r="K38">
            <v>8512.1</v>
          </cell>
          <cell r="L38">
            <v>8657.2000000000007</v>
          </cell>
          <cell r="M38">
            <v>8811.5</v>
          </cell>
          <cell r="N38">
            <v>9054.5</v>
          </cell>
          <cell r="O38">
            <v>9194.4000000000015</v>
          </cell>
          <cell r="P38">
            <v>9358.1</v>
          </cell>
          <cell r="Q38">
            <v>9613.9000000000015</v>
          </cell>
          <cell r="R38">
            <v>9795.7000000000007</v>
          </cell>
          <cell r="S38">
            <v>9995.6</v>
          </cell>
          <cell r="T38">
            <v>10173.700000000001</v>
          </cell>
          <cell r="U38">
            <v>10177.199999999999</v>
          </cell>
        </row>
        <row r="39">
          <cell r="A39" t="str">
            <v>Core Working Capital</v>
          </cell>
          <cell r="F39">
            <v>861.8</v>
          </cell>
          <cell r="G39">
            <v>826.85000000000014</v>
          </cell>
          <cell r="H39">
            <v>805.55</v>
          </cell>
          <cell r="I39">
            <v>797.02499999999998</v>
          </cell>
          <cell r="J39">
            <v>793.72499999999991</v>
          </cell>
          <cell r="K39">
            <v>796.375</v>
          </cell>
          <cell r="L39">
            <v>791.72499999999991</v>
          </cell>
          <cell r="M39">
            <v>785.62499999999977</v>
          </cell>
          <cell r="N39">
            <v>776.57500000000005</v>
          </cell>
          <cell r="O39">
            <v>769.72500000000002</v>
          </cell>
          <cell r="P39">
            <v>759.85000000000014</v>
          </cell>
          <cell r="Q39">
            <v>757.19999999999982</v>
          </cell>
          <cell r="R39">
            <v>774.47499999999991</v>
          </cell>
          <cell r="S39">
            <v>794.25000000000011</v>
          </cell>
          <cell r="T39">
            <v>824.32500000000005</v>
          </cell>
          <cell r="U39">
            <v>829.97499999999991</v>
          </cell>
        </row>
        <row r="40">
          <cell r="A40" t="str">
            <v>Core Working Capital as % of Sales</v>
          </cell>
          <cell r="F40">
            <v>0.10640198442540644</v>
          </cell>
          <cell r="G40">
            <v>0.10061973285786449</v>
          </cell>
          <cell r="H40">
            <v>9.8677727032576823E-2</v>
          </cell>
          <cell r="I40">
            <v>9.5979696776291229E-2</v>
          </cell>
          <cell r="J40">
            <v>9.4605950082242707E-2</v>
          </cell>
          <cell r="K40">
            <v>9.3557993914545168E-2</v>
          </cell>
          <cell r="L40">
            <v>9.1452779189576283E-2</v>
          </cell>
          <cell r="M40">
            <v>8.9159053509618086E-2</v>
          </cell>
          <cell r="N40">
            <v>8.5766745816997073E-2</v>
          </cell>
          <cell r="O40">
            <v>8.3716718872357071E-2</v>
          </cell>
          <cell r="P40">
            <v>8.1197037860249427E-2</v>
          </cell>
          <cell r="Q40">
            <v>7.8760960692330864E-2</v>
          </cell>
          <cell r="R40">
            <v>7.9062752023847188E-2</v>
          </cell>
          <cell r="S40">
            <v>7.9459962383448726E-2</v>
          </cell>
          <cell r="T40">
            <v>8.1025094115218646E-2</v>
          </cell>
          <cell r="U40">
            <v>8.1552391620484999E-2</v>
          </cell>
        </row>
        <row r="42">
          <cell r="F42" t="str">
            <v>1Q02</v>
          </cell>
          <cell r="G42" t="str">
            <v>2Q02</v>
          </cell>
          <cell r="H42" t="str">
            <v>3Q02</v>
          </cell>
          <cell r="I42" t="str">
            <v>4Q02</v>
          </cell>
          <cell r="J42" t="str">
            <v>1Q03</v>
          </cell>
          <cell r="K42" t="str">
            <v>2Q03</v>
          </cell>
          <cell r="L42" t="str">
            <v>3Q03</v>
          </cell>
          <cell r="M42" t="str">
            <v>4Q03</v>
          </cell>
          <cell r="N42" t="str">
            <v>1Q04</v>
          </cell>
          <cell r="O42" t="str">
            <v>2Q04</v>
          </cell>
          <cell r="P42" t="str">
            <v>3Q04</v>
          </cell>
          <cell r="Q42" t="str">
            <v>4Q04</v>
          </cell>
          <cell r="R42" t="str">
            <v>1Q05</v>
          </cell>
          <cell r="S42" t="str">
            <v>2Q05</v>
          </cell>
          <cell r="T42" t="str">
            <v>3Q05</v>
          </cell>
          <cell r="U42" t="str">
            <v>4Q05</v>
          </cell>
        </row>
        <row r="43">
          <cell r="A43" t="str">
            <v>LTM EBITDA/ Interest 1</v>
          </cell>
          <cell r="F43">
            <v>4.3466535664791719</v>
          </cell>
          <cell r="G43">
            <v>4.5686386980864047</v>
          </cell>
          <cell r="H43">
            <v>4.5670529352481726</v>
          </cell>
          <cell r="I43">
            <v>4.7667433537832302</v>
          </cell>
          <cell r="J43">
            <v>4.8853544533887296</v>
          </cell>
          <cell r="K43">
            <v>5.0939899391051098</v>
          </cell>
          <cell r="L43">
            <v>5.3540931843101998</v>
          </cell>
          <cell r="M43">
            <v>5.2979019378815728</v>
          </cell>
          <cell r="N43">
            <v>5.7190321307797403</v>
          </cell>
          <cell r="O43">
            <v>6.0886503825910712</v>
          </cell>
          <cell r="P43">
            <v>6.3832390861943535</v>
          </cell>
          <cell r="Q43">
            <v>6.6348288734007479</v>
          </cell>
          <cell r="R43">
            <v>6.8926157046407805</v>
          </cell>
          <cell r="S43">
            <v>6.9772697784265567</v>
          </cell>
          <cell r="T43">
            <v>7.2153707615459997</v>
          </cell>
          <cell r="U43">
            <v>7.4820118756549068</v>
          </cell>
        </row>
        <row r="44">
          <cell r="AT44" t="str">
            <v>Includes only volume and price mix</v>
          </cell>
          <cell r="BQ44" t="str">
            <v>Underlying Operating income excluding only upfront costs</v>
          </cell>
        </row>
        <row r="45">
          <cell r="F45" t="str">
            <v>1Q02</v>
          </cell>
          <cell r="G45" t="str">
            <v>2Q02</v>
          </cell>
          <cell r="H45" t="str">
            <v>3Q02</v>
          </cell>
          <cell r="I45" t="str">
            <v>4Q02</v>
          </cell>
          <cell r="J45" t="str">
            <v>1Q03</v>
          </cell>
          <cell r="K45" t="str">
            <v>2Q03</v>
          </cell>
          <cell r="L45" t="str">
            <v>3Q03</v>
          </cell>
          <cell r="M45" t="str">
            <v>4Q03</v>
          </cell>
          <cell r="N45" t="str">
            <v>1Q04</v>
          </cell>
          <cell r="O45" t="str">
            <v>2Q04</v>
          </cell>
          <cell r="P45" t="str">
            <v>3Q04</v>
          </cell>
          <cell r="Q45" t="str">
            <v>4Q04</v>
          </cell>
          <cell r="R45" t="str">
            <v>1Q05</v>
          </cell>
          <cell r="S45" t="str">
            <v>2Q05</v>
          </cell>
          <cell r="T45" t="str">
            <v>3Q05</v>
          </cell>
          <cell r="U45" t="str">
            <v>4Q05</v>
          </cell>
          <cell r="Y45" t="str">
            <v>1 LTM Interest for 4Q03, 1Q04, 2Q04 and 3Q04 excludes $8 million and LTM interest for 2Q05 excludes $14 million charges for debt retirement</v>
          </cell>
          <cell r="BD45" t="str">
            <v>Local currency net sales growth</v>
          </cell>
        </row>
        <row r="46">
          <cell r="A46" t="str">
            <v>Net Debt/ LTM EBITDA</v>
          </cell>
          <cell r="F46">
            <v>3.2601406268913671</v>
          </cell>
          <cell r="G46">
            <v>3.0643152667047238</v>
          </cell>
          <cell r="H46">
            <v>2.9404798842648834</v>
          </cell>
          <cell r="I46">
            <v>3.0460919694328998</v>
          </cell>
          <cell r="J46">
            <v>2.9710580168496024</v>
          </cell>
          <cell r="K46">
            <v>2.8169438669438671</v>
          </cell>
          <cell r="L46">
            <v>2.5968916717297175</v>
          </cell>
          <cell r="M46">
            <v>2.6351585449619082</v>
          </cell>
          <cell r="N46">
            <v>2.4838472642401421</v>
          </cell>
          <cell r="O46">
            <v>2.3744187140786215</v>
          </cell>
          <cell r="P46">
            <v>2.1767405039408971</v>
          </cell>
          <cell r="Q46">
            <v>2.1799668597552251</v>
          </cell>
          <cell r="R46">
            <v>2.162458454314355</v>
          </cell>
          <cell r="S46">
            <v>2.0480480680514606</v>
          </cell>
          <cell r="T46">
            <v>1.8697932688739718</v>
          </cell>
          <cell r="U46">
            <v>2.1839316558517337</v>
          </cell>
        </row>
        <row r="48">
          <cell r="B48" t="str">
            <v>1Q01</v>
          </cell>
          <cell r="C48" t="str">
            <v>2Q01</v>
          </cell>
          <cell r="D48" t="str">
            <v>3Q01</v>
          </cell>
          <cell r="E48" t="str">
            <v>4Q01</v>
          </cell>
          <cell r="F48" t="str">
            <v>1Q02</v>
          </cell>
          <cell r="G48" t="str">
            <v>2Q02</v>
          </cell>
          <cell r="H48" t="str">
            <v>3Q02</v>
          </cell>
          <cell r="I48" t="str">
            <v>4Q02</v>
          </cell>
          <cell r="J48" t="str">
            <v>1Q03</v>
          </cell>
          <cell r="K48" t="str">
            <v>2Q03</v>
          </cell>
          <cell r="L48" t="str">
            <v>3Q03</v>
          </cell>
          <cell r="M48" t="str">
            <v>4Q03</v>
          </cell>
          <cell r="N48" t="str">
            <v>1Q04</v>
          </cell>
          <cell r="O48" t="str">
            <v>2Q04</v>
          </cell>
          <cell r="P48" t="str">
            <v>3Q04</v>
          </cell>
          <cell r="Q48" t="str">
            <v>4Q04</v>
          </cell>
          <cell r="R48" t="str">
            <v>1Q05</v>
          </cell>
          <cell r="S48" t="str">
            <v>2Q05</v>
          </cell>
          <cell r="T48" t="str">
            <v>3Q05</v>
          </cell>
          <cell r="U48" t="str">
            <v>4Q05</v>
          </cell>
          <cell r="BD48" t="str">
            <v>Kellogg International- Internal Net Sales Growth</v>
          </cell>
        </row>
        <row r="49">
          <cell r="A49" t="str">
            <v>Cash Conversion Cycle</v>
          </cell>
        </row>
        <row r="51">
          <cell r="A51" t="str">
            <v>Internal Organic Net Sales Growth</v>
          </cell>
          <cell r="C51">
            <v>-1.8000000000000002E-2</v>
          </cell>
          <cell r="D51">
            <v>-1.4999999999999999E-2</v>
          </cell>
          <cell r="E51">
            <v>3.6999999999999998E-2</v>
          </cell>
          <cell r="F51">
            <v>4.3999999999999997E-2</v>
          </cell>
          <cell r="G51">
            <v>4.2000000000000003E-2</v>
          </cell>
          <cell r="H51">
            <v>5.6000000000000001E-2</v>
          </cell>
          <cell r="I51">
            <v>1.1999999999999997E-2</v>
          </cell>
          <cell r="J51">
            <v>3.4000000000000002E-2</v>
          </cell>
          <cell r="K51">
            <v>3.5000000000000003E-2</v>
          </cell>
          <cell r="L51">
            <v>4.4999999999999998E-2</v>
          </cell>
          <cell r="M51">
            <v>3.7999999999999999E-2</v>
          </cell>
          <cell r="N51">
            <v>6.5000000000000002E-2</v>
          </cell>
          <cell r="O51">
            <v>4.5999999999999999E-2</v>
          </cell>
          <cell r="P51">
            <v>4.8000000000000001E-2</v>
          </cell>
          <cell r="Q51">
            <v>4.2999999999999997E-2</v>
          </cell>
          <cell r="R51">
            <v>6.3E-2</v>
          </cell>
          <cell r="S51">
            <v>6.6000000000000003E-2</v>
          </cell>
          <cell r="T51">
            <v>6.6000000000000003E-2</v>
          </cell>
          <cell r="U51">
            <v>6.0999999999999999E-2</v>
          </cell>
        </row>
        <row r="52">
          <cell r="A52" t="str">
            <v>Total US- Internal Organic Net Sales Growth</v>
          </cell>
          <cell r="E52">
            <v>0.03</v>
          </cell>
          <cell r="F52">
            <v>0.04</v>
          </cell>
          <cell r="G52">
            <v>0.04</v>
          </cell>
          <cell r="H52">
            <v>7.0000000000000007E-2</v>
          </cell>
          <cell r="I52">
            <v>0</v>
          </cell>
          <cell r="J52">
            <v>0.03</v>
          </cell>
          <cell r="K52">
            <v>0.02</v>
          </cell>
          <cell r="L52">
            <v>0.03</v>
          </cell>
          <cell r="M52">
            <v>0.04</v>
          </cell>
          <cell r="N52">
            <v>0.05</v>
          </cell>
          <cell r="O52">
            <v>0.05</v>
          </cell>
          <cell r="P52">
            <v>0.05</v>
          </cell>
          <cell r="Q52">
            <v>0.05</v>
          </cell>
          <cell r="R52">
            <v>7.0000000000000007E-2</v>
          </cell>
          <cell r="S52">
            <v>0.08</v>
          </cell>
          <cell r="T52">
            <v>0.08</v>
          </cell>
        </row>
        <row r="53">
          <cell r="A53" t="str">
            <v>NA Cereal Retail- Internal Organic Net Sales Growth</v>
          </cell>
          <cell r="E53">
            <v>0.1</v>
          </cell>
          <cell r="F53">
            <v>0.09</v>
          </cell>
          <cell r="G53">
            <v>0.06</v>
          </cell>
          <cell r="H53">
            <v>0.06</v>
          </cell>
          <cell r="I53">
            <v>0.01</v>
          </cell>
          <cell r="J53">
            <v>0.04</v>
          </cell>
          <cell r="K53">
            <v>0.03</v>
          </cell>
          <cell r="L53">
            <v>0.1</v>
          </cell>
          <cell r="M53">
            <v>0.09</v>
          </cell>
          <cell r="N53">
            <v>0.04</v>
          </cell>
          <cell r="O53">
            <v>0.02</v>
          </cell>
          <cell r="P53">
            <v>0.01</v>
          </cell>
          <cell r="Q53">
            <v>0.01</v>
          </cell>
          <cell r="R53">
            <v>0.04</v>
          </cell>
          <cell r="S53">
            <v>0.1</v>
          </cell>
          <cell r="T53">
            <v>0.11</v>
          </cell>
          <cell r="U53">
            <v>0.08</v>
          </cell>
        </row>
        <row r="54">
          <cell r="A54" t="str">
            <v>Kellogg International- Net Sales Growth</v>
          </cell>
          <cell r="F54">
            <v>0.01</v>
          </cell>
          <cell r="G54">
            <v>0.04</v>
          </cell>
          <cell r="H54">
            <v>0.05</v>
          </cell>
          <cell r="I54">
            <v>0.04</v>
          </cell>
          <cell r="J54">
            <v>0.12</v>
          </cell>
          <cell r="K54">
            <v>0.14000000000000001</v>
          </cell>
          <cell r="L54">
            <v>0.14000000000000001</v>
          </cell>
          <cell r="M54">
            <v>0.15</v>
          </cell>
          <cell r="N54">
            <v>0.24</v>
          </cell>
          <cell r="O54">
            <v>0.09</v>
          </cell>
          <cell r="P54">
            <v>0.1</v>
          </cell>
          <cell r="Q54">
            <v>0.12</v>
          </cell>
          <cell r="R54">
            <v>0.08</v>
          </cell>
          <cell r="S54">
            <v>7.0000000000000007E-2</v>
          </cell>
          <cell r="T54">
            <v>0.04</v>
          </cell>
        </row>
        <row r="55">
          <cell r="A55" t="str">
            <v>Kellogg International- Internal Net Sales Growth</v>
          </cell>
          <cell r="F55">
            <v>8.9999999999999993E-3</v>
          </cell>
          <cell r="G55">
            <v>4.0190572878897601E-2</v>
          </cell>
          <cell r="H55">
            <v>4.9673685739181073E-2</v>
          </cell>
          <cell r="I55">
            <v>3.7894273127753397E-2</v>
          </cell>
          <cell r="J55">
            <v>0.05</v>
          </cell>
          <cell r="K55">
            <v>0.05</v>
          </cell>
          <cell r="L55">
            <v>7.0000000000000007E-2</v>
          </cell>
          <cell r="M55">
            <v>0.04</v>
          </cell>
          <cell r="N55">
            <v>0.1</v>
          </cell>
          <cell r="O55">
            <v>0.05</v>
          </cell>
          <cell r="P55">
            <v>0.04</v>
          </cell>
          <cell r="Q55">
            <v>0.02</v>
          </cell>
          <cell r="R55">
            <v>0.05</v>
          </cell>
          <cell r="S55">
            <v>0.03</v>
          </cell>
          <cell r="T55">
            <v>0.03</v>
          </cell>
          <cell r="U55">
            <v>0.03</v>
          </cell>
        </row>
        <row r="56">
          <cell r="A56" t="str">
            <v>Total Organic Operating Profit Growth</v>
          </cell>
          <cell r="F56">
            <v>2.5999999999999999E-2</v>
          </cell>
          <cell r="G56">
            <v>0.04</v>
          </cell>
          <cell r="H56">
            <v>0.14000000000000001</v>
          </cell>
          <cell r="I56">
            <v>0.05</v>
          </cell>
          <cell r="J56">
            <v>7.2999999999999995E-2</v>
          </cell>
          <cell r="K56">
            <v>9.1999999999999998E-2</v>
          </cell>
          <cell r="L56">
            <v>2.1999999999999999E-2</v>
          </cell>
          <cell r="M56">
            <v>-0.127</v>
          </cell>
          <cell r="N56">
            <v>0.16</v>
          </cell>
          <cell r="O56">
            <v>4.3999999999999997E-2</v>
          </cell>
          <cell r="P56">
            <v>3.6999999999999998E-2</v>
          </cell>
          <cell r="Q56">
            <v>-5.6000000000000001E-2</v>
          </cell>
          <cell r="R56">
            <v>0.1</v>
          </cell>
          <cell r="S56">
            <v>6.2E-2</v>
          </cell>
          <cell r="T56">
            <v>1.0999999999999999E-2</v>
          </cell>
          <cell r="U56">
            <v>3.5999999999999997E-2</v>
          </cell>
        </row>
        <row r="58">
          <cell r="A58" t="str">
            <v>Total US Operating Profit Growth</v>
          </cell>
          <cell r="F58">
            <v>0.11700000000000001</v>
          </cell>
          <cell r="G58">
            <v>9.6000000000000002E-2</v>
          </cell>
          <cell r="H58">
            <v>0.14000000000000001</v>
          </cell>
          <cell r="I58">
            <v>0.09</v>
          </cell>
          <cell r="J58">
            <v>0.02</v>
          </cell>
          <cell r="K58">
            <v>0.03</v>
          </cell>
          <cell r="L58">
            <v>3.1E-2</v>
          </cell>
          <cell r="M58">
            <v>-0.10199999999999999</v>
          </cell>
          <cell r="N58">
            <v>0.1</v>
          </cell>
          <cell r="O58">
            <v>5.3999999999999999E-2</v>
          </cell>
          <cell r="P58">
            <v>0.01</v>
          </cell>
          <cell r="Q58">
            <v>0.1</v>
          </cell>
          <cell r="R58">
            <v>0.11600000000000001</v>
          </cell>
          <cell r="S58">
            <v>0.09</v>
          </cell>
          <cell r="T58">
            <v>2.1999999999999999E-2</v>
          </cell>
        </row>
        <row r="60">
          <cell r="B60" t="str">
            <v>1Q01</v>
          </cell>
          <cell r="C60" t="str">
            <v>2Q01</v>
          </cell>
          <cell r="D60" t="str">
            <v>3Q01</v>
          </cell>
          <cell r="E60" t="str">
            <v>4Q01</v>
          </cell>
          <cell r="F60" t="str">
            <v>1Q02</v>
          </cell>
          <cell r="G60" t="str">
            <v>2Q02</v>
          </cell>
          <cell r="H60" t="str">
            <v>3Q02</v>
          </cell>
          <cell r="I60" t="str">
            <v>4Q02</v>
          </cell>
          <cell r="J60" t="str">
            <v>1Q03</v>
          </cell>
          <cell r="K60" t="str">
            <v>2Q03</v>
          </cell>
          <cell r="L60" t="str">
            <v>3Q03</v>
          </cell>
          <cell r="M60" t="str">
            <v>4Q03</v>
          </cell>
          <cell r="N60" t="str">
            <v>1Q04</v>
          </cell>
          <cell r="O60" t="str">
            <v>2Q04</v>
          </cell>
          <cell r="P60" t="str">
            <v>3Q04</v>
          </cell>
          <cell r="Q60" t="str">
            <v>4Q04</v>
          </cell>
          <cell r="R60" t="str">
            <v>1Q05</v>
          </cell>
          <cell r="S60" t="str">
            <v>2Q05</v>
          </cell>
          <cell r="T60" t="str">
            <v>3Q05</v>
          </cell>
          <cell r="U60" t="str">
            <v>4Q05</v>
          </cell>
        </row>
        <row r="61">
          <cell r="A61" t="str">
            <v>Total debt at end of Quarter</v>
          </cell>
          <cell r="B61">
            <v>6.8176000000000005</v>
          </cell>
          <cell r="C61">
            <v>6.5339999999999998</v>
          </cell>
          <cell r="D61">
            <v>6.3536999999999999</v>
          </cell>
          <cell r="E61">
            <v>6.2146000000000008</v>
          </cell>
          <cell r="F61">
            <v>6.0554000000000006</v>
          </cell>
          <cell r="G61">
            <v>5.7808000000000002</v>
          </cell>
          <cell r="H61">
            <v>5.7913000000000006</v>
          </cell>
          <cell r="I61">
            <v>5.7808000000000002</v>
          </cell>
          <cell r="J61">
            <v>5.7263999999999999</v>
          </cell>
          <cell r="K61">
            <v>5.5804999999999998</v>
          </cell>
          <cell r="L61">
            <v>5.3820999999999994</v>
          </cell>
          <cell r="M61">
            <v>5.164299999999999</v>
          </cell>
          <cell r="N61">
            <v>5.1110999999999995</v>
          </cell>
          <cell r="O61">
            <v>5.0196999999999994</v>
          </cell>
          <cell r="P61">
            <v>4.8943000000000003</v>
          </cell>
          <cell r="Q61">
            <v>4.8808999999999996</v>
          </cell>
          <cell r="R61">
            <v>4.8307000000000002</v>
          </cell>
          <cell r="S61">
            <v>4.6673</v>
          </cell>
          <cell r="T61">
            <v>4.4730999999999996</v>
          </cell>
          <cell r="U61">
            <v>4.8972999999999995</v>
          </cell>
        </row>
        <row r="64">
          <cell r="A64" t="str">
            <v>Operating Income</v>
          </cell>
          <cell r="BQ64" t="str">
            <v>Underlying Operating income excluding all one-time costs</v>
          </cell>
        </row>
        <row r="65">
          <cell r="A65" t="str">
            <v>Excl charges</v>
          </cell>
        </row>
        <row r="67">
          <cell r="F67" t="str">
            <v>1Q02</v>
          </cell>
          <cell r="G67" t="str">
            <v>2Q02</v>
          </cell>
          <cell r="H67" t="str">
            <v>3Q02</v>
          </cell>
          <cell r="I67" t="str">
            <v>4Q02</v>
          </cell>
          <cell r="J67" t="str">
            <v>1Q03</v>
          </cell>
          <cell r="K67" t="str">
            <v>2Q03</v>
          </cell>
          <cell r="L67" t="str">
            <v>3Q03</v>
          </cell>
          <cell r="M67" t="str">
            <v>4Q03</v>
          </cell>
          <cell r="N67" t="str">
            <v>1Q04</v>
          </cell>
          <cell r="O67" t="str">
            <v>2Q04</v>
          </cell>
          <cell r="P67" t="str">
            <v>3Q04</v>
          </cell>
          <cell r="Q67" t="str">
            <v>4Q04</v>
          </cell>
          <cell r="R67" t="str">
            <v>1Q05</v>
          </cell>
          <cell r="S67" t="str">
            <v>2Q05</v>
          </cell>
          <cell r="T67" t="str">
            <v>3Q05</v>
          </cell>
        </row>
        <row r="68">
          <cell r="E68" t="str">
            <v>Internal Organic Net Sales Growth</v>
          </cell>
          <cell r="F68">
            <v>4.3999999999999997E-2</v>
          </cell>
          <cell r="G68">
            <v>4.2000000000000003E-2</v>
          </cell>
          <cell r="H68">
            <v>5.6000000000000001E-2</v>
          </cell>
          <cell r="I68">
            <v>1.1999999999999997E-2</v>
          </cell>
          <cell r="J68">
            <v>3.4000000000000002E-2</v>
          </cell>
          <cell r="K68">
            <v>3.5000000000000003E-2</v>
          </cell>
          <cell r="L68">
            <v>4.4999999999999998E-2</v>
          </cell>
          <cell r="M68">
            <v>3.7999999999999999E-2</v>
          </cell>
          <cell r="N68">
            <v>6.5000000000000002E-2</v>
          </cell>
          <cell r="O68">
            <v>4.5999999999999999E-2</v>
          </cell>
          <cell r="P68">
            <v>4.8000000000000001E-2</v>
          </cell>
          <cell r="Q68">
            <v>4.2999999999999997E-2</v>
          </cell>
          <cell r="R68">
            <v>6.3E-2</v>
          </cell>
          <cell r="S68">
            <v>6.6000000000000003E-2</v>
          </cell>
          <cell r="T68">
            <v>6.6000000000000003E-2</v>
          </cell>
        </row>
        <row r="69">
          <cell r="E69" t="str">
            <v>Includes only volume and price mix</v>
          </cell>
          <cell r="BE69" t="str">
            <v>Excludes currency impact, shipping days, acquisitions/ divestitures</v>
          </cell>
        </row>
        <row r="70">
          <cell r="F70" t="str">
            <v>1Q02</v>
          </cell>
          <cell r="G70" t="str">
            <v>2Q02</v>
          </cell>
          <cell r="H70" t="str">
            <v>3Q02</v>
          </cell>
          <cell r="I70" t="str">
            <v>4Q02</v>
          </cell>
          <cell r="J70" t="str">
            <v>1Q03</v>
          </cell>
          <cell r="K70" t="str">
            <v>2Q03</v>
          </cell>
          <cell r="L70" t="str">
            <v>3Q03</v>
          </cell>
          <cell r="M70" t="str">
            <v>4Q03</v>
          </cell>
          <cell r="N70" t="str">
            <v>1Q04</v>
          </cell>
          <cell r="O70" t="str">
            <v>2Q04</v>
          </cell>
          <cell r="P70" t="str">
            <v>3Q04</v>
          </cell>
          <cell r="Q70" t="str">
            <v>4Q04</v>
          </cell>
          <cell r="R70" t="str">
            <v>1Q05</v>
          </cell>
          <cell r="S70" t="str">
            <v>2Q05</v>
          </cell>
          <cell r="T70" t="str">
            <v>3Q05</v>
          </cell>
          <cell r="U70" t="str">
            <v>4Q05</v>
          </cell>
        </row>
        <row r="71">
          <cell r="E71" t="str">
            <v>NA Cereal Retail- Internal Organic Net Sales Growth</v>
          </cell>
          <cell r="F71">
            <v>0.09</v>
          </cell>
          <cell r="G71">
            <v>0.06</v>
          </cell>
          <cell r="H71">
            <v>0.06</v>
          </cell>
          <cell r="I71">
            <v>0.01</v>
          </cell>
          <cell r="J71">
            <v>0.04</v>
          </cell>
          <cell r="K71">
            <v>0.03</v>
          </cell>
          <cell r="L71">
            <v>0.1</v>
          </cell>
          <cell r="M71">
            <v>0.09</v>
          </cell>
          <cell r="N71">
            <v>0.04</v>
          </cell>
          <cell r="O71">
            <v>0.02</v>
          </cell>
          <cell r="P71">
            <v>0.01</v>
          </cell>
          <cell r="Q71">
            <v>0.01</v>
          </cell>
          <cell r="R71">
            <v>0.04</v>
          </cell>
          <cell r="S71">
            <v>0.1</v>
          </cell>
          <cell r="T71">
            <v>0.11</v>
          </cell>
          <cell r="U71">
            <v>0.08</v>
          </cell>
        </row>
        <row r="73">
          <cell r="F73" t="str">
            <v>1Q02</v>
          </cell>
          <cell r="G73" t="str">
            <v>2Q02</v>
          </cell>
          <cell r="H73" t="str">
            <v>3Q02</v>
          </cell>
          <cell r="I73" t="str">
            <v>4Q02</v>
          </cell>
          <cell r="J73" t="str">
            <v>1Q03</v>
          </cell>
          <cell r="K73" t="str">
            <v>2Q03</v>
          </cell>
          <cell r="L73" t="str">
            <v>3Q03</v>
          </cell>
          <cell r="M73" t="str">
            <v>4Q03</v>
          </cell>
          <cell r="N73" t="str">
            <v>1Q04</v>
          </cell>
          <cell r="O73" t="str">
            <v>2Q04</v>
          </cell>
          <cell r="P73" t="str">
            <v>3Q04</v>
          </cell>
          <cell r="Q73" t="str">
            <v>4Q04</v>
          </cell>
          <cell r="R73" t="str">
            <v>1Q05</v>
          </cell>
          <cell r="S73" t="str">
            <v>2Q05</v>
          </cell>
          <cell r="T73" t="str">
            <v>3Q05</v>
          </cell>
          <cell r="U73" t="str">
            <v>4Q05</v>
          </cell>
        </row>
        <row r="74">
          <cell r="E74" t="str">
            <v>Total US- Internal Organic Net Sales Growth</v>
          </cell>
          <cell r="F74">
            <v>0.04</v>
          </cell>
          <cell r="G74">
            <v>0.04</v>
          </cell>
          <cell r="H74">
            <v>7.0000000000000007E-2</v>
          </cell>
          <cell r="I74">
            <v>0</v>
          </cell>
          <cell r="J74">
            <v>0.03</v>
          </cell>
          <cell r="K74">
            <v>0.02</v>
          </cell>
          <cell r="L74">
            <v>0.03</v>
          </cell>
          <cell r="M74">
            <v>0.04</v>
          </cell>
          <cell r="N74">
            <v>0.05</v>
          </cell>
          <cell r="O74">
            <v>0.05</v>
          </cell>
          <cell r="P74">
            <v>0.05</v>
          </cell>
          <cell r="Q74">
            <v>0.05</v>
          </cell>
          <cell r="R74">
            <v>7.0000000000000007E-2</v>
          </cell>
          <cell r="S74">
            <v>0.08</v>
          </cell>
          <cell r="T74">
            <v>0.08</v>
          </cell>
        </row>
        <row r="76">
          <cell r="F76" t="str">
            <v>1Q02</v>
          </cell>
          <cell r="G76" t="str">
            <v>2Q02</v>
          </cell>
          <cell r="H76" t="str">
            <v>3Q02</v>
          </cell>
          <cell r="I76" t="str">
            <v>4Q02</v>
          </cell>
          <cell r="J76" t="str">
            <v>1Q03</v>
          </cell>
          <cell r="K76" t="str">
            <v>2Q03</v>
          </cell>
          <cell r="L76" t="str">
            <v>3Q03</v>
          </cell>
          <cell r="M76" t="str">
            <v>4Q03</v>
          </cell>
          <cell r="N76" t="str">
            <v>1Q04</v>
          </cell>
          <cell r="O76" t="str">
            <v>2Q04</v>
          </cell>
          <cell r="P76" t="str">
            <v>3Q04</v>
          </cell>
          <cell r="Q76" t="str">
            <v>4Q04</v>
          </cell>
          <cell r="R76" t="str">
            <v>1Q05</v>
          </cell>
          <cell r="S76" t="str">
            <v>2Q05</v>
          </cell>
          <cell r="T76" t="str">
            <v>3Q05</v>
          </cell>
        </row>
        <row r="77">
          <cell r="E77" t="str">
            <v>Kellogg International- Net Sales Growth</v>
          </cell>
          <cell r="F77">
            <v>0.01</v>
          </cell>
          <cell r="G77">
            <v>0.04</v>
          </cell>
          <cell r="H77">
            <v>0.05</v>
          </cell>
          <cell r="I77">
            <v>0.04</v>
          </cell>
          <cell r="J77">
            <v>0.12</v>
          </cell>
          <cell r="K77">
            <v>0.14000000000000001</v>
          </cell>
          <cell r="L77">
            <v>0.14000000000000001</v>
          </cell>
          <cell r="M77">
            <v>0.15</v>
          </cell>
          <cell r="N77">
            <v>0.24</v>
          </cell>
          <cell r="O77">
            <v>0.09</v>
          </cell>
          <cell r="P77">
            <v>0.1</v>
          </cell>
          <cell r="Q77">
            <v>0.12</v>
          </cell>
          <cell r="R77">
            <v>0.08</v>
          </cell>
          <cell r="S77">
            <v>7.0000000000000007E-2</v>
          </cell>
          <cell r="T77">
            <v>0.04</v>
          </cell>
        </row>
        <row r="78">
          <cell r="E78" t="str">
            <v>Local currency net sales growth</v>
          </cell>
        </row>
        <row r="79">
          <cell r="F79" t="str">
            <v>1Q02</v>
          </cell>
          <cell r="G79" t="str">
            <v>2Q02</v>
          </cell>
          <cell r="H79" t="str">
            <v>3Q02</v>
          </cell>
          <cell r="I79" t="str">
            <v>4Q02</v>
          </cell>
          <cell r="J79" t="str">
            <v>1Q03</v>
          </cell>
          <cell r="K79" t="str">
            <v>2Q03</v>
          </cell>
          <cell r="L79" t="str">
            <v>3Q03</v>
          </cell>
          <cell r="M79" t="str">
            <v>4Q03</v>
          </cell>
          <cell r="N79" t="str">
            <v>1Q04</v>
          </cell>
          <cell r="O79" t="str">
            <v>2Q04</v>
          </cell>
          <cell r="P79" t="str">
            <v>3Q04</v>
          </cell>
          <cell r="Q79" t="str">
            <v>4Q04</v>
          </cell>
          <cell r="R79" t="str">
            <v>1Q05</v>
          </cell>
          <cell r="S79" t="str">
            <v>2Q05</v>
          </cell>
          <cell r="T79" t="str">
            <v>3Q05</v>
          </cell>
          <cell r="U79" t="str">
            <v>4Q05</v>
          </cell>
        </row>
        <row r="80">
          <cell r="E80" t="str">
            <v>Kellogg International- Internal Net Sales Growth</v>
          </cell>
          <cell r="F80">
            <v>8.9999999999999993E-3</v>
          </cell>
          <cell r="G80">
            <v>4.0190572878897601E-2</v>
          </cell>
          <cell r="H80">
            <v>4.9673685739181073E-2</v>
          </cell>
          <cell r="I80">
            <v>3.7894273127753397E-2</v>
          </cell>
          <cell r="J80">
            <v>0.05</v>
          </cell>
          <cell r="K80">
            <v>0.05</v>
          </cell>
          <cell r="L80">
            <v>7.0000000000000007E-2</v>
          </cell>
          <cell r="M80">
            <v>0.04</v>
          </cell>
          <cell r="N80">
            <v>0.1</v>
          </cell>
          <cell r="O80">
            <v>0.05</v>
          </cell>
          <cell r="P80">
            <v>0.04</v>
          </cell>
          <cell r="Q80">
            <v>0.02</v>
          </cell>
          <cell r="R80">
            <v>0.05</v>
          </cell>
          <cell r="S80">
            <v>0.03</v>
          </cell>
          <cell r="T80">
            <v>0.03</v>
          </cell>
          <cell r="U80">
            <v>0.03</v>
          </cell>
        </row>
        <row r="81">
          <cell r="E81" t="str">
            <v>Excludes currency impact, shipping days, acquisitions/ divestitures</v>
          </cell>
        </row>
        <row r="82">
          <cell r="F82" t="str">
            <v>1Q02</v>
          </cell>
          <cell r="G82" t="str">
            <v>2Q02</v>
          </cell>
          <cell r="H82" t="str">
            <v>3Q02</v>
          </cell>
          <cell r="I82" t="str">
            <v>4Q02</v>
          </cell>
          <cell r="J82" t="str">
            <v>1Q03</v>
          </cell>
          <cell r="K82" t="str">
            <v>2Q03</v>
          </cell>
          <cell r="L82" t="str">
            <v>3Q03</v>
          </cell>
          <cell r="M82" t="str">
            <v>4Q03</v>
          </cell>
          <cell r="N82" t="str">
            <v>1Q04</v>
          </cell>
          <cell r="O82" t="str">
            <v>2Q04</v>
          </cell>
          <cell r="P82" t="str">
            <v>3Q04</v>
          </cell>
          <cell r="Q82" t="str">
            <v>4Q04</v>
          </cell>
          <cell r="R82" t="str">
            <v>1Q05</v>
          </cell>
          <cell r="S82" t="str">
            <v>2Q05</v>
          </cell>
          <cell r="T82" t="str">
            <v>3Q05</v>
          </cell>
          <cell r="U82" t="str">
            <v>4Q05</v>
          </cell>
        </row>
        <row r="83">
          <cell r="E83" t="str">
            <v>Total Organic Operating Profit Growth</v>
          </cell>
          <cell r="F83">
            <v>2.5999999999999999E-2</v>
          </cell>
          <cell r="G83">
            <v>0.04</v>
          </cell>
          <cell r="H83">
            <v>0.14000000000000001</v>
          </cell>
          <cell r="I83">
            <v>0.05</v>
          </cell>
          <cell r="J83">
            <v>7.2999999999999995E-2</v>
          </cell>
          <cell r="K83">
            <v>9.1999999999999998E-2</v>
          </cell>
          <cell r="L83">
            <v>2.1999999999999999E-2</v>
          </cell>
          <cell r="M83">
            <v>-0.127</v>
          </cell>
          <cell r="N83">
            <v>0.16</v>
          </cell>
          <cell r="O83">
            <v>4.3999999999999997E-2</v>
          </cell>
          <cell r="P83">
            <v>3.6999999999999998E-2</v>
          </cell>
          <cell r="Q83">
            <v>-5.6000000000000001E-2</v>
          </cell>
          <cell r="R83">
            <v>0.1</v>
          </cell>
          <cell r="S83">
            <v>6.2E-2</v>
          </cell>
          <cell r="T83">
            <v>1.0999999999999999E-2</v>
          </cell>
          <cell r="U83">
            <v>3.5999999999999997E-2</v>
          </cell>
        </row>
        <row r="84">
          <cell r="E84" t="str">
            <v>Internal Growth; excludes currency effects and acquisition/ divestitures</v>
          </cell>
        </row>
        <row r="86">
          <cell r="F86" t="str">
            <v>1Q02</v>
          </cell>
          <cell r="G86" t="str">
            <v>2Q02</v>
          </cell>
          <cell r="H86" t="str">
            <v>3Q02</v>
          </cell>
          <cell r="I86" t="str">
            <v>4Q02</v>
          </cell>
          <cell r="J86" t="str">
            <v>1Q03</v>
          </cell>
          <cell r="K86" t="str">
            <v>2Q03</v>
          </cell>
          <cell r="L86" t="str">
            <v>3Q03</v>
          </cell>
          <cell r="M86" t="str">
            <v>4Q03</v>
          </cell>
          <cell r="N86" t="str">
            <v>1Q04</v>
          </cell>
          <cell r="O86" t="str">
            <v>2Q04</v>
          </cell>
          <cell r="P86" t="str">
            <v>3Q04</v>
          </cell>
          <cell r="Q86" t="str">
            <v>4Q04</v>
          </cell>
          <cell r="R86" t="str">
            <v>1Q05</v>
          </cell>
          <cell r="S86" t="str">
            <v>2Q05</v>
          </cell>
          <cell r="T86" t="str">
            <v>3Q05</v>
          </cell>
          <cell r="U86" t="str">
            <v>4Q05</v>
          </cell>
        </row>
        <row r="87">
          <cell r="E87" t="str">
            <v>Total US Operating Profit Growth</v>
          </cell>
          <cell r="F87">
            <v>0.11700000000000001</v>
          </cell>
          <cell r="G87">
            <v>9.6000000000000002E-2</v>
          </cell>
          <cell r="H87">
            <v>0.14000000000000001</v>
          </cell>
          <cell r="I87">
            <v>0.09</v>
          </cell>
          <cell r="J87">
            <v>0.02</v>
          </cell>
          <cell r="K87">
            <v>0.03</v>
          </cell>
          <cell r="L87">
            <v>3.1E-2</v>
          </cell>
          <cell r="M87">
            <v>-0.10199999999999999</v>
          </cell>
          <cell r="N87">
            <v>0.1</v>
          </cell>
          <cell r="O87">
            <v>5.3999999999999999E-2</v>
          </cell>
          <cell r="P87">
            <v>0.01</v>
          </cell>
          <cell r="Q87">
            <v>0.1</v>
          </cell>
          <cell r="R87">
            <v>0.11600000000000001</v>
          </cell>
          <cell r="S87">
            <v>0.09</v>
          </cell>
          <cell r="T87">
            <v>2.1999999999999999E-2</v>
          </cell>
        </row>
        <row r="88">
          <cell r="E88" t="str">
            <v>Internal operating Profit, excludes foreign currency translation, acquisitions, divestitures, shipping days, intergration impact</v>
          </cell>
        </row>
        <row r="90">
          <cell r="F90" t="str">
            <v>1Q03</v>
          </cell>
          <cell r="G90" t="str">
            <v>2Q03</v>
          </cell>
          <cell r="H90" t="str">
            <v>3Q03</v>
          </cell>
          <cell r="I90" t="str">
            <v>4Q03</v>
          </cell>
          <cell r="J90" t="str">
            <v>1Q04</v>
          </cell>
          <cell r="K90" t="str">
            <v>2Q04</v>
          </cell>
          <cell r="L90" t="str">
            <v>3Q04</v>
          </cell>
          <cell r="M90" t="str">
            <v>4Q04</v>
          </cell>
          <cell r="N90" t="str">
            <v>1Q05</v>
          </cell>
          <cell r="O90" t="str">
            <v>2Q05</v>
          </cell>
          <cell r="P90" t="str">
            <v>3Q05</v>
          </cell>
          <cell r="Q90" t="str">
            <v>4Q05</v>
          </cell>
        </row>
        <row r="91">
          <cell r="E91" t="str">
            <v>Underlying Operating Income Growth</v>
          </cell>
          <cell r="F91">
            <v>8.9879602446483145E-2</v>
          </cell>
          <cell r="G91">
            <v>0.12801893125671329</v>
          </cell>
          <cell r="H91">
            <v>0.13</v>
          </cell>
          <cell r="I91">
            <v>0.02</v>
          </cell>
          <cell r="J91">
            <v>0.17406114285714303</v>
          </cell>
          <cell r="K91">
            <v>5.9570782272587497E-2</v>
          </cell>
          <cell r="L91">
            <v>0.10793748118963542</v>
          </cell>
          <cell r="M91">
            <v>-5.7488636363636325E-2</v>
          </cell>
          <cell r="N91">
            <v>0.10045121370775822</v>
          </cell>
          <cell r="O91">
            <v>6.2160355839415926E-2</v>
          </cell>
          <cell r="P91">
            <v>1.1254159369527228E-2</v>
          </cell>
          <cell r="Q91">
            <v>3.6152037188952546E-2</v>
          </cell>
        </row>
        <row r="93">
          <cell r="A93" t="str">
            <v>Kellogg International- Internal Net Sales Growth</v>
          </cell>
          <cell r="H93" t="str">
            <v>US Retail Cereal: Dollar Share of Category</v>
          </cell>
        </row>
        <row r="94">
          <cell r="B94" t="str">
            <v>Europe</v>
          </cell>
          <cell r="C94" t="str">
            <v>Latam</v>
          </cell>
          <cell r="D94" t="str">
            <v>Others</v>
          </cell>
          <cell r="E94" t="str">
            <v>Total International</v>
          </cell>
        </row>
        <row r="95">
          <cell r="A95" t="str">
            <v>F2003</v>
          </cell>
          <cell r="B95">
            <v>1734.2</v>
          </cell>
          <cell r="C95">
            <v>645.70000000000005</v>
          </cell>
          <cell r="D95">
            <v>802.3</v>
          </cell>
          <cell r="E95">
            <v>3182.2</v>
          </cell>
          <cell r="H95">
            <v>2000</v>
          </cell>
          <cell r="I95">
            <v>0.312</v>
          </cell>
        </row>
        <row r="96">
          <cell r="A96" t="str">
            <v>F2002</v>
          </cell>
          <cell r="B96">
            <v>1469.9</v>
          </cell>
          <cell r="C96">
            <v>631.1</v>
          </cell>
          <cell r="D96">
            <v>677.8</v>
          </cell>
          <cell r="E96">
            <v>2778.8</v>
          </cell>
          <cell r="H96">
            <v>2001</v>
          </cell>
          <cell r="I96">
            <v>0.32100000000000001</v>
          </cell>
        </row>
        <row r="97">
          <cell r="A97" t="str">
            <v>Total Growth</v>
          </cell>
          <cell r="B97">
            <v>0.1798081502143003</v>
          </cell>
          <cell r="C97">
            <v>2.3134210109333031E-2</v>
          </cell>
          <cell r="D97">
            <v>0.18368250221304216</v>
          </cell>
          <cell r="E97">
            <v>0.1451705772275802</v>
          </cell>
          <cell r="H97">
            <v>2002</v>
          </cell>
          <cell r="I97">
            <v>0.32700000000000001</v>
          </cell>
        </row>
        <row r="98">
          <cell r="A98" t="str">
            <v>Internal</v>
          </cell>
          <cell r="B98">
            <v>2.9000000000000001E-2</v>
          </cell>
          <cell r="C98">
            <v>0.13300000000000001</v>
          </cell>
          <cell r="D98">
            <v>3.6999999999999998E-2</v>
          </cell>
          <cell r="H98">
            <v>2003</v>
          </cell>
          <cell r="I98">
            <v>0.32900000000000001</v>
          </cell>
        </row>
        <row r="99">
          <cell r="A99" t="str">
            <v>F2003 Internal</v>
          </cell>
          <cell r="B99">
            <v>1512.5271</v>
          </cell>
          <cell r="C99">
            <v>715.03629999999998</v>
          </cell>
          <cell r="D99">
            <v>702.87859999999989</v>
          </cell>
          <cell r="E99">
            <v>2930.442</v>
          </cell>
          <cell r="H99">
            <v>2004</v>
          </cell>
          <cell r="I99">
            <v>0.33300000000000002</v>
          </cell>
        </row>
        <row r="100">
          <cell r="E100">
            <v>5.4571037858068161E-2</v>
          </cell>
          <cell r="H100">
            <v>2005</v>
          </cell>
          <cell r="I100">
            <v>0.33700000000000002</v>
          </cell>
        </row>
        <row r="102">
          <cell r="A102" t="str">
            <v>1Q02</v>
          </cell>
          <cell r="B102">
            <v>325.8</v>
          </cell>
          <cell r="C102">
            <v>150.5</v>
          </cell>
          <cell r="D102">
            <v>158.69999999999999</v>
          </cell>
          <cell r="E102">
            <v>635</v>
          </cell>
          <cell r="H102" t="str">
            <v>Excluding Wal-Mart and extra week</v>
          </cell>
        </row>
        <row r="103">
          <cell r="A103" t="str">
            <v>1Q01</v>
          </cell>
          <cell r="B103">
            <v>330.4</v>
          </cell>
          <cell r="C103">
            <v>152.5</v>
          </cell>
          <cell r="D103">
            <v>162.4</v>
          </cell>
          <cell r="E103">
            <v>645.29999999999995</v>
          </cell>
          <cell r="H103" t="str">
            <v>Source: Company data; IRI data as of September 4, 2005; Morgan Stanley Research</v>
          </cell>
        </row>
        <row r="104">
          <cell r="A104" t="str">
            <v>Total Growth</v>
          </cell>
          <cell r="B104">
            <v>-1.3922518159806163E-2</v>
          </cell>
          <cell r="C104">
            <v>-1.3114754098360604E-2</v>
          </cell>
          <cell r="D104">
            <v>-2.2783251231527246E-2</v>
          </cell>
          <cell r="E104">
            <v>-1.5961568262823467E-2</v>
          </cell>
        </row>
        <row r="105">
          <cell r="A105" t="str">
            <v>Internal</v>
          </cell>
          <cell r="B105">
            <v>1.6E-2</v>
          </cell>
          <cell r="C105">
            <v>1E-3</v>
          </cell>
          <cell r="D105">
            <v>2E-3</v>
          </cell>
        </row>
        <row r="106">
          <cell r="A106" t="str">
            <v>1Q02 Internal</v>
          </cell>
          <cell r="B106">
            <v>335.68639999999999</v>
          </cell>
          <cell r="C106">
            <v>152.65249999999997</v>
          </cell>
          <cell r="D106">
            <v>162.72480000000002</v>
          </cell>
          <cell r="E106">
            <v>651.06369999999993</v>
          </cell>
        </row>
        <row r="107">
          <cell r="E107">
            <v>8.9318146598480475E-3</v>
          </cell>
        </row>
        <row r="109">
          <cell r="A109" t="str">
            <v>2Q02</v>
          </cell>
          <cell r="B109">
            <v>382.7</v>
          </cell>
          <cell r="C109">
            <v>169.6</v>
          </cell>
          <cell r="D109">
            <v>173.4</v>
          </cell>
          <cell r="E109">
            <v>725.69999999999993</v>
          </cell>
        </row>
        <row r="110">
          <cell r="A110" t="str">
            <v>2Q01</v>
          </cell>
          <cell r="B110">
            <v>345.2</v>
          </cell>
          <cell r="C110">
            <v>173.5</v>
          </cell>
          <cell r="D110">
            <v>170.8</v>
          </cell>
          <cell r="E110">
            <v>689.5</v>
          </cell>
        </row>
        <row r="111">
          <cell r="A111" t="str">
            <v>Total Growth</v>
          </cell>
          <cell r="B111">
            <v>0.10863267670915411</v>
          </cell>
          <cell r="C111">
            <v>-2.2478386167147035E-2</v>
          </cell>
          <cell r="D111">
            <v>1.5222482435597096E-2</v>
          </cell>
          <cell r="E111">
            <v>5.2501812907904233E-2</v>
          </cell>
        </row>
        <row r="112">
          <cell r="A112" t="str">
            <v>Internal</v>
          </cell>
          <cell r="B112">
            <v>5.0999999999999997E-2</v>
          </cell>
          <cell r="C112">
            <v>7.3999999999999996E-2</v>
          </cell>
          <cell r="D112">
            <v>-1.6E-2</v>
          </cell>
        </row>
        <row r="113">
          <cell r="A113" t="str">
            <v>2Q02 Internal</v>
          </cell>
          <cell r="B113">
            <v>362.80519999999996</v>
          </cell>
          <cell r="C113">
            <v>186.339</v>
          </cell>
          <cell r="D113">
            <v>168.06720000000001</v>
          </cell>
          <cell r="E113">
            <v>717.21139999999991</v>
          </cell>
        </row>
        <row r="114">
          <cell r="E114">
            <v>4.0190572878897601E-2</v>
          </cell>
        </row>
        <row r="116">
          <cell r="A116" t="str">
            <v>3Q02</v>
          </cell>
          <cell r="B116">
            <v>393.6</v>
          </cell>
          <cell r="C116">
            <v>160.5</v>
          </cell>
          <cell r="D116">
            <v>177</v>
          </cell>
          <cell r="E116">
            <v>731.1</v>
          </cell>
        </row>
        <row r="117">
          <cell r="A117" t="str">
            <v>3Q01</v>
          </cell>
          <cell r="B117">
            <v>360.4</v>
          </cell>
          <cell r="C117">
            <v>164.7</v>
          </cell>
          <cell r="D117">
            <v>163.5</v>
          </cell>
          <cell r="E117">
            <v>688.59999999999991</v>
          </cell>
        </row>
        <row r="118">
          <cell r="A118" t="str">
            <v>Total Growth</v>
          </cell>
          <cell r="B118">
            <v>9.2119866814650564E-2</v>
          </cell>
          <cell r="C118">
            <v>-2.5500910746812266E-2</v>
          </cell>
          <cell r="D118">
            <v>8.256880733944949E-2</v>
          </cell>
          <cell r="E118">
            <v>6.1719430729015645E-2</v>
          </cell>
        </row>
        <row r="119">
          <cell r="A119" t="str">
            <v>Internal</v>
          </cell>
          <cell r="B119">
            <v>1.7000000000000001E-2</v>
          </cell>
          <cell r="C119">
            <v>0.1</v>
          </cell>
          <cell r="D119">
            <v>7.0999999999999994E-2</v>
          </cell>
        </row>
        <row r="120">
          <cell r="A120" t="str">
            <v>3Q02 Internal</v>
          </cell>
          <cell r="B120">
            <v>366.52679999999992</v>
          </cell>
          <cell r="C120">
            <v>181.17000000000002</v>
          </cell>
          <cell r="D120">
            <v>175.10849999999999</v>
          </cell>
          <cell r="E120">
            <v>722.80529999999999</v>
          </cell>
        </row>
        <row r="121">
          <cell r="E121">
            <v>4.9673685739181073E-2</v>
          </cell>
        </row>
        <row r="123">
          <cell r="A123" t="str">
            <v>4Q02</v>
          </cell>
          <cell r="B123">
            <v>367.69999999999976</v>
          </cell>
          <cell r="C123">
            <v>150.5</v>
          </cell>
          <cell r="D123">
            <v>168.7</v>
          </cell>
          <cell r="E123">
            <v>686.89999999999986</v>
          </cell>
        </row>
        <row r="124">
          <cell r="A124" t="str">
            <v>4Q01</v>
          </cell>
          <cell r="B124">
            <v>324.70000000000016</v>
          </cell>
          <cell r="C124">
            <v>159.30000000000001</v>
          </cell>
          <cell r="D124">
            <v>151.59999999999994</v>
          </cell>
          <cell r="E124">
            <v>635.60000000000014</v>
          </cell>
        </row>
        <row r="125">
          <cell r="A125" t="str">
            <v>Total Growth</v>
          </cell>
          <cell r="B125">
            <v>0.13242993532491409</v>
          </cell>
          <cell r="C125">
            <v>-5.524168236032645E-2</v>
          </cell>
          <cell r="D125">
            <v>0.11279683377308736</v>
          </cell>
          <cell r="E125">
            <v>8.071113908118277E-2</v>
          </cell>
        </row>
        <row r="126">
          <cell r="A126" t="str">
            <v>Internal</v>
          </cell>
          <cell r="B126">
            <v>1.1205420388051168E-2</v>
          </cell>
          <cell r="C126">
            <v>8.8440050219710686E-2</v>
          </cell>
          <cell r="D126">
            <v>4.1943931398417122E-2</v>
          </cell>
        </row>
        <row r="127">
          <cell r="A127" t="str">
            <v>4Q02 Internal</v>
          </cell>
          <cell r="B127">
            <v>328.33840000000038</v>
          </cell>
          <cell r="C127">
            <v>173.38849999999991</v>
          </cell>
          <cell r="D127">
            <v>157.95869999999996</v>
          </cell>
          <cell r="E127">
            <v>659.68560000000025</v>
          </cell>
        </row>
        <row r="128">
          <cell r="E128">
            <v>3.7894273127753397E-2</v>
          </cell>
        </row>
        <row r="129">
          <cell r="A129" t="str">
            <v>F02 Internal Growth</v>
          </cell>
          <cell r="B129">
            <v>2.4E-2</v>
          </cell>
          <cell r="C129">
            <v>6.7000000000000004E-2</v>
          </cell>
          <cell r="D129">
            <v>2.4E-2</v>
          </cell>
        </row>
        <row r="130">
          <cell r="A130" t="str">
            <v>F02 Internal Sales</v>
          </cell>
          <cell r="B130">
            <v>1393.3568000000002</v>
          </cell>
          <cell r="C130">
            <v>693.55</v>
          </cell>
          <cell r="D130">
            <v>663.85919999999999</v>
          </cell>
        </row>
        <row r="135">
          <cell r="A135" t="str">
            <v>2004 Business Mix</v>
          </cell>
        </row>
        <row r="136">
          <cell r="C136" t="str">
            <v>Operating Profit</v>
          </cell>
          <cell r="D136" t="str">
            <v>Operating</v>
          </cell>
          <cell r="F136" t="str">
            <v>Sales</v>
          </cell>
          <cell r="I136" t="str">
            <v>Operating Income</v>
          </cell>
          <cell r="L136" t="str">
            <v>Up-front costs</v>
          </cell>
          <cell r="N136" t="str">
            <v>Op Income ex. up-front costs</v>
          </cell>
        </row>
        <row r="137">
          <cell r="B137" t="str">
            <v>Sales</v>
          </cell>
          <cell r="C137" t="str">
            <v>ex. up-front costs</v>
          </cell>
          <cell r="D137" t="str">
            <v>Margin</v>
          </cell>
          <cell r="F137" t="str">
            <v>2Q05</v>
          </cell>
          <cell r="G137">
            <v>2004</v>
          </cell>
          <cell r="I137" t="str">
            <v>2Q05</v>
          </cell>
          <cell r="J137">
            <v>2004</v>
          </cell>
          <cell r="K137" t="str">
            <v>Margin</v>
          </cell>
          <cell r="L137" t="str">
            <v>2Q05</v>
          </cell>
          <cell r="M137">
            <v>2004</v>
          </cell>
          <cell r="N137" t="str">
            <v>2Q05</v>
          </cell>
          <cell r="O137">
            <v>2004</v>
          </cell>
          <cell r="P137" t="str">
            <v>Margin</v>
          </cell>
        </row>
        <row r="138">
          <cell r="A138" t="str">
            <v>North America</v>
          </cell>
          <cell r="B138">
            <v>0.66250949146548233</v>
          </cell>
          <cell r="C138">
            <v>0.68406327343161522</v>
          </cell>
          <cell r="D138">
            <v>0.19961377231406907</v>
          </cell>
          <cell r="F138">
            <v>1706.6</v>
          </cell>
          <cell r="G138">
            <v>6369.3</v>
          </cell>
          <cell r="I138">
            <v>329.3</v>
          </cell>
          <cell r="J138">
            <v>1240.4000000000001</v>
          </cell>
          <cell r="K138">
            <v>0.19295675612328608</v>
          </cell>
          <cell r="L138">
            <v>20</v>
          </cell>
          <cell r="M138">
            <v>31</v>
          </cell>
          <cell r="N138">
            <v>349.3</v>
          </cell>
          <cell r="O138">
            <v>1271.4000000000001</v>
          </cell>
          <cell r="P138">
            <v>0.19961377231406907</v>
          </cell>
        </row>
        <row r="139">
          <cell r="A139" t="str">
            <v>Europe</v>
          </cell>
          <cell r="B139">
            <v>0.20879143739793424</v>
          </cell>
          <cell r="C139">
            <v>0.1734100936188529</v>
          </cell>
          <cell r="D139">
            <v>0.16056394161311216</v>
          </cell>
          <cell r="F139">
            <v>535.9</v>
          </cell>
          <cell r="G139">
            <v>2007.3</v>
          </cell>
          <cell r="I139">
            <v>95.9</v>
          </cell>
          <cell r="J139">
            <v>292.3</v>
          </cell>
          <cell r="K139">
            <v>0.17895129688374697</v>
          </cell>
          <cell r="M139">
            <v>30</v>
          </cell>
          <cell r="N139">
            <v>95.9</v>
          </cell>
          <cell r="O139">
            <v>322.3</v>
          </cell>
          <cell r="P139">
            <v>0.16056394161311216</v>
          </cell>
        </row>
        <row r="140">
          <cell r="A140" t="str">
            <v>Latin America</v>
          </cell>
          <cell r="B140">
            <v>7.468353113720759E-2</v>
          </cell>
          <cell r="C140">
            <v>9.9752501883137848E-2</v>
          </cell>
          <cell r="D140">
            <v>0.25821727019498608</v>
          </cell>
          <cell r="F140">
            <v>208.5</v>
          </cell>
          <cell r="G140">
            <v>718</v>
          </cell>
          <cell r="I140">
            <v>52.4</v>
          </cell>
          <cell r="J140">
            <v>185.4</v>
          </cell>
          <cell r="K140">
            <v>0.2513189448441247</v>
          </cell>
          <cell r="N140">
            <v>52.4</v>
          </cell>
          <cell r="O140">
            <v>185.4</v>
          </cell>
          <cell r="P140">
            <v>0.25821727019498608</v>
          </cell>
        </row>
        <row r="141">
          <cell r="A141" t="str">
            <v>Asia- Pacific</v>
          </cell>
          <cell r="B141">
            <v>5.4015539999375903E-2</v>
          </cell>
          <cell r="C141">
            <v>4.2774131066394057E-2</v>
          </cell>
          <cell r="D141">
            <v>0.15309069901790873</v>
          </cell>
          <cell r="F141">
            <v>136.19999999999999</v>
          </cell>
          <cell r="G141">
            <v>519.29999999999995</v>
          </cell>
          <cell r="I141">
            <v>22.5</v>
          </cell>
          <cell r="J141">
            <v>79.5</v>
          </cell>
          <cell r="K141">
            <v>0.16519823788546256</v>
          </cell>
          <cell r="N141">
            <v>22.5</v>
          </cell>
          <cell r="O141">
            <v>79.5</v>
          </cell>
          <cell r="P141">
            <v>0.15309069901790873</v>
          </cell>
        </row>
        <row r="142">
          <cell r="A142" t="str">
            <v>Total</v>
          </cell>
          <cell r="B142">
            <v>1</v>
          </cell>
          <cell r="C142">
            <v>1.0000000000000002</v>
          </cell>
          <cell r="D142">
            <v>0.1933242492640864</v>
          </cell>
          <cell r="F142">
            <v>2587.1999999999998</v>
          </cell>
          <cell r="G142">
            <v>9613.9</v>
          </cell>
          <cell r="I142">
            <v>500.1</v>
          </cell>
          <cell r="J142">
            <v>1797.6000000000001</v>
          </cell>
          <cell r="K142">
            <v>0.19329777365491654</v>
          </cell>
          <cell r="N142">
            <v>520.1</v>
          </cell>
          <cell r="O142">
            <v>1858.6000000000001</v>
          </cell>
          <cell r="P142">
            <v>0.1933242492640864</v>
          </cell>
        </row>
        <row r="145">
          <cell r="F145" t="str">
            <v>Internal Organic Net Sales Growth</v>
          </cell>
        </row>
        <row r="146">
          <cell r="F146" t="str">
            <v>1Q02</v>
          </cell>
          <cell r="G146" t="str">
            <v>2Q02</v>
          </cell>
          <cell r="H146" t="str">
            <v>3Q02</v>
          </cell>
          <cell r="I146" t="str">
            <v>4Q02</v>
          </cell>
          <cell r="J146" t="str">
            <v>1Q03</v>
          </cell>
          <cell r="K146" t="str">
            <v>2Q03</v>
          </cell>
          <cell r="L146" t="str">
            <v>3Q03</v>
          </cell>
          <cell r="M146" t="str">
            <v>4Q03</v>
          </cell>
          <cell r="N146" t="str">
            <v>1Q04</v>
          </cell>
          <cell r="O146" t="str">
            <v>2Q04</v>
          </cell>
          <cell r="P146" t="str">
            <v>3Q04</v>
          </cell>
          <cell r="Q146" t="str">
            <v>4Q04</v>
          </cell>
          <cell r="R146" t="str">
            <v>1Q05</v>
          </cell>
          <cell r="S146" t="str">
            <v>2Q05</v>
          </cell>
          <cell r="T146" t="str">
            <v>3Q05</v>
          </cell>
          <cell r="U146" t="str">
            <v>4Q05</v>
          </cell>
        </row>
        <row r="147">
          <cell r="E147" t="str">
            <v>Volume</v>
          </cell>
          <cell r="F147">
            <v>4.0000000000000001E-3</v>
          </cell>
          <cell r="G147">
            <v>3.0000000000000001E-3</v>
          </cell>
          <cell r="H147">
            <v>8.0000000000000002E-3</v>
          </cell>
          <cell r="I147">
            <v>-2.5000000000000001E-2</v>
          </cell>
          <cell r="J147">
            <v>1E-3</v>
          </cell>
          <cell r="K147">
            <v>-1.2999999999999999E-2</v>
          </cell>
          <cell r="L147">
            <v>4.0000000000000001E-3</v>
          </cell>
          <cell r="M147">
            <v>8.0000000000000002E-3</v>
          </cell>
          <cell r="N147">
            <v>2.7E-2</v>
          </cell>
          <cell r="O147">
            <v>1.4E-2</v>
          </cell>
          <cell r="P147">
            <v>1.7999999999999999E-2</v>
          </cell>
          <cell r="Q147">
            <v>2.5000000000000001E-2</v>
          </cell>
          <cell r="R147">
            <v>0.04</v>
          </cell>
          <cell r="S147">
            <v>4.7E-2</v>
          </cell>
          <cell r="T147">
            <v>5.5E-2</v>
          </cell>
          <cell r="U147">
            <v>3.9E-2</v>
          </cell>
        </row>
        <row r="148">
          <cell r="E148" t="str">
            <v>Price/ Mix</v>
          </cell>
          <cell r="F148">
            <v>0.04</v>
          </cell>
          <cell r="G148">
            <v>3.9E-2</v>
          </cell>
          <cell r="H148">
            <v>4.8000000000000001E-2</v>
          </cell>
          <cell r="I148">
            <v>3.6999999999999998E-2</v>
          </cell>
          <cell r="J148">
            <v>3.3000000000000002E-2</v>
          </cell>
          <cell r="K148">
            <v>4.8000000000000001E-2</v>
          </cell>
          <cell r="L148">
            <v>4.1000000000000002E-2</v>
          </cell>
          <cell r="M148">
            <v>3.1E-2</v>
          </cell>
          <cell r="N148">
            <v>3.7999999999999999E-2</v>
          </cell>
          <cell r="O148">
            <v>3.2000000000000001E-2</v>
          </cell>
          <cell r="P148">
            <v>0.03</v>
          </cell>
          <cell r="Q148">
            <v>1.7999999999999999E-2</v>
          </cell>
          <cell r="R148">
            <v>2.3E-2</v>
          </cell>
          <cell r="S148">
            <v>1.9E-2</v>
          </cell>
          <cell r="T148">
            <v>1.0999999999999999E-2</v>
          </cell>
          <cell r="U148">
            <v>2.1999999999999999E-2</v>
          </cell>
        </row>
        <row r="149">
          <cell r="E149" t="str">
            <v>Internal Organic Sales Growth</v>
          </cell>
          <cell r="F149">
            <v>4.3999999999999997E-2</v>
          </cell>
          <cell r="G149">
            <v>4.2000000000000003E-2</v>
          </cell>
          <cell r="H149">
            <v>5.6000000000000001E-2</v>
          </cell>
          <cell r="I149">
            <v>1.1999999999999997E-2</v>
          </cell>
          <cell r="J149">
            <v>3.4000000000000002E-2</v>
          </cell>
          <cell r="K149">
            <v>3.5000000000000003E-2</v>
          </cell>
          <cell r="L149">
            <v>4.4999999999999998E-2</v>
          </cell>
          <cell r="M149">
            <v>3.9E-2</v>
          </cell>
          <cell r="N149">
            <v>6.5000000000000002E-2</v>
          </cell>
          <cell r="O149">
            <v>4.5999999999999999E-2</v>
          </cell>
          <cell r="P149">
            <v>4.8000000000000001E-2</v>
          </cell>
          <cell r="Q149">
            <v>4.2999999999999997E-2</v>
          </cell>
          <cell r="R149">
            <v>6.3E-2</v>
          </cell>
          <cell r="S149">
            <v>6.6000000000000003E-2</v>
          </cell>
          <cell r="T149">
            <v>6.6000000000000003E-2</v>
          </cell>
          <cell r="U149">
            <v>6.0999999999999999E-2</v>
          </cell>
        </row>
        <row r="150">
          <cell r="F150" t="str">
            <v>TRUE</v>
          </cell>
          <cell r="G150" t="str">
            <v>TRUE</v>
          </cell>
          <cell r="H150" t="str">
            <v>TRUE</v>
          </cell>
          <cell r="I150" t="str">
            <v>TRUE</v>
          </cell>
          <cell r="J150" t="str">
            <v>TRUE</v>
          </cell>
          <cell r="K150" t="str">
            <v>TRUE</v>
          </cell>
          <cell r="L150" t="str">
            <v>TRUE</v>
          </cell>
          <cell r="M150" t="str">
            <v>TRUE</v>
          </cell>
          <cell r="N150" t="str">
            <v>TRUE</v>
          </cell>
          <cell r="O150" t="str">
            <v>TRUE</v>
          </cell>
          <cell r="P150" t="str">
            <v>TRUE</v>
          </cell>
          <cell r="Q150" t="str">
            <v>TRUE</v>
          </cell>
          <cell r="R150" t="str">
            <v>TRUE</v>
          </cell>
          <cell r="S150" t="str">
            <v>TRUE</v>
          </cell>
          <cell r="T150" t="str">
            <v>TRUE</v>
          </cell>
        </row>
        <row r="151">
          <cell r="E151" t="str">
            <v>Check</v>
          </cell>
          <cell r="F151">
            <v>4.3999999999999997E-2</v>
          </cell>
          <cell r="G151">
            <v>4.2000000000000003E-2</v>
          </cell>
          <cell r="H151">
            <v>5.6000000000000001E-2</v>
          </cell>
          <cell r="I151">
            <v>1.1999999999999997E-2</v>
          </cell>
          <cell r="J151">
            <v>3.4000000000000002E-2</v>
          </cell>
          <cell r="K151">
            <v>3.5000000000000003E-2</v>
          </cell>
          <cell r="L151">
            <v>4.4999999999999998E-2</v>
          </cell>
          <cell r="M151">
            <v>3.7999999999999999E-2</v>
          </cell>
          <cell r="N151">
            <v>6.5000000000000002E-2</v>
          </cell>
          <cell r="O151">
            <v>4.5999999999999999E-2</v>
          </cell>
          <cell r="P151">
            <v>4.8000000000000001E-2</v>
          </cell>
          <cell r="Q151">
            <v>4.2999999999999997E-2</v>
          </cell>
          <cell r="R151">
            <v>6.3E-2</v>
          </cell>
          <cell r="S151">
            <v>6.6000000000000003E-2</v>
          </cell>
          <cell r="T151">
            <v>6.6000000000000003E-2</v>
          </cell>
        </row>
        <row r="155">
          <cell r="F155">
            <v>1999</v>
          </cell>
          <cell r="G155">
            <v>2000</v>
          </cell>
          <cell r="H155">
            <v>2001</v>
          </cell>
          <cell r="I155">
            <v>2002</v>
          </cell>
          <cell r="J155">
            <v>2003</v>
          </cell>
          <cell r="K155">
            <v>2004</v>
          </cell>
          <cell r="L155">
            <v>2005</v>
          </cell>
        </row>
        <row r="156">
          <cell r="E156" t="str">
            <v>US Retail Cereal- $ Share of Category</v>
          </cell>
          <cell r="F156">
            <v>0.308</v>
          </cell>
          <cell r="G156">
            <v>0.312</v>
          </cell>
          <cell r="H156">
            <v>0.32</v>
          </cell>
          <cell r="I156">
            <v>0.32700000000000001</v>
          </cell>
          <cell r="J156">
            <v>0.32900000000000001</v>
          </cell>
          <cell r="K156">
            <v>0.33300000000000002</v>
          </cell>
          <cell r="L156">
            <v>0.33700000000000002</v>
          </cell>
        </row>
        <row r="158">
          <cell r="F158" t="str">
            <v>1Q03</v>
          </cell>
          <cell r="G158" t="str">
            <v>2Q03</v>
          </cell>
          <cell r="H158" t="str">
            <v>3Q03</v>
          </cell>
          <cell r="I158" t="str">
            <v>4Q03</v>
          </cell>
          <cell r="J158" t="str">
            <v>1Q04</v>
          </cell>
          <cell r="K158" t="str">
            <v>2Q04</v>
          </cell>
          <cell r="L158" t="str">
            <v>3Q04</v>
          </cell>
          <cell r="M158" t="str">
            <v>4Q04</v>
          </cell>
          <cell r="N158" t="str">
            <v>1Q05</v>
          </cell>
          <cell r="O158" t="str">
            <v>2Q05</v>
          </cell>
          <cell r="P158" t="str">
            <v>3Q05</v>
          </cell>
          <cell r="Q158" t="str">
            <v>4Q05</v>
          </cell>
        </row>
        <row r="159">
          <cell r="E159" t="str">
            <v>Underlying operating income growth ex up-front costs</v>
          </cell>
          <cell r="F159">
            <v>9.2092326505655686E-2</v>
          </cell>
          <cell r="G159">
            <v>0.11649814520402746</v>
          </cell>
          <cell r="H159">
            <v>3.5355766944113798E-2</v>
          </cell>
          <cell r="I159">
            <v>-2.9487049263585807E-2</v>
          </cell>
          <cell r="J159">
            <v>0.16112291607798834</v>
          </cell>
          <cell r="K159">
            <v>5.4092053134467522E-2</v>
          </cell>
          <cell r="L159">
            <v>8.3148936170212462E-2</v>
          </cell>
          <cell r="M159">
            <v>-5.0737893927748301E-2</v>
          </cell>
          <cell r="N159">
            <v>0.14028331780055914</v>
          </cell>
          <cell r="O159">
            <v>5.9448298429319202E-2</v>
          </cell>
          <cell r="P159">
            <v>-6.2172476078075078E-3</v>
          </cell>
          <cell r="Q159">
            <v>-1.9381015299896553E-2</v>
          </cell>
        </row>
        <row r="162">
          <cell r="F162" t="str">
            <v>1Q03</v>
          </cell>
          <cell r="G162" t="str">
            <v>2Q03</v>
          </cell>
          <cell r="H162" t="str">
            <v>3Q03</v>
          </cell>
          <cell r="I162" t="str">
            <v>4Q03</v>
          </cell>
          <cell r="J162" t="str">
            <v>1Q04</v>
          </cell>
          <cell r="K162" t="str">
            <v>2Q04</v>
          </cell>
          <cell r="L162" t="str">
            <v>3Q04</v>
          </cell>
          <cell r="M162" t="str">
            <v>4Q04</v>
          </cell>
          <cell r="N162" t="str">
            <v>1Q05</v>
          </cell>
          <cell r="O162" t="str">
            <v>2Q05</v>
          </cell>
          <cell r="P162" t="str">
            <v>3Q05</v>
          </cell>
          <cell r="Q162" t="str">
            <v>4Q05</v>
          </cell>
        </row>
        <row r="163">
          <cell r="E163" t="str">
            <v>Underlying operating income growth ex all one-time costs</v>
          </cell>
          <cell r="F163">
            <v>9.2092326505655686E-2</v>
          </cell>
          <cell r="G163">
            <v>0.11649814520402746</v>
          </cell>
          <cell r="H163">
            <v>3.5355766944113798E-2</v>
          </cell>
          <cell r="I163">
            <v>2.5363128491619813E-2</v>
          </cell>
          <cell r="J163">
            <v>0.16112291607798834</v>
          </cell>
          <cell r="K163">
            <v>5.4092053134467522E-2</v>
          </cell>
          <cell r="L163">
            <v>0.10668899954730615</v>
          </cell>
          <cell r="M163">
            <v>-7.7453265355669321E-2</v>
          </cell>
          <cell r="N163">
            <v>0.16125256290773526</v>
          </cell>
          <cell r="O163">
            <v>8.998931064572413E-2</v>
          </cell>
          <cell r="P163">
            <v>-2.6921054949311518E-2</v>
          </cell>
          <cell r="Q163">
            <v>-7.7555469582602621E-2</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 sheetId="45"/>
      <sheetData sheetId="46"/>
      <sheetData sheetId="47"/>
      <sheetData sheetId="48"/>
      <sheetData sheetId="49"/>
      <sheetData sheetId="50"/>
      <sheetData sheetId="51" refreshError="1"/>
      <sheetData sheetId="52" refreshError="1"/>
      <sheetData sheetId="53" refreshError="1"/>
      <sheetData sheetId="54" refreshError="1"/>
      <sheetData sheetId="5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overage"/>
      <sheetName val="Sheet1"/>
      <sheetName val="Total_Food_Data"/>
      <sheetName val="Total_MS_Food (2)"/>
      <sheetName val="Total_MS_Food (3)"/>
      <sheetName val="Total_Food_PL_Data"/>
      <sheetName val="Total_Food_Branded_Data"/>
      <sheetName val="Total_Food_Sales (3)"/>
      <sheetName val="Total_Food_Promo"/>
      <sheetName val="MDLZ_Data"/>
      <sheetName val="KRFT_Data"/>
      <sheetName val="KFT_Data"/>
      <sheetName val="GIS_Data (2)"/>
      <sheetName val="CPB_Data"/>
      <sheetName val="HSY_Data"/>
      <sheetName val="GIS_Data"/>
      <sheetName val="K_Data"/>
      <sheetName val="HNZ_Data"/>
      <sheetName val="MJN_Data"/>
      <sheetName val="DF_Data"/>
      <sheetName val="Hain Data"/>
      <sheetName val="MKC_Data"/>
      <sheetName val="Cereal_RTE_Data"/>
      <sheetName val="Chocolate_Data"/>
      <sheetName val="Sliced Lunch Meat_Data"/>
      <sheetName val="Coffee_Data"/>
      <sheetName val="Cookies_Data"/>
      <sheetName val="Crackers_Data"/>
      <sheetName val="Frozen_Dinners_Data"/>
      <sheetName val="Frozen_Potatoes_Data"/>
      <sheetName val="Infant_Formula_Data"/>
      <sheetName val="Ketchup_Data"/>
      <sheetName val="Snack_Bars_Data"/>
      <sheetName val="Soup_Data"/>
      <sheetName val="Yogurt_Data"/>
      <sheetName val="Potato_Chips_Data"/>
      <sheetName val="Baking_Mixes_Data"/>
      <sheetName val="Frozen_Vegetables_Data"/>
      <sheetName val="Pickles_Data"/>
      <sheetName val="Milk_Data"/>
      <sheetName val="Soy Milk_Data"/>
      <sheetName val="Packaged Milk &amp; Modifiers Data"/>
      <sheetName val="Fresh Cream Data"/>
      <sheetName val="Refrig_Juices_Data"/>
      <sheetName val="Salad Dressing Liquid"/>
      <sheetName val="Total_MS_Food"/>
      <sheetName val="Total_Food_Sales"/>
      <sheetName val="Total_Food_Sales_2yr"/>
      <sheetName val="Total_Food_PL (2)"/>
      <sheetName val="Total_Food_PL"/>
      <sheetName val="Total_Food_Sales (2)"/>
      <sheetName val="Total_Food_PL_Gaps"/>
      <sheetName val="Total_Food_PL_Gaps (2)"/>
      <sheetName val="CPB"/>
      <sheetName val="CPB_2yr"/>
      <sheetName val="HSY"/>
      <sheetName val="HSY_2yr"/>
      <sheetName val="MDLZ_2yr"/>
      <sheetName val="MDLZ"/>
      <sheetName val="KRFT_2yr"/>
      <sheetName val="KRFT"/>
      <sheetName val="KFT"/>
      <sheetName val="KFT_2yr"/>
      <sheetName val="K"/>
      <sheetName val="K_2yr"/>
      <sheetName val="HNZ"/>
      <sheetName val="HNZ (2)"/>
      <sheetName val="HNZ_2yr"/>
      <sheetName val="GIS"/>
      <sheetName val="GIS_2yr"/>
      <sheetName val="MJN"/>
      <sheetName val="MJN_2yr"/>
      <sheetName val="DF_2yr"/>
      <sheetName val="DF"/>
      <sheetName val="IS Quarterly"/>
      <sheetName val="US Grocery Brands"/>
      <sheetName val="C2500"/>
      <sheetName val="Quarterly Leverage"/>
      <sheetName val="C3400 (2)"/>
      <sheetName val="Pricing Impact"/>
      <sheetName val="FX Impact EPS"/>
      <sheetName val="C1071"/>
      <sheetName val="Sheet6"/>
      <sheetName val="Russia - PM Premium Vol Growth"/>
      <sheetName val="L2005"/>
      <sheetName val="Pricing"/>
      <sheetName val="EU Price Gaps"/>
      <sheetName val="Quarterly Repo"/>
      <sheetName val="Organic Volume-OCI Growth"/>
      <sheetName val="Sheet2"/>
      <sheetName val="Key Market share summary"/>
      <sheetName val="L2005 (3)"/>
      <sheetName val="Regional Mix by Company"/>
      <sheetName val="Org Growth"/>
      <sheetName val="Volume Decline Market Breakdown"/>
      <sheetName val="Organic Volume-OCI Growth (2)"/>
      <sheetName val="C1001"/>
      <sheetName val="OCI Split By Region"/>
      <sheetName val="Cash Returns Chart"/>
      <sheetName val="Annual Repo"/>
      <sheetName val="Org Growth (2)"/>
      <sheetName val="Share Growth Contribution"/>
      <sheetName val="FX EBIT Impact"/>
      <sheetName val="C3400 (3)"/>
      <sheetName val="Initiation charts"/>
      <sheetName val="Sheet5"/>
      <sheetName val="PM Overall SOM"/>
      <sheetName val="Leverage Calcs_Reported"/>
      <sheetName val="FX Impact EPS v2"/>
      <sheetName val="Competitor Leverage"/>
      <sheetName val="Top 10 Markets"/>
      <sheetName val="L2005 (2)"/>
      <sheetName val="Russia - PMI Premium &amp; Overall"/>
      <sheetName val="Organic EBIT data"/>
      <sheetName val="Reg'l Share Changes - Chart"/>
      <sheetName val="Div Increase"/>
      <sheetName val="PMI_Germany"/>
      <sheetName val="FCF-Dividends"/>
      <sheetName val="1H10 Volume Decline Chart"/>
      <sheetName val="PM Market Volume-Share Details"/>
      <sheetName val="Share Graph"/>
      <sheetName val="Sheet3"/>
      <sheetName val="FOR NOTE"/>
      <sheetName val="Sheet4"/>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refreshError="1"/>
      <sheetData sheetId="55" refreshError="1"/>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overage"/>
      <sheetName val="Sheet1"/>
      <sheetName val="Total_Food_Data"/>
      <sheetName val="Total_MS_Food (2)"/>
      <sheetName val="Total_MS_Food (3)"/>
      <sheetName val="Total_Food_PL_Data"/>
      <sheetName val="Total_Food_Branded_Data"/>
      <sheetName val="Total_Food_Sales (3)"/>
      <sheetName val="Total_Food_Promo"/>
      <sheetName val="MDLZ_Data"/>
      <sheetName val="KRFT_Data"/>
      <sheetName val="KFT_Data"/>
      <sheetName val="GIS_Data (2)"/>
      <sheetName val="CPB_Data"/>
      <sheetName val="HSY_Data"/>
      <sheetName val="GIS_Data"/>
      <sheetName val="K_Data"/>
      <sheetName val="HNZ_Data"/>
      <sheetName val="MJN_Data"/>
      <sheetName val="DF_Data"/>
      <sheetName val="Hain Data"/>
      <sheetName val="MKC_Data"/>
      <sheetName val="Cereal_RTE_Data"/>
      <sheetName val="Chocolate_Data"/>
      <sheetName val="Sliced Lunch Meat_Data"/>
      <sheetName val="Coffee_Data"/>
      <sheetName val="Cookies_Data"/>
      <sheetName val="Crackers_Data"/>
      <sheetName val="Frozen_Dinners_Data"/>
      <sheetName val="Frozen_Potatoes_Data"/>
      <sheetName val="Infant_Formula_Data"/>
      <sheetName val="Ketchup_Data"/>
      <sheetName val="Snack_Bars_Data"/>
      <sheetName val="Soup_Data"/>
      <sheetName val="Yogurt_Data"/>
      <sheetName val="Potato_Chips_Data"/>
      <sheetName val="Baking_Mixes_Data"/>
      <sheetName val="Frozen_Vegetables_Data"/>
      <sheetName val="Pickles_Data"/>
      <sheetName val="Milk_Data"/>
      <sheetName val="Soy Milk_Data"/>
      <sheetName val="Packaged Milk &amp; Modifiers Data"/>
      <sheetName val="Fresh Cream Data"/>
      <sheetName val="Refrig_Juices_Data"/>
      <sheetName val="Salad Dressing Liquid"/>
      <sheetName val="Total_MS_Food"/>
      <sheetName val="Total_Food_Sales"/>
      <sheetName val="Total_Food_Sales_2yr"/>
      <sheetName val="Total_Food_PL (2)"/>
      <sheetName val="Total_Food_PL"/>
      <sheetName val="Total_Food_Sales (2)"/>
      <sheetName val="Total_Food_PL_Gaps"/>
      <sheetName val="Total_Food_PL_Gaps (2)"/>
      <sheetName val="CPB"/>
      <sheetName val="CPB_2yr"/>
      <sheetName val="HSY"/>
      <sheetName val="HSY_2yr"/>
      <sheetName val="MDLZ_2yr"/>
      <sheetName val="MDLZ"/>
      <sheetName val="KRFT_2yr"/>
      <sheetName val="KRFT"/>
      <sheetName val="KFT"/>
      <sheetName val="KFT_2yr"/>
      <sheetName val="K"/>
      <sheetName val="K_2yr"/>
      <sheetName val="HNZ"/>
      <sheetName val="HNZ (2)"/>
      <sheetName val="HNZ_2yr"/>
      <sheetName val="GIS"/>
      <sheetName val="GIS_2yr"/>
      <sheetName val="MJN"/>
      <sheetName val="MJN_2yr"/>
      <sheetName val="DF_2yr"/>
      <sheetName val="DF"/>
      <sheetName val="IS Quarterly"/>
      <sheetName val="US Grocery Brands"/>
      <sheetName val="C2500"/>
      <sheetName val="Quarterly Leverage"/>
      <sheetName val="C3400 (2)"/>
      <sheetName val="Pricing Impact"/>
      <sheetName val="FX Impact EPS"/>
      <sheetName val="C1071"/>
      <sheetName val="Sheet6"/>
      <sheetName val="Russia - PM Premium Vol Growth"/>
      <sheetName val="L2005"/>
      <sheetName val="Pricing"/>
      <sheetName val="EU Price Gaps"/>
      <sheetName val="Quarterly Repo"/>
      <sheetName val="Organic Volume-OCI Growth"/>
      <sheetName val="Sheet2"/>
      <sheetName val="Key Market share summary"/>
      <sheetName val="L2005 (3)"/>
      <sheetName val="Regional Mix by Company"/>
      <sheetName val="Org Growth"/>
      <sheetName val="Volume Decline Market Breakdown"/>
      <sheetName val="Organic Volume-OCI Growth (2)"/>
      <sheetName val="C1001"/>
      <sheetName val="OCI Split By Region"/>
      <sheetName val="Cash Returns Chart"/>
      <sheetName val="Annual Repo"/>
      <sheetName val="Org Growth (2)"/>
      <sheetName val="Share Growth Contribution"/>
      <sheetName val="FX EBIT Impact"/>
      <sheetName val="C3400 (3)"/>
      <sheetName val="Initiation charts"/>
      <sheetName val="Sheet5"/>
      <sheetName val="PM Overall SOM"/>
      <sheetName val="Leverage Calcs_Reported"/>
      <sheetName val="FX Impact EPS v2"/>
      <sheetName val="Competitor Leverage"/>
      <sheetName val="Top 10 Markets"/>
      <sheetName val="L2005 (2)"/>
      <sheetName val="Russia - PMI Premium &amp; Overall"/>
      <sheetName val="Organic EBIT data"/>
      <sheetName val="Reg'l Share Changes - Chart"/>
      <sheetName val="Div Increase"/>
      <sheetName val="PMI_Germany"/>
      <sheetName val="FCF-Dividends"/>
      <sheetName val="1H10 Volume Decline Chart"/>
      <sheetName val="PM Market Volume-Share Details"/>
      <sheetName val="Share Graph"/>
      <sheetName val="Sheet3"/>
      <sheetName val="FOR NOTE"/>
      <sheetName val="Sheet4"/>
      <sheetName val="Sheet1 (2)"/>
      <sheetName val="1Q11 Preview"/>
      <sheetName val="2Q11 Preview"/>
      <sheetName val="Organic Milk Market Share Chart"/>
    </sheetNames>
    <sheetDataSet>
      <sheetData sheetId="0"/>
      <sheetData sheetId="1"/>
      <sheetData sheetId="2"/>
      <sheetData sheetId="3"/>
      <sheetData sheetId="4"/>
      <sheetData sheetId="5"/>
      <sheetData sheetId="6"/>
      <sheetData sheetId="7"/>
      <sheetData sheetId="8"/>
      <sheetData sheetId="9" refreshError="1">
        <row r="1">
          <cell r="P1" t="str">
            <v>SmartCharts</v>
          </cell>
          <cell r="BA1" t="str">
            <v>.</v>
          </cell>
        </row>
        <row r="2">
          <cell r="BA2" t="str">
            <v>.</v>
          </cell>
        </row>
        <row r="3">
          <cell r="BA3" t="str">
            <v>.</v>
          </cell>
        </row>
        <row r="4">
          <cell r="BA4" t="str">
            <v>.</v>
          </cell>
        </row>
        <row r="5">
          <cell r="C5" t="str">
            <v>Define value axis here:</v>
          </cell>
        </row>
        <row r="6">
          <cell r="C6" t="str">
            <v>Total xAOC Food % of $ Sold on Promo</v>
          </cell>
        </row>
        <row r="10">
          <cell r="C10" t="str">
            <v>Input your data here:</v>
          </cell>
          <cell r="BA10" t="str">
            <v>.</v>
          </cell>
        </row>
        <row r="11">
          <cell r="D11" t="str">
            <v>% of $ Sold on Promo</v>
          </cell>
          <cell r="E11" t="str">
            <v>Y-o-Y Change (in bps)</v>
          </cell>
          <cell r="BA11" t="str">
            <v>.</v>
          </cell>
        </row>
        <row r="12">
          <cell r="C12" t="str">
            <v xml:space="preserve"> 9/29/12</v>
          </cell>
          <cell r="D12">
            <v>0.3139938445647964</v>
          </cell>
          <cell r="E12">
            <v>22.402454332423606</v>
          </cell>
        </row>
        <row r="13">
          <cell r="C13" t="str">
            <v>10/27/12</v>
          </cell>
          <cell r="D13">
            <v>0.32400197263757657</v>
          </cell>
          <cell r="E13">
            <v>-35.77154418760886</v>
          </cell>
        </row>
        <row r="14">
          <cell r="C14" t="str">
            <v>11/24/12</v>
          </cell>
          <cell r="D14">
            <v>0.34617268554047786</v>
          </cell>
          <cell r="E14">
            <v>-141.66317642349324</v>
          </cell>
          <cell r="BA14" t="str">
            <v>.</v>
          </cell>
        </row>
        <row r="15">
          <cell r="C15" t="str">
            <v>12/22/12</v>
          </cell>
          <cell r="D15">
            <v>0.31729739759429976</v>
          </cell>
          <cell r="E15">
            <v>-164.08195252737289</v>
          </cell>
          <cell r="BA15" t="str">
            <v>.</v>
          </cell>
        </row>
        <row r="16">
          <cell r="C16" t="str">
            <v xml:space="preserve"> 1/19/13</v>
          </cell>
          <cell r="D16">
            <v>0.30534506982989423</v>
          </cell>
          <cell r="E16">
            <v>13.617873568635419</v>
          </cell>
          <cell r="BA16" t="str">
            <v>.</v>
          </cell>
        </row>
        <row r="17">
          <cell r="C17" t="str">
            <v xml:space="preserve"> 2/16/13</v>
          </cell>
          <cell r="D17">
            <v>0.32432973628027972</v>
          </cell>
          <cell r="E17">
            <v>11.176831583446511</v>
          </cell>
          <cell r="BA17" t="str">
            <v>.</v>
          </cell>
        </row>
        <row r="18">
          <cell r="C18" t="str">
            <v xml:space="preserve"> 3/16/13</v>
          </cell>
          <cell r="D18">
            <v>0.30858053779164052</v>
          </cell>
          <cell r="E18">
            <v>-94.32707549980212</v>
          </cell>
          <cell r="BA18" t="str">
            <v>.</v>
          </cell>
        </row>
        <row r="19">
          <cell r="C19" t="str">
            <v xml:space="preserve"> 4/13/13</v>
          </cell>
          <cell r="D19">
            <v>0.33506926910327528</v>
          </cell>
          <cell r="E19">
            <v>25.884012318653227</v>
          </cell>
          <cell r="BA19" t="str">
            <v>.</v>
          </cell>
        </row>
        <row r="20">
          <cell r="C20" t="str">
            <v xml:space="preserve"> 5/11/13</v>
          </cell>
          <cell r="D20">
            <v>0.3115555071833353</v>
          </cell>
          <cell r="E20">
            <v>5.1331379037933278</v>
          </cell>
          <cell r="BA20" t="str">
            <v>.</v>
          </cell>
        </row>
        <row r="21">
          <cell r="C21" t="str">
            <v xml:space="preserve"> 6/08/13</v>
          </cell>
          <cell r="D21">
            <v>0.31998285511230118</v>
          </cell>
          <cell r="E21">
            <v>-15.777145838687945</v>
          </cell>
          <cell r="BA21" t="str">
            <v>.</v>
          </cell>
        </row>
        <row r="22">
          <cell r="C22" t="str">
            <v xml:space="preserve"> 7/06/13</v>
          </cell>
          <cell r="D22">
            <v>0.31646090784134345</v>
          </cell>
          <cell r="E22">
            <v>-42.285727328633669</v>
          </cell>
          <cell r="BA22" t="str">
            <v>.</v>
          </cell>
        </row>
        <row r="23">
          <cell r="C23" t="str">
            <v xml:space="preserve"> 8/03/13</v>
          </cell>
          <cell r="D23">
            <v>0.29936093525877255</v>
          </cell>
          <cell r="E23">
            <v>-69.129727094309203</v>
          </cell>
          <cell r="BA23" t="str">
            <v>.</v>
          </cell>
        </row>
        <row r="24">
          <cell r="C24" t="str">
            <v xml:space="preserve"> 8/31/13</v>
          </cell>
          <cell r="D24">
            <v>0.31127028771191761</v>
          </cell>
          <cell r="E24">
            <v>-22.100808340063118</v>
          </cell>
          <cell r="BA24" t="str">
            <v>.</v>
          </cell>
        </row>
        <row r="25">
          <cell r="C25" t="str">
            <v xml:space="preserve"> 9/28/13</v>
          </cell>
          <cell r="D25">
            <v>0.31585378904214356</v>
          </cell>
          <cell r="E25">
            <v>18.599444773471639</v>
          </cell>
          <cell r="BA25" t="str">
            <v>.</v>
          </cell>
        </row>
        <row r="26">
          <cell r="C26" t="str">
            <v>10/26/13</v>
          </cell>
          <cell r="D26">
            <v>0.31946878929485084</v>
          </cell>
          <cell r="E26">
            <v>-45.33183342725733</v>
          </cell>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C47" t="str">
            <v>cluttered and too difficult to read.</v>
          </cell>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refreshError="1">
        <row r="1">
          <cell r="R1" t="str">
            <v>SmartCharts</v>
          </cell>
          <cell r="BC1" t="str">
            <v>.</v>
          </cell>
        </row>
        <row r="2">
          <cell r="BC2" t="str">
            <v>.</v>
          </cell>
        </row>
        <row r="3">
          <cell r="BC3" t="str">
            <v>.</v>
          </cell>
        </row>
        <row r="4">
          <cell r="BC4" t="str">
            <v>.</v>
          </cell>
        </row>
        <row r="5">
          <cell r="C5" t="str">
            <v>Define value axis here:</v>
          </cell>
        </row>
        <row r="6">
          <cell r="C6" t="str">
            <v>CPB US Tracked Channel Y-o-Y% Change</v>
          </cell>
        </row>
        <row r="10">
          <cell r="C10" t="str">
            <v>Input your data here:</v>
          </cell>
          <cell r="BC10" t="str">
            <v>.</v>
          </cell>
        </row>
        <row r="11">
          <cell r="D11" t="str">
            <v>Price</v>
          </cell>
          <cell r="E11" t="str">
            <v>Volume</v>
          </cell>
          <cell r="F11" t="str">
            <v>Sales</v>
          </cell>
          <cell r="BC11" t="str">
            <v>.</v>
          </cell>
        </row>
        <row r="12">
          <cell r="C12" t="str">
            <v xml:space="preserve"> 9/29/12</v>
          </cell>
          <cell r="D12">
            <v>4.3901006993938507E-2</v>
          </cell>
          <cell r="E12">
            <v>-3.3730249189465655E-2</v>
          </cell>
          <cell r="F12">
            <v>8.6899658988990325E-3</v>
          </cell>
          <cell r="H12">
            <v>1.0170757804472852E-2</v>
          </cell>
          <cell r="BC12" t="str">
            <v>.</v>
          </cell>
        </row>
        <row r="13">
          <cell r="C13" t="str">
            <v>10/27/12</v>
          </cell>
          <cell r="D13">
            <v>4.1356379273012056E-2</v>
          </cell>
          <cell r="E13">
            <v>-1.1686348171708438E-2</v>
          </cell>
          <cell r="F13">
            <v>2.9186726053997969E-2</v>
          </cell>
          <cell r="H13">
            <v>2.9670031101303618E-2</v>
          </cell>
          <cell r="BC13" t="str">
            <v>.</v>
          </cell>
        </row>
        <row r="14">
          <cell r="C14" t="str">
            <v>11/24/12</v>
          </cell>
          <cell r="D14">
            <v>7.0616921066311455E-2</v>
          </cell>
          <cell r="E14">
            <v>-4.9038427277625196E-2</v>
          </cell>
          <cell r="F14">
            <v>1.8115551040406297E-2</v>
          </cell>
          <cell r="H14">
            <v>2.1578493788686259E-2</v>
          </cell>
          <cell r="BC14" t="str">
            <v>.</v>
          </cell>
        </row>
        <row r="15">
          <cell r="C15" t="str">
            <v>12/22/12</v>
          </cell>
          <cell r="D15">
            <v>4.7773547040434128E-2</v>
          </cell>
          <cell r="E15">
            <v>-2.1458370433357188E-2</v>
          </cell>
          <cell r="F15">
            <v>2.529003413776798E-2</v>
          </cell>
          <cell r="H15">
            <v>2.631517660707694E-2</v>
          </cell>
          <cell r="BC15" t="str">
            <v>.</v>
          </cell>
        </row>
        <row r="16">
          <cell r="C16" t="str">
            <v xml:space="preserve"> 1/19/13</v>
          </cell>
          <cell r="D16">
            <v>1.8499843057175891E-3</v>
          </cell>
          <cell r="E16">
            <v>5.2870634996399879E-2</v>
          </cell>
          <cell r="F16">
            <v>5.4818429147094117E-2</v>
          </cell>
          <cell r="H16">
            <v>5.4720619302117468E-2</v>
          </cell>
          <cell r="BC16" t="str">
            <v>.</v>
          </cell>
        </row>
        <row r="17">
          <cell r="C17" t="str">
            <v xml:space="preserve"> 2/16/13</v>
          </cell>
          <cell r="D17">
            <v>-1.209765291956022E-2</v>
          </cell>
          <cell r="E17">
            <v>7.4151561036314151E-2</v>
          </cell>
          <cell r="F17">
            <v>6.1156848267893249E-2</v>
          </cell>
          <cell r="H17">
            <v>6.2053908116753931E-2</v>
          </cell>
          <cell r="BC17" t="str">
            <v>.</v>
          </cell>
        </row>
        <row r="18">
          <cell r="C18" t="str">
            <v xml:space="preserve"> 3/16/13</v>
          </cell>
          <cell r="D18">
            <v>2.3709708787023054E-4</v>
          </cell>
          <cell r="E18">
            <v>7.8681227868973247E-2</v>
          </cell>
          <cell r="F18">
            <v>7.8936980046841576E-2</v>
          </cell>
          <cell r="H18">
            <v>7.8918324956843477E-2</v>
          </cell>
          <cell r="BC18" t="str">
            <v>.</v>
          </cell>
        </row>
        <row r="19">
          <cell r="C19" t="str">
            <v xml:space="preserve"> 4/13/13</v>
          </cell>
          <cell r="D19">
            <v>8.2134621730123314E-5</v>
          </cell>
          <cell r="E19">
            <v>0.10770139538665746</v>
          </cell>
          <cell r="F19">
            <v>0.1077923760217574</v>
          </cell>
          <cell r="H19">
            <v>0.10778353000838758</v>
          </cell>
        </row>
        <row r="20">
          <cell r="C20" t="str">
            <v xml:space="preserve"> 5/11/13</v>
          </cell>
          <cell r="D20">
            <v>1.520019092332503E-2</v>
          </cell>
          <cell r="E20">
            <v>4.1333171843346284E-2</v>
          </cell>
          <cell r="F20">
            <v>5.7161634870156908E-2</v>
          </cell>
          <cell r="H20">
            <v>5.6533362766671313E-2</v>
          </cell>
          <cell r="BC20" t="str">
            <v>.</v>
          </cell>
        </row>
        <row r="21">
          <cell r="C21" t="str">
            <v xml:space="preserve"> 6/08/13</v>
          </cell>
          <cell r="D21">
            <v>2.1153074316571541E-2</v>
          </cell>
          <cell r="E21">
            <v>1.8039698174409313E-2</v>
          </cell>
          <cell r="F21">
            <v>3.9574367567112523E-2</v>
          </cell>
          <cell r="H21">
            <v>3.9192772490980854E-2</v>
          </cell>
          <cell r="BC21" t="str">
            <v>.</v>
          </cell>
        </row>
        <row r="22">
          <cell r="C22" t="str">
            <v xml:space="preserve"> 7/06/13</v>
          </cell>
          <cell r="D22">
            <v>2.0796303164589691E-3</v>
          </cell>
          <cell r="E22">
            <v>6.0386882652420315E-2</v>
          </cell>
          <cell r="F22">
            <v>6.2592095360759714E-2</v>
          </cell>
          <cell r="H22">
            <v>6.2466512968879284E-2</v>
          </cell>
          <cell r="BC22" t="str">
            <v>.</v>
          </cell>
        </row>
        <row r="23">
          <cell r="C23" t="str">
            <v xml:space="preserve"> 8/03/13</v>
          </cell>
          <cell r="D23">
            <v>8.5738534482024953E-3</v>
          </cell>
          <cell r="E23">
            <v>3.2222900802837184E-2</v>
          </cell>
          <cell r="F23">
            <v>4.1073028680199464E-2</v>
          </cell>
          <cell r="H23">
            <v>4.079675425103968E-2</v>
          </cell>
          <cell r="BC23" t="str">
            <v>.</v>
          </cell>
        </row>
        <row r="24">
          <cell r="C24" t="str">
            <v xml:space="preserve"> 8/31/13</v>
          </cell>
          <cell r="D24">
            <v>2.6151029283381089E-3</v>
          </cell>
          <cell r="E24">
            <v>2.4834797195839142E-2</v>
          </cell>
          <cell r="F24">
            <v>2.7514845675048916E-2</v>
          </cell>
          <cell r="H24">
            <v>2.7449900124177251E-2</v>
          </cell>
          <cell r="BC24" t="str">
            <v>.</v>
          </cell>
        </row>
        <row r="25">
          <cell r="C25" t="str">
            <v xml:space="preserve"> 9/28/13</v>
          </cell>
          <cell r="D25">
            <v>1.8289438848916539E-2</v>
          </cell>
          <cell r="E25">
            <v>-1.2874200144149972E-2</v>
          </cell>
          <cell r="F25">
            <v>5.1797768085013463E-3</v>
          </cell>
          <cell r="H25">
            <v>5.4152387047665673E-3</v>
          </cell>
          <cell r="BC25" t="str">
            <v>.</v>
          </cell>
        </row>
        <row r="26">
          <cell r="C26" t="str">
            <v>10/26/13</v>
          </cell>
          <cell r="D26">
            <v>2.514053416173323E-2</v>
          </cell>
          <cell r="E26">
            <v>-3.204483034028327E-2</v>
          </cell>
          <cell r="F26">
            <v>-7.7099203304268338E-3</v>
          </cell>
          <cell r="G26">
            <v>-128.89697138928179</v>
          </cell>
          <cell r="H26">
            <v>-6.9042961785500401E-3</v>
          </cell>
          <cell r="BC26" t="str">
            <v>.</v>
          </cell>
        </row>
        <row r="27">
          <cell r="BC27" t="str">
            <v>.</v>
          </cell>
        </row>
        <row r="28">
          <cell r="BC28" t="str">
            <v>.</v>
          </cell>
        </row>
        <row r="29">
          <cell r="BC29" t="str">
            <v>.</v>
          </cell>
        </row>
        <row r="30">
          <cell r="BC30" t="str">
            <v>.</v>
          </cell>
        </row>
        <row r="31">
          <cell r="BC31" t="str">
            <v>.</v>
          </cell>
          <cell r="DO31" t="str">
            <v>.</v>
          </cell>
        </row>
        <row r="32">
          <cell r="BC32" t="str">
            <v>.</v>
          </cell>
        </row>
        <row r="33">
          <cell r="BC33" t="str">
            <v>.</v>
          </cell>
        </row>
        <row r="34">
          <cell r="BC34" t="str">
            <v>.</v>
          </cell>
        </row>
        <row r="35">
          <cell r="J35" t="str">
            <v>Do not change the width of the exhibit or font sizes (they are optimized for export to Word).</v>
          </cell>
          <cell r="BC35" t="str">
            <v>.</v>
          </cell>
        </row>
        <row r="36">
          <cell r="BC36" t="str">
            <v>.</v>
          </cell>
        </row>
        <row r="37">
          <cell r="J37" t="str">
            <v>Do not delete any rows or columns (some gray cells are used for calculations).</v>
          </cell>
          <cell r="BC37" t="str">
            <v>.</v>
          </cell>
        </row>
        <row r="38">
          <cell r="BC38" t="str">
            <v>.</v>
          </cell>
        </row>
        <row r="39">
          <cell r="BC39" t="str">
            <v>.</v>
          </cell>
        </row>
        <row r="40">
          <cell r="BC40" t="str">
            <v>.</v>
          </cell>
        </row>
        <row r="41">
          <cell r="BC41" t="str">
            <v>.</v>
          </cell>
        </row>
        <row r="42">
          <cell r="BC42" t="str">
            <v>.</v>
          </cell>
        </row>
        <row r="43">
          <cell r="BC43" t="str">
            <v>.</v>
          </cell>
        </row>
        <row r="44">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row>
      </sheetData>
      <sheetData sheetId="55" refreshError="1">
        <row r="1">
          <cell r="R1" t="str">
            <v>SmartCharts</v>
          </cell>
          <cell r="BC1" t="str">
            <v>.</v>
          </cell>
        </row>
        <row r="2">
          <cell r="BC2" t="str">
            <v>.</v>
          </cell>
        </row>
        <row r="3">
          <cell r="BC3" t="str">
            <v>.</v>
          </cell>
        </row>
        <row r="4">
          <cell r="BC4" t="str">
            <v>.</v>
          </cell>
        </row>
        <row r="5">
          <cell r="C5" t="str">
            <v>Define value axis here:</v>
          </cell>
        </row>
        <row r="6">
          <cell r="C6" t="str">
            <v>CPB US Tracked Channel Two-Year Stacked Comp</v>
          </cell>
        </row>
        <row r="10">
          <cell r="C10" t="str">
            <v>Input your data here:</v>
          </cell>
          <cell r="BC10" t="str">
            <v>.</v>
          </cell>
        </row>
        <row r="11">
          <cell r="D11" t="str">
            <v>Price</v>
          </cell>
          <cell r="E11" t="str">
            <v>Volume</v>
          </cell>
          <cell r="F11" t="str">
            <v>Sales</v>
          </cell>
          <cell r="BC11" t="str">
            <v>.</v>
          </cell>
        </row>
        <row r="12">
          <cell r="C12" t="str">
            <v xml:space="preserve"> 9/29/12</v>
          </cell>
          <cell r="D12">
            <v>5.1423613043954264E-2</v>
          </cell>
          <cell r="E12">
            <v>-3.5644746210167888E-2</v>
          </cell>
          <cell r="F12">
            <v>1.3945885197624852E-2</v>
          </cell>
          <cell r="H12">
            <v>1.5778866833786376E-2</v>
          </cell>
          <cell r="BC12" t="str">
            <v>.</v>
          </cell>
        </row>
        <row r="13">
          <cell r="C13" t="str">
            <v>10/27/12</v>
          </cell>
          <cell r="D13">
            <v>4.9223464711671827E-2</v>
          </cell>
          <cell r="E13">
            <v>-1.4250638108206481E-2</v>
          </cell>
          <cell r="F13">
            <v>3.4271360821427121E-2</v>
          </cell>
          <cell r="H13">
            <v>3.4972826603465346E-2</v>
          </cell>
          <cell r="BC13" t="str">
            <v>.</v>
          </cell>
        </row>
        <row r="14">
          <cell r="C14" t="str">
            <v>11/24/12</v>
          </cell>
          <cell r="D14">
            <v>3.9817929609990088E-2</v>
          </cell>
          <cell r="E14">
            <v>-2.2506082917354009E-2</v>
          </cell>
          <cell r="F14">
            <v>1.6415701067236332E-2</v>
          </cell>
          <cell r="H14">
            <v>1.7311846692636079E-2</v>
          </cell>
          <cell r="BC14" t="str">
            <v>.</v>
          </cell>
        </row>
        <row r="15">
          <cell r="C15" t="str">
            <v>12/22/12</v>
          </cell>
          <cell r="D15">
            <v>3.6625395595744736E-2</v>
          </cell>
          <cell r="E15">
            <v>-3.4175350485897593E-2</v>
          </cell>
          <cell r="F15">
            <v>1.198359378677738E-3</v>
          </cell>
          <cell r="H15">
            <v>2.4500451098471432E-3</v>
          </cell>
          <cell r="BC15" t="str">
            <v>.</v>
          </cell>
        </row>
        <row r="16">
          <cell r="C16" t="str">
            <v xml:space="preserve"> 1/19/13</v>
          </cell>
          <cell r="D16">
            <v>3.1611695650509697E-2</v>
          </cell>
          <cell r="E16">
            <v>-1.7220843611016501E-2</v>
          </cell>
          <cell r="F16">
            <v>1.384647197241673E-2</v>
          </cell>
          <cell r="H16">
            <v>1.4390852039493196E-2</v>
          </cell>
          <cell r="BC16" t="str">
            <v>.</v>
          </cell>
        </row>
        <row r="17">
          <cell r="C17" t="str">
            <v xml:space="preserve"> 2/16/13</v>
          </cell>
          <cell r="D17">
            <v>2.5765907005402378E-2</v>
          </cell>
          <cell r="E17">
            <v>2.2279136651588427E-3</v>
          </cell>
          <cell r="F17">
            <v>2.8051224886873616E-2</v>
          </cell>
          <cell r="H17">
            <v>2.799382067056122E-2</v>
          </cell>
          <cell r="BC17" t="str">
            <v>.</v>
          </cell>
        </row>
        <row r="18">
          <cell r="C18" t="str">
            <v xml:space="preserve"> 3/16/13</v>
          </cell>
          <cell r="D18">
            <v>2.0303795577300221E-2</v>
          </cell>
          <cell r="E18">
            <v>3.1943327163277413E-2</v>
          </cell>
          <cell r="F18">
            <v>5.2895693525359722E-2</v>
          </cell>
          <cell r="H18">
            <v>5.2247122740577634E-2</v>
          </cell>
          <cell r="BC18" t="str">
            <v>.</v>
          </cell>
        </row>
        <row r="19">
          <cell r="C19" t="str">
            <v xml:space="preserve"> 4/13/13</v>
          </cell>
          <cell r="D19">
            <v>1.5726695461810047E-2</v>
          </cell>
          <cell r="E19">
            <v>3.9483439783818852E-2</v>
          </cell>
          <cell r="F19">
            <v>5.5831079278893636E-2</v>
          </cell>
          <cell r="H19">
            <v>5.52101352456289E-2</v>
          </cell>
        </row>
        <row r="20">
          <cell r="C20" t="str">
            <v xml:space="preserve"> 5/11/13</v>
          </cell>
          <cell r="D20">
            <v>3.5245395504428512E-2</v>
          </cell>
          <cell r="E20">
            <v>1.5980213190355919E-2</v>
          </cell>
          <cell r="F20">
            <v>5.1788837628923945E-2</v>
          </cell>
          <cell r="H20">
            <v>5.122560869478443E-2</v>
          </cell>
          <cell r="BC20" t="str">
            <v>.</v>
          </cell>
        </row>
        <row r="21">
          <cell r="C21" t="str">
            <v xml:space="preserve"> 6/08/13</v>
          </cell>
          <cell r="D21">
            <v>2.0432590698551856E-2</v>
          </cell>
          <cell r="E21">
            <v>1.4303138251227532E-2</v>
          </cell>
          <cell r="F21">
            <v>3.5027979119371722E-2</v>
          </cell>
          <cell r="H21">
            <v>3.4735728949779388E-2</v>
          </cell>
          <cell r="BC21" t="str">
            <v>.</v>
          </cell>
        </row>
        <row r="22">
          <cell r="C22" t="str">
            <v xml:space="preserve"> 7/06/13</v>
          </cell>
          <cell r="D22">
            <v>1.7168306031173808E-2</v>
          </cell>
          <cell r="E22">
            <v>2.6162832901954536E-2</v>
          </cell>
          <cell r="F22">
            <v>4.3780310455031612E-2</v>
          </cell>
          <cell r="H22">
            <v>4.3331138933128344E-2</v>
          </cell>
          <cell r="BC22" t="str">
            <v>.</v>
          </cell>
        </row>
        <row r="23">
          <cell r="C23" t="str">
            <v xml:space="preserve"> 8/03/13</v>
          </cell>
          <cell r="D23">
            <v>1.7602376108278861E-3</v>
          </cell>
          <cell r="E23">
            <v>3.5988454495183619E-2</v>
          </cell>
          <cell r="F23">
            <v>3.7812040337169783E-2</v>
          </cell>
          <cell r="H23">
            <v>3.7748692106011505E-2</v>
          </cell>
          <cell r="BC23" t="str">
            <v>.</v>
          </cell>
        </row>
        <row r="24">
          <cell r="C24" t="str">
            <v xml:space="preserve"> 8/31/13</v>
          </cell>
          <cell r="D24">
            <v>1.3642159722715652E-2</v>
          </cell>
          <cell r="E24">
            <v>9.68867338524948E-3</v>
          </cell>
          <cell r="F24">
            <v>2.3463007537788183E-2</v>
          </cell>
          <cell r="H24">
            <v>2.3330833107965132E-2</v>
          </cell>
          <cell r="BC24" t="str">
            <v>.</v>
          </cell>
        </row>
        <row r="25">
          <cell r="C25" t="str">
            <v xml:space="preserve"> 9/28/13</v>
          </cell>
          <cell r="D25">
            <v>3.10156985350305E-2</v>
          </cell>
          <cell r="E25">
            <v>-2.3357895314070731E-2</v>
          </cell>
          <cell r="F25">
            <v>6.9333417814856357E-3</v>
          </cell>
          <cell r="H25">
            <v>7.6578032209597691E-3</v>
          </cell>
          <cell r="BC25" t="str">
            <v>.</v>
          </cell>
        </row>
        <row r="26">
          <cell r="C26" t="str">
            <v>10/26/13</v>
          </cell>
          <cell r="D26">
            <v>3.3216644707519283E-2</v>
          </cell>
          <cell r="E26">
            <v>-2.1918557311065068E-2</v>
          </cell>
          <cell r="F26">
            <v>1.0570026465751114E-2</v>
          </cell>
          <cell r="G26">
            <v>3.6366846842654788E-3</v>
          </cell>
          <cell r="H26">
            <v>1.1298087396454215E-2</v>
          </cell>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J35" t="str">
            <v>Do not change the width of the exhibit or font sizes (they are optimized for export to Word).</v>
          </cell>
          <cell r="BC35" t="str">
            <v>.</v>
          </cell>
        </row>
        <row r="36">
          <cell r="BC36" t="str">
            <v>.</v>
          </cell>
        </row>
        <row r="37">
          <cell r="J37" t="str">
            <v>Do not delete any rows or columns (some gray cells are used for calculations).</v>
          </cell>
          <cell r="BC37" t="str">
            <v>.</v>
          </cell>
        </row>
        <row r="38">
          <cell r="BC38" t="str">
            <v>.</v>
          </cell>
        </row>
        <row r="39">
          <cell r="BC39" t="str">
            <v>.</v>
          </cell>
        </row>
        <row r="40">
          <cell r="BC40" t="str">
            <v>.</v>
          </cell>
        </row>
        <row r="41">
          <cell r="BC41" t="str">
            <v>.</v>
          </cell>
        </row>
        <row r="42">
          <cell r="BC42" t="str">
            <v>.</v>
          </cell>
        </row>
        <row r="43">
          <cell r="BC43" t="str">
            <v>.</v>
          </cell>
        </row>
        <row r="44">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row>
        <row r="1539">
          <cell r="DQ1539" t="str">
            <v>.</v>
          </cell>
        </row>
      </sheetData>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Morgan Stanley Team"/>
      <sheetName val="__FDSCACHE__"/>
      <sheetName val="P&amp;L"/>
      <sheetName val="balance"/>
      <sheetName val="cashflow"/>
      <sheetName val="IndexInformation"/>
      <sheetName val="ModPubIndexInternal"/>
      <sheetName val="MWare_Cached"/>
      <sheetName val="Model_Template"/>
      <sheetName val="valuation"/>
      <sheetName val="MW-Cache"/>
      <sheetName val="ShareChart"/>
      <sheetName val="Summary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g report"/>
      <sheetName val="cashflow"/>
      <sheetName val="balance"/>
      <sheetName val="ImportantDisclosures"/>
    </sheetNames>
    <sheetDataSet>
      <sheetData sheetId="0" refreshError="1"/>
      <sheetData sheetId="1" refreshError="1"/>
      <sheetData sheetId="2" refreshError="1"/>
      <sheetData sheetId="3"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NZ Tracker"/>
      <sheetName val="C3400"/>
      <sheetName val="Nielsen sales v2"/>
      <sheetName val="Nielsen Sales"/>
      <sheetName val="Nielsen units"/>
      <sheetName val="Nielsen units (2)"/>
      <sheetName val="Nielsen Volume"/>
      <sheetName val="Top 15"/>
      <sheetName val="Ketchup and Sauces"/>
      <sheetName val="Meals and Snacks"/>
      <sheetName val="Infant Nutrition"/>
      <sheetName val="EM Organic Growth"/>
      <sheetName val="DM Organic Growth (2)"/>
      <sheetName val="Global Ketchup"/>
      <sheetName val="Organic Sales Growth"/>
      <sheetName val="EM as % of Sales"/>
      <sheetName val="HNZ Org Sales"/>
      <sheetName val="NACP Org Sales"/>
      <sheetName val="Europe Org Sales"/>
      <sheetName val="US Foodservice Org Sales"/>
      <sheetName val="Asia Pac Org Sales"/>
      <sheetName val="ROW Org Sales"/>
      <sheetName val="C2000"/>
      <sheetName val="L2005"/>
      <sheetName val="CC Op Income"/>
      <sheetName val="C2800"/>
      <sheetName val="HNZ GM"/>
      <sheetName val="NACP Margin"/>
      <sheetName val="Europe Margin"/>
      <sheetName val="US Foodservice Margin"/>
      <sheetName val="AsiaPac Margin"/>
      <sheetName val="ROW margin"/>
      <sheetName val="C2000 (2)"/>
      <sheetName val="Not Quarterly --&gt;"/>
      <sheetName val="COGS Breakdown"/>
      <sheetName val="Productivity Sources"/>
      <sheetName val="Quero_Brands"/>
      <sheetName val="Terrific_Match"/>
      <sheetName val="Quero_Sales"/>
      <sheetName val="Quero_Mix"/>
      <sheetName val="HNZ EM Geog Breakdown"/>
      <sheetName val="Sheet1"/>
      <sheetName val="EmSales_Product"/>
      <sheetName val="C1001"/>
      <sheetName val="O1103"/>
      <sheetName val="Total_Food_PL_Gaps"/>
      <sheetName val="Val_MW"/>
      <sheetName val="big repor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sheetData sheetId="40" refreshError="1"/>
      <sheetData sheetId="41"/>
      <sheetData sheetId="42" refreshError="1"/>
      <sheetData sheetId="43"/>
      <sheetData sheetId="44"/>
      <sheetData sheetId="45"/>
      <sheetData sheetId="46" refreshError="1"/>
      <sheetData sheetId="47"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rgan Stanley Team"/>
      <sheetName val="Model_Template"/>
      <sheetName val="__FDSCACHE__"/>
      <sheetName val="Valuation"/>
      <sheetName val="mwareTaxoPres"/>
      <sheetName val="Comps"/>
      <sheetName val="MWare_Cached"/>
      <sheetName val="New RI"/>
      <sheetName val="mwareValPrintout"/>
      <sheetName val="mwarePreview"/>
      <sheetName val="mwarePreview_FMEG_p.DE"/>
      <sheetName val="mwarePreview_FMEG.DE"/>
      <sheetName val="P&amp;L"/>
      <sheetName val="Balance Sheet"/>
      <sheetName val="Cash Flow"/>
      <sheetName val="Sales"/>
      <sheetName val="EBIT analysis"/>
      <sheetName val="Bush worksheet"/>
      <sheetName val="Services"/>
      <sheetName val="Products"/>
      <sheetName val="Drugs"/>
      <sheetName val="Debt Cht"/>
      <sheetName val="Debt"/>
      <sheetName val="RI"/>
      <sheetName val="Sensitivity"/>
      <sheetName val="Global Model"/>
      <sheetName val="Bad debt"/>
      <sheetName val="Margin analysis"/>
      <sheetName val="GE3"/>
      <sheetName val="mwareDates"/>
      <sheetName val="mwareSettings"/>
      <sheetName val="Commod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LVR EPS (2)"/>
      <sheetName val="ULVR Growth (2)"/>
      <sheetName val="ULVR Growth"/>
      <sheetName val="ULVR EPS"/>
      <sheetName val="UNLVR YEAR EPS"/>
      <sheetName val="netdebt_ebitda"/>
      <sheetName val="NetDebtEquity"/>
      <sheetName val="FCF_EBITDA"/>
      <sheetName val="EBITDA"/>
      <sheetName val="VoL_Prices (2)"/>
      <sheetName val="VoL_Prices"/>
      <sheetName val="LFL"/>
      <sheetName val="NESN"/>
      <sheetName val="NESN (2)"/>
      <sheetName val="DANO"/>
      <sheetName val="data"/>
      <sheetName val="Volume"/>
      <sheetName val="Organic"/>
      <sheetName val="CommodityTailwind"/>
      <sheetName val="CommodityEx1"/>
      <sheetName val="CommodityEx2"/>
      <sheetName val="Commodity"/>
      <sheetName val="Sheet3"/>
      <sheetName val="CPB"/>
      <sheetName val="Total_Food_Promo"/>
      <sheetName val="CPB_2yr"/>
      <sheetName val="Quero_Sales"/>
      <sheetName val="L2005"/>
      <sheetName val="C2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_TABLE"/>
      <sheetName val="Company data"/>
      <sheetName val="Pricing power"/>
      <sheetName val="extra info"/>
      <sheetName val="Relative PE"/>
      <sheetName val="Theoretical Earnings Impact"/>
      <sheetName val="Performance"/>
      <sheetName val="Regions"/>
      <sheetName val="#REF"/>
      <sheetName val="Bad debt"/>
      <sheetName val="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2801"/>
      <sheetName val="__FDSCACHE__"/>
      <sheetName val="Market Share"/>
      <sheetName val="C1500"/>
      <sheetName val="Santa Fe"/>
      <sheetName val="C3801"/>
      <sheetName val="MST_v2"/>
      <sheetName val="Conwood Rev-Costs per can"/>
      <sheetName val="Market Share by Brand"/>
      <sheetName val="MST Market Share"/>
      <sheetName val="SwedishMatch_PremVal"/>
      <sheetName val="NON-EARNINGS &gt;&gt;&gt;"/>
      <sheetName val="Sheet1"/>
      <sheetName val="MSA"/>
      <sheetName val="MSA v2"/>
      <sheetName val="Controllable Costs"/>
      <sheetName val="Brand Category"/>
      <sheetName val="C1500 (3)"/>
      <sheetName val="C1500 (2)"/>
      <sheetName val="MST Volume Growth"/>
      <sheetName val="L2005"/>
      <sheetName val="Valuation"/>
      <sheetName val="2011 Data"/>
      <sheetName val="Market Share Chg"/>
      <sheetName val="Prem v Value"/>
      <sheetName val="C1000"/>
      <sheetName val="Historical Market Share"/>
      <sheetName val="Sheet2"/>
      <sheetName val="Sheet3"/>
      <sheetName val="Newport share 2"/>
      <sheetName val="Market Share by Brand New"/>
      <sheetName val="C1000 (2)"/>
      <sheetName val="MKT Share New"/>
      <sheetName val="C1000 (3)"/>
      <sheetName val="Seg_Rev_Mix"/>
      <sheetName val="Seg_OCI_Mix"/>
      <sheetName val="RAI_Brand Share"/>
      <sheetName val="Prep Pack"/>
      <sheetName val="USA_Brand Share"/>
      <sheetName val="Theoretical Earnings Impact"/>
      <sheetName val="PM USA org sales"/>
      <sheetName val="MST_v2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 sheetId="40"/>
      <sheetData sheetId="4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 Model"/>
      <sheetName val="__FDSCACHE__"/>
      <sheetName val="BS&amp;CF"/>
      <sheetName val="USD Model"/>
      <sheetName val="RI"/>
      <sheetName val="DCF"/>
      <sheetName val="GRAPHS"/>
      <sheetName val="Geographic Detail"/>
      <sheetName val="Note Version"/>
      <sheetName val="Cover Page"/>
      <sheetName val="RI Note Version"/>
      <sheetName val="GE Upload"/>
      <sheetName val="Financial Input and Adjustments"/>
      <sheetName val="Adjusted Financials"/>
      <sheetName val="As Reported"/>
      <sheetName val="NY UPLOAD"/>
      <sheetName val="NY UPLOAD shadow"/>
      <sheetName val="GE3"/>
      <sheetName val="Credit Output"/>
      <sheetName val="IPOcalc"/>
      <sheetName val="FutureAcq"/>
      <sheetName val="CalcsMO"/>
      <sheetName val="Control"/>
      <sheetName val="Sensitivity Tables"/>
      <sheetName val="C1500 (2)"/>
      <sheetName val="C1500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sheetName val="A"/>
      <sheetName val="B"/>
      <sheetName val="GE3"/>
      <sheetName val="G-Euro"/>
      <sheetName val="Margin Exp"/>
      <sheetName val="Disposals 2002"/>
      <sheetName val="D"/>
      <sheetName val="F (Euro)"/>
      <sheetName val="F"/>
      <sheetName val="Ratios (2)"/>
      <sheetName val="J"/>
      <sheetName val="K"/>
      <sheetName val="P"/>
      <sheetName val="Ratios"/>
      <sheetName val="ULVR.L"/>
      <sheetName val="UN.N"/>
      <sheetName val="Total_Assets"/>
      <sheetName val="RI &amp; profit growth (2)"/>
      <sheetName val="Breakdown"/>
      <sheetName val="pro-forma (Euro)"/>
      <sheetName val="pro-forma (£)"/>
      <sheetName val="Bfds Qs 00_01"/>
      <sheetName val="Bfds_Annual"/>
      <sheetName val="GE Upload2"/>
      <sheetName val="GE Upload"/>
      <sheetName val="UNILEVER"/>
      <sheetName val="RI &amp; profit growth"/>
      <sheetName val="1999"/>
      <sheetName val="G"/>
      <sheetName val="H"/>
      <sheetName val="Acquisition"/>
      <sheetName val="O"/>
      <sheetName val="N"/>
      <sheetName val="Chart1"/>
      <sheetName val="Summary"/>
      <sheetName val="Columns"/>
      <sheetName val="GE 2"/>
      <sheetName val="1998"/>
      <sheetName val="Bfds Dilution"/>
      <sheetName val="2000"/>
      <sheetName val="RI Price Target"/>
      <sheetName val="Sheet1"/>
      <sheetName val="Res Inc"/>
      <sheetName val="DCF "/>
      <sheetName val="Chart2"/>
      <sheetName val="E"/>
      <sheetName val="Half"/>
      <sheetName val="C"/>
      <sheetName val="K-Euro"/>
      <sheetName val="P&amp;L DM"/>
      <sheetName val="P&amp;L"/>
      <sheetName val="CF DM"/>
      <sheetName val="Val_MW"/>
      <sheetName val="Europe - LC Sales Grow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Annual-consolidated"/>
      <sheetName val="Qtrly Inc St"/>
      <sheetName val="Annual-segments"/>
      <sheetName val="Bal Sheet - Cons."/>
      <sheetName val="Bal Sheet-Industrial"/>
      <sheetName val="Cash Flow - Cons."/>
      <sheetName val="Cash Flow-Industrial"/>
      <sheetName val="__FDSCACHE__"/>
      <sheetName val="Geo"/>
      <sheetName val="EV_EBITDA"/>
      <sheetName val="DCF"/>
      <sheetName val="ROIC - Industrial"/>
      <sheetName val="GECS"/>
      <sheetName val="Balance Sheet-GECS"/>
      <sheetName val="Cash Flow-GECS"/>
      <sheetName val="Recession"/>
      <sheetName val="Stock Drivers"/>
      <sheetName val="Dupont ROE"/>
      <sheetName val="Dupont ROE (2)"/>
      <sheetName val="graphs"/>
      <sheetName val="Long vs Short Cycle"/>
      <sheetName val="Industrial vs Capital"/>
      <sheetName val="Qtrly Stats"/>
      <sheetName val="pension"/>
      <sheetName val="Company Snapshot"/>
      <sheetName val="Risks to the Valuation"/>
      <sheetName val="Misc"/>
      <sheetName val="Growth Metrics"/>
      <sheetName val="results comparison"/>
      <sheetName val="NY UPLOAD"/>
      <sheetName val="NY UPLOAD shadow"/>
      <sheetName val="Acquisitions"/>
      <sheetName val="----"/>
      <sheetName val="EVEBITDA"/>
      <sheetName val="EVA"/>
      <sheetName val="EVA - Industrial"/>
      <sheetName val="Cap Ex"/>
      <sheetName val="Bus. Summary"/>
      <sheetName val="Aircraft Engines"/>
      <sheetName val="Appliances"/>
      <sheetName val="Ind Products"/>
      <sheetName val="NBC"/>
      <sheetName val="Plastics"/>
      <sheetName val="Power Systems"/>
      <sheetName val="Medical Systems"/>
      <sheetName val="EPS Variance"/>
      <sheetName val="sum_of_parts"/>
      <sheetName val="Qtrly Questions"/>
      <sheetName val="Power Systems "/>
      <sheetName val="#REF"/>
      <sheetName val="Old BKS"/>
      <sheetName val="NA_ANNUAL"/>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2)"/>
      <sheetName val="#REF"/>
      <sheetName val="CENMODEL"/>
      <sheetName val="INCOME"/>
      <sheetName val="MODEL"/>
      <sheetName val="ABFSOLD2q01"/>
      <sheetName val="MultipleSecurities"/>
      <sheetName val="New Source Charts"/>
      <sheetName val="Modelware"/>
      <sheetName val="Segment ROCE"/>
      <sheetName val="BS"/>
      <sheetName val="COP"/>
      <sheetName val="R&amp;MIS"/>
      <sheetName val="E&amp;P Growth &amp; Returns"/>
      <sheetName val="Plants"/>
      <sheetName val="VeraSun"/>
      <sheetName val="Forecast Change"/>
      <sheetName val="INPUTS"/>
      <sheetName val="annual income - pd"/>
      <sheetName val="Annual (Euro)"/>
      <sheetName val="Scenario E1"/>
      <sheetName val="CFS"/>
      <sheetName val="IS"/>
      <sheetName val="EV_EBITDA"/>
      <sheetName val="CF"/>
      <sheetName val="IndexInformation"/>
      <sheetName val="variables"/>
      <sheetName val="PRINT SHEET"/>
      <sheetName val="MATQTRS"/>
      <sheetName val="UNIV-EBS DATA"/>
      <sheetName val="MATINC"/>
      <sheetName val="RELPE"/>
      <sheetName val="Ratios"/>
      <sheetName val="SALESCAT"/>
      <sheetName val="MATBAL"/>
      <sheetName val="MATCASH"/>
      <sheetName val="FinSum"/>
      <sheetName val="Macro2"/>
      <sheetName val="Sheet1"/>
      <sheetName val="Sheet4"/>
      <sheetName val="ForeignStake"/>
      <sheetName val="Sainsbury"/>
      <sheetName val="other"/>
      <sheetName val="KTR_Total Till"/>
      <sheetName val="KTR_Grocery"/>
      <sheetName val="I"/>
      <sheetName val="Valuation Analyzer"/>
      <sheetName val="TimeSeries"/>
      <sheetName val="Con. Financials"/>
      <sheetName val="Linx"/>
      <sheetName val="Analysis"/>
      <sheetName val="MACRS"/>
      <sheetName val="Macro1"/>
      <sheetName val="Scenario"/>
      <sheetName val="Bakery"/>
      <sheetName val="JDE Download"/>
      <sheetName val="BizJet Deliveries"/>
      <sheetName val="mthSales"/>
      <sheetName val="segqtrSales"/>
      <sheetName val="segSales&amp;OM"/>
      <sheetName val="Index"/>
      <sheetName val="Rev_EE"/>
      <sheetName val="CSCO Guide v. MS v. Consensus"/>
      <sheetName val="Comps"/>
      <sheetName val="FMV"/>
      <sheetName val="c1"/>
      <sheetName val="Evolution of sales density"/>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Drivers"/>
      <sheetName val="Acquiror Share Repurchase"/>
      <sheetName val="__FDSCACHE__"/>
      <sheetName val="Acquiror"/>
      <sheetName val="Target"/>
      <sheetName val="Combined PF BS"/>
      <sheetName val="Sources &amp; Uses"/>
      <sheetName val="Combined Share Repurchase"/>
      <sheetName val="Synergies"/>
      <sheetName val="Combined Model"/>
      <sheetName val="DCF - 5 Year"/>
      <sheetName val="EPS Table"/>
      <sheetName val="Sensitivity Output"/>
      <sheetName val="Sensitivity - Price Per Share"/>
      <sheetName val="Aries Output"/>
      <sheetName val="Acq. Operating Profile"/>
      <sheetName val="Tar. Operating Profile"/>
      <sheetName val="Valuation Matrix"/>
      <sheetName val="DCF - 10 Year"/>
      <sheetName val="3 Scenario Repurchase"/>
      <sheetName val="3 Scenario Combo Analysis"/>
      <sheetName val="SYK Internal Projections"/>
      <sheetName val="LIBOR"/>
      <sheetName val="Inputs"/>
      <sheetName val="NA_ANNU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n Items"/>
      <sheetName val="Global Update &amp; Instructions"/>
      <sheetName val="MBS Recap (Final)"/>
      <sheetName val="MBS Recap (Q1 Final)"/>
      <sheetName val="MBS Recap (Prelim)"/>
      <sheetName val="Final Results"/>
      <sheetName val="Total Co (Final)"/>
      <sheetName val="Foodservice (Final)"/>
      <sheetName val="Retail (Final)"/>
      <sheetName val="Convenience (Final)"/>
      <sheetName val="Distressed (Final)"/>
      <sheetName val="Operations (Final)"/>
      <sheetName val="Corporate (Final)"/>
      <sheetName val="Prelim Results"/>
      <sheetName val="Total Co (Prelim)"/>
      <sheetName val="Foodservice (Prelim)"/>
      <sheetName val="Retail (Prelim)"/>
      <sheetName val="Convenience (Prelim)"/>
      <sheetName val="Distressed (Prelim)"/>
      <sheetName val="Operations (Prelim)"/>
      <sheetName val="Corporate (Prelim)"/>
      <sheetName val="Inputs"/>
      <sheetName val="2015 Act"/>
      <sheetName val="2015 Est"/>
      <sheetName val="2013 Act"/>
      <sheetName val="2012 Act"/>
      <sheetName val="Sources &amp; U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refreshError="1"/>
      <sheetData sheetId="25" refreshError="1"/>
      <sheetData sheetId="26"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Notes"/>
      <sheetName val="Inc Earned"/>
      <sheetName val="2015 Act"/>
      <sheetName val="2015 Est"/>
    </sheetNames>
    <sheetDataSet>
      <sheetData sheetId="0"/>
      <sheetData sheetId="1" refreshError="1"/>
      <sheetData sheetId="2" refreshError="1"/>
      <sheetData sheetId="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witches"/>
      <sheetName val="Inputs"/>
      <sheetName val="__FDSCACHE__"/>
      <sheetName val="LBO Summary"/>
      <sheetName val="SALES "/>
      <sheetName val="Segment Sales"/>
      <sheetName val="mwareTaxoPres"/>
      <sheetName val="QTRLY"/>
      <sheetName val="ANNUAL"/>
      <sheetName val="mwareValPrintout"/>
      <sheetName val="mwarePreview"/>
      <sheetName val="CASHFLOW"/>
      <sheetName val="BAL SHEET"/>
      <sheetName val="Pension_DLM"/>
      <sheetName val="Graphs"/>
      <sheetName val="Revenue"/>
      <sheetName val="FCF"/>
      <sheetName val="DLM_HNZ"/>
      <sheetName val="IS"/>
      <sheetName val="DCF-RI"/>
      <sheetName val="ROIC"/>
      <sheetName val="Leases"/>
      <sheetName val="Mktg"/>
      <sheetName val="Acquisition History"/>
      <sheetName val="Divestiture History"/>
      <sheetName val="mwareDates"/>
      <sheetName val="mwareSettings"/>
      <sheetName val="MainCode"/>
      <sheetName val="NY UPLOAD shado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row r="2">
          <cell r="B2" t="str">
            <v>Historical Calculations</v>
          </cell>
        </row>
        <row r="51">
          <cell r="B51" t="str">
            <v>ASSUMPTIONS</v>
          </cell>
        </row>
        <row r="61">
          <cell r="B61" t="str">
            <v>Income Statement</v>
          </cell>
          <cell r="L61" t="str">
            <v>Balance Sheet</v>
          </cell>
        </row>
      </sheetData>
      <sheetData sheetId="22"/>
      <sheetData sheetId="23"/>
      <sheetData sheetId="24"/>
      <sheetData sheetId="25"/>
      <sheetData sheetId="26"/>
      <sheetData sheetId="27" refreshError="1"/>
      <sheetData sheetId="28"/>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x Office Rankings"/>
      <sheetName val="TV Rankings"/>
      <sheetName val="Music Rankings"/>
      <sheetName val="TV Index"/>
      <sheetName val="Film Index"/>
      <sheetName val="Music Index"/>
      <sheetName val="Media Index"/>
      <sheetName val="__FDSCACHE__"/>
      <sheetName val="Digital Index"/>
      <sheetName val="#REF"/>
      <sheetName val="Sources &amp; Uses"/>
      <sheetName val="RJR_BS"/>
      <sheetName val="RJR_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ager"/>
      <sheetName val="Output"/>
      <sheetName val="Synergy Analysis"/>
      <sheetName val="Inputs"/>
      <sheetName val="Update Comps"/>
      <sheetName val="Comp Factset"/>
      <sheetName val="Market Update"/>
      <sheetName val="Graph Data"/>
      <sheetName val="__FDSCACHE__"/>
      <sheetName val="Proforma"/>
      <sheetName val="Spend Summary"/>
      <sheetName val="Addn'l Spend"/>
      <sheetName val="Peri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Update"/>
      <sheetName val="Table"/>
      <sheetName val="L3M"/>
      <sheetName val="L'Oreal L3M"/>
      <sheetName val="L'Oreal L12M"/>
      <sheetName val="BB Intraday"/>
      <sheetName val="Intraday-all"/>
      <sheetName val="MS Trading Flows"/>
      <sheetName val="Sources &amp; Uses"/>
      <sheetName val="Graph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Id Search"/>
      <sheetName val="Reference Data"/>
      <sheetName val="Bond history"/>
      <sheetName val="multiple bonds"/>
      <sheetName val="Benchmarks"/>
      <sheetName val="Bonds by Rule (Lingos)"/>
      <sheetName val="Rolling Maturity"/>
      <sheetName val="n-old benchmark"/>
      <sheetName val="Aggregate Fns"/>
      <sheetName val="Auction History"/>
      <sheetName val="SOMA"/>
      <sheetName val="Yield Curve"/>
      <sheetName val="Lookup"/>
      <sheetName val="L3M"/>
      <sheetName val="BB Intrada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Switches"/>
      <sheetName val="__FDSCACHE__"/>
      <sheetName val="Drivers"/>
      <sheetName val="Acquiror"/>
      <sheetName val="Target"/>
      <sheetName val="New FYE Target"/>
      <sheetName val="Sources &amp; Uses"/>
      <sheetName val="Combined  PF BS"/>
      <sheetName val="Combined"/>
      <sheetName val="LIBOR"/>
      <sheetName val="5-Year DCF"/>
      <sheetName val="10-Year DCF"/>
      <sheetName val="LBO Summary"/>
      <sheetName val="LBO Financials"/>
      <sheetName val="LBO PF BS"/>
      <sheetName val="PV Graph Data"/>
      <sheetName val="L3M"/>
      <sheetName val="BB Intraday"/>
      <sheetName val="Look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nda"/>
      <sheetName val="Synergy"/>
      <sheetName val="Volume Trends"/>
      <sheetName val="CY11 Vol Summary"/>
      <sheetName val="CY10 Q1&amp;2 vs PY"/>
      <sheetName val="CY10 FQ3&amp;4 vs PY"/>
      <sheetName val="CY10 F Q3&amp;4"/>
      <sheetName val="CY10 Fcst"/>
      <sheetName val="CY10 By Comp"/>
      <sheetName val="LC Summary"/>
      <sheetName val="LC PF"/>
      <sheetName val="LC AF"/>
      <sheetName val="LC AB"/>
      <sheetName val="FC Summary"/>
      <sheetName val="FC PF"/>
      <sheetName val="FC AF"/>
      <sheetName val="FC AB"/>
      <sheetName val="Actual"/>
      <sheetName val="Switch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WER5"/>
      <sheetName val="Cashflow Model"/>
      <sheetName val="Lookup"/>
      <sheetName val="POWER5.XLA"/>
      <sheetName val="Inputs"/>
      <sheetName val="McKinley P&amp;L"/>
      <sheetName val="Assum"/>
      <sheetName val="Pro Forma Income Statement"/>
      <sheetName val="Cap"/>
      <sheetName val="Pro Forma Credit "/>
      <sheetName val="rank"/>
      <sheetName val="Main Model"/>
      <sheetName val="Newer version"/>
      <sheetName val="Consolidated"/>
      <sheetName val="Aggregation"/>
      <sheetName val="General"/>
      <sheetName val="Drivers"/>
      <sheetName val="Control"/>
      <sheetName val="Entrada Dados"/>
      <sheetName val="ENERGIA"/>
      <sheetName val="AL1"/>
      <sheetName val="Sheet1"/>
      <sheetName val="OPR"/>
      <sheetName val="Capital Expenditure Input Sheet"/>
      <sheetName val="Operating Expense Input Sheet"/>
      <sheetName val="SummaryP&amp;L"/>
      <sheetName val="Cover"/>
      <sheetName val="Graph"/>
      <sheetName val="GER IFO vs Const"/>
      <sheetName val="Europe sales Graph"/>
      <sheetName val="EU Ind vs EU Cons"/>
      <sheetName val="Cases"/>
      <sheetName val="Assump"/>
      <sheetName val="CF"/>
      <sheetName val="AssumptionsGroup"/>
      <sheetName val="Scenario Management"/>
      <sheetName val="P&amp;L"/>
      <sheetName val="COMBINED"/>
      <sheetName val=" Cash Flow"/>
      <sheetName val=" P&amp;L-Projection"/>
      <sheetName val="General Assump"/>
      <sheetName val="Pro Forma"/>
      <sheetName val="SHELL"/>
      <sheetName val="LBO"/>
      <sheetName val="Active"/>
      <sheetName val="Currency"/>
      <sheetName val="S&amp;P"/>
      <sheetName val="Dividend Analysis Assumptions"/>
      <sheetName val="FCC0504"/>
      <sheetName val="ASSUMPT"/>
      <sheetName val="INPUT"/>
      <sheetName val="Multiples.Summary"/>
      <sheetName val="Comps"/>
      <sheetName val="Ass"/>
      <sheetName val=" PT 08"/>
      <sheetName val=" PT 07"/>
      <sheetName val=" PT 11"/>
      <sheetName val=" PT 10"/>
      <sheetName val=" PT 12"/>
      <sheetName val=" PT 13"/>
      <sheetName val=" PT 09"/>
      <sheetName val=" PT 01"/>
      <sheetName val=" PT 04"/>
      <sheetName val=" PT 05"/>
      <sheetName val=" PT 03"/>
      <sheetName val="Assumptions"/>
      <sheetName val="Labor"/>
      <sheetName val="Main"/>
      <sheetName val="GL Detail"/>
      <sheetName val="CSI"/>
      <sheetName val="IS &amp; CF"/>
      <sheetName val="AcqIS"/>
      <sheetName val="AcqBSCF"/>
      <sheetName val="Macros"/>
      <sheetName val="Debt"/>
      <sheetName val="Sales - Report First"/>
      <sheetName val="Tecua"/>
      <sheetName val="URI"/>
      <sheetName val="Test"/>
      <sheetName val="proforma BS"/>
      <sheetName val="Stock Analysis"/>
      <sheetName val="merger"/>
      <sheetName val="Company summary items"/>
      <sheetName val="synthgraph"/>
      <sheetName val="Vergleichswerte"/>
      <sheetName val="Deal Info &amp; Print Menu"/>
      <sheetName val="Product Trends"/>
      <sheetName val="EBITDA Bridge"/>
      <sheetName val="WC analytics (+data pages)"/>
      <sheetName val="Structures"/>
      <sheetName val="YEAR 1 "/>
      <sheetName val="Sched A9"/>
      <sheetName val="cd_Data"/>
      <sheetName val="yc_Formula"/>
      <sheetName val="Historical Actuals"/>
      <sheetName val="Tables"/>
      <sheetName val="Emory Vols Jan-Dec 2006"/>
      <sheetName val="PV - CTLM"/>
      <sheetName val="PV - MTLK"/>
      <sheetName val="\Applications\Microsoft Office "/>
      <sheetName val="Drop Down Lists"/>
      <sheetName val="Mapping"/>
      <sheetName val="List"/>
      <sheetName val="CloseTable"/>
      <sheetName val="CloseTable Prior"/>
      <sheetName val="Co List"/>
      <sheetName val="Royal Carib.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with L'Oreal"/>
      <sheetName val="A"/>
      <sheetName val="B"/>
      <sheetName val="C"/>
      <sheetName val="D"/>
      <sheetName val="EBIT"/>
      <sheetName val="E"/>
      <sheetName val="G"/>
      <sheetName val="Summary"/>
      <sheetName val="OLD"/>
      <sheetName val="Ratios"/>
      <sheetName val="GE Upload"/>
      <sheetName val="GE 2"/>
      <sheetName val="NESZn.S"/>
      <sheetName val="GE3"/>
      <sheetName val="Module1"/>
    </sheetNames>
    <sheetDataSet>
      <sheetData sheetId="0" refreshError="1"/>
      <sheetData sheetId="1" refreshError="1"/>
      <sheetData sheetId="2" refreshError="1">
        <row r="38">
          <cell r="S38">
            <v>29.731331895007877</v>
          </cell>
        </row>
        <row r="40">
          <cell r="S40">
            <v>6.7685783410028755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heet4"/>
      <sheetName val="Sheet2"/>
      <sheetName val="Sheet19"/>
      <sheetName val="Sheet3"/>
      <sheetName val="Sheet6"/>
      <sheetName val="Sheet17"/>
      <sheetName val="Sheet10"/>
      <sheetName val="Sheet7"/>
      <sheetName val="Sheet16"/>
      <sheetName val="Sheet9 (3)"/>
      <sheetName val="Sheet11"/>
      <sheetName val="Sheet20"/>
      <sheetName val="P&amp;L Item Entry (4)"/>
      <sheetName val="P&amp;L Item Entry (3)"/>
      <sheetName val="P&amp;L Item Entry (2)"/>
      <sheetName val="Sheet8"/>
      <sheetName val="Sheet13"/>
      <sheetName val="Sheet14"/>
      <sheetName val="Sheet9 (2)"/>
      <sheetName val="Sheet9"/>
      <sheetName val="Sheet12"/>
      <sheetName val="Sheet15"/>
      <sheetName val="P&amp;L Item Entry"/>
      <sheetName val="Overall P&amp;L"/>
      <sheetName val="C List Price"/>
      <sheetName val="E List Price"/>
      <sheetName val="W List Price"/>
      <sheetName val="Sheet1"/>
      <sheetName val="Bud COGS"/>
      <sheetName val="FCST COGS"/>
      <sheetName val="Rolling 12"/>
      <sheetName val="Sheet5"/>
      <sheetName val="Packaged Foods PL"/>
    </sheetNames>
    <definedNames>
      <definedName name="ChangeRange"/>
      <definedName name="ContentsHelp"/>
      <definedName name="CreateTable"/>
      <definedName name="DeleteRange"/>
      <definedName name="DeleteTable"/>
      <definedName name="MerrillPrintIt"/>
      <definedName name="NewRange"/>
      <definedName name="RedefinePrintTableRang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FT Brand Sales"/>
      <sheetName val="HNZ Geographic Sales"/>
      <sheetName val="Category Sales"/>
      <sheetName val="MDLZ Licenses"/>
      <sheetName val="Geographic Areas"/>
      <sheetName val="KRFT Whitespace_Not Expired"/>
      <sheetName val="Broad Sensitivity"/>
      <sheetName val="Whitespace_Exhibit"/>
      <sheetName val="Whitespace % Sales_Exhibit"/>
      <sheetName val="10-Yr License Agreements"/>
      <sheetName val="Sensitivity"/>
      <sheetName val="Intl Acquisition Accretion"/>
      <sheetName val="Impact on MDLZ"/>
      <sheetName val="KRFT_Intl Opportunity"/>
    </sheetNames>
    <definedNames>
      <definedName name="Choices_Wrapper"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Financial Summary"/>
      <sheetName val="P&amp;L"/>
      <sheetName val="Rev SOP"/>
      <sheetName val="EBITDA SOP"/>
      <sheetName val="LifeCell Acq"/>
      <sheetName val="Remainco Acq"/>
      <sheetName val="TSS Acq"/>
      <sheetName val="Trading Comps"/>
      <sheetName val="Operating Comps"/>
      <sheetName val="Comps Data"/>
      <sheetName val="Convert Dilution"/>
      <sheetName val="Control"/>
      <sheetName val="Sheet5"/>
    </sheetNames>
    <sheetDataSet>
      <sheetData sheetId="0" refreshError="1"/>
      <sheetData sheetId="1"/>
      <sheetData sheetId="2"/>
      <sheetData sheetId="3" refreshError="1"/>
      <sheetData sheetId="4" refreshError="1"/>
      <sheetData sheetId="5"/>
      <sheetData sheetId="6" refreshError="1"/>
      <sheetData sheetId="7" refreshError="1"/>
      <sheetData sheetId="8" refreshError="1"/>
      <sheetData sheetId="9" refreshError="1"/>
      <sheetData sheetId="10" refreshError="1"/>
      <sheetData sheetId="11"/>
      <sheetData sheetId="12" refreshError="1"/>
      <sheetData sheetId="13"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Preview"/>
      <sheetName val="Switches"/>
      <sheetName val="__FDSCACHE__"/>
      <sheetName val="Inputs"/>
      <sheetName val="LBO Summary"/>
      <sheetName val="SALES"/>
      <sheetName val="Actual vs Estimate"/>
      <sheetName val="QTRLY"/>
      <sheetName val="mwareTaxoPres"/>
      <sheetName val="ANNUAL"/>
      <sheetName val="BAL SHEET"/>
      <sheetName val="CASHFLOW"/>
      <sheetName val="mwareValPrintout"/>
      <sheetName val="Upgrade Charts"/>
      <sheetName val="IRI Data"/>
      <sheetName val="Pension_HSY"/>
      <sheetName val="ROIC"/>
      <sheetName val="MainCode"/>
      <sheetName val="NY UPLOAD shadow"/>
      <sheetName val="EPS"/>
      <sheetName val="NY UPLOAD"/>
      <sheetName val="Report"/>
      <sheetName val="Choc"/>
      <sheetName val="Share repurchase"/>
      <sheetName val="Non-choc"/>
      <sheetName val="Seasonal"/>
      <sheetName val="Sheet1"/>
      <sheetName val="Q"/>
      <sheetName val="DIVISIONAL_OLD"/>
      <sheetName val="Model_Template"/>
      <sheetName val="mwareDates_38453_6715361"/>
      <sheetName val="mwareDates_38453_713766"/>
      <sheetName val="mwareDates"/>
      <sheetName val="mwareSettings"/>
      <sheetName val="Scenario"/>
      <sheetName val="Control"/>
      <sheetName val="Trading Com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of sales by country"/>
      <sheetName val="__FDSCACHE__"/>
      <sheetName val="Headwinds Summary"/>
      <sheetName val="O1104"/>
      <sheetName val="Central Download"/>
      <sheetName val="Central Output"/>
      <sheetName val="Summary Exposure"/>
      <sheetName val="C1001"/>
      <sheetName val="C3801"/>
      <sheetName val="C3801 (2)"/>
      <sheetName val="SummaryExp_Chart"/>
      <sheetName val="Intl % of Sales"/>
      <sheetName val="Intl ex ECJ % of Sales"/>
      <sheetName val="Europe_%ofsales"/>
      <sheetName val="CPB"/>
      <sheetName val="EM % of Sales"/>
      <sheetName val="CPB_Jul"/>
      <sheetName val="DLM"/>
      <sheetName val="DLM_Apr"/>
      <sheetName val="GIS"/>
      <sheetName val="GIS_May"/>
      <sheetName val="GIS_May_noJV"/>
      <sheetName val="GIS_May_JV"/>
      <sheetName val="HSY"/>
      <sheetName val="Sheet1"/>
      <sheetName val="K"/>
      <sheetName val="KFT"/>
      <sheetName val="KFT_+CBRY"/>
      <sheetName val="SLE"/>
      <sheetName val="SLE_Jun"/>
      <sheetName val="SLE (2)"/>
      <sheetName val="TSN"/>
      <sheetName val="HNZ"/>
      <sheetName val="HNZ_Apr"/>
      <sheetName val="CAG"/>
      <sheetName val="CAG_May"/>
      <sheetName val="SLE_Jun_inclIHBC"/>
      <sheetName val="HNZ_Chart"/>
      <sheetName val="#REF"/>
      <sheetName val="OverallGrowth"/>
      <sheetName val="PE_Growth_Scatter"/>
      <sheetName val="EMDMGrowth"/>
      <sheetName val="Lowest_Level"/>
      <sheetName val="B"/>
      <sheetName val="Ratios"/>
      <sheetName val="C"/>
      <sheetName val="ImportantDisclosures"/>
      <sheetName val="IndexInformation"/>
      <sheetName val="Income"/>
      <sheetName val="Scenario"/>
      <sheetName val="Q"/>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amp; profit growth"/>
      <sheetName val="A"/>
      <sheetName val="B"/>
      <sheetName val="C -Euro"/>
      <sheetName val="E"/>
      <sheetName val="Quarterly"/>
      <sheetName val="F"/>
      <sheetName val="G"/>
      <sheetName val="H"/>
      <sheetName val="Sheet3"/>
      <sheetName val="GE Upload"/>
      <sheetName val="Summary"/>
      <sheetName val="Ratios"/>
      <sheetName val="DCF"/>
      <sheetName val="ROCE2"/>
      <sheetName val="Old P&amp;L"/>
      <sheetName val="DANO.PA"/>
      <sheetName val="Net_Operating"/>
      <sheetName val="C"/>
      <sheetName val="old break"/>
      <sheetName val="Business Description"/>
      <sheetName val="ROCE"/>
      <sheetName val="GE 2"/>
      <sheetName val="GE3"/>
      <sheetName val="Sheet1"/>
      <sheetName val="Div Break chart"/>
      <sheetName val="Geo sales break chart"/>
      <sheetName val="Danone"/>
      <sheetName val="Columns"/>
      <sheetName val="Res Inc"/>
      <sheetName val="Res Inc Euro"/>
      <sheetName val="Euro"/>
      <sheetName val="Break99"/>
      <sheetName val="Break98"/>
      <sheetName val="Roce 3"/>
      <sheetName val="sales"/>
      <sheetName val="geo"/>
      <sheetName val="A-Euro"/>
      <sheetName val="Break97"/>
      <sheetName val="Sheet2"/>
      <sheetName val="GE Old"/>
      <sheetName val="Chart1"/>
      <sheetName val="GE Euro"/>
      <sheetName val="Chart2"/>
      <sheetName val="12mths target-RI Profit Growth"/>
      <sheetName val="Fair Value-RI Profit Growth"/>
      <sheetName val="cogs"/>
      <sheetName val="Sheet4"/>
      <sheetName val="D"/>
      <sheetName val="Scenario"/>
      <sheetName val="PV Graph Data"/>
      <sheetName val="_1058__FDSAUDITLINK_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ImportantDisclosures"/>
      <sheetName val="IndexInformation"/>
      <sheetName val="Income"/>
      <sheetName val="Sheet1"/>
      <sheetName val="Scenario"/>
      <sheetName val="Euro vs. PM"/>
      <sheetName val="Ruble"/>
      <sheetName val="MS_IRI_Methodology"/>
      <sheetName val="MARKET_SHARE ($)_RAW_DATA"/>
      <sheetName val="NEXXUS_RAW_DATA"/>
      <sheetName val="HAIR_CARE_MARKET SHARE ROLL-UP"/>
      <sheetName val="TOTAL_ACV_DOLLAR_SALES"/>
      <sheetName val="GWP"/>
      <sheetName val="Income Statement"/>
      <sheetName val="Margins"/>
      <sheetName val="SSB Nielsen Sales"/>
      <sheetName val="Comps"/>
      <sheetName val="Switches"/>
      <sheetName val="TimeSeries"/>
      <sheetName val="Valuation Analyzer"/>
      <sheetName val="EBITDA"/>
      <sheetName val="GWP-WLine"/>
      <sheetName val="TS_Stnd_Dev_Band"/>
      <sheetName val="Print "/>
      <sheetName val="Lookup"/>
      <sheetName val="Input"/>
      <sheetName val="99 cons YTD"/>
      <sheetName val="KPN"/>
      <sheetName val="B"/>
      <sheetName val="Ratios"/>
      <sheetName val="C"/>
      <sheetName val="summary"/>
      <sheetName val="rev change analysis"/>
      <sheetName val="Realizations vs Average"/>
      <sheetName val="O1000"/>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BAL SHEET"/>
      <sheetName val="Leases"/>
      <sheetName val="LBO Summary"/>
      <sheetName val="P&amp;L"/>
      <sheetName val="c1"/>
      <sheetName val="B"/>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AFT"/>
      <sheetName val="CalcsMO"/>
      <sheetName val="FutureAcq"/>
      <sheetName val="Credit Output"/>
      <sheetName val="#REF"/>
      <sheetName val="ANNUAL"/>
      <sheetName val="IPOcalc"/>
      <sheetName val="Analysis"/>
      <sheetName val="MACRS"/>
      <sheetName val="Cash Flow-Industrial"/>
      <sheetName val="Geo"/>
      <sheetName val="DCF"/>
      <sheetName val="Annual-consolidated"/>
      <sheetName val="Qtrly Inc St"/>
      <sheetName val="Bal Sheet - Cons."/>
      <sheetName val="Bal Sheet-Industrial"/>
      <sheetName val="Cash Flow - Cons."/>
      <sheetName val="Bakery"/>
      <sheetName val="Control"/>
      <sheetName val="Sensitivity Tables"/>
      <sheetName val="Inputs"/>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Cache"/>
      <sheetName val="ImportantDisclosures"/>
      <sheetName val="Guidance"/>
      <sheetName val="Inputs"/>
      <sheetName val="Income"/>
      <sheetName val="Segment-Retail"/>
      <sheetName val="Segment-Card"/>
      <sheetName val="CF and BalSheet"/>
      <sheetName val="Debt"/>
      <sheetName val="Q Summary"/>
      <sheetName val="RNOA"/>
      <sheetName val="DCF"/>
      <sheetName val="MW Op Leases"/>
      <sheetName val="calendar"/>
      <sheetName val="IndexInformation"/>
      <sheetName val="ModPubIndex"/>
      <sheetName val="CircularReferenceAlert"/>
      <sheetName val="MWA RR"/>
      <sheetName val="Balance Sheet"/>
      <sheetName val="Cash Flow"/>
      <sheetName val="Divisional"/>
      <sheetName val="Credit New"/>
      <sheetName val="Chart1"/>
      <sheetName val="Chart2"/>
      <sheetName val="GP$Benefit"/>
      <sheetName val="RNOA -- ROE"/>
      <sheetName val="Intrinsic Value"/>
      <sheetName val="Category"/>
      <sheetName val="Op Leases Driven by Lease Pmnts"/>
      <sheetName val="Comps Cht"/>
      <sheetName val="estimates"/>
      <sheetName val="Map Data"/>
      <sheetName val="SIGMA"/>
      <sheetName val="Debt "/>
      <sheetName val="Store Mix"/>
      <sheetName val="Valuation"/>
      <sheetName val="Cmps"/>
      <sheetName val="CDS SPreads"/>
      <sheetName val="1MonthLibor"/>
      <sheetName val="Capex vs Sales Growth"/>
      <sheetName val="Capex vs Sales"/>
      <sheetName val="Productivity"/>
      <sheetName val="OpenPlatform"/>
      <sheetName val="Margin Progression"/>
      <sheetName val="Credit C"/>
      <sheetName val="Sum of Parts"/>
      <sheetName val="Sales-Inv Cht"/>
      <sheetName val="Credit Old"/>
      <sheetName val="Capex per Incr Sq Ft"/>
      <sheetName val="MS Ctgy Comp Est"/>
      <sheetName val="Credit sale &amp; capital structure"/>
      <sheetName val="TGT New Store Capex est"/>
      <sheetName val="Potential Leverage"/>
      <sheetName val="Sum-of-parts"/>
      <sheetName val="Financial Statistics"/>
      <sheetName val="Linked"/>
      <sheetName val="Valsum"/>
      <sheetName val="pe chart"/>
      <sheetName val="RNOA Chart"/>
      <sheetName val="asset chart"/>
      <sheetName val="margin chart"/>
      <sheetName val="RNOA Chart Data"/>
      <sheetName val="ModPubIndexInternal"/>
      <sheetName val="MainCode"/>
      <sheetName val="Model_Template"/>
      <sheetName val="Sheet1"/>
      <sheetName val="MWA ROE"/>
      <sheetName val="Scenario"/>
      <sheetName val="FutureAcq"/>
      <sheetName val="CalcsMO"/>
      <sheetName val="Credit Output"/>
      <sheetName val="Cash Flow-Industrial"/>
      <sheetName val="Geo"/>
      <sheetName val="Annual-consolidated"/>
      <sheetName val="Qtrly Inc St"/>
      <sheetName val="Bal Sheet - Cons."/>
      <sheetName val="Bal Sheet-Industrial"/>
      <sheetName val="Cash Flow - Cons."/>
      <sheetName val="NPV Summ. Sheet"/>
      <sheetName val="LC PF"/>
      <sheetName val="USD Model"/>
    </sheetNames>
    <sheetDataSet>
      <sheetData sheetId="0"/>
      <sheetData sheetId="1"/>
      <sheetData sheetId="2" refreshError="1"/>
      <sheetData sheetId="3"/>
      <sheetData sheetId="4"/>
      <sheetData sheetId="5" refreshError="1"/>
      <sheetData sheetId="6"/>
      <sheetData sheetId="7"/>
      <sheetData sheetId="8"/>
      <sheetData sheetId="9"/>
      <sheetData sheetId="10"/>
      <sheetData sheetId="11"/>
      <sheetData sheetId="12"/>
      <sheetData sheetId="13"/>
      <sheetData sheetId="14"/>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lied 3 yr avg"/>
      <sheetName val="Implied 2 yr avg"/>
      <sheetName val="em 2yr growth"/>
      <sheetName val="TUP 2-Yr AvgOrgSalesGrowth (3)"/>
      <sheetName val="ActiveSalesForceTable"/>
      <sheetName val="Beauty OtherLC Oper Prof Growth"/>
      <sheetName val="Beauty Other LC Sales Growth"/>
      <sheetName val="Beauty NA LC Oper Prof Growth "/>
      <sheetName val="Beauty NA LC Sales Growth"/>
      <sheetName val="NA LC Oper Prof Growth"/>
      <sheetName val="NA LC Sales Growth"/>
      <sheetName val="Asia - LC Oper Prof Growth"/>
      <sheetName val="Asia - LC Sales Growth"/>
      <sheetName val="Europe - LC Op Profit Growth"/>
      <sheetName val="Europe - LC Sales Growth"/>
      <sheetName val="2 Year Org EBIT Growth "/>
      <sheetName val="2 Year Org Rev Growth"/>
      <sheetName val="2 Year Org Rev Growth_B2B"/>
      <sheetName val="__FDSCACHE__"/>
      <sheetName val="Org Rev Growth"/>
      <sheetName val="Inc_Margin"/>
      <sheetName val="Inc_Margin_Resin"/>
      <sheetName val="Upside-Downside"/>
      <sheetName val="Org Sales - Line Chart"/>
      <sheetName val="Bull-Base-Bear"/>
      <sheetName val="Org Sales - 2yr"/>
      <sheetName val="Org Sales"/>
      <sheetName val="Twp Year Avg Org EBIT - Annual"/>
      <sheetName val="Two Year Avg Org Sales - Annual"/>
      <sheetName val="MS vs Street EPS"/>
      <sheetName val="SDA"/>
      <sheetName val="SD&amp;A"/>
      <sheetName val="Resin"/>
      <sheetName val="Resin % of Profit"/>
      <sheetName val="EM-DM Growth"/>
      <sheetName val="Topline Sensitivity"/>
      <sheetName val="SLDS Cat Mix_Bar"/>
      <sheetName val="SLDSRegionSales_Bar"/>
      <sheetName val="SLDS Category Mix"/>
      <sheetName val="SLDS Region Sales Mix"/>
      <sheetName val="EM Organic Growth Sensitivity"/>
      <sheetName val="TUP_EBIT_Mix - Bar"/>
      <sheetName val="TUP_EBIT_Mix"/>
      <sheetName val="TUP_Revenue_Mix"/>
      <sheetName val="TUP_Rev_Mix"/>
      <sheetName val="SMID HPC 5 Year Org Growth"/>
      <sheetName val="EM vs S&amp;P"/>
      <sheetName val="EM Growth"/>
      <sheetName val="EM vs. DM Growth"/>
      <sheetName val="NAmerica-GermanyDrag"/>
      <sheetName val="EMToplineBuild"/>
      <sheetName val="NAmer_Germ_Drag"/>
      <sheetName val="NA Old Trends"/>
      <sheetName val="TUPNA_Old_Trends"/>
      <sheetName val="TUPNA_New_Trends (2)"/>
      <sheetName val="TUPNA_New_Trends"/>
      <sheetName val="GermOrgSales_Euro Margins"/>
      <sheetName val="GermOrgSales_Euro Margins (2)"/>
      <sheetName val="European_Sales_Op_Margins"/>
      <sheetName val="L1071"/>
      <sheetName val="TUP Org Sales Growth"/>
      <sheetName val="Org Sales Growth (2)"/>
      <sheetName val="TUP 2-Yr AvgOpProfitGrowth"/>
      <sheetName val="TUP 2-Yr AvgOrgSalesGrowth (2)"/>
      <sheetName val="HistoricalOrgSales"/>
      <sheetName val="2 Year StackedOrg Sales"/>
      <sheetName val="DCF vs. Mkt"/>
      <sheetName val="Historical vs. Consensus"/>
      <sheetName val="AvgOrgGrowth"/>
      <sheetName val="LTM vs NTM Comps"/>
      <sheetName val="Traling 2 Year Org vs MS F-Cast"/>
      <sheetName val="AVP Org Growth"/>
      <sheetName val="HPC_Net_Debt_EBITDA"/>
      <sheetName val="TUP 2-Yr AvgOrgSalesGrowth"/>
      <sheetName val="2 Year Organic Sales %"/>
      <sheetName val="EPS vs. Street_and_Company"/>
      <sheetName val="EPS vs. Street_and_Company (2)"/>
      <sheetName val="Active-Org Sales Gap"/>
      <sheetName val="ActivevOrgRegres-1Qtr"/>
      <sheetName val="ActivevOrgRegres-2Qtr"/>
      <sheetName val="TotalOrgRegres-1Qtr "/>
      <sheetName val="TotalOrgRegres-2Qtr "/>
      <sheetName val="2000-2005EPS_OMChange"/>
      <sheetName val="EMGrowth"/>
      <sheetName val="EM as % of Mix"/>
      <sheetName val="Org Sales Growth"/>
      <sheetName val="Resin_Profit"/>
      <sheetName val="Org_Sales_Comp"/>
      <sheetName val="OrgSalesVsPeers"/>
      <sheetName val="OPForecast"/>
      <sheetName val="EPSForecast"/>
      <sheetName val="Leverage_FCF"/>
      <sheetName val="c1"/>
      <sheetName val="CPB"/>
      <sheetName val="Total_Food_Promo"/>
      <sheetName val="CPB_2yr"/>
      <sheetName val="Euro Model"/>
      <sheetName val="R2000"/>
      <sheetName val="ImportantDisclosures"/>
      <sheetName val="IndexInformation"/>
      <sheetName val="Income"/>
      <sheetName val="Credit Output"/>
      <sheetName val="FutureAcq"/>
      <sheetName val="Control"/>
      <sheetName val="IPOcalc"/>
      <sheetName val="CalcsMO"/>
      <sheetName val="Sensitivity 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
      <sheetName val="__FDSCACHE__"/>
      <sheetName val="A"/>
      <sheetName val="P&amp;L"/>
      <sheetName val="Breakdown"/>
      <sheetName val="Categories"/>
      <sheetName val="Q_Breakdown"/>
      <sheetName val="Q_P&amp;L"/>
      <sheetName val="BS"/>
      <sheetName val="CF"/>
      <sheetName val="Ratios"/>
      <sheetName val="Brands"/>
      <sheetName val="ADJUST"/>
      <sheetName val="SUMMARY"/>
      <sheetName val="OREP.PA"/>
      <sheetName val="GE3"/>
      <sheetName val="Total_Assets"/>
      <sheetName val="GE Upload"/>
      <sheetName val="Valuation"/>
      <sheetName val="SASY.L GE"/>
      <sheetName val="GELink Disclosures All"/>
      <sheetName val="Sheet1"/>
      <sheetName val="Triggers"/>
      <sheetName val="GELink Disclosures SASY.L GE"/>
      <sheetName val="B"/>
      <sheetName val="D"/>
      <sheetName val="Inc-Yr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nda"/>
      <sheetName val="Synergy"/>
      <sheetName val="Volume Trends"/>
      <sheetName val="CY11 Vol Summary"/>
      <sheetName val="CY10 Q1&amp;2 vs PY"/>
      <sheetName val="CY10 FQ3&amp;4 vs PY"/>
      <sheetName val="CY10 F Q3&amp;4"/>
      <sheetName val="CY10 Fcst"/>
      <sheetName val="CY10 By Comp"/>
      <sheetName val="LC Summary"/>
      <sheetName val="LC PF"/>
      <sheetName val="LC AF"/>
      <sheetName val="LC AB"/>
      <sheetName val="FC Summary"/>
      <sheetName val="FC PF"/>
      <sheetName val="FC AF"/>
      <sheetName val="FC AB"/>
      <sheetName val="Actual"/>
      <sheetName val="NPV Summ. 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 val="Inputs"/>
      <sheetName val="IndexInformation"/>
      <sheetName val="Inco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JDE"/>
      <sheetName val="JE template"/>
      <sheetName val="Carrier Accrual"/>
      <sheetName val="IWI Accrual (3PL)"/>
      <sheetName val="Nordic Accrual (3PL)"/>
      <sheetName val="AFN Accrual (Anaheim) 3PL"/>
      <sheetName val="IWI Report (EView)"/>
      <sheetName val="Summary"/>
      <sheetName val="Master Trans. Vendor List"/>
      <sheetName val="Carrier Summary"/>
      <sheetName val="IWI Summary"/>
      <sheetName val="Nordic Summary"/>
      <sheetName val="AFN Summary"/>
      <sheetName val="Summary by Period"/>
      <sheetName val="Inputs"/>
      <sheetName val="Rat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WWAV Sales"/>
      <sheetName val="WWAV IS"/>
      <sheetName val="WWAV BS"/>
      <sheetName val="WWAV CF"/>
      <sheetName val="WWAV Debt"/>
      <sheetName val="Scenario"/>
      <sheetName val="Summary"/>
      <sheetName val="Valuation"/>
      <sheetName val="WWAV 3Q13 Preview"/>
      <sheetName val="End-Markets"/>
      <sheetName val="WWAV DCF Exhibit"/>
      <sheetName val="Sheet1"/>
      <sheetName val="1Q13 Variance"/>
      <sheetName val="WWAV 2013 Preview"/>
      <sheetName val="WWAV IS_OLD"/>
      <sheetName val="MW-Cache"/>
      <sheetName val="WWAV 4Q12 Preview"/>
      <sheetName val="Monetization of WWAV Stake"/>
      <sheetName val="mwareDates"/>
      <sheetName val="MWA RR"/>
      <sheetName val="mwareSettings"/>
      <sheetName val="WWAV Model Summary"/>
      <sheetName val="WWAV DCF Valuation"/>
      <sheetName val="WWAV IS Clean"/>
      <sheetName val="4Q12 Variance"/>
      <sheetName val="DF Model Summary"/>
      <sheetName val="Sales"/>
      <sheetName val="IS"/>
      <sheetName val="BS"/>
      <sheetName val="CF"/>
      <sheetName val="SOTP"/>
      <sheetName val="DF Pro Forma Debt"/>
      <sheetName val="DF WWAV Capital Structure"/>
      <sheetName val="Financial Summary"/>
      <sheetName val="Morningstar Valuation"/>
      <sheetName val="Net Debt to EBITDA"/>
      <sheetName val="Milk Inflation - GMs"/>
      <sheetName val="Milk Inflation - FDD OM"/>
      <sheetName val="Milk Inflation - FDD OM (2)"/>
      <sheetName val="Milk Inflation - Morningstar OM"/>
      <sheetName val="FDD GM vs. Inflation"/>
      <sheetName val="FDD GM Chg vs. Inflation"/>
      <sheetName val="Milk Pricing (I&amp;II)"/>
      <sheetName val="WWAV 2Q13 Preview"/>
      <sheetName val="Sheet2"/>
      <sheetName val="Earthbound"/>
      <sheetName val=""/>
      <sheetName val="RNOA and ROE analysis"/>
      <sheetName val="IRI_SOUP"/>
      <sheetName val="SALES Old"/>
      <sheetName val="IRI_RTS"/>
      <sheetName val="IRI_Condensed"/>
      <sheetName val="IRI_Cookies"/>
      <sheetName val="IRI_Crackers"/>
      <sheetName val="ROIC"/>
      <sheetName val="Segment_Data"/>
      <sheetName val="GEOGRAPHY"/>
      <sheetName val="Report"/>
      <sheetName val="SALES _Old"/>
      <sheetName val="DIVISIONAL"/>
      <sheetName val="QTRLY "/>
      <sheetName val="Bolthouse"/>
      <sheetName val="4Q13 Variance"/>
      <sheetName val="Guidance"/>
      <sheetName val="Variance"/>
      <sheetName val="Sheet3"/>
      <sheetName val="Vega Accretion"/>
      <sheetName val="Quorn Accretion"/>
      <sheetName val="Summary P&amp;L"/>
      <sheetName val="Ex-Earthbound"/>
      <sheetName val="OLD --&gt;"/>
      <sheetName val="Debt"/>
      <sheetName val="#REF"/>
      <sheetName val="Ratios"/>
      <sheetName val="JDE"/>
      <sheetName val="IWI Report (EView)"/>
      <sheetName val="Master Trans. Vendor List"/>
      <sheetName val="p&amp;leuro"/>
      <sheetName val="Categories_New"/>
      <sheetName val="Switches"/>
      <sheetName val="Valuation_Decomposition"/>
      <sheetName val="Implied Cold Value"/>
      <sheetName val="Implied Mix Headwind"/>
      <sheetName val="Machine Top-line"/>
    </sheetNames>
    <sheetDataSet>
      <sheetData sheetId="0"/>
      <sheetData sheetId="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refreshError="1"/>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sheetData sheetId="66"/>
      <sheetData sheetId="67"/>
      <sheetData sheetId="68"/>
      <sheetData sheetId="69"/>
      <sheetData sheetId="70"/>
      <sheetData sheetId="7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sheetName val="Model_Drivers"/>
      <sheetName val="IS"/>
      <sheetName val="Valuation Inputs"/>
      <sheetName val="DCF Valuation"/>
      <sheetName val="BS"/>
      <sheetName val="CF"/>
      <sheetName val="DCF"/>
      <sheetName val="Residual Income Valuation"/>
      <sheetName val="Multiples"/>
      <sheetName val="Extra Info"/>
      <sheetName val="SALES"/>
      <sheetName val="MWA Pension"/>
      <sheetName val="MWA OPEB"/>
      <sheetName val="MWA RR"/>
      <sheetName val="mwareDates"/>
      <sheetName val="MW-Cache"/>
      <sheetName val="QTRLY"/>
      <sheetName val="Switches"/>
      <sheetName val="Inputs"/>
      <sheetName val="LBO Summary"/>
      <sheetName val="Actual vs Estimate"/>
      <sheetName val="Upgrade Charts"/>
      <sheetName val="IRI Data"/>
      <sheetName val="ROIC"/>
      <sheetName val="MainCode"/>
      <sheetName val="NY UPLOAD shadow"/>
      <sheetName val="EPS"/>
      <sheetName val="NY UPLOAD"/>
      <sheetName val="Report"/>
      <sheetName val="Choc"/>
      <sheetName val="Share repurchase"/>
      <sheetName val="Non-choc"/>
      <sheetName val="Seasonal"/>
      <sheetName val="Sheet1"/>
      <sheetName val="Q"/>
      <sheetName val="DIVISIONAL_OLD"/>
      <sheetName val="Model_Template"/>
      <sheetName val="mwareDates_38453_6715361"/>
      <sheetName val="mwareDates_38453_713766"/>
      <sheetName val="ANNUAL"/>
      <sheetName val="BAL SHEET"/>
      <sheetName val="CASHFLOW"/>
      <sheetName val="mwareSettings"/>
      <sheetName val="CENMODEL"/>
      <sheetName val="Leases"/>
      <sheetName val="WWAV CF"/>
      <sheetName val="End-Markets"/>
      <sheetName val="JDE"/>
      <sheetName val="IWI Report (EView)"/>
      <sheetName val="Master Trans. Vendor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del_Drivers"/>
      <sheetName val="IS"/>
      <sheetName val="BS"/>
      <sheetName val="CF"/>
      <sheetName val="Valuation"/>
      <sheetName val="Summary"/>
      <sheetName val="MWA Pension"/>
      <sheetName val="MWA OPEB"/>
      <sheetName val="mwareDates"/>
      <sheetName val="MWA RR"/>
      <sheetName val="OLD----&gt;"/>
      <sheetName val="3Q13_Variance"/>
      <sheetName val="F3Q12 Preview"/>
      <sheetName val="Sheet2"/>
      <sheetName val="1Q12_Variance"/>
      <sheetName val="4Q12_Variance"/>
      <sheetName val="1Q13_Variance"/>
      <sheetName val="1Q13_Preview"/>
      <sheetName val="2Q13_Preview"/>
      <sheetName val="Valuation Inputs"/>
      <sheetName val="DCF Valuation"/>
      <sheetName val="DCF"/>
      <sheetName val="Residual Income Valuation"/>
      <sheetName val="Multiples"/>
      <sheetName val="Extra Info"/>
      <sheetName val="SALES"/>
      <sheetName val="MW-Cache"/>
      <sheetName val="QTRLY"/>
      <sheetName val="Switches"/>
      <sheetName val="Inputs"/>
      <sheetName val="LBO Summary"/>
      <sheetName val="Actual vs Estimate"/>
      <sheetName val="Upgrade Charts"/>
      <sheetName val="IRI Data"/>
      <sheetName val="ROIC"/>
      <sheetName val="MainCode"/>
      <sheetName val="NY UPLOAD shadow"/>
      <sheetName val="EPS"/>
      <sheetName val="NY UPLOAD"/>
      <sheetName val="Report"/>
      <sheetName val="Choc"/>
      <sheetName val="Share repurchase"/>
      <sheetName val="Non-choc"/>
      <sheetName val="Seasonal"/>
      <sheetName val="Sheet1"/>
      <sheetName val="Q"/>
      <sheetName val="DIVISIONAL_OLD"/>
      <sheetName val="Model_Template"/>
      <sheetName val="mwareDates_38453_6715361"/>
      <sheetName val="mwareDates_38453_713766"/>
      <sheetName val="ANNUAL"/>
      <sheetName val="BAL SHEET"/>
      <sheetName val="CASHFLOW"/>
      <sheetName val="mwareSettings"/>
      <sheetName val="3Q12_Variance"/>
      <sheetName val="F2Q12 Preview"/>
      <sheetName val="2Q12_Variance"/>
      <sheetName val="F1Q12 Preview"/>
      <sheetName val="HSY"/>
      <sheetName val="Leases"/>
      <sheetName val="Organic Milk Market Share Chart"/>
      <sheetName val="Variance"/>
      <sheetName val="Guidance"/>
      <sheetName val="Scenario"/>
      <sheetName val="Summary P&amp;L"/>
      <sheetName val="Disclosures"/>
      <sheetName val="#REF"/>
      <sheetName val="CPB"/>
      <sheetName val="Total_Food_Promo"/>
      <sheetName val="CPB_2yr"/>
      <sheetName val="WWAV CF"/>
      <sheetName val="1Q13 Variance"/>
      <sheetName val="WWAV BS"/>
      <sheetName val="WWAV 3Q13 Preview"/>
      <sheetName val="WWAV DCF Exhibit"/>
      <sheetName val="WWAV IS"/>
      <sheetName val="End-Markets"/>
      <sheetName val="c1"/>
      <sheetName val="Ratios"/>
      <sheetName val="GIS_CURRENT.x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ales"/>
      <sheetName val="IS"/>
      <sheetName val="Guidance"/>
      <sheetName val="Variance"/>
      <sheetName val="Sheet3"/>
      <sheetName val="BS"/>
      <sheetName val="CF"/>
      <sheetName val="Vega Accretion"/>
      <sheetName val="Scenario"/>
      <sheetName val="Summary"/>
      <sheetName val="Valuation"/>
      <sheetName val="Quorn Accretion"/>
      <sheetName val="Summary P&amp;L"/>
      <sheetName val="Ex-Earthbound"/>
      <sheetName val="Sheet2"/>
      <sheetName val="End-Markets"/>
      <sheetName val="Sheet1"/>
      <sheetName val="mwareDates"/>
      <sheetName val="OLD --&gt;"/>
      <sheetName val="MWA RR"/>
      <sheetName val="Earthbound"/>
      <sheetName val="Debt"/>
      <sheetName val="WWAV IS_OLD"/>
      <sheetName val="MW-Cache"/>
      <sheetName val="Monetization of WWAV Stake"/>
      <sheetName val="mwareSettings"/>
      <sheetName val="WWAV Sales"/>
      <sheetName val="WWAV IS"/>
      <sheetName val="WWAV BS"/>
      <sheetName val="WWAV CF"/>
      <sheetName val="WWAV 3Q13 Preview"/>
      <sheetName val="WWAV DCF Exhibit"/>
      <sheetName val="1Q13 Variance"/>
      <sheetName val="WWAV 2013 Preview"/>
      <sheetName val="WWAV 4Q12 Preview"/>
      <sheetName val="WWAV Debt"/>
      <sheetName val="WWAV DCF Valuation"/>
      <sheetName val="WWAV Model Summary"/>
      <sheetName val="WWAV IS Clean"/>
      <sheetName val="WWAV 2Q13 Preview"/>
      <sheetName val="4Q12 Variance"/>
      <sheetName val="DF Model Summary"/>
      <sheetName val="SOTP"/>
      <sheetName val="DF Pro Forma Debt"/>
      <sheetName val="DF WWAV Capital Structure"/>
      <sheetName val="Financial Summary"/>
      <sheetName val="Morningstar Valuation"/>
      <sheetName val="Net Debt to EBITDA"/>
      <sheetName val="Milk Inflation - GMs"/>
      <sheetName val="Milk Inflation - FDD OM"/>
      <sheetName val="Milk Inflation - FDD OM (2)"/>
      <sheetName val="Milk Inflation - Morningstar OM"/>
      <sheetName val="FDD GM vs. Inflation"/>
      <sheetName val="FDD GM Chg vs. Inflation"/>
      <sheetName val="Milk Pricing (I&amp;II)"/>
      <sheetName val="#REF"/>
      <sheetName val="Categories_New"/>
      <sheetName val="Switches"/>
      <sheetName val="Valuation_Decomposition"/>
      <sheetName val="Implied Cold Value"/>
      <sheetName val="Implied Mix Headwind"/>
      <sheetName val="Machine Top-line"/>
    </sheetNames>
    <sheetDataSet>
      <sheetData sheetId="0"/>
      <sheetData sheetId="1"/>
      <sheetData sheetId="2"/>
      <sheetData sheetId="3"/>
      <sheetData sheetId="4">
        <row r="21">
          <cell r="C21">
            <v>9.1786555684515048E-2</v>
          </cell>
        </row>
      </sheetData>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reakup"/>
      <sheetName val="#REF"/>
      <sheetName val="MultipleSecurities"/>
      <sheetName val="Exclusion List"/>
      <sheetName val="IS"/>
      <sheetName val="BS"/>
      <sheetName val="CF"/>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IS Quarterly"/>
      <sheetName val="Scenario"/>
      <sheetName val="Bakery"/>
      <sheetName val="Input-CB Revenues"/>
      <sheetName val="P&amp;L"/>
      <sheetName val="P"/>
      <sheetName val="NKEBALST"/>
      <sheetName val="Analysis"/>
      <sheetName val="MACRS"/>
      <sheetName val="NKEQTRIN"/>
      <sheetName val="Sheet1"/>
      <sheetName val="MultipleSecurities"/>
      <sheetName val="Quarterly Projection"/>
      <sheetName val="BizJet Deliveri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
      <sheetName val="bfo cash flow statement"/>
      <sheetName val="bfo balance sheet"/>
      <sheetName val="consensus"/>
      <sheetName val="income statement"/>
      <sheetName val="Annual"/>
      <sheetName val="Chart1"/>
      <sheetName val="consumer foods by region"/>
      <sheetName val="assumptions"/>
      <sheetName val="don't use"/>
      <sheetName val="Sheet1"/>
      <sheetName val="nopat"/>
      <sheetName val="marginal roce"/>
      <sheetName val="balance sheet, consumer foods"/>
      <sheetName val="Sheet2"/>
      <sheetName val="Sheet3"/>
      <sheetName val="assumptions 2"/>
      <sheetName val="P&amp;L"/>
      <sheetName val="Qrt Sales"/>
      <sheetName val="MATQTRS"/>
      <sheetName val="UNIV-EBS DATA"/>
      <sheetName val="MATINC"/>
      <sheetName val="RELPE"/>
      <sheetName val="Ratios"/>
      <sheetName val="SALESCAT"/>
      <sheetName val="MATBAL"/>
      <sheetName val="MATCASH"/>
      <sheetName val="FinSum"/>
      <sheetName val="Macro2"/>
      <sheetName val="CEN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amp; profit growth"/>
      <sheetName val="A"/>
      <sheetName val="B"/>
      <sheetName val="C -Euro"/>
      <sheetName val="E"/>
      <sheetName val="Quarterly"/>
      <sheetName val="F"/>
      <sheetName val="G"/>
      <sheetName val="H"/>
      <sheetName val="Sheet3"/>
      <sheetName val="GE Upload"/>
      <sheetName val="Summary"/>
      <sheetName val="Ratios"/>
      <sheetName val="DCF"/>
      <sheetName val="ROCE2"/>
      <sheetName val="Old P&amp;L"/>
      <sheetName val="DANO.PA"/>
      <sheetName val="Net_Operating"/>
      <sheetName val="C"/>
      <sheetName val="old break"/>
      <sheetName val="Business Description"/>
      <sheetName val="ROCE"/>
      <sheetName val="GE 2"/>
      <sheetName val="GE3"/>
      <sheetName val="Sheet1"/>
      <sheetName val="Div Break chart"/>
      <sheetName val="Geo sales break chart"/>
      <sheetName val="MATQTRS"/>
      <sheetName val="UNIV-EBS DATA"/>
      <sheetName val="MATINC"/>
      <sheetName val="RELPE"/>
      <sheetName val="SALESCAT"/>
      <sheetName val="MATBAL"/>
      <sheetName val="MATCASH"/>
      <sheetName val="FinSum"/>
      <sheetName val="Macro2"/>
      <sheetName val="inputs"/>
      <sheetName val="MultipleSecuriti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s_old"/>
      <sheetName val="B"/>
      <sheetName val="C"/>
      <sheetName val="D"/>
      <sheetName val="inputs"/>
    </sheetNames>
    <sheetDataSet>
      <sheetData sheetId="0" refreshError="1"/>
      <sheetData sheetId="1" refreshError="1"/>
      <sheetData sheetId="2" refreshError="1"/>
      <sheetData sheetId="3" refreshError="1"/>
      <sheetData sheetId="4"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ntent"/>
      <sheetName val="RI Valuation"/>
      <sheetName val="Ratios"/>
      <sheetName val="P&amp;L"/>
      <sheetName val="CFS"/>
      <sheetName val="BS"/>
      <sheetName val="Topline"/>
      <sheetName val="Margins"/>
      <sheetName val="Interim P&amp;L"/>
      <sheetName val="FX"/>
      <sheetName val="Adams P&amp;L"/>
      <sheetName val="Volume"/>
      <sheetName val="Drive"/>
      <sheetName val="Op leverage"/>
      <sheetName val="SumPart"/>
      <sheetName val="Acquisitions"/>
      <sheetName val="Chart1"/>
      <sheetName val="Link sheet"/>
      <sheetName val="Output Sheets"/>
      <sheetName val="Countries"/>
      <sheetName val="Conf Comments"/>
      <sheetName val="Bev Comments"/>
      <sheetName val="Other Comments"/>
      <sheetName val="GE Upload1"/>
      <sheetName val="2nd Page Sheet"/>
      <sheetName val="mwareDates"/>
      <sheetName val="mwareTaxoPres"/>
      <sheetName val="mwareValPrintout"/>
      <sheetName val="mwarePreview"/>
      <sheetName val="Modelware items"/>
      <sheetName val="mwareSettings"/>
      <sheetName val="GE3"/>
      <sheetName val="Valuation"/>
      <sheetName val="FX-Rates"/>
      <sheetName val="xbrldates"/>
      <sheetName val="xbrlPreview"/>
      <sheetName val="xbrlSettings"/>
      <sheetName val="Confectionery Comments"/>
      <sheetName val="Beverage Comments"/>
      <sheetName val="Other Divisions Comments"/>
      <sheetName val="Margin Assumptions"/>
      <sheetName val="Interim Topline"/>
      <sheetName val="Divisional Forecast"/>
      <sheetName val="Split"/>
      <sheetName val="Adams"/>
      <sheetName val="Adams impact"/>
      <sheetName val="Dilution"/>
      <sheetName val="Data for Adams"/>
      <sheetName val="Pensions"/>
      <sheetName val="MWare_Cached"/>
      <sheetName val="Cadbury Model"/>
      <sheetName val="Model_Template"/>
      <sheetName val="Rec MW EPS to U'lying EPS"/>
      <sheetName val="SoP"/>
      <sheetName val="Changes in shareholders' equity"/>
      <sheetName val="RI"/>
      <sheetName val="DPSUBG"/>
      <sheetName val="EV"/>
      <sheetName val="EU Bev disposal"/>
      <sheetName val="Bottlers"/>
      <sheetName val="Other Acqs"/>
      <sheetName val="M&amp;A"/>
      <sheetName val="FX Rates"/>
      <sheetName val="Confectionery stub"/>
      <sheetName val="Break-Up"/>
      <sheetName val="Margin Benchmarking"/>
      <sheetName val="LBO"/>
      <sheetName val="Scenario"/>
      <sheetName val="Ratios, Margins &amp; Multiples"/>
      <sheetName val="B"/>
      <sheetName val="Peer analysis-Modelware"/>
      <sheetName val="MATINC"/>
      <sheetName val="MATQTRS"/>
      <sheetName val="UNIV-EBS DATA"/>
      <sheetName val="RELPE"/>
      <sheetName val="SALESCAT"/>
      <sheetName val="MATBAL"/>
      <sheetName val="MATCASH"/>
      <sheetName val="FinSum"/>
      <sheetName val="Macro2"/>
      <sheetName val="Macr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Modelware Items"/>
      <sheetName val="xbrlPreview"/>
      <sheetName val="Content"/>
      <sheetName val="Valuation"/>
      <sheetName val="Ratios"/>
      <sheetName val="CFS"/>
      <sheetName val="P&amp;L"/>
      <sheetName val="Half-Year P&amp;L"/>
      <sheetName val="By Quarter"/>
      <sheetName val="Organic growth"/>
      <sheetName val="Margins"/>
      <sheetName val="Chart-Data"/>
      <sheetName val="BS"/>
      <sheetName val="FX-Impact"/>
      <sheetName val="Acq.-Disp."/>
      <sheetName val="Countries"/>
      <sheetName val="Product &amp; Geographic Segments"/>
      <sheetName val="Revenue Breakdown-Chart"/>
      <sheetName val="EBIT Breakdown Chart"/>
      <sheetName val="Dairy Sales Chart"/>
      <sheetName val="Financial Overview"/>
      <sheetName val="Organic Rev Growth Chart"/>
      <sheetName val="Themis Chart"/>
      <sheetName val="Biscuit EBIT-Margin Chart"/>
      <sheetName val="EBIT-Evolution Chart"/>
      <sheetName val="Chart9"/>
      <sheetName val="Chart10"/>
      <sheetName val="GE Upload1"/>
      <sheetName val="2nd Page Sheet"/>
      <sheetName val="Output Sheets"/>
      <sheetName val="xbrldates"/>
      <sheetName val="xbrlSettings"/>
      <sheetName val="GE3"/>
      <sheetName val="Margin Assumptions"/>
      <sheetName val="FX"/>
      <sheetName val="Short BS &amp; CFS"/>
      <sheetName val="mwareTaxoPres"/>
      <sheetName val="mwareValPrintout"/>
      <sheetName val="mwarePreview"/>
      <sheetName val="mwareDates"/>
      <sheetName val="mwareSettings"/>
      <sheetName val="D"/>
      <sheetName val="G-Euro"/>
      <sheetName val="MODEL"/>
      <sheetName val="B"/>
      <sheetName val="CF"/>
      <sheetName val="Summary"/>
      <sheetName val="Ratios, Margins &amp; Multip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QLSheet"/>
      <sheetName val="WorkSheet"/>
      <sheetName val="xDBCalls"/>
      <sheetName val="xUpdate"/>
      <sheetName val="xUpdate2"/>
      <sheetName val="xUpdate3"/>
      <sheetName val="oldcode"/>
      <sheetName val="xShowUpdates"/>
      <sheetName val="xVersionControl"/>
      <sheetName val="xAddCompany"/>
      <sheetName val="v1_01"/>
      <sheetName val="xUtilities"/>
      <sheetName val="xStartup"/>
      <sheetName val="xMakeODBC"/>
      <sheetName val="WizStep2"/>
      <sheetName val="GE 3 MINIMUM"/>
      <sheetName val="BS"/>
      <sheetName val="P&amp;L"/>
      <sheetName val="Model"/>
      <sheetName val="KM"/>
      <sheetName val="Monthly figures"/>
      <sheetName val="p&amp;leu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Sheet1"/>
      <sheetName val="Incremental Growth"/>
      <sheetName val="Pipeline"/>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Annual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Contents"/>
      <sheetName val="mwarePreview"/>
      <sheetName val="Summary"/>
      <sheetName val="Qrtly Sales"/>
      <sheetName val="Yrly Sales"/>
      <sheetName val="Product concentration"/>
      <sheetName val="Div P&amp;L"/>
      <sheetName val="div p&amp;L new"/>
      <sheetName val="Restructuring and synergies"/>
      <sheetName val="Sandoz"/>
      <sheetName val=" Qrtly P&amp;L"/>
      <sheetName val=" Yrly P&amp;L"/>
      <sheetName val="IFRS adjustments"/>
      <sheetName val="BalanceSheet"/>
      <sheetName val="CashFlowSt"/>
      <sheetName val="FutureProducts"/>
      <sheetName val="GVAT Adjusted CHF"/>
      <sheetName val="GVAT Adjusted $"/>
      <sheetName val="GVAT RI Valuation"/>
      <sheetName val="GVAT Reported $"/>
      <sheetName val="GVAT pensions CHF"/>
      <sheetName val="GVAT Reported CHF"/>
      <sheetName val="GVAT options CHF"/>
      <sheetName val="__FDSCACHE__"/>
      <sheetName val="Zelnorm"/>
      <sheetName val="Gleevec"/>
      <sheetName val="Elidel"/>
      <sheetName val="DCF"/>
      <sheetName val="Novartisfeed"/>
      <sheetName val="Disclaimer"/>
      <sheetName val="mwareTaxoPres"/>
      <sheetName val="mwareDates_38456_582518"/>
      <sheetName val="RI Valuation"/>
      <sheetName val="Convergence Valuation"/>
      <sheetName val="Report"/>
      <sheetName val="mwareValPrintout"/>
      <sheetName val="Model_Template"/>
      <sheetName val="mwareDates"/>
      <sheetName val="mwareSettings"/>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Telbivudine"/>
      <sheetName val="Key metrics"/>
      <sheetName val="QPreview"/>
      <sheetName val="RI GW"/>
      <sheetName val="Chiron acquisition"/>
      <sheetName val="SQLSheet"/>
      <sheetName val="WorkSheet"/>
      <sheetName val="inputs"/>
      <sheetName val="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sheetName val="Hasbro"/>
      <sheetName val="Mattel"/>
      <sheetName val="Summary Sheet"/>
      <sheetName val="HAS vs MAT CY EBITDA"/>
      <sheetName val="MATQTRS"/>
      <sheetName val="UNIV-EBS DATA"/>
      <sheetName val="MATINC"/>
      <sheetName val="RELPE"/>
      <sheetName val="Ratios"/>
      <sheetName val="SALESCAT"/>
      <sheetName val="MATBAL"/>
      <sheetName val="MATCASH"/>
      <sheetName val="FinSum"/>
      <sheetName val="Macro2"/>
      <sheetName val="Model"/>
      <sheetName val="Balance Sheet"/>
      <sheetName val="Macro1"/>
      <sheetName val="Ratios, Margins &amp; Multip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
      <sheetName val="Cash Flow"/>
      <sheetName val="Balance Sheet"/>
      <sheetName val="DCF"/>
      <sheetName val="Mfg Facilities 2003"/>
      <sheetName val="Mfg Facilities 2002"/>
      <sheetName val="Mfg Facilties 2001"/>
      <sheetName val="Valuation Summary"/>
      <sheetName val="ELSA - Globals"/>
      <sheetName val="staffing dashboar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 Div Orig Bud"/>
      <sheetName val="Pricing"/>
      <sheetName val="Transferred Budgets"/>
      <sheetName val="Sheet1"/>
      <sheetName val="2014 Actual &amp; Bud by Cust"/>
      <sheetName val="Product &amp; Brand"/>
      <sheetName val="2015 Plan"/>
      <sheetName val="2015 Plan Round"/>
      <sheetName val="Broker &amp; Slsperson"/>
      <sheetName val="Broker Net Sales Growth 2015"/>
      <sheetName val="P&amp;L"/>
      <sheetName val="CENMODEL"/>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s for Sensitivy"/>
      <sheetName val="Financials"/>
      <sheetName val="Hist Inputs"/>
      <sheetName val="DCF7"/>
      <sheetName val="Broker Net Sales Growth 2015"/>
    </sheetNames>
    <sheetDataSet>
      <sheetData sheetId="0" refreshError="1"/>
      <sheetData sheetId="1" refreshError="1"/>
      <sheetData sheetId="2" refreshError="1"/>
      <sheetData sheetId="3" refreshError="1"/>
      <sheetData sheetId="4"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HIST20"/>
      <sheetName val="Graphs"/>
    </sheetNames>
    <definedNames>
      <definedName name="Print_HardRock"/>
    </definedNames>
    <sheetDataSet>
      <sheetData sheetId="0"/>
      <sheetData sheetId="1" refreshError="1"/>
      <sheetData sheetId="2"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LBO_2"/>
    </sheetNames>
    <definedNames>
      <definedName name="Print_ibt"/>
      <definedName name="Print_image"/>
      <definedName name="Print_valmat"/>
    </definedNames>
    <sheetDataSet>
      <sheetData sheetId="0" refreshError="1"/>
      <sheetData sheetId="1"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ager"/>
      <sheetName val="User"/>
      <sheetName val="Inputs"/>
      <sheetName val="Output"/>
      <sheetName val="Standard_LBO"/>
    </sheetNames>
    <definedNames>
      <definedName name="Print_Valmax"/>
    </definedNames>
    <sheetDataSet>
      <sheetData sheetId="0" refreshError="1"/>
      <sheetData sheetId="1" refreshError="1"/>
      <sheetData sheetId="2" refreshError="1"/>
      <sheetData sheetId="3" refreshError="1"/>
      <sheetData sheetId="4"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_Quareterly"/>
      <sheetName val="#REF"/>
      <sheetName val="Breakup"/>
      <sheetName val="Inputs"/>
      <sheetName val="Manager"/>
      <sheetName val="Private_Label"/>
      <sheetName val="Hair Care Dollar Share"/>
      <sheetName val="CENMODEL"/>
      <sheetName val="MO, quarterly"/>
      <sheetName val="Analysis"/>
      <sheetName val="MACRS"/>
    </sheetNames>
    <definedNames>
      <definedName name="PrintModelReports"/>
      <definedName name="PrintPreviewModelReport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Valuations"/>
      <sheetName val="JV"/>
      <sheetName val="Restatd 5 Year Sales &amp; Earnings"/>
      <sheetName val="Restated Qtr Income"/>
      <sheetName val="Restated Qtr Margin"/>
      <sheetName val="Qrt Sales"/>
      <sheetName val="Qtr Sales2"/>
      <sheetName val="Q preview"/>
      <sheetName val="BS2"/>
      <sheetName val="Cash flow"/>
      <sheetName val="transaction multiple"/>
      <sheetName val="QRT_LINK"/>
      <sheetName val="P&amp;L"/>
      <sheetName val="Quarterly P&amp;L"/>
      <sheetName val="Sales_Op Earnings"/>
      <sheetName val="Blank"/>
      <sheetName val="Balance "/>
      <sheetName val="Stat Sheet"/>
      <sheetName val="IS-COMPS"/>
      <sheetName val="QTR Income Historic"/>
      <sheetName val="QTR Margin Historic"/>
      <sheetName val="Qrt Sales Historic"/>
      <sheetName val="Annual Prod Sales"/>
      <sheetName val="5 Year Sales &amp; Earnings"/>
      <sheetName val="5 Year Sales &amp; Earnings Histori"/>
      <sheetName val="Qtr Income"/>
      <sheetName val="Qtr Margin"/>
      <sheetName val="transaction multiples"/>
      <sheetName val="transaction multiples- med tech"/>
      <sheetName val="MainCode"/>
      <sheetName val="Module1"/>
      <sheetName val="Title Page"/>
      <sheetName val="__FDSCACHE__"/>
      <sheetName val="Drivers"/>
      <sheetName val="ROIC"/>
      <sheetName val="QPreview"/>
      <sheetName val="Sheet1"/>
      <sheetName val="Annual"/>
      <sheetName val="5 Year"/>
      <sheetName val="SCF"/>
      <sheetName val="BS"/>
      <sheetName val="QIncome"/>
      <sheetName val="QMargin"/>
      <sheetName val="QSales"/>
      <sheetName val="Sheet2"/>
      <sheetName val="Client Title Page "/>
      <sheetName val="GlobalVal feed"/>
      <sheetName val="mwareTaxoPres"/>
      <sheetName val="mwareValPrintout"/>
      <sheetName val="mwarePreview"/>
      <sheetName val="RI Valuation"/>
      <sheetName val="Dynamic Convergence"/>
      <sheetName val="mwareDates"/>
      <sheetName val="P&amp;L Charts"/>
      <sheetName val="mwareSettings"/>
      <sheetName val="BMYwork"/>
      <sheetName val="xbrlPreview"/>
      <sheetName val="xbrldates"/>
      <sheetName val="xbrlSettings"/>
      <sheetName val="US Feed"/>
      <sheetName val="QPreview2"/>
      <sheetName val="EPS Sensitivity"/>
      <sheetName val="Plavix"/>
      <sheetName val="Implied ROIC "/>
      <sheetName val="Ex-OTN"/>
      <sheetName val="Plavix NPV"/>
      <sheetName val="Model_Template"/>
      <sheetName val="mwareDates_38450_5303795"/>
      <sheetName val="mwareDates_38450_6159728"/>
      <sheetName val="MWare_Cached"/>
      <sheetName val=""/>
      <sheetName val="Approvable Letters"/>
      <sheetName val="Patents"/>
      <sheetName val="Launches"/>
      <sheetName val="Charts"/>
      <sheetName val="Recent Launches-Peak Sales"/>
      <sheetName val="Approvals"/>
      <sheetName val="Recent Launches"/>
      <sheetName val="MW_ROIC"/>
      <sheetName val=" Qtr Margin"/>
      <sheetName val="Qtr Sales"/>
      <sheetName val="Manag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55F0911DL_PF0001_965501_PDF"/>
      <sheetName val="T&amp;W Accounts"/>
      <sheetName val="BU_Object (Group)"/>
      <sheetName val="Summary Dec 30 - Jan 24"/>
      <sheetName val="Period 1 W&amp;T Estimate"/>
      <sheetName val="BU 128"/>
      <sheetName val="BU 150"/>
      <sheetName val="BU 160"/>
      <sheetName val="BU 161"/>
      <sheetName val="BU 170"/>
      <sheetName val="Warehousing"/>
      <sheetName val="Transportation Accrual"/>
      <sheetName val="Misc Shuttle, Canada, Etc."/>
      <sheetName val="Loads not in Lean"/>
      <sheetName val="Qtr Income"/>
      <sheetName val=" Qtr Margin"/>
      <sheetName val="Qtr Sales"/>
      <sheetName val="Qrt Sales"/>
    </sheetNames>
    <sheetDataSet>
      <sheetData sheetId="0" refreshError="1"/>
      <sheetData sheetId="1"/>
      <sheetData sheetId="2"/>
      <sheetData sheetId="3"/>
      <sheetData sheetId="4" refreshError="1"/>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 -with L'Oreal"/>
      <sheetName val="A"/>
      <sheetName val="P&amp;L"/>
      <sheetName val="Half"/>
      <sheetName val="Sales"/>
      <sheetName val="Ralston P&amp;L"/>
      <sheetName val="CF"/>
      <sheetName val="EBIT"/>
      <sheetName val="BS"/>
      <sheetName val="Summary"/>
      <sheetName val="OLD"/>
      <sheetName val="Ratios"/>
      <sheetName val="Sheet2"/>
      <sheetName val="GE Upload"/>
      <sheetName val="NESZn.S"/>
      <sheetName val="Ral Impact"/>
      <sheetName val="Net_Operating"/>
      <sheetName val="GE3"/>
      <sheetName val="Module1"/>
      <sheetName val="Nestle"/>
      <sheetName val="B"/>
      <sheetName val="C"/>
      <sheetName val="D"/>
      <sheetName val="E"/>
      <sheetName val="G"/>
      <sheetName val="GE 2"/>
      <sheetName val="Columns"/>
      <sheetName val="RI &amp; profit growth"/>
      <sheetName val="F"/>
      <sheetName val="I"/>
      <sheetName val="ROCJ"/>
      <sheetName val="geo97"/>
      <sheetName val="div97"/>
      <sheetName val="Res Inc"/>
      <sheetName val="DCF"/>
      <sheetName val="A-Euro"/>
      <sheetName val="GE Euro2"/>
      <sheetName val="GE Euro"/>
      <sheetName val="Old BKS"/>
      <sheetName val="Qrt Sales"/>
      <sheetName val="Annual"/>
      <sheetName val="SQLSheet"/>
      <sheetName val="Front"/>
      <sheetName val="J"/>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Model"/>
      <sheetName val="BS-CF"/>
      <sheetName val="Summary"/>
      <sheetName val="EVA"/>
      <sheetName val="DCF"/>
      <sheetName val="EBO"/>
      <sheetName val="Breakdown"/>
      <sheetName val="CGAM"/>
      <sheetName val="Traffic"/>
      <sheetName val="Package Stats"/>
      <sheetName val="Charts"/>
      <sheetName val="Breakout"/>
      <sheetName val="Intl"/>
      <sheetName val="Load Factor"/>
      <sheetName val="Sensitivity"/>
      <sheetName val="Leverage"/>
      <sheetName val="Capex-analysis"/>
      <sheetName val="Capex"/>
      <sheetName val="Parcel wgt"/>
      <sheetName val="Parcel units-rev"/>
      <sheetName val="Parcel rev"/>
      <sheetName val="Internet"/>
      <sheetName val="Fleet-comp"/>
      <sheetName val="Fleet"/>
      <sheetName val="Envelope"/>
      <sheetName val="Bakery"/>
      <sheetName val="Annual"/>
      <sheetName val="GAP Model"/>
      <sheetName val="BU_Object (Group)"/>
      <sheetName val="T&amp;W Accounts"/>
      <sheetName val="P&amp;L"/>
      <sheetName val="mwareDates"/>
      <sheetName val="StockData"/>
      <sheetName val="Balance Sheet"/>
      <sheetName val="ISadj"/>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P Model"/>
      <sheetName val="GAP Restructuring Analysis"/>
      <sheetName val="res"/>
    </sheetNames>
    <sheetDataSet>
      <sheetData sheetId="0"/>
      <sheetData sheetId="1"/>
      <sheetData sheetId="2"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amp; profit growth"/>
      <sheetName val="A"/>
      <sheetName val="B"/>
      <sheetName val="C -Euro"/>
      <sheetName val="E"/>
      <sheetName val="Quarterly"/>
      <sheetName val="F"/>
      <sheetName val="G"/>
      <sheetName val="H"/>
      <sheetName val="Sheet3"/>
      <sheetName val="GE Upload"/>
      <sheetName val="Summary"/>
      <sheetName val="Ratios"/>
      <sheetName val="DCF"/>
      <sheetName val="ROCE2"/>
      <sheetName val="Old P&amp;L"/>
      <sheetName val="DANO.PA"/>
      <sheetName val="Net_Operating"/>
      <sheetName val="C"/>
      <sheetName val="old break"/>
      <sheetName val="Business Description"/>
      <sheetName val="ROCE"/>
      <sheetName val="GE 2"/>
      <sheetName val="GE3"/>
      <sheetName val="Sheet1"/>
      <sheetName val="Div Break chart"/>
      <sheetName val="Geo sales break chart"/>
      <sheetName val="BS"/>
      <sheetName val="P&amp;L"/>
      <sheetName val="Balance sheet"/>
      <sheetName val="Profit &amp; Loss"/>
      <sheetName val="J"/>
      <sheetName val="Model"/>
      <sheetName val="GAP Model"/>
      <sheetName val="SQL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iteria"/>
      <sheetName val="summary years &amp; dollars"/>
      <sheetName val="Prelim CY11 Budget"/>
      <sheetName val="Division P&amp;L"/>
      <sheetName val="Ratios"/>
      <sheetName val="B"/>
    </sheetNames>
    <sheetDataSet>
      <sheetData sheetId="0"/>
      <sheetData sheetId="1"/>
      <sheetData sheetId="2"/>
      <sheetData sheetId="3"/>
      <sheetData sheetId="4" refreshError="1"/>
      <sheetData sheetId="5"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rt9607"/>
      <sheetName val="srt9608"/>
      <sheetName val="srt9609"/>
      <sheetName val="srt9610"/>
      <sheetName val="srt9611_12"/>
      <sheetName val="srt9701"/>
      <sheetName val="srt9702"/>
      <sheetName val="srt9703"/>
      <sheetName val="srt9704"/>
      <sheetName val="srt9705_06"/>
      <sheetName val="srt9707"/>
      <sheetName val="srt9708"/>
      <sheetName val="srt9709"/>
      <sheetName val="all9607"/>
      <sheetName val="all9608"/>
      <sheetName val="all9609"/>
      <sheetName val="all9610"/>
      <sheetName val="all9611thru9702"/>
      <sheetName val="all9703-9704"/>
      <sheetName val="all9705-9706"/>
      <sheetName val="all9707"/>
      <sheetName val="all9708"/>
      <sheetName val="all9709"/>
      <sheetName val="sum9'96_oh"/>
      <sheetName val="sum996_oh"/>
      <sheetName val="detail996_oh"/>
      <sheetName val="detail9'96_oh"/>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sheetName val="A"/>
      <sheetName val="P&amp;L"/>
      <sheetName val="Split"/>
      <sheetName val="Bevs"/>
      <sheetName val="Conf"/>
      <sheetName val="H_P&amp;L"/>
      <sheetName val="H_Split"/>
      <sheetName val="Sum_of_Parts"/>
      <sheetName val="Q_DPSU"/>
      <sheetName val="BS"/>
      <sheetName val="CF"/>
      <sheetName val="Associates"/>
      <sheetName val="Acquisition"/>
      <sheetName val="Ratios"/>
      <sheetName val="CBRY.L"/>
      <sheetName val="Temp"/>
      <sheetName val="Sheet2"/>
      <sheetName val="GE Upload"/>
      <sheetName val="Geog"/>
      <sheetName val="UK_Gaap"/>
      <sheetName val="Currency_Breakdown"/>
      <sheetName val="Sales_95-99"/>
      <sheetName val="Split_95-99"/>
      <sheetName val="H_Split_96-99"/>
      <sheetName val="GE 2"/>
      <sheetName val="GE3"/>
      <sheetName val="J"/>
      <sheetName val="B"/>
      <sheetName val="C"/>
      <sheetName val="detail9'96_oh"/>
      <sheetName val="Financia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QLSheet"/>
      <sheetName val="xDBCalls"/>
      <sheetName val="xUpdate"/>
      <sheetName val="xShowUpdates"/>
      <sheetName val="xAddCompany"/>
      <sheetName val="xVersionControl"/>
      <sheetName val="xUtilities"/>
      <sheetName val="Financial Summary"/>
      <sheetName val="*****ÿ_x0000_"/>
      <sheetName val="monci"/>
      <sheetName val="monci_2"/>
      <sheetName val="EMI HMV P&amp;L"/>
      <sheetName val="Interims &amp; quarter"/>
      <sheetName val="Geography"/>
      <sheetName val="EMI growth"/>
      <sheetName val="Market growth"/>
      <sheetName val="Valuation"/>
      <sheetName val="Cashflow"/>
      <sheetName val="Market shares"/>
      <sheetName val="Summary"/>
      <sheetName val="Margins"/>
      <sheetName val="Prices"/>
      <sheetName val="Sheet12"/>
      <sheetName val="Sheet13"/>
      <sheetName val="Sheet14"/>
      <sheetName val="Sheet15"/>
      <sheetName val="Sheet9"/>
      <sheetName val="Sheet16"/>
      <sheetName val="xAddCompaîy"/>
      <sheetName val="WorkSheet"/>
      <sheetName val="P&amp;L"/>
      <sheetName val="Sensitivity Tables"/>
      <sheetName val="Control"/>
      <sheetName val="J"/>
      <sheetName val="Inputs, sensitivity &amp; val"/>
      <sheetName val="Scenar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s"/>
      <sheetName val="mwareValPrintout"/>
      <sheetName val="mwareTaxoPres"/>
      <sheetName val="MW-Cache"/>
      <sheetName val="__FDSCACHE__"/>
      <sheetName val="IS Quarterly"/>
      <sheetName val="RJR"/>
      <sheetName val="IS Annual"/>
      <sheetName val="BS"/>
      <sheetName val="CFS"/>
      <sheetName val="American Snuff"/>
      <sheetName val="SantaFe"/>
      <sheetName val="Per Unit Analysis"/>
      <sheetName val="LO Accretion"/>
      <sheetName val="Proforma Valuation"/>
      <sheetName val="Variance"/>
      <sheetName val="Summary P&amp;L"/>
      <sheetName val="MSA Benefit"/>
      <sheetName val="Valuation"/>
      <sheetName val="Pension"/>
      <sheetName val="OPEB"/>
      <sheetName val="mwareDates"/>
      <sheetName val="MWA RR"/>
      <sheetName val="INACTIVE &gt;&gt;&gt;"/>
      <sheetName val="Unit economics"/>
      <sheetName val="Preview CURRENT"/>
      <sheetName val="Debt"/>
      <sheetName val="Conwood acq"/>
      <sheetName val="Sheet1"/>
      <sheetName val="Volume"/>
      <sheetName val="2Q05"/>
      <sheetName val="Q_Income"/>
      <sheetName val="Quarterly"/>
      <sheetName val="Sheet5"/>
      <sheetName val="Metrics"/>
      <sheetName val="&lt;-------- RAI ||| RJR+B&amp;W ----&gt;"/>
      <sheetName val="B&amp;W_IS"/>
      <sheetName val="B&amp;W_BS"/>
      <sheetName val="B&amp;W_CF"/>
      <sheetName val="RAI_IS_PRO"/>
      <sheetName val="RAI_BS_PRO"/>
      <sheetName val="RAI_CF_PRO"/>
      <sheetName val="Balance"/>
      <sheetName val="BAT"/>
      <sheetName val="FY_Income"/>
      <sheetName val="mwareSettings"/>
      <sheetName val="OPEB_Old"/>
      <sheetName val="Pension_Old"/>
      <sheetName val="Model_Template"/>
      <sheetName val="#REF"/>
      <sheetName val="SQLSheet"/>
      <sheetName val="inputs"/>
      <sheetName val="Annual"/>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Ratios, Margins &amp; Multiples"/>
      <sheetName val="P&amp;L"/>
      <sheetName val="Sales by Quarter"/>
      <sheetName val="Half-Year P&amp;L"/>
      <sheetName val="Acq.-Disp."/>
      <sheetName val="Margin"/>
      <sheetName val="CFS"/>
      <sheetName val="BS"/>
      <sheetName val="Product &amp; Geographic Segments"/>
      <sheetName val="Conf calls"/>
      <sheetName val="Old P&amp;L"/>
      <sheetName val="Company Information"/>
      <sheetName val="Financial Overview"/>
      <sheetName val="Segment Info"/>
      <sheetName val="Acquisitions"/>
      <sheetName val="Share Ownership"/>
      <sheetName val="Fresh Dairy Products"/>
      <sheetName val="Water"/>
      <sheetName val="Biscuits and Cereals"/>
      <sheetName val="Asia Pacific"/>
      <sheetName val="Danone Issues"/>
      <sheetName val="Management"/>
      <sheetName val="Employees"/>
      <sheetName val="Ratios"/>
      <sheetName val="FX-Impact"/>
      <sheetName val="Revenue Breakdown-Chart"/>
      <sheetName val="EBIT Breakdown Chart"/>
      <sheetName val="Chart-Data"/>
      <sheetName val="Chart6"/>
      <sheetName val="Organic Rev Growth Chart"/>
      <sheetName val="Themis Chart"/>
      <sheetName val="Chart3"/>
      <sheetName val="Chart4"/>
      <sheetName val="Biscuit EBIT-Margin Chart"/>
      <sheetName val="Chart7"/>
      <sheetName val="EBIT-Evolution Chart"/>
      <sheetName val="2nd Page Sheet"/>
      <sheetName val="Chart9"/>
      <sheetName val="Chart10"/>
      <sheetName val="Output Sheets"/>
      <sheetName val="GE Upload1"/>
      <sheetName val="GE3"/>
      <sheetName val="Chart11"/>
      <sheetName val="Chart12"/>
      <sheetName val="Charts"/>
      <sheetName val="Chart1"/>
      <sheetName val="Chart2"/>
      <sheetName val="Chart5"/>
      <sheetName val="Chart8"/>
      <sheetName val="B"/>
      <sheetName val="Summary Sheet"/>
      <sheetName val="Confo"/>
      <sheetName val="Breakdowns"/>
      <sheetName val="FNAC"/>
      <sheetName val="Market Share"/>
      <sheetName val="MultipleSecuriti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
      <sheetName val="old qtrly"/>
      <sheetName val="bal sheet"/>
      <sheetName val="assump"/>
      <sheetName val="debt"/>
      <sheetName val="reinvest"/>
      <sheetName val="ROE"/>
      <sheetName val="Fcall"/>
      <sheetName val="EVA"/>
      <sheetName val="Sheet4"/>
      <sheetName val="ROCE"/>
      <sheetName val="with pasta"/>
      <sheetName val="old annual"/>
      <sheetName val="#REF"/>
      <sheetName val="Upgrade charts"/>
      <sheetName val="QTRLY_COMBINED"/>
      <sheetName val="Inputs"/>
      <sheetName val="D"/>
      <sheetName val="P&amp;L"/>
      <sheetName val="Old BKS"/>
      <sheetName val="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9 Actuals"/>
      <sheetName val="1998 Actuals"/>
      <sheetName val="1997"/>
      <sheetName val="1999 BP"/>
      <sheetName val="1999 GLActuals"/>
      <sheetName val="1998 BP"/>
      <sheetName val="final report"/>
      <sheetName val="final report (Per Day)"/>
      <sheetName val="final report YTD"/>
      <sheetName val="domair haddow"/>
      <sheetName val="variables"/>
      <sheetName val="YTD variance"/>
      <sheetName val="tracking"/>
      <sheetName val="Model"/>
      <sheetName val="P&amp;L"/>
      <sheetName val="Exclusion List"/>
      <sheetName val="Bal Sheet &amp; Cash Flow"/>
      <sheetName val="BALANCE SHEET"/>
      <sheetName val="Inputs"/>
      <sheetName val="Cash Flow-Industrial"/>
      <sheetName val="Geo"/>
      <sheetName val="DCF"/>
      <sheetName val="Annual-consolidated"/>
      <sheetName val="Qtrly Inc St"/>
      <sheetName val="Bal Sheet - Cons."/>
      <sheetName val="Bal Sheet-Industrial"/>
      <sheetName val="Cash Flow - Cons."/>
      <sheetName val="RI Valuation"/>
      <sheetName val="Front Page"/>
      <sheetName val="GVAT RI 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LBO==&gt;"/>
      <sheetName val="Control"/>
      <sheetName val="LBO FEEDER"/>
      <sheetName val="Model"/>
      <sheetName val="Souces Uses"/>
      <sheetName val="Apax_EBITDA"/>
      <sheetName val="Adj. EBITDA Schedule"/>
      <sheetName val="D&amp;A and Royalty Backup"/>
      <sheetName val="MAKE_WHOLE"/>
      <sheetName val="LTM_FORECAST"/>
      <sheetName val="KCI_Consol==&gt;"/>
      <sheetName val="STREET_SEGMENT_FORECAST"/>
      <sheetName val="KCI_MGMT_CASE"/>
      <sheetName val="STREET BACKUP==&gt;"/>
      <sheetName val="STREET_IS_OUTPUT"/>
      <sheetName val="STREET_%"/>
      <sheetName val="BROKER_DETAIL"/>
      <sheetName val="Piper_Segment_Detail"/>
      <sheetName val="WholeCo_DCF"/>
      <sheetName val="RemainCo_DCF"/>
      <sheetName val="ValMat"/>
      <sheetName val="DEBT_BREAKAGE==&gt;"/>
      <sheetName val="SWAP_UNWIND_IMPACT"/>
      <sheetName val="Make-Whole Conversion"/>
      <sheetName val="Other==&gt;"/>
      <sheetName val="Segment_Output"/>
      <sheetName val="LIBOR 03-04-11"/>
      <sheetName val="variables"/>
      <sheetName val="Cash Flow-Industrial"/>
      <sheetName val="Geo"/>
      <sheetName val="DCF"/>
      <sheetName val="Annual-consolidated"/>
      <sheetName val="Qtrly Inc St"/>
      <sheetName val="Bal Sheet - Cons."/>
      <sheetName val="Bal Sheet-Industrial"/>
      <sheetName val="Cash Flow - Cons."/>
      <sheetName val="P&amp;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4Q06"/>
      <sheetName val="Model"/>
      <sheetName val="variables"/>
      <sheetName val="MAKE_WHOLE"/>
      <sheetName val="B"/>
      <sheetName val="Ratios"/>
      <sheetName v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sheetName val="Disclaimer"/>
      <sheetName val="MODEL"/>
      <sheetName val="WEBMODEL"/>
      <sheetName val="ROIC"/>
      <sheetName val="Transplace"/>
      <sheetName val="IndexInformation"/>
      <sheetName val="mStartup"/>
      <sheetName val="NY UPLOAD"/>
      <sheetName val="NY UPLOAD.bak"/>
      <sheetName val="NY UPLOAD Shadow.bak"/>
      <sheetName val="NY UPLOAD Shadow"/>
      <sheetName val="variables"/>
      <sheetName val="WACC Calculator"/>
      <sheetName val="GlobalValuation_MW"/>
      <sheetName val="XREF"/>
      <sheetName val="DCF"/>
      <sheetName val="Price vs EPS_data"/>
      <sheetName val="Implied_CoE"/>
      <sheetName val="Scenario"/>
      <sheetName val="Yields"/>
      <sheetName val="Monthly figu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 Budget"/>
      <sheetName val="Prd Budget"/>
      <sheetName val="Statement"/>
      <sheetName val="WACC Calculator"/>
      <sheetName val="Old BKS"/>
    </sheetNames>
    <sheetDataSet>
      <sheetData sheetId="0" refreshError="1"/>
      <sheetData sheetId="1" refreshError="1"/>
      <sheetData sheetId="2" refreshError="1"/>
      <sheetData sheetId="3" refreshError="1"/>
      <sheetData sheetId="4"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USA def"/>
      <sheetName val="Intl def"/>
      <sheetName val="POS Qtly Gross Summ"/>
      <sheetName val="US Direct"/>
      <sheetName val="Ingram "/>
      <sheetName val="Tech "/>
      <sheetName val="MS "/>
      <sheetName val="DH "/>
      <sheetName val="ASI "/>
      <sheetName val="Wintec "/>
      <sheetName val="actual_q1_2001"/>
      <sheetName val="Sheet1 (2)"/>
      <sheetName val="data"/>
      <sheetName val="Benefit 1"/>
      <sheetName val="P&amp;L Scenerio 1"/>
      <sheetName val="450GX ASPs"/>
      <sheetName val="Defer Revenue Dec-01V2"/>
      <sheetName val="Qtr Budget"/>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cols>
    <col min="1" max="1" width="25.83203125" style="757" customWidth="1"/>
    <col min="2" max="5" width="9.33203125" style="757"/>
    <col min="6" max="6" width="18.83203125" style="757" customWidth="1"/>
    <col min="7" max="16384" width="9.33203125" style="757"/>
  </cols>
  <sheetData>
    <row r="1" spans="1:8" ht="30" customHeight="1">
      <c r="A1" s="755"/>
      <c r="B1" s="756"/>
      <c r="C1" s="756"/>
      <c r="D1" s="756"/>
      <c r="E1" s="756"/>
      <c r="F1" s="756"/>
      <c r="G1" s="756"/>
      <c r="H1" s="756"/>
    </row>
    <row r="2" spans="1:8" ht="14.25">
      <c r="A2" s="758" t="s">
        <v>595</v>
      </c>
      <c r="B2" s="756"/>
      <c r="C2" s="756"/>
      <c r="D2" s="756"/>
      <c r="E2" s="756"/>
      <c r="F2" s="756"/>
      <c r="G2" s="756"/>
      <c r="H2" s="756"/>
    </row>
    <row r="3" spans="1:8" ht="14.25">
      <c r="A3" s="758" t="s">
        <v>596</v>
      </c>
      <c r="B3" s="756"/>
      <c r="C3" s="756"/>
      <c r="D3" s="756"/>
      <c r="E3" s="756"/>
      <c r="F3" s="756"/>
      <c r="G3" s="756"/>
      <c r="H3" s="756"/>
    </row>
    <row r="4" spans="1:8" ht="14.25">
      <c r="A4" s="758" t="s">
        <v>597</v>
      </c>
      <c r="B4" s="756"/>
      <c r="C4" s="756"/>
      <c r="D4" s="756"/>
      <c r="E4" s="756"/>
      <c r="F4" s="756"/>
      <c r="G4" s="756"/>
      <c r="H4" s="756"/>
    </row>
    <row r="5" spans="1:8" ht="14.25">
      <c r="A5" s="758" t="s">
        <v>598</v>
      </c>
      <c r="B5" s="756"/>
      <c r="C5" s="756"/>
      <c r="D5" s="756"/>
      <c r="E5" s="756"/>
      <c r="F5" s="756"/>
      <c r="G5" s="756"/>
      <c r="H5" s="756"/>
    </row>
    <row r="6" spans="1:8" ht="14.25">
      <c r="A6" s="758"/>
      <c r="B6" s="756"/>
      <c r="C6" s="756"/>
      <c r="D6" s="756"/>
      <c r="E6" s="756"/>
      <c r="F6" s="756"/>
      <c r="G6" s="756"/>
      <c r="H6" s="756"/>
    </row>
    <row r="7" spans="1:8">
      <c r="A7" s="755" t="s">
        <v>599</v>
      </c>
      <c r="B7" s="756"/>
      <c r="C7" s="756"/>
      <c r="D7" s="756"/>
      <c r="E7" s="756"/>
      <c r="F7" s="756"/>
      <c r="G7" s="756"/>
      <c r="H7" s="756"/>
    </row>
    <row r="8" spans="1:8">
      <c r="A8" s="755" t="s">
        <v>600</v>
      </c>
      <c r="B8" s="756"/>
      <c r="C8" s="756"/>
      <c r="D8" s="756"/>
      <c r="E8" s="756"/>
      <c r="F8" s="756"/>
      <c r="G8" s="756"/>
      <c r="H8" s="756"/>
    </row>
    <row r="9" spans="1:8">
      <c r="A9" s="755"/>
      <c r="B9" s="756"/>
      <c r="C9" s="756"/>
      <c r="D9" s="756"/>
      <c r="E9" s="756"/>
      <c r="F9" s="756"/>
      <c r="G9" s="756"/>
      <c r="H9" s="756"/>
    </row>
    <row r="10" spans="1:8">
      <c r="A10" s="759" t="s">
        <v>601</v>
      </c>
      <c r="B10" s="756"/>
      <c r="C10" s="756"/>
      <c r="D10" s="756"/>
      <c r="E10" s="756"/>
      <c r="F10" s="756"/>
      <c r="G10" s="756"/>
      <c r="H10" s="756"/>
    </row>
    <row r="11" spans="1:8">
      <c r="A11" s="759" t="s">
        <v>602</v>
      </c>
      <c r="B11" s="756"/>
      <c r="C11" s="756"/>
      <c r="D11" s="756"/>
      <c r="E11" s="756"/>
      <c r="F11" s="756"/>
      <c r="G11" s="756"/>
      <c r="H11" s="756"/>
    </row>
    <row r="12" spans="1:8">
      <c r="A12" s="759" t="s">
        <v>603</v>
      </c>
      <c r="B12" s="756"/>
      <c r="C12" s="756"/>
      <c r="D12" s="756"/>
      <c r="E12" s="756"/>
      <c r="F12" s="756"/>
      <c r="G12" s="756"/>
      <c r="H12" s="756"/>
    </row>
    <row r="13" spans="1:8">
      <c r="A13" s="759" t="s">
        <v>604</v>
      </c>
      <c r="B13" s="756"/>
      <c r="C13" s="756"/>
      <c r="D13" s="756"/>
      <c r="E13" s="756"/>
      <c r="F13" s="756"/>
      <c r="G13" s="756"/>
      <c r="H13" s="756"/>
    </row>
    <row r="14" spans="1:8">
      <c r="A14" s="759" t="s">
        <v>605</v>
      </c>
      <c r="B14" s="756"/>
      <c r="C14" s="756"/>
      <c r="D14" s="756"/>
      <c r="E14" s="756"/>
      <c r="F14" s="756"/>
      <c r="G14" s="756"/>
      <c r="H14" s="756"/>
    </row>
    <row r="15" spans="1:8">
      <c r="A15" s="759" t="s">
        <v>606</v>
      </c>
      <c r="B15" s="756"/>
      <c r="C15" s="756"/>
      <c r="D15" s="756"/>
      <c r="E15" s="756"/>
      <c r="F15" s="756"/>
      <c r="G15" s="756"/>
      <c r="H15" s="756"/>
    </row>
    <row r="16" spans="1:8">
      <c r="A16" s="759"/>
      <c r="B16" s="756"/>
      <c r="C16" s="756"/>
      <c r="D16" s="756"/>
      <c r="E16" s="756"/>
      <c r="F16" s="756"/>
      <c r="G16" s="756"/>
      <c r="H16" s="756"/>
    </row>
    <row r="17" spans="1:8">
      <c r="A17" s="759" t="s">
        <v>592</v>
      </c>
      <c r="B17" s="756"/>
      <c r="C17" s="756"/>
      <c r="D17" s="756"/>
      <c r="E17" s="756"/>
      <c r="F17" s="756"/>
      <c r="G17" s="756"/>
      <c r="H17" s="756"/>
    </row>
    <row r="18" spans="1:8">
      <c r="A18" s="759"/>
      <c r="B18" s="756"/>
      <c r="C18" s="756"/>
      <c r="D18" s="756"/>
      <c r="E18" s="756"/>
      <c r="F18" s="756"/>
      <c r="G18" s="756"/>
      <c r="H18" s="756"/>
    </row>
    <row r="19" spans="1:8">
      <c r="A19" s="759" t="s">
        <v>593</v>
      </c>
      <c r="B19" s="756"/>
      <c r="C19" s="756"/>
      <c r="D19" s="756"/>
      <c r="E19" s="756"/>
      <c r="F19" s="756"/>
      <c r="G19" s="756"/>
      <c r="H19" s="756"/>
    </row>
    <row r="20" spans="1:8">
      <c r="A20" s="755"/>
      <c r="B20" s="756"/>
      <c r="C20" s="756"/>
      <c r="D20" s="756"/>
      <c r="E20" s="756"/>
      <c r="F20" s="756"/>
      <c r="G20" s="756"/>
      <c r="H20" s="756"/>
    </row>
    <row r="21" spans="1:8">
      <c r="A21" s="760" t="s">
        <v>594</v>
      </c>
      <c r="B21" s="756"/>
      <c r="C21" s="756"/>
      <c r="D21" s="756"/>
      <c r="E21" s="756"/>
      <c r="F21" s="756"/>
      <c r="G21" s="756"/>
      <c r="H21" s="756"/>
    </row>
    <row r="22" spans="1:8">
      <c r="A22" s="761"/>
      <c r="B22" s="761"/>
      <c r="C22" s="761"/>
      <c r="D22" s="761"/>
      <c r="E22" s="761"/>
      <c r="F22" s="761"/>
      <c r="G22" s="761"/>
      <c r="H22" s="761"/>
    </row>
    <row r="23" spans="1:8">
      <c r="A23" s="762" t="s">
        <v>886</v>
      </c>
      <c r="B23" s="761"/>
      <c r="C23" s="761"/>
      <c r="D23" s="761"/>
      <c r="E23" s="761"/>
      <c r="F23" s="761"/>
      <c r="G23" s="761"/>
      <c r="H23" s="761"/>
    </row>
    <row r="24" spans="1:8">
      <c r="A24" s="762" t="s">
        <v>887</v>
      </c>
      <c r="B24" s="761"/>
      <c r="C24" s="761"/>
      <c r="D24" s="761"/>
      <c r="E24" s="761"/>
      <c r="F24" s="761"/>
      <c r="G24" s="761"/>
      <c r="H24" s="761"/>
    </row>
    <row r="25" spans="1:8">
      <c r="A25" s="762" t="s">
        <v>888</v>
      </c>
      <c r="B25" s="761"/>
      <c r="C25" s="761"/>
      <c r="D25" s="761"/>
      <c r="E25" s="761"/>
      <c r="F25" s="761"/>
      <c r="G25" s="761"/>
      <c r="H25" s="761"/>
    </row>
    <row r="26" spans="1:8">
      <c r="A26" s="762" t="s">
        <v>889</v>
      </c>
      <c r="B26" s="761"/>
      <c r="C26" s="761"/>
      <c r="D26" s="761"/>
      <c r="E26" s="761"/>
      <c r="F26" s="761"/>
      <c r="G26" s="761"/>
      <c r="H26" s="761"/>
    </row>
    <row r="27" spans="1:8">
      <c r="A27" s="761"/>
      <c r="B27" s="761"/>
      <c r="C27" s="761"/>
      <c r="D27" s="761"/>
      <c r="E27" s="761"/>
      <c r="F27" s="761"/>
      <c r="G27" s="761"/>
      <c r="H27" s="761"/>
    </row>
    <row r="28" spans="1:8">
      <c r="A28" s="761"/>
      <c r="B28" s="761"/>
      <c r="C28" s="761"/>
      <c r="D28" s="761"/>
      <c r="E28" s="761"/>
      <c r="F28" s="761"/>
      <c r="G28" s="761"/>
      <c r="H28" s="761"/>
    </row>
    <row r="29" spans="1:8">
      <c r="A29" s="762" t="s">
        <v>881</v>
      </c>
      <c r="B29" s="761"/>
      <c r="C29" s="761"/>
      <c r="D29" s="761"/>
      <c r="E29" s="761"/>
      <c r="F29" s="761"/>
      <c r="G29" s="761"/>
      <c r="H29" s="761"/>
    </row>
    <row r="30" spans="1:8">
      <c r="A30" s="762" t="s">
        <v>882</v>
      </c>
      <c r="B30" s="761"/>
      <c r="C30" s="761"/>
      <c r="D30" s="761"/>
      <c r="E30" s="761"/>
      <c r="F30" s="761"/>
      <c r="G30" s="761"/>
      <c r="H30" s="761"/>
    </row>
    <row r="31" spans="1:8">
      <c r="A31" s="762" t="s">
        <v>883</v>
      </c>
      <c r="B31" s="761"/>
      <c r="C31" s="761"/>
      <c r="D31" s="761"/>
      <c r="E31" s="761"/>
      <c r="F31" s="761"/>
      <c r="G31" s="761"/>
      <c r="H31" s="761"/>
    </row>
    <row r="32" spans="1:8">
      <c r="A32" s="762" t="s">
        <v>884</v>
      </c>
      <c r="B32" s="761"/>
      <c r="C32" s="761"/>
      <c r="D32" s="761"/>
      <c r="E32" s="761"/>
      <c r="F32" s="761"/>
      <c r="G32" s="761"/>
      <c r="H32" s="761"/>
    </row>
    <row r="33" spans="1:8">
      <c r="A33" s="762" t="s">
        <v>885</v>
      </c>
      <c r="B33" s="761"/>
      <c r="C33" s="761"/>
      <c r="D33" s="761"/>
      <c r="E33" s="761"/>
      <c r="F33" s="761"/>
      <c r="G33" s="761"/>
      <c r="H33" s="761"/>
    </row>
    <row r="34" spans="1:8">
      <c r="A34" s="761"/>
      <c r="B34" s="761"/>
      <c r="C34" s="761"/>
      <c r="D34" s="761"/>
      <c r="E34" s="761"/>
      <c r="F34" s="761"/>
      <c r="G34" s="761"/>
      <c r="H34" s="761"/>
    </row>
    <row r="35" spans="1:8">
      <c r="A35" s="762" t="s">
        <v>877</v>
      </c>
      <c r="B35" s="761"/>
      <c r="C35" s="761"/>
      <c r="D35" s="761"/>
      <c r="E35" s="761"/>
      <c r="F35" s="761"/>
      <c r="G35" s="761"/>
      <c r="H35" s="761"/>
    </row>
    <row r="36" spans="1:8">
      <c r="A36" s="762" t="s">
        <v>878</v>
      </c>
      <c r="B36" s="761"/>
      <c r="C36" s="761"/>
      <c r="D36" s="761"/>
      <c r="E36" s="761"/>
      <c r="F36" s="761"/>
      <c r="G36" s="761"/>
      <c r="H36" s="761"/>
    </row>
    <row r="37" spans="1:8">
      <c r="A37" s="762" t="s">
        <v>879</v>
      </c>
      <c r="B37" s="761"/>
      <c r="C37" s="761"/>
      <c r="D37" s="761"/>
      <c r="E37" s="761"/>
      <c r="F37" s="761"/>
      <c r="G37" s="761"/>
      <c r="H37" s="761"/>
    </row>
    <row r="38" spans="1:8">
      <c r="A38" s="762" t="s">
        <v>880</v>
      </c>
      <c r="B38" s="761"/>
      <c r="C38" s="761"/>
      <c r="D38" s="761"/>
      <c r="E38" s="761"/>
      <c r="F38" s="761"/>
      <c r="G38" s="761"/>
      <c r="H38" s="761"/>
    </row>
    <row r="39" spans="1:8">
      <c r="A39" s="761"/>
      <c r="B39" s="761"/>
      <c r="C39" s="761"/>
      <c r="D39" s="761"/>
      <c r="E39" s="761"/>
      <c r="F39" s="761"/>
      <c r="G39" s="761"/>
      <c r="H39" s="761"/>
    </row>
    <row r="40" spans="1:8">
      <c r="A40" s="762" t="s">
        <v>871</v>
      </c>
      <c r="B40" s="761"/>
      <c r="C40" s="761"/>
      <c r="D40" s="761"/>
      <c r="E40" s="761"/>
      <c r="F40" s="761"/>
      <c r="G40" s="761"/>
      <c r="H40" s="761"/>
    </row>
    <row r="41" spans="1:8">
      <c r="A41" s="762" t="s">
        <v>872</v>
      </c>
      <c r="B41" s="761"/>
      <c r="C41" s="761"/>
      <c r="D41" s="761"/>
      <c r="E41" s="761"/>
      <c r="F41" s="761"/>
      <c r="G41" s="761"/>
      <c r="H41" s="761"/>
    </row>
    <row r="42" spans="1:8">
      <c r="A42" s="762" t="s">
        <v>873</v>
      </c>
      <c r="B42" s="761"/>
      <c r="C42" s="761"/>
      <c r="D42" s="761"/>
      <c r="E42" s="761"/>
      <c r="F42" s="761"/>
      <c r="G42" s="761"/>
      <c r="H42" s="761"/>
    </row>
    <row r="43" spans="1:8">
      <c r="A43" s="762" t="s">
        <v>874</v>
      </c>
      <c r="B43" s="761"/>
      <c r="C43" s="761"/>
      <c r="D43" s="761"/>
      <c r="E43" s="761"/>
      <c r="F43" s="761"/>
      <c r="G43" s="761"/>
      <c r="H43" s="761"/>
    </row>
    <row r="44" spans="1:8">
      <c r="A44" s="762" t="s">
        <v>875</v>
      </c>
      <c r="B44" s="761"/>
      <c r="C44" s="761"/>
      <c r="D44" s="761"/>
      <c r="E44" s="761"/>
      <c r="F44" s="761"/>
      <c r="G44" s="761"/>
      <c r="H44" s="761"/>
    </row>
    <row r="45" spans="1:8">
      <c r="A45" s="762" t="s">
        <v>876</v>
      </c>
      <c r="B45" s="761"/>
      <c r="C45" s="761"/>
      <c r="D45" s="761"/>
      <c r="E45" s="761"/>
      <c r="F45" s="761"/>
      <c r="G45" s="761"/>
      <c r="H45" s="761"/>
    </row>
    <row r="46" spans="1:8">
      <c r="A46" s="761"/>
      <c r="B46" s="761"/>
      <c r="C46" s="761"/>
      <c r="D46" s="761"/>
      <c r="E46" s="761"/>
      <c r="F46" s="761"/>
      <c r="G46" s="761"/>
      <c r="H46" s="761"/>
    </row>
    <row r="47" spans="1:8" ht="15.75">
      <c r="A47" s="763" t="s">
        <v>607</v>
      </c>
      <c r="B47" s="761"/>
      <c r="C47" s="761"/>
      <c r="D47" s="761"/>
      <c r="E47" s="761"/>
      <c r="F47" s="761"/>
      <c r="G47" s="761"/>
      <c r="H47" s="761"/>
    </row>
    <row r="48" spans="1:8">
      <c r="A48" s="761"/>
      <c r="B48" s="761"/>
      <c r="C48" s="761"/>
      <c r="D48" s="761"/>
      <c r="E48" s="761"/>
      <c r="F48" s="761"/>
      <c r="G48" s="761"/>
      <c r="H48" s="761"/>
    </row>
    <row r="49" spans="1:8">
      <c r="A49" s="762" t="s">
        <v>867</v>
      </c>
      <c r="B49" s="761"/>
      <c r="C49" s="761"/>
      <c r="D49" s="761"/>
      <c r="E49" s="761"/>
      <c r="F49" s="761"/>
      <c r="G49" s="761"/>
      <c r="H49" s="761"/>
    </row>
    <row r="50" spans="1:8">
      <c r="A50" s="762" t="s">
        <v>868</v>
      </c>
      <c r="B50" s="761"/>
      <c r="C50" s="761"/>
      <c r="D50" s="761"/>
      <c r="E50" s="761"/>
      <c r="F50" s="761"/>
      <c r="G50" s="761"/>
      <c r="H50" s="761"/>
    </row>
    <row r="51" spans="1:8">
      <c r="A51" s="762" t="s">
        <v>869</v>
      </c>
      <c r="B51" s="761"/>
      <c r="C51" s="761"/>
      <c r="D51" s="761"/>
      <c r="E51" s="761"/>
      <c r="F51" s="761"/>
      <c r="G51" s="761"/>
      <c r="H51" s="761"/>
    </row>
    <row r="52" spans="1:8">
      <c r="A52" s="762" t="s">
        <v>870</v>
      </c>
      <c r="B52" s="761"/>
      <c r="C52" s="761"/>
      <c r="D52" s="761"/>
      <c r="E52" s="761"/>
      <c r="F52" s="761"/>
      <c r="G52" s="761"/>
      <c r="H52" s="761"/>
    </row>
    <row r="53" spans="1:8">
      <c r="A53" s="761"/>
      <c r="B53" s="761"/>
      <c r="C53" s="761"/>
      <c r="D53" s="761"/>
      <c r="E53" s="761"/>
      <c r="F53" s="761"/>
      <c r="G53" s="761"/>
      <c r="H53" s="761"/>
    </row>
    <row r="54" spans="1:8">
      <c r="A54" s="762" t="s">
        <v>608</v>
      </c>
      <c r="B54" s="761"/>
      <c r="C54" s="761"/>
      <c r="D54" s="761"/>
      <c r="E54" s="761"/>
      <c r="F54" s="761"/>
      <c r="G54" s="761"/>
      <c r="H54" s="761"/>
    </row>
    <row r="55" spans="1:8">
      <c r="A55" s="761"/>
      <c r="B55" s="761"/>
      <c r="C55" s="761"/>
      <c r="D55" s="761"/>
      <c r="E55" s="761"/>
      <c r="F55" s="761"/>
      <c r="G55" s="761"/>
      <c r="H55" s="761"/>
    </row>
    <row r="56" spans="1:8" ht="15.75">
      <c r="A56" s="763" t="s">
        <v>609</v>
      </c>
      <c r="B56" s="761"/>
      <c r="C56" s="761"/>
      <c r="D56" s="761"/>
      <c r="E56" s="761"/>
      <c r="F56" s="761"/>
      <c r="G56" s="761"/>
      <c r="H56" s="761"/>
    </row>
    <row r="57" spans="1:8">
      <c r="A57" s="761"/>
      <c r="B57" s="761"/>
      <c r="C57" s="761"/>
      <c r="D57" s="761"/>
      <c r="E57" s="761"/>
      <c r="F57" s="761"/>
      <c r="G57" s="761"/>
      <c r="H57" s="761"/>
    </row>
    <row r="58" spans="1:8">
      <c r="A58" s="762" t="s">
        <v>865</v>
      </c>
      <c r="B58" s="761"/>
      <c r="C58" s="761"/>
      <c r="D58" s="761"/>
      <c r="E58" s="761"/>
      <c r="F58" s="761"/>
      <c r="G58" s="761"/>
      <c r="H58" s="761"/>
    </row>
    <row r="59" spans="1:8">
      <c r="A59" s="762" t="s">
        <v>866</v>
      </c>
      <c r="B59" s="761"/>
      <c r="C59" s="761"/>
      <c r="D59" s="761"/>
      <c r="E59" s="761"/>
      <c r="F59" s="761"/>
      <c r="G59" s="761"/>
      <c r="H59" s="761"/>
    </row>
    <row r="60" spans="1:8">
      <c r="A60" s="761"/>
      <c r="B60" s="761"/>
      <c r="C60" s="761"/>
      <c r="D60" s="761"/>
      <c r="E60" s="761"/>
      <c r="F60" s="761"/>
      <c r="G60" s="761"/>
      <c r="H60" s="761"/>
    </row>
    <row r="61" spans="1:8" ht="15.75">
      <c r="A61" s="763" t="s">
        <v>610</v>
      </c>
      <c r="B61" s="761"/>
      <c r="C61" s="761"/>
      <c r="D61" s="761"/>
      <c r="E61" s="761"/>
      <c r="F61" s="761"/>
      <c r="G61" s="761"/>
      <c r="H61" s="761"/>
    </row>
    <row r="62" spans="1:8">
      <c r="A62" s="761"/>
      <c r="B62" s="761"/>
      <c r="C62" s="761"/>
      <c r="D62" s="761"/>
      <c r="E62" s="761"/>
      <c r="F62" s="761"/>
      <c r="G62" s="761"/>
      <c r="H62" s="761"/>
    </row>
    <row r="63" spans="1:8">
      <c r="A63" s="762" t="s">
        <v>863</v>
      </c>
      <c r="B63" s="761"/>
      <c r="C63" s="761"/>
      <c r="D63" s="761"/>
      <c r="E63" s="761"/>
      <c r="F63" s="761"/>
      <c r="G63" s="761"/>
      <c r="H63" s="761"/>
    </row>
    <row r="64" spans="1:8">
      <c r="A64" s="762" t="s">
        <v>864</v>
      </c>
      <c r="B64" s="761"/>
      <c r="C64" s="761"/>
      <c r="D64" s="761"/>
      <c r="E64" s="761"/>
      <c r="F64" s="761"/>
      <c r="G64" s="761"/>
      <c r="H64" s="761"/>
    </row>
    <row r="65" spans="1:8">
      <c r="A65" s="761"/>
      <c r="B65" s="761"/>
      <c r="C65" s="761"/>
      <c r="D65" s="761"/>
      <c r="E65" s="761"/>
      <c r="F65" s="761"/>
      <c r="G65" s="761"/>
      <c r="H65" s="761"/>
    </row>
    <row r="66" spans="1:8">
      <c r="A66" s="762" t="s">
        <v>861</v>
      </c>
      <c r="B66" s="761"/>
      <c r="C66" s="761"/>
      <c r="D66" s="761"/>
      <c r="E66" s="761"/>
      <c r="F66" s="761"/>
      <c r="G66" s="761"/>
      <c r="H66" s="761"/>
    </row>
    <row r="67" spans="1:8">
      <c r="A67" s="762" t="s">
        <v>862</v>
      </c>
      <c r="B67" s="761"/>
      <c r="C67" s="761"/>
      <c r="D67" s="761"/>
      <c r="E67" s="761"/>
      <c r="F67" s="761"/>
      <c r="G67" s="761"/>
      <c r="H67" s="761"/>
    </row>
    <row r="68" spans="1:8">
      <c r="A68" s="761"/>
      <c r="B68" s="761"/>
      <c r="C68" s="761"/>
      <c r="D68" s="761"/>
      <c r="E68" s="761"/>
      <c r="F68" s="761"/>
      <c r="G68" s="761"/>
      <c r="H68" s="761"/>
    </row>
    <row r="69" spans="1:8">
      <c r="A69" s="762" t="s">
        <v>859</v>
      </c>
      <c r="B69" s="761"/>
      <c r="C69" s="761"/>
      <c r="D69" s="761"/>
      <c r="E69" s="761"/>
      <c r="F69" s="761"/>
      <c r="G69" s="761"/>
      <c r="H69" s="761"/>
    </row>
    <row r="70" spans="1:8">
      <c r="A70" s="762" t="s">
        <v>860</v>
      </c>
      <c r="B70" s="761"/>
      <c r="C70" s="761"/>
      <c r="D70" s="761"/>
      <c r="E70" s="761"/>
      <c r="F70" s="761"/>
      <c r="G70" s="761"/>
      <c r="H70" s="761"/>
    </row>
    <row r="71" spans="1:8">
      <c r="A71" s="761"/>
      <c r="B71" s="761"/>
      <c r="C71" s="761"/>
      <c r="D71" s="761"/>
      <c r="E71" s="761"/>
      <c r="F71" s="761"/>
      <c r="G71" s="761"/>
      <c r="H71" s="761"/>
    </row>
    <row r="72" spans="1:8">
      <c r="A72" s="762" t="s">
        <v>857</v>
      </c>
      <c r="B72" s="761"/>
      <c r="C72" s="761"/>
      <c r="D72" s="761"/>
      <c r="E72" s="761"/>
      <c r="F72" s="761"/>
      <c r="G72" s="761"/>
      <c r="H72" s="761"/>
    </row>
    <row r="73" spans="1:8">
      <c r="A73" s="762" t="s">
        <v>858</v>
      </c>
      <c r="B73" s="761"/>
      <c r="C73" s="761"/>
      <c r="D73" s="761"/>
      <c r="E73" s="761"/>
      <c r="F73" s="761"/>
      <c r="G73" s="761"/>
      <c r="H73" s="761"/>
    </row>
    <row r="74" spans="1:8">
      <c r="A74" s="761"/>
      <c r="B74" s="761"/>
      <c r="C74" s="761"/>
      <c r="D74" s="761"/>
      <c r="E74" s="761"/>
      <c r="F74" s="761"/>
      <c r="G74" s="761"/>
      <c r="H74" s="761"/>
    </row>
    <row r="75" spans="1:8">
      <c r="A75" s="762" t="s">
        <v>854</v>
      </c>
      <c r="B75" s="761"/>
      <c r="C75" s="761"/>
      <c r="D75" s="761"/>
      <c r="E75" s="761"/>
      <c r="F75" s="761"/>
      <c r="G75" s="761"/>
      <c r="H75" s="761"/>
    </row>
    <row r="76" spans="1:8">
      <c r="A76" s="762" t="s">
        <v>855</v>
      </c>
      <c r="B76" s="761"/>
      <c r="C76" s="761"/>
      <c r="D76" s="761"/>
      <c r="E76" s="761"/>
      <c r="F76" s="761"/>
      <c r="G76" s="761"/>
      <c r="H76" s="761"/>
    </row>
    <row r="77" spans="1:8">
      <c r="A77" s="762" t="s">
        <v>856</v>
      </c>
      <c r="B77" s="761"/>
      <c r="C77" s="761"/>
      <c r="D77" s="761"/>
      <c r="E77" s="761"/>
      <c r="F77" s="761"/>
      <c r="G77" s="761"/>
      <c r="H77" s="761"/>
    </row>
    <row r="78" spans="1:8">
      <c r="A78" s="761"/>
      <c r="B78" s="761"/>
      <c r="C78" s="761"/>
      <c r="D78" s="761"/>
      <c r="E78" s="761"/>
      <c r="F78" s="761"/>
      <c r="G78" s="761"/>
      <c r="H78" s="761"/>
    </row>
    <row r="79" spans="1:8">
      <c r="A79" s="762" t="s">
        <v>611</v>
      </c>
      <c r="B79" s="761"/>
      <c r="C79" s="761"/>
      <c r="D79" s="761"/>
      <c r="E79" s="761"/>
      <c r="F79" s="761"/>
      <c r="G79" s="761"/>
      <c r="H79" s="761"/>
    </row>
    <row r="80" spans="1:8">
      <c r="A80" s="761"/>
      <c r="B80" s="761"/>
      <c r="C80" s="761"/>
      <c r="D80" s="761"/>
      <c r="E80" s="761"/>
      <c r="F80" s="761"/>
      <c r="G80" s="761"/>
      <c r="H80" s="761"/>
    </row>
    <row r="81" spans="1:8">
      <c r="A81" s="762" t="s">
        <v>849</v>
      </c>
      <c r="B81" s="761"/>
      <c r="C81" s="761"/>
      <c r="D81" s="761"/>
      <c r="E81" s="761"/>
      <c r="F81" s="761"/>
      <c r="G81" s="761"/>
      <c r="H81" s="761"/>
    </row>
    <row r="82" spans="1:8">
      <c r="A82" s="762" t="s">
        <v>850</v>
      </c>
      <c r="B82" s="761"/>
      <c r="C82" s="761"/>
      <c r="D82" s="761"/>
      <c r="E82" s="761"/>
      <c r="F82" s="761"/>
      <c r="G82" s="761"/>
      <c r="H82" s="761"/>
    </row>
    <row r="83" spans="1:8">
      <c r="A83" s="762" t="s">
        <v>851</v>
      </c>
      <c r="B83" s="761"/>
      <c r="C83" s="761"/>
      <c r="D83" s="761"/>
      <c r="E83" s="761"/>
      <c r="F83" s="761"/>
      <c r="G83" s="761"/>
      <c r="H83" s="761"/>
    </row>
    <row r="84" spans="1:8">
      <c r="A84" s="762" t="s">
        <v>852</v>
      </c>
      <c r="B84" s="761"/>
      <c r="C84" s="761"/>
      <c r="D84" s="761"/>
      <c r="E84" s="761"/>
      <c r="F84" s="761"/>
      <c r="G84" s="761"/>
      <c r="H84" s="761"/>
    </row>
    <row r="85" spans="1:8">
      <c r="A85" s="762" t="s">
        <v>853</v>
      </c>
      <c r="B85" s="761"/>
      <c r="C85" s="761"/>
      <c r="D85" s="761"/>
      <c r="E85" s="761"/>
      <c r="F85" s="761"/>
      <c r="G85" s="761"/>
      <c r="H85" s="761"/>
    </row>
    <row r="86" spans="1:8">
      <c r="A86" s="762" t="s">
        <v>736</v>
      </c>
      <c r="B86" s="761"/>
      <c r="C86" s="761"/>
      <c r="D86" s="761"/>
      <c r="E86" s="761"/>
      <c r="F86" s="761"/>
      <c r="G86" s="761"/>
      <c r="H86" s="761"/>
    </row>
    <row r="87" spans="1:8">
      <c r="A87" s="761"/>
      <c r="B87" s="761"/>
      <c r="C87" s="761"/>
      <c r="D87" s="761"/>
      <c r="E87" s="761"/>
      <c r="F87" s="761"/>
      <c r="G87" s="761"/>
      <c r="H87" s="761"/>
    </row>
    <row r="88" spans="1:8">
      <c r="A88" s="762" t="s">
        <v>842</v>
      </c>
      <c r="B88" s="761"/>
      <c r="C88" s="761"/>
      <c r="D88" s="761"/>
      <c r="E88" s="761"/>
      <c r="F88" s="761"/>
      <c r="G88" s="761"/>
      <c r="H88" s="761"/>
    </row>
    <row r="89" spans="1:8">
      <c r="A89" s="762" t="s">
        <v>843</v>
      </c>
      <c r="B89" s="761"/>
      <c r="C89" s="761"/>
      <c r="D89" s="761"/>
      <c r="E89" s="761"/>
      <c r="F89" s="761"/>
      <c r="G89" s="761"/>
      <c r="H89" s="761"/>
    </row>
    <row r="90" spans="1:8">
      <c r="A90" s="762" t="s">
        <v>844</v>
      </c>
      <c r="B90" s="761"/>
      <c r="C90" s="761"/>
      <c r="D90" s="761"/>
      <c r="E90" s="761"/>
      <c r="F90" s="761"/>
      <c r="G90" s="761"/>
      <c r="H90" s="761"/>
    </row>
    <row r="91" spans="1:8">
      <c r="A91" s="762" t="s">
        <v>845</v>
      </c>
      <c r="B91" s="761"/>
      <c r="C91" s="761"/>
      <c r="D91" s="761"/>
      <c r="E91" s="761"/>
      <c r="F91" s="761"/>
      <c r="G91" s="761"/>
      <c r="H91" s="761"/>
    </row>
    <row r="92" spans="1:8">
      <c r="A92" s="762" t="s">
        <v>846</v>
      </c>
      <c r="B92" s="761"/>
      <c r="C92" s="761"/>
      <c r="D92" s="761"/>
      <c r="E92" s="761"/>
      <c r="F92" s="761"/>
      <c r="G92" s="761"/>
      <c r="H92" s="761"/>
    </row>
    <row r="93" spans="1:8">
      <c r="A93" s="762" t="s">
        <v>847</v>
      </c>
      <c r="B93" s="761"/>
      <c r="C93" s="761"/>
      <c r="D93" s="761"/>
      <c r="E93" s="761"/>
      <c r="F93" s="761"/>
      <c r="G93" s="761"/>
      <c r="H93" s="761"/>
    </row>
    <row r="94" spans="1:8">
      <c r="A94" s="762" t="s">
        <v>848</v>
      </c>
      <c r="B94" s="761"/>
      <c r="C94" s="761"/>
      <c r="D94" s="761"/>
      <c r="E94" s="761"/>
      <c r="F94" s="761"/>
      <c r="G94" s="761"/>
      <c r="H94" s="761"/>
    </row>
    <row r="95" spans="1:8">
      <c r="A95" s="761"/>
      <c r="B95" s="761"/>
      <c r="C95" s="761"/>
      <c r="D95" s="761"/>
      <c r="E95" s="761"/>
      <c r="F95" s="761"/>
      <c r="G95" s="761"/>
      <c r="H95" s="761"/>
    </row>
    <row r="96" spans="1:8">
      <c r="A96" s="762" t="s">
        <v>840</v>
      </c>
      <c r="B96" s="761"/>
      <c r="C96" s="761"/>
      <c r="D96" s="761"/>
      <c r="E96" s="761"/>
      <c r="F96" s="761"/>
      <c r="G96" s="761"/>
      <c r="H96" s="761"/>
    </row>
    <row r="97" spans="1:8">
      <c r="A97" s="762" t="s">
        <v>841</v>
      </c>
      <c r="B97" s="761"/>
      <c r="C97" s="761"/>
      <c r="D97" s="761"/>
      <c r="E97" s="761"/>
      <c r="F97" s="761"/>
      <c r="G97" s="761"/>
      <c r="H97" s="761"/>
    </row>
    <row r="98" spans="1:8">
      <c r="A98" s="761"/>
      <c r="B98" s="761"/>
      <c r="C98" s="761"/>
      <c r="D98" s="761"/>
      <c r="E98" s="761"/>
      <c r="F98" s="761"/>
      <c r="G98" s="761"/>
      <c r="H98" s="761"/>
    </row>
    <row r="99" spans="1:8" ht="15.75">
      <c r="A99" s="763" t="s">
        <v>612</v>
      </c>
      <c r="B99" s="761"/>
      <c r="C99" s="761"/>
      <c r="D99" s="761"/>
      <c r="E99" s="761"/>
      <c r="F99" s="761"/>
      <c r="G99" s="761"/>
      <c r="H99" s="761"/>
    </row>
    <row r="100" spans="1:8">
      <c r="A100" s="761"/>
      <c r="B100" s="761"/>
      <c r="C100" s="761"/>
      <c r="D100" s="761"/>
      <c r="E100" s="761"/>
      <c r="F100" s="761"/>
      <c r="G100" s="761"/>
      <c r="H100" s="761"/>
    </row>
    <row r="101" spans="1:8">
      <c r="A101" s="762" t="s">
        <v>831</v>
      </c>
      <c r="B101" s="761"/>
      <c r="C101" s="761"/>
      <c r="D101" s="761"/>
      <c r="E101" s="761"/>
      <c r="F101" s="761"/>
      <c r="G101" s="761"/>
      <c r="H101" s="761"/>
    </row>
    <row r="102" spans="1:8">
      <c r="A102" s="762" t="s">
        <v>832</v>
      </c>
      <c r="B102" s="761"/>
      <c r="C102" s="761"/>
      <c r="D102" s="761"/>
      <c r="E102" s="761"/>
      <c r="F102" s="761"/>
      <c r="G102" s="761"/>
      <c r="H102" s="761"/>
    </row>
    <row r="103" spans="1:8">
      <c r="A103" s="762" t="s">
        <v>833</v>
      </c>
      <c r="B103" s="761"/>
      <c r="C103" s="761"/>
      <c r="D103" s="761"/>
      <c r="E103" s="761"/>
      <c r="F103" s="761"/>
      <c r="G103" s="761"/>
      <c r="H103" s="761"/>
    </row>
    <row r="104" spans="1:8">
      <c r="A104" s="762" t="s">
        <v>834</v>
      </c>
      <c r="B104" s="761"/>
      <c r="C104" s="761"/>
      <c r="D104" s="761"/>
      <c r="E104" s="761"/>
      <c r="F104" s="761"/>
      <c r="G104" s="761"/>
      <c r="H104" s="761"/>
    </row>
    <row r="105" spans="1:8">
      <c r="A105" s="762" t="s">
        <v>835</v>
      </c>
      <c r="B105" s="761"/>
      <c r="C105" s="761"/>
      <c r="D105" s="761"/>
      <c r="E105" s="761"/>
      <c r="F105" s="761"/>
      <c r="G105" s="761"/>
      <c r="H105" s="761"/>
    </row>
    <row r="106" spans="1:8">
      <c r="A106" s="762" t="s">
        <v>836</v>
      </c>
      <c r="B106" s="761"/>
      <c r="C106" s="761"/>
      <c r="D106" s="761"/>
      <c r="E106" s="761"/>
      <c r="F106" s="761"/>
      <c r="G106" s="761"/>
      <c r="H106" s="761"/>
    </row>
    <row r="107" spans="1:8">
      <c r="A107" s="762" t="s">
        <v>837</v>
      </c>
      <c r="B107" s="761"/>
      <c r="C107" s="761"/>
      <c r="D107" s="761"/>
      <c r="E107" s="761"/>
      <c r="F107" s="761"/>
      <c r="G107" s="761"/>
      <c r="H107" s="761"/>
    </row>
    <row r="108" spans="1:8">
      <c r="A108" s="762" t="s">
        <v>838</v>
      </c>
      <c r="B108" s="761"/>
      <c r="C108" s="761"/>
      <c r="D108" s="761"/>
      <c r="E108" s="761"/>
      <c r="F108" s="761"/>
      <c r="G108" s="761"/>
      <c r="H108" s="761"/>
    </row>
    <row r="109" spans="1:8">
      <c r="A109" s="762" t="s">
        <v>839</v>
      </c>
      <c r="B109" s="761"/>
      <c r="C109" s="761"/>
      <c r="D109" s="761"/>
      <c r="E109" s="761"/>
      <c r="F109" s="761"/>
      <c r="G109" s="761"/>
      <c r="H109" s="761"/>
    </row>
    <row r="110" spans="1:8">
      <c r="A110" s="761"/>
      <c r="B110" s="761"/>
      <c r="C110" s="761"/>
      <c r="D110" s="761"/>
      <c r="E110" s="761"/>
      <c r="F110" s="761"/>
      <c r="G110" s="761"/>
      <c r="H110" s="761"/>
    </row>
    <row r="111" spans="1:8" ht="15.75">
      <c r="A111" s="782" t="s">
        <v>613</v>
      </c>
      <c r="B111" s="782"/>
      <c r="C111" s="782"/>
      <c r="D111" s="782"/>
      <c r="E111" s="782"/>
      <c r="F111" s="782"/>
      <c r="G111" s="782"/>
      <c r="H111" s="782"/>
    </row>
    <row r="112" spans="1:8">
      <c r="A112" s="778" t="s">
        <v>614</v>
      </c>
      <c r="B112" s="778"/>
      <c r="C112" s="778"/>
      <c r="D112" s="778"/>
      <c r="E112" s="778"/>
      <c r="F112" s="778"/>
      <c r="G112" s="778"/>
      <c r="H112" s="778"/>
    </row>
    <row r="113" spans="1:8">
      <c r="A113" s="783"/>
      <c r="B113" s="783"/>
      <c r="C113" s="783"/>
      <c r="D113" s="783"/>
      <c r="E113" s="783"/>
      <c r="F113" s="783"/>
      <c r="G113" s="783"/>
      <c r="H113" s="783"/>
    </row>
    <row r="114" spans="1:8">
      <c r="A114" s="778" t="s">
        <v>829</v>
      </c>
      <c r="B114" s="778"/>
      <c r="C114" s="778"/>
      <c r="D114" s="778"/>
      <c r="E114" s="778"/>
      <c r="F114" s="778"/>
      <c r="G114" s="778"/>
      <c r="H114" s="778"/>
    </row>
    <row r="115" spans="1:8">
      <c r="A115" s="762" t="s">
        <v>830</v>
      </c>
      <c r="B115" s="762"/>
      <c r="C115" s="762"/>
      <c r="D115" s="762"/>
      <c r="E115" s="762"/>
      <c r="F115" s="762"/>
      <c r="G115" s="762"/>
      <c r="H115" s="762"/>
    </row>
    <row r="116" spans="1:8">
      <c r="A116" s="783"/>
      <c r="B116" s="783"/>
      <c r="C116" s="783"/>
      <c r="D116" s="783"/>
      <c r="E116" s="783"/>
      <c r="F116" s="783"/>
      <c r="G116" s="783"/>
      <c r="H116" s="783"/>
    </row>
    <row r="117" spans="1:8">
      <c r="A117" s="778" t="s">
        <v>822</v>
      </c>
      <c r="B117" s="778"/>
      <c r="C117" s="778"/>
      <c r="D117" s="778"/>
      <c r="E117" s="778"/>
      <c r="F117" s="778"/>
      <c r="G117" s="778"/>
      <c r="H117" s="778"/>
    </row>
    <row r="118" spans="1:8">
      <c r="A118" s="762" t="s">
        <v>823</v>
      </c>
      <c r="B118" s="762"/>
      <c r="C118" s="762"/>
      <c r="D118" s="762"/>
      <c r="E118" s="762"/>
      <c r="F118" s="762"/>
      <c r="G118" s="762"/>
      <c r="H118" s="762"/>
    </row>
    <row r="119" spans="1:8">
      <c r="A119" s="762" t="s">
        <v>824</v>
      </c>
      <c r="B119" s="762"/>
      <c r="C119" s="762"/>
      <c r="D119" s="762"/>
      <c r="E119" s="762"/>
      <c r="F119" s="762"/>
      <c r="G119" s="762"/>
      <c r="H119" s="762"/>
    </row>
    <row r="120" spans="1:8">
      <c r="A120" s="762" t="s">
        <v>825</v>
      </c>
      <c r="B120" s="762"/>
      <c r="C120" s="762"/>
      <c r="D120" s="762"/>
      <c r="E120" s="762"/>
      <c r="F120" s="762"/>
      <c r="G120" s="762"/>
      <c r="H120" s="762"/>
    </row>
    <row r="121" spans="1:8">
      <c r="A121" s="762" t="s">
        <v>826</v>
      </c>
      <c r="B121" s="762"/>
      <c r="C121" s="762"/>
      <c r="D121" s="762"/>
      <c r="E121" s="762"/>
      <c r="F121" s="762"/>
      <c r="G121" s="762"/>
      <c r="H121" s="762"/>
    </row>
    <row r="122" spans="1:8">
      <c r="A122" s="762" t="s">
        <v>827</v>
      </c>
      <c r="B122" s="762"/>
      <c r="C122" s="762"/>
      <c r="D122" s="762"/>
      <c r="E122" s="762"/>
      <c r="F122" s="762"/>
      <c r="G122" s="762"/>
      <c r="H122" s="762"/>
    </row>
    <row r="123" spans="1:8">
      <c r="A123" s="762" t="s">
        <v>828</v>
      </c>
      <c r="B123" s="762"/>
      <c r="C123" s="762"/>
      <c r="D123" s="762"/>
      <c r="E123" s="762"/>
      <c r="F123" s="762"/>
      <c r="G123" s="762"/>
      <c r="H123" s="762"/>
    </row>
    <row r="124" spans="1:8">
      <c r="A124" s="784"/>
      <c r="B124" s="784"/>
      <c r="C124" s="784"/>
      <c r="D124" s="784"/>
      <c r="E124" s="784"/>
      <c r="F124" s="784"/>
      <c r="G124" s="784"/>
      <c r="H124" s="784"/>
    </row>
    <row r="125" spans="1:8">
      <c r="A125" s="764"/>
      <c r="B125" s="779" t="s">
        <v>615</v>
      </c>
      <c r="C125" s="780"/>
      <c r="D125" s="779" t="s">
        <v>616</v>
      </c>
      <c r="E125" s="781"/>
      <c r="F125" s="780"/>
      <c r="G125" s="779" t="s">
        <v>617</v>
      </c>
      <c r="H125" s="780"/>
    </row>
    <row r="126" spans="1:8">
      <c r="A126" s="764" t="s">
        <v>618</v>
      </c>
      <c r="B126" s="764" t="s">
        <v>550</v>
      </c>
      <c r="C126" s="764" t="s">
        <v>619</v>
      </c>
      <c r="D126" s="764" t="s">
        <v>550</v>
      </c>
      <c r="E126" s="764" t="s">
        <v>620</v>
      </c>
      <c r="F126" s="764" t="s">
        <v>621</v>
      </c>
      <c r="G126" s="764" t="s">
        <v>550</v>
      </c>
      <c r="H126" s="764" t="s">
        <v>622</v>
      </c>
    </row>
    <row r="127" spans="1:8">
      <c r="A127" s="764" t="s">
        <v>623</v>
      </c>
      <c r="B127" s="764">
        <v>1189</v>
      </c>
      <c r="C127" s="765">
        <v>0.38</v>
      </c>
      <c r="D127" s="764">
        <v>315</v>
      </c>
      <c r="E127" s="765">
        <v>0.41</v>
      </c>
      <c r="F127" s="765">
        <v>0.26</v>
      </c>
      <c r="G127" s="764">
        <v>555</v>
      </c>
      <c r="H127" s="765">
        <v>0.39</v>
      </c>
    </row>
    <row r="128" spans="1:8">
      <c r="A128" s="764" t="s">
        <v>624</v>
      </c>
      <c r="B128" s="764">
        <v>1355</v>
      </c>
      <c r="C128" s="765">
        <v>0.43</v>
      </c>
      <c r="D128" s="764">
        <v>364</v>
      </c>
      <c r="E128" s="765">
        <v>0.47</v>
      </c>
      <c r="F128" s="765">
        <v>0.27</v>
      </c>
      <c r="G128" s="764">
        <v>644</v>
      </c>
      <c r="H128" s="765">
        <v>0.45</v>
      </c>
    </row>
    <row r="129" spans="1:8">
      <c r="A129" s="764" t="s">
        <v>625</v>
      </c>
      <c r="B129" s="764">
        <v>53</v>
      </c>
      <c r="C129" s="765">
        <v>0.02</v>
      </c>
      <c r="D129" s="764">
        <v>4</v>
      </c>
      <c r="E129" s="765">
        <v>0.01</v>
      </c>
      <c r="F129" s="765">
        <v>0.08</v>
      </c>
      <c r="G129" s="764">
        <v>7</v>
      </c>
      <c r="H129" s="765">
        <v>0</v>
      </c>
    </row>
    <row r="130" spans="1:8">
      <c r="A130" s="764" t="s">
        <v>626</v>
      </c>
      <c r="B130" s="764">
        <v>545</v>
      </c>
      <c r="C130" s="765">
        <v>0.17</v>
      </c>
      <c r="D130" s="764">
        <v>84</v>
      </c>
      <c r="E130" s="765">
        <v>0.11</v>
      </c>
      <c r="F130" s="765">
        <v>0.15</v>
      </c>
      <c r="G130" s="764">
        <v>214</v>
      </c>
      <c r="H130" s="765">
        <v>0.15</v>
      </c>
    </row>
    <row r="131" spans="1:8">
      <c r="A131" s="764" t="s">
        <v>189</v>
      </c>
      <c r="B131" s="766">
        <v>3142</v>
      </c>
      <c r="C131" s="764"/>
      <c r="D131" s="764">
        <v>767</v>
      </c>
      <c r="E131" s="764"/>
      <c r="F131" s="764"/>
      <c r="G131" s="764">
        <v>1420</v>
      </c>
      <c r="H131" s="764"/>
    </row>
    <row r="132" spans="1:8">
      <c r="A132" s="777"/>
      <c r="B132" s="777"/>
      <c r="C132" s="777"/>
      <c r="D132" s="777"/>
      <c r="E132" s="777"/>
      <c r="F132" s="777"/>
      <c r="G132" s="777"/>
      <c r="H132" s="777"/>
    </row>
    <row r="133" spans="1:8">
      <c r="A133" s="778" t="s">
        <v>818</v>
      </c>
      <c r="B133" s="778"/>
      <c r="C133" s="778"/>
      <c r="D133" s="778"/>
      <c r="E133" s="778"/>
      <c r="F133" s="778"/>
      <c r="G133" s="778"/>
      <c r="H133" s="778"/>
    </row>
    <row r="134" spans="1:8">
      <c r="A134" s="762" t="s">
        <v>819</v>
      </c>
      <c r="B134" s="762"/>
      <c r="C134" s="762"/>
      <c r="D134" s="762"/>
      <c r="E134" s="762"/>
      <c r="F134" s="762"/>
      <c r="G134" s="762"/>
      <c r="H134" s="762"/>
    </row>
    <row r="135" spans="1:8">
      <c r="A135" s="762" t="s">
        <v>820</v>
      </c>
      <c r="B135" s="762"/>
      <c r="C135" s="762"/>
      <c r="D135" s="762"/>
      <c r="E135" s="762"/>
      <c r="F135" s="762"/>
      <c r="G135" s="762"/>
      <c r="H135" s="762"/>
    </row>
    <row r="136" spans="1:8">
      <c r="A136" s="762" t="s">
        <v>821</v>
      </c>
      <c r="B136" s="762"/>
      <c r="C136" s="762"/>
      <c r="D136" s="762"/>
      <c r="E136" s="762"/>
      <c r="F136" s="762"/>
      <c r="G136" s="762"/>
      <c r="H136" s="762"/>
    </row>
    <row r="137" spans="1:8">
      <c r="A137" s="761"/>
      <c r="B137" s="761"/>
      <c r="C137" s="761"/>
      <c r="D137" s="761"/>
      <c r="E137" s="761"/>
      <c r="F137" s="761"/>
      <c r="G137" s="761"/>
      <c r="H137" s="761"/>
    </row>
    <row r="138" spans="1:8" ht="15.75">
      <c r="A138" s="763" t="s">
        <v>627</v>
      </c>
      <c r="B138" s="761"/>
      <c r="C138" s="761"/>
      <c r="D138" s="761"/>
      <c r="E138" s="761"/>
      <c r="F138" s="761"/>
      <c r="G138" s="761"/>
      <c r="H138" s="761"/>
    </row>
    <row r="139" spans="1:8">
      <c r="A139" s="761"/>
      <c r="B139" s="761"/>
      <c r="C139" s="761"/>
      <c r="D139" s="761"/>
      <c r="E139" s="761"/>
      <c r="F139" s="761"/>
      <c r="G139" s="761"/>
      <c r="H139" s="761"/>
    </row>
    <row r="140" spans="1:8">
      <c r="A140" s="762" t="s">
        <v>816</v>
      </c>
      <c r="B140" s="761"/>
      <c r="C140" s="761"/>
      <c r="D140" s="761"/>
      <c r="E140" s="761"/>
      <c r="F140" s="761"/>
      <c r="G140" s="761"/>
      <c r="H140" s="761"/>
    </row>
    <row r="141" spans="1:8">
      <c r="A141" s="762" t="s">
        <v>817</v>
      </c>
      <c r="B141" s="761"/>
      <c r="C141" s="761"/>
      <c r="D141" s="761"/>
      <c r="E141" s="761"/>
      <c r="F141" s="761"/>
      <c r="G141" s="761"/>
      <c r="H141" s="761"/>
    </row>
    <row r="142" spans="1:8">
      <c r="A142" s="761"/>
      <c r="B142" s="761"/>
      <c r="C142" s="761"/>
      <c r="D142" s="761"/>
      <c r="E142" s="761"/>
      <c r="F142" s="761"/>
      <c r="G142" s="761"/>
      <c r="H142" s="761"/>
    </row>
    <row r="143" spans="1:8">
      <c r="A143" s="762" t="s">
        <v>813</v>
      </c>
      <c r="B143" s="761"/>
      <c r="C143" s="761"/>
      <c r="D143" s="761"/>
      <c r="E143" s="761"/>
      <c r="F143" s="761"/>
      <c r="G143" s="761"/>
      <c r="H143" s="761"/>
    </row>
    <row r="144" spans="1:8">
      <c r="A144" s="762" t="s">
        <v>814</v>
      </c>
      <c r="B144" s="761"/>
      <c r="C144" s="761"/>
      <c r="D144" s="761"/>
      <c r="E144" s="761"/>
      <c r="F144" s="761"/>
      <c r="G144" s="761"/>
      <c r="H144" s="761"/>
    </row>
    <row r="145" spans="1:8">
      <c r="A145" s="762" t="s">
        <v>815</v>
      </c>
      <c r="B145" s="761"/>
      <c r="C145" s="761"/>
      <c r="D145" s="761"/>
      <c r="E145" s="761"/>
      <c r="F145" s="761"/>
      <c r="G145" s="761"/>
      <c r="H145" s="761"/>
    </row>
    <row r="146" spans="1:8">
      <c r="A146" s="761"/>
      <c r="B146" s="761"/>
      <c r="C146" s="761"/>
      <c r="D146" s="761"/>
      <c r="E146" s="761"/>
      <c r="F146" s="761"/>
      <c r="G146" s="761"/>
      <c r="H146" s="761"/>
    </row>
    <row r="147" spans="1:8">
      <c r="A147" s="762" t="s">
        <v>810</v>
      </c>
      <c r="B147" s="761"/>
      <c r="C147" s="761"/>
      <c r="D147" s="761"/>
      <c r="E147" s="761"/>
      <c r="F147" s="761"/>
      <c r="G147" s="761"/>
      <c r="H147" s="761"/>
    </row>
    <row r="148" spans="1:8">
      <c r="A148" s="762" t="s">
        <v>811</v>
      </c>
      <c r="B148" s="761"/>
      <c r="C148" s="761"/>
      <c r="D148" s="761"/>
      <c r="E148" s="761"/>
      <c r="F148" s="761"/>
      <c r="G148" s="761"/>
      <c r="H148" s="761"/>
    </row>
    <row r="149" spans="1:8">
      <c r="A149" s="762" t="s">
        <v>812</v>
      </c>
      <c r="B149" s="761"/>
      <c r="C149" s="761"/>
      <c r="D149" s="761"/>
      <c r="E149" s="761"/>
      <c r="F149" s="761"/>
      <c r="G149" s="761"/>
      <c r="H149" s="761"/>
    </row>
    <row r="150" spans="1:8">
      <c r="A150" s="761"/>
      <c r="B150" s="761"/>
      <c r="C150" s="761"/>
      <c r="D150" s="761"/>
      <c r="E150" s="761"/>
      <c r="F150" s="761"/>
      <c r="G150" s="761"/>
      <c r="H150" s="761"/>
    </row>
    <row r="151" spans="1:8">
      <c r="A151" s="762" t="s">
        <v>807</v>
      </c>
      <c r="B151" s="761"/>
      <c r="C151" s="761"/>
      <c r="D151" s="761"/>
      <c r="E151" s="761"/>
      <c r="F151" s="761"/>
      <c r="G151" s="761"/>
      <c r="H151" s="761"/>
    </row>
    <row r="152" spans="1:8">
      <c r="A152" s="762" t="s">
        <v>808</v>
      </c>
      <c r="B152" s="761"/>
      <c r="C152" s="761"/>
      <c r="D152" s="761"/>
      <c r="E152" s="761"/>
      <c r="F152" s="761"/>
      <c r="G152" s="761"/>
      <c r="H152" s="761"/>
    </row>
    <row r="153" spans="1:8">
      <c r="A153" s="762" t="s">
        <v>809</v>
      </c>
      <c r="B153" s="761"/>
      <c r="C153" s="761"/>
      <c r="D153" s="761"/>
      <c r="E153" s="761"/>
      <c r="F153" s="761"/>
      <c r="G153" s="761"/>
      <c r="H153" s="761"/>
    </row>
    <row r="154" spans="1:8">
      <c r="A154" s="761"/>
      <c r="B154" s="761"/>
      <c r="C154" s="761"/>
      <c r="D154" s="761"/>
      <c r="E154" s="761"/>
      <c r="F154" s="761"/>
      <c r="G154" s="761"/>
      <c r="H154" s="761"/>
    </row>
    <row r="155" spans="1:8">
      <c r="A155" s="762" t="s">
        <v>805</v>
      </c>
      <c r="B155" s="761"/>
      <c r="C155" s="761"/>
      <c r="D155" s="761"/>
      <c r="E155" s="761"/>
      <c r="F155" s="761"/>
      <c r="G155" s="761"/>
      <c r="H155" s="761"/>
    </row>
    <row r="156" spans="1:8">
      <c r="A156" s="762" t="s">
        <v>806</v>
      </c>
      <c r="B156" s="761"/>
      <c r="C156" s="761"/>
      <c r="D156" s="761"/>
      <c r="E156" s="761"/>
      <c r="F156" s="761"/>
      <c r="G156" s="761"/>
      <c r="H156" s="761"/>
    </row>
    <row r="157" spans="1:8">
      <c r="A157" s="761"/>
      <c r="B157" s="761"/>
      <c r="C157" s="761"/>
      <c r="D157" s="761"/>
      <c r="E157" s="761"/>
      <c r="F157" s="761"/>
      <c r="G157" s="761"/>
      <c r="H157" s="761"/>
    </row>
    <row r="158" spans="1:8" ht="15.75">
      <c r="A158" s="763" t="s">
        <v>628</v>
      </c>
      <c r="B158" s="761"/>
      <c r="C158" s="761"/>
      <c r="D158" s="761"/>
      <c r="E158" s="761"/>
      <c r="F158" s="761"/>
      <c r="G158" s="761"/>
      <c r="H158" s="761"/>
    </row>
    <row r="159" spans="1:8">
      <c r="A159" s="761"/>
      <c r="B159" s="761"/>
      <c r="C159" s="761"/>
      <c r="D159" s="761"/>
      <c r="E159" s="761"/>
      <c r="F159" s="761"/>
      <c r="G159" s="761"/>
      <c r="H159" s="761"/>
    </row>
    <row r="160" spans="1:8">
      <c r="A160" s="762" t="s">
        <v>803</v>
      </c>
      <c r="B160" s="761"/>
      <c r="C160" s="761"/>
      <c r="D160" s="761"/>
      <c r="E160" s="761"/>
      <c r="F160" s="761"/>
      <c r="G160" s="761"/>
      <c r="H160" s="761"/>
    </row>
    <row r="161" spans="1:8">
      <c r="A161" s="762" t="s">
        <v>804</v>
      </c>
      <c r="B161" s="761"/>
      <c r="C161" s="761"/>
      <c r="D161" s="761"/>
      <c r="E161" s="761"/>
      <c r="F161" s="761"/>
      <c r="G161" s="761"/>
      <c r="H161" s="761"/>
    </row>
    <row r="162" spans="1:8">
      <c r="A162" s="761"/>
      <c r="B162" s="761"/>
      <c r="C162" s="761"/>
      <c r="D162" s="761"/>
      <c r="E162" s="761"/>
      <c r="F162" s="761"/>
      <c r="G162" s="761"/>
      <c r="H162" s="761"/>
    </row>
    <row r="163" spans="1:8">
      <c r="A163" s="762" t="s">
        <v>801</v>
      </c>
      <c r="B163" s="761"/>
      <c r="C163" s="761"/>
      <c r="D163" s="761"/>
      <c r="E163" s="761"/>
      <c r="F163" s="761"/>
      <c r="G163" s="761"/>
      <c r="H163" s="761"/>
    </row>
    <row r="164" spans="1:8">
      <c r="A164" s="762" t="s">
        <v>802</v>
      </c>
      <c r="B164" s="761"/>
      <c r="C164" s="761"/>
      <c r="D164" s="761"/>
      <c r="E164" s="761"/>
      <c r="F164" s="761"/>
      <c r="G164" s="761"/>
      <c r="H164" s="761"/>
    </row>
    <row r="165" spans="1:8">
      <c r="A165" s="761"/>
      <c r="B165" s="761"/>
      <c r="C165" s="761"/>
      <c r="D165" s="761"/>
      <c r="E165" s="761"/>
      <c r="F165" s="761"/>
      <c r="G165" s="761"/>
      <c r="H165" s="761"/>
    </row>
    <row r="166" spans="1:8">
      <c r="A166" s="762" t="s">
        <v>799</v>
      </c>
      <c r="B166" s="761"/>
      <c r="C166" s="761"/>
      <c r="D166" s="761"/>
      <c r="E166" s="761"/>
      <c r="F166" s="761"/>
      <c r="G166" s="761"/>
      <c r="H166" s="761"/>
    </row>
    <row r="167" spans="1:8">
      <c r="A167" s="762" t="s">
        <v>800</v>
      </c>
      <c r="B167" s="761"/>
      <c r="C167" s="761"/>
      <c r="D167" s="761"/>
      <c r="E167" s="761"/>
      <c r="F167" s="761"/>
      <c r="G167" s="761"/>
      <c r="H167" s="761"/>
    </row>
    <row r="168" spans="1:8">
      <c r="A168" s="761"/>
      <c r="B168" s="761"/>
      <c r="C168" s="761"/>
      <c r="D168" s="761"/>
      <c r="E168" s="761"/>
      <c r="F168" s="761"/>
      <c r="G168" s="761"/>
      <c r="H168" s="761"/>
    </row>
    <row r="169" spans="1:8">
      <c r="A169" s="762" t="s">
        <v>796</v>
      </c>
      <c r="B169" s="761"/>
      <c r="C169" s="761"/>
      <c r="D169" s="761"/>
      <c r="E169" s="761"/>
      <c r="F169" s="761"/>
      <c r="G169" s="761"/>
      <c r="H169" s="761"/>
    </row>
    <row r="170" spans="1:8">
      <c r="A170" s="762" t="s">
        <v>797</v>
      </c>
      <c r="B170" s="761"/>
      <c r="C170" s="761"/>
      <c r="D170" s="761"/>
      <c r="E170" s="761"/>
      <c r="F170" s="761"/>
      <c r="G170" s="761"/>
      <c r="H170" s="761"/>
    </row>
    <row r="171" spans="1:8">
      <c r="A171" s="762" t="s">
        <v>798</v>
      </c>
      <c r="B171" s="761"/>
      <c r="C171" s="761"/>
      <c r="D171" s="761"/>
      <c r="E171" s="761"/>
      <c r="F171" s="761"/>
      <c r="G171" s="761"/>
      <c r="H171" s="761"/>
    </row>
    <row r="172" spans="1:8">
      <c r="A172" s="761"/>
      <c r="B172" s="761"/>
      <c r="C172" s="761"/>
      <c r="D172" s="761"/>
      <c r="E172" s="761"/>
      <c r="F172" s="761"/>
      <c r="G172" s="761"/>
      <c r="H172" s="761"/>
    </row>
    <row r="173" spans="1:8">
      <c r="A173" s="761"/>
      <c r="B173" s="761"/>
      <c r="C173" s="761"/>
      <c r="D173" s="761"/>
      <c r="E173" s="761"/>
      <c r="F173" s="761"/>
      <c r="G173" s="761"/>
      <c r="H173" s="761"/>
    </row>
    <row r="174" spans="1:8">
      <c r="A174" s="762" t="s">
        <v>545</v>
      </c>
      <c r="B174" s="761"/>
      <c r="C174" s="761"/>
      <c r="D174" s="761"/>
      <c r="E174" s="761"/>
      <c r="F174" s="761"/>
      <c r="G174" s="761"/>
      <c r="H174" s="761"/>
    </row>
    <row r="175" spans="1:8">
      <c r="A175" s="761"/>
      <c r="B175" s="761"/>
      <c r="C175" s="761"/>
      <c r="D175" s="761"/>
      <c r="E175" s="761"/>
      <c r="F175" s="761"/>
      <c r="G175" s="761"/>
      <c r="H175" s="761"/>
    </row>
    <row r="176" spans="1:8" ht="15.75">
      <c r="A176" s="763" t="s">
        <v>629</v>
      </c>
      <c r="B176" s="761"/>
      <c r="C176" s="761"/>
      <c r="D176" s="761"/>
      <c r="E176" s="761"/>
      <c r="F176" s="761"/>
      <c r="G176" s="761"/>
      <c r="H176" s="761"/>
    </row>
    <row r="177" spans="1:8">
      <c r="A177" s="761"/>
      <c r="B177" s="761"/>
      <c r="C177" s="761"/>
      <c r="D177" s="761"/>
      <c r="E177" s="761"/>
      <c r="F177" s="761"/>
      <c r="G177" s="761"/>
      <c r="H177" s="761"/>
    </row>
    <row r="178" spans="1:8">
      <c r="A178" s="761"/>
      <c r="B178" s="761"/>
      <c r="C178" s="761"/>
      <c r="D178" s="761"/>
      <c r="E178" s="761"/>
      <c r="F178" s="761"/>
      <c r="G178" s="761"/>
      <c r="H178" s="761"/>
    </row>
    <row r="179" spans="1:8">
      <c r="A179" s="761"/>
      <c r="B179" s="761"/>
      <c r="C179" s="761"/>
      <c r="D179" s="761"/>
      <c r="E179" s="761"/>
      <c r="F179" s="761"/>
      <c r="G179" s="761"/>
      <c r="H179" s="761"/>
    </row>
    <row r="180" spans="1:8">
      <c r="A180" s="761"/>
      <c r="B180" s="761"/>
      <c r="C180" s="761"/>
      <c r="D180" s="761"/>
      <c r="E180" s="761"/>
      <c r="F180" s="761"/>
      <c r="G180" s="761"/>
      <c r="H180" s="761"/>
    </row>
    <row r="181" spans="1:8">
      <c r="A181" s="761"/>
      <c r="B181" s="761"/>
      <c r="C181" s="761"/>
      <c r="D181" s="761"/>
      <c r="E181" s="761"/>
      <c r="F181" s="761"/>
      <c r="G181" s="761"/>
      <c r="H181" s="761"/>
    </row>
    <row r="182" spans="1:8">
      <c r="A182" s="761"/>
      <c r="B182" s="761"/>
      <c r="C182" s="761"/>
      <c r="D182" s="761"/>
      <c r="E182" s="761"/>
      <c r="F182" s="761"/>
      <c r="G182" s="761"/>
      <c r="H182" s="761"/>
    </row>
    <row r="183" spans="1:8">
      <c r="A183" s="761"/>
      <c r="B183" s="761"/>
      <c r="C183" s="761"/>
      <c r="D183" s="761"/>
      <c r="E183" s="761"/>
      <c r="F183" s="761"/>
      <c r="G183" s="761"/>
      <c r="H183" s="761"/>
    </row>
    <row r="184" spans="1:8">
      <c r="A184" s="761"/>
      <c r="B184" s="761"/>
      <c r="C184" s="761"/>
      <c r="D184" s="761"/>
      <c r="E184" s="761"/>
      <c r="F184" s="761"/>
      <c r="G184" s="761"/>
      <c r="H184" s="761"/>
    </row>
    <row r="185" spans="1:8">
      <c r="A185" s="761"/>
      <c r="B185" s="761"/>
      <c r="C185" s="761"/>
      <c r="D185" s="761"/>
      <c r="E185" s="761"/>
      <c r="F185" s="761"/>
      <c r="G185" s="761"/>
      <c r="H185" s="761"/>
    </row>
    <row r="186" spans="1:8">
      <c r="A186" s="761"/>
      <c r="B186" s="761"/>
      <c r="C186" s="761"/>
      <c r="D186" s="761"/>
      <c r="E186" s="761"/>
      <c r="F186" s="761"/>
      <c r="G186" s="761"/>
      <c r="H186" s="761"/>
    </row>
    <row r="187" spans="1:8">
      <c r="A187" s="761"/>
      <c r="B187" s="761"/>
      <c r="C187" s="761"/>
      <c r="D187" s="761"/>
      <c r="E187" s="761"/>
      <c r="F187" s="761"/>
      <c r="G187" s="761"/>
      <c r="H187" s="761"/>
    </row>
    <row r="188" spans="1:8">
      <c r="A188" s="761"/>
      <c r="B188" s="761"/>
      <c r="C188" s="761"/>
      <c r="D188" s="761"/>
      <c r="E188" s="761"/>
      <c r="F188" s="761"/>
      <c r="G188" s="761"/>
      <c r="H188" s="761"/>
    </row>
    <row r="189" spans="1:8">
      <c r="A189" s="761"/>
      <c r="B189" s="761"/>
      <c r="C189" s="761"/>
      <c r="D189" s="761"/>
      <c r="E189" s="761"/>
      <c r="F189" s="761"/>
      <c r="G189" s="761"/>
      <c r="H189" s="761"/>
    </row>
    <row r="190" spans="1:8">
      <c r="A190" s="761"/>
      <c r="B190" s="761"/>
      <c r="C190" s="761"/>
      <c r="D190" s="761"/>
      <c r="E190" s="761"/>
      <c r="F190" s="761"/>
      <c r="G190" s="761"/>
      <c r="H190" s="761"/>
    </row>
    <row r="191" spans="1:8">
      <c r="A191" s="761"/>
      <c r="B191" s="761"/>
      <c r="C191" s="761"/>
      <c r="D191" s="761"/>
      <c r="E191" s="761"/>
      <c r="F191" s="761"/>
      <c r="G191" s="761"/>
      <c r="H191" s="761"/>
    </row>
    <row r="192" spans="1:8">
      <c r="A192" s="761"/>
      <c r="B192" s="761"/>
      <c r="C192" s="761"/>
      <c r="D192" s="761"/>
      <c r="E192" s="761"/>
      <c r="F192" s="761"/>
      <c r="G192" s="761"/>
      <c r="H192" s="761"/>
    </row>
    <row r="193" spans="1:8">
      <c r="A193" s="761"/>
      <c r="B193" s="761"/>
      <c r="C193" s="761"/>
      <c r="D193" s="761"/>
      <c r="E193" s="761"/>
      <c r="F193" s="761"/>
      <c r="G193" s="761"/>
      <c r="H193" s="761"/>
    </row>
    <row r="194" spans="1:8">
      <c r="A194" s="761"/>
      <c r="B194" s="761"/>
      <c r="C194" s="761"/>
      <c r="D194" s="761"/>
      <c r="E194" s="761"/>
      <c r="F194" s="761"/>
      <c r="G194" s="761"/>
      <c r="H194" s="761"/>
    </row>
    <row r="195" spans="1:8">
      <c r="A195" s="761"/>
      <c r="B195" s="761"/>
      <c r="C195" s="761"/>
      <c r="D195" s="761"/>
      <c r="E195" s="761"/>
      <c r="F195" s="761"/>
      <c r="G195" s="761"/>
      <c r="H195" s="761"/>
    </row>
    <row r="196" spans="1:8">
      <c r="A196" s="761"/>
      <c r="B196" s="761"/>
      <c r="C196" s="761"/>
      <c r="D196" s="761"/>
      <c r="E196" s="761"/>
      <c r="F196" s="761"/>
      <c r="G196" s="761"/>
      <c r="H196" s="761"/>
    </row>
    <row r="197" spans="1:8">
      <c r="A197" s="761"/>
      <c r="B197" s="761"/>
      <c r="C197" s="761"/>
      <c r="D197" s="761"/>
      <c r="E197" s="761"/>
      <c r="F197" s="761"/>
      <c r="G197" s="761"/>
      <c r="H197" s="761"/>
    </row>
    <row r="198" spans="1:8">
      <c r="A198" s="761"/>
      <c r="B198" s="761"/>
      <c r="C198" s="761"/>
      <c r="D198" s="761"/>
      <c r="E198" s="761"/>
      <c r="F198" s="761"/>
      <c r="G198" s="761"/>
      <c r="H198" s="761"/>
    </row>
    <row r="199" spans="1:8">
      <c r="A199" s="761"/>
      <c r="B199" s="761"/>
      <c r="C199" s="761"/>
      <c r="D199" s="761"/>
      <c r="E199" s="761"/>
      <c r="F199" s="761"/>
      <c r="G199" s="761"/>
      <c r="H199" s="761"/>
    </row>
    <row r="200" spans="1:8">
      <c r="A200" s="761"/>
      <c r="B200" s="761"/>
      <c r="C200" s="761"/>
      <c r="D200" s="761"/>
      <c r="E200" s="761"/>
      <c r="F200" s="761"/>
      <c r="G200" s="761"/>
      <c r="H200" s="761"/>
    </row>
    <row r="201" spans="1:8">
      <c r="A201" s="761"/>
      <c r="B201" s="761"/>
      <c r="C201" s="761"/>
      <c r="D201" s="761"/>
      <c r="E201" s="761"/>
      <c r="F201" s="761"/>
      <c r="G201" s="761"/>
      <c r="H201" s="761"/>
    </row>
    <row r="202" spans="1:8">
      <c r="A202" s="761"/>
      <c r="B202" s="761"/>
      <c r="C202" s="761"/>
      <c r="D202" s="761"/>
      <c r="E202" s="761"/>
      <c r="F202" s="761"/>
      <c r="G202" s="761"/>
      <c r="H202" s="761"/>
    </row>
    <row r="203" spans="1:8" ht="15.75">
      <c r="A203" s="763" t="s">
        <v>630</v>
      </c>
      <c r="B203" s="761"/>
      <c r="C203" s="761"/>
      <c r="D203" s="761"/>
      <c r="E203" s="761"/>
      <c r="F203" s="761"/>
      <c r="G203" s="761"/>
      <c r="H203" s="761"/>
    </row>
    <row r="204" spans="1:8">
      <c r="A204" s="761"/>
      <c r="B204" s="761"/>
      <c r="C204" s="761"/>
      <c r="D204" s="761"/>
      <c r="E204" s="761"/>
      <c r="F204" s="761"/>
      <c r="G204" s="761"/>
      <c r="H204" s="761"/>
    </row>
    <row r="205" spans="1:8">
      <c r="A205" s="762" t="s">
        <v>791</v>
      </c>
      <c r="B205" s="761"/>
      <c r="C205" s="761"/>
      <c r="D205" s="761"/>
      <c r="E205" s="761"/>
      <c r="F205" s="761"/>
      <c r="G205" s="761"/>
      <c r="H205" s="761"/>
    </row>
    <row r="206" spans="1:8">
      <c r="A206" s="762" t="s">
        <v>792</v>
      </c>
      <c r="B206" s="761"/>
      <c r="C206" s="761"/>
      <c r="D206" s="761"/>
      <c r="E206" s="761"/>
      <c r="F206" s="761"/>
      <c r="G206" s="761"/>
      <c r="H206" s="761"/>
    </row>
    <row r="207" spans="1:8">
      <c r="A207" s="762" t="s">
        <v>793</v>
      </c>
      <c r="B207" s="761"/>
      <c r="C207" s="761"/>
      <c r="D207" s="761"/>
      <c r="E207" s="761"/>
      <c r="F207" s="761"/>
      <c r="G207" s="761"/>
      <c r="H207" s="761"/>
    </row>
    <row r="208" spans="1:8">
      <c r="A208" s="762" t="s">
        <v>794</v>
      </c>
      <c r="B208" s="761"/>
      <c r="C208" s="761"/>
      <c r="D208" s="761"/>
      <c r="E208" s="761"/>
      <c r="F208" s="761"/>
      <c r="G208" s="761"/>
      <c r="H208" s="761"/>
    </row>
    <row r="209" spans="1:8">
      <c r="A209" s="762" t="s">
        <v>795</v>
      </c>
      <c r="B209" s="761"/>
      <c r="C209" s="761"/>
      <c r="D209" s="761"/>
      <c r="E209" s="761"/>
      <c r="F209" s="761"/>
      <c r="G209" s="761"/>
      <c r="H209" s="761"/>
    </row>
    <row r="210" spans="1:8">
      <c r="A210" s="761"/>
      <c r="B210" s="761"/>
      <c r="C210" s="761"/>
      <c r="D210" s="761"/>
      <c r="E210" s="761"/>
      <c r="F210" s="761"/>
      <c r="G210" s="761"/>
      <c r="H210" s="761"/>
    </row>
    <row r="211" spans="1:8">
      <c r="A211" s="762" t="s">
        <v>788</v>
      </c>
      <c r="B211" s="761"/>
      <c r="C211" s="761"/>
      <c r="D211" s="761"/>
      <c r="E211" s="761"/>
      <c r="F211" s="761"/>
      <c r="G211" s="761"/>
      <c r="H211" s="761"/>
    </row>
    <row r="212" spans="1:8">
      <c r="A212" s="762" t="s">
        <v>789</v>
      </c>
      <c r="B212" s="761"/>
      <c r="C212" s="761"/>
      <c r="D212" s="761"/>
      <c r="E212" s="761"/>
      <c r="F212" s="761"/>
      <c r="G212" s="761"/>
      <c r="H212" s="761"/>
    </row>
    <row r="213" spans="1:8">
      <c r="A213" s="762" t="s">
        <v>790</v>
      </c>
      <c r="B213" s="761"/>
      <c r="C213" s="761"/>
      <c r="D213" s="761"/>
      <c r="E213" s="761"/>
      <c r="F213" s="761"/>
      <c r="G213" s="761"/>
      <c r="H213" s="761"/>
    </row>
    <row r="214" spans="1:8" ht="15.75">
      <c r="A214" s="763" t="s">
        <v>631</v>
      </c>
      <c r="B214" s="761"/>
      <c r="C214" s="761"/>
      <c r="D214" s="761"/>
      <c r="E214" s="761"/>
      <c r="F214" s="761"/>
      <c r="G214" s="761"/>
      <c r="H214" s="761"/>
    </row>
    <row r="215" spans="1:8">
      <c r="A215" s="761"/>
      <c r="B215" s="761"/>
      <c r="C215" s="761"/>
      <c r="D215" s="761"/>
      <c r="E215" s="761"/>
      <c r="F215" s="761"/>
      <c r="G215" s="761"/>
      <c r="H215" s="761"/>
    </row>
    <row r="216" spans="1:8">
      <c r="A216" s="762" t="s">
        <v>786</v>
      </c>
      <c r="B216" s="761"/>
      <c r="C216" s="761"/>
      <c r="D216" s="761"/>
      <c r="E216" s="761"/>
      <c r="F216" s="761"/>
      <c r="G216" s="761"/>
      <c r="H216" s="761"/>
    </row>
    <row r="217" spans="1:8">
      <c r="A217" s="762" t="s">
        <v>787</v>
      </c>
      <c r="B217" s="761"/>
      <c r="C217" s="761"/>
      <c r="D217" s="761"/>
      <c r="E217" s="761"/>
      <c r="F217" s="761"/>
      <c r="G217" s="761"/>
      <c r="H217" s="761"/>
    </row>
    <row r="218" spans="1:8">
      <c r="A218" s="761"/>
      <c r="B218" s="761"/>
      <c r="C218" s="761"/>
      <c r="D218" s="761"/>
      <c r="E218" s="761"/>
      <c r="F218" s="761"/>
      <c r="G218" s="761"/>
      <c r="H218" s="761"/>
    </row>
    <row r="219" spans="1:8">
      <c r="A219" s="762" t="s">
        <v>779</v>
      </c>
      <c r="B219" s="761"/>
      <c r="C219" s="761"/>
      <c r="D219" s="761"/>
      <c r="E219" s="761"/>
      <c r="F219" s="761"/>
      <c r="G219" s="761"/>
      <c r="H219" s="761"/>
    </row>
    <row r="220" spans="1:8">
      <c r="A220" s="762" t="s">
        <v>780</v>
      </c>
      <c r="B220" s="761"/>
      <c r="C220" s="761"/>
      <c r="D220" s="761"/>
      <c r="E220" s="761"/>
      <c r="F220" s="761"/>
      <c r="G220" s="761"/>
      <c r="H220" s="761"/>
    </row>
    <row r="221" spans="1:8">
      <c r="A221" s="762" t="s">
        <v>781</v>
      </c>
      <c r="B221" s="761"/>
      <c r="C221" s="761"/>
      <c r="D221" s="761"/>
      <c r="E221" s="761"/>
      <c r="F221" s="761"/>
      <c r="G221" s="761"/>
      <c r="H221" s="761"/>
    </row>
    <row r="222" spans="1:8">
      <c r="A222" s="762" t="s">
        <v>782</v>
      </c>
      <c r="B222" s="761"/>
      <c r="C222" s="761"/>
      <c r="D222" s="761"/>
      <c r="E222" s="761"/>
      <c r="F222" s="761"/>
      <c r="G222" s="761"/>
      <c r="H222" s="761"/>
    </row>
    <row r="223" spans="1:8">
      <c r="A223" s="762" t="s">
        <v>783</v>
      </c>
      <c r="B223" s="761"/>
      <c r="C223" s="761"/>
      <c r="D223" s="761"/>
      <c r="E223" s="761"/>
      <c r="F223" s="761"/>
      <c r="G223" s="761"/>
      <c r="H223" s="761"/>
    </row>
    <row r="224" spans="1:8">
      <c r="A224" s="762" t="s">
        <v>784</v>
      </c>
      <c r="B224" s="761"/>
      <c r="C224" s="761"/>
      <c r="D224" s="761"/>
      <c r="E224" s="761"/>
      <c r="F224" s="761"/>
      <c r="G224" s="761"/>
      <c r="H224" s="761"/>
    </row>
    <row r="225" spans="1:8">
      <c r="A225" s="762" t="s">
        <v>785</v>
      </c>
      <c r="B225" s="761"/>
      <c r="C225" s="761"/>
      <c r="D225" s="761"/>
      <c r="E225" s="761"/>
      <c r="F225" s="761"/>
      <c r="G225" s="761"/>
      <c r="H225" s="761"/>
    </row>
    <row r="226" spans="1:8">
      <c r="A226" s="761"/>
      <c r="B226" s="761"/>
      <c r="C226" s="761"/>
      <c r="D226" s="761"/>
      <c r="E226" s="761"/>
      <c r="F226" s="761"/>
      <c r="G226" s="761"/>
      <c r="H226" s="761"/>
    </row>
    <row r="227" spans="1:8">
      <c r="A227" s="762" t="s">
        <v>776</v>
      </c>
      <c r="B227" s="761"/>
      <c r="C227" s="761"/>
      <c r="D227" s="761"/>
      <c r="E227" s="761"/>
      <c r="F227" s="761"/>
      <c r="G227" s="761"/>
      <c r="H227" s="761"/>
    </row>
    <row r="228" spans="1:8">
      <c r="A228" s="762" t="s">
        <v>777</v>
      </c>
      <c r="B228" s="761"/>
      <c r="C228" s="761"/>
      <c r="D228" s="761"/>
      <c r="E228" s="761"/>
      <c r="F228" s="761"/>
      <c r="G228" s="761"/>
      <c r="H228" s="761"/>
    </row>
    <row r="229" spans="1:8">
      <c r="A229" s="762" t="s">
        <v>778</v>
      </c>
      <c r="B229" s="761"/>
      <c r="C229" s="761"/>
      <c r="D229" s="761"/>
      <c r="E229" s="761"/>
      <c r="F229" s="761"/>
      <c r="G229" s="761"/>
      <c r="H229" s="761"/>
    </row>
    <row r="230" spans="1:8">
      <c r="A230" s="761"/>
      <c r="B230" s="761"/>
      <c r="C230" s="761"/>
      <c r="D230" s="761"/>
      <c r="E230" s="761"/>
      <c r="F230" s="761"/>
      <c r="G230" s="761"/>
      <c r="H230" s="761"/>
    </row>
    <row r="231" spans="1:8">
      <c r="A231" s="762" t="s">
        <v>771</v>
      </c>
      <c r="B231" s="761"/>
      <c r="C231" s="761"/>
      <c r="D231" s="761"/>
      <c r="E231" s="761"/>
      <c r="F231" s="761"/>
      <c r="G231" s="761"/>
      <c r="H231" s="761"/>
    </row>
    <row r="232" spans="1:8">
      <c r="A232" s="762" t="s">
        <v>772</v>
      </c>
      <c r="B232" s="761"/>
      <c r="C232" s="761"/>
      <c r="D232" s="761"/>
      <c r="E232" s="761"/>
      <c r="F232" s="761"/>
      <c r="G232" s="761"/>
      <c r="H232" s="761"/>
    </row>
    <row r="233" spans="1:8">
      <c r="A233" s="762" t="s">
        <v>773</v>
      </c>
      <c r="B233" s="761"/>
      <c r="C233" s="761"/>
      <c r="D233" s="761"/>
      <c r="E233" s="761"/>
      <c r="F233" s="761"/>
      <c r="G233" s="761"/>
      <c r="H233" s="761"/>
    </row>
    <row r="234" spans="1:8">
      <c r="A234" s="762" t="s">
        <v>774</v>
      </c>
      <c r="B234" s="761"/>
      <c r="C234" s="761"/>
      <c r="D234" s="761"/>
      <c r="E234" s="761"/>
      <c r="F234" s="761"/>
      <c r="G234" s="761"/>
      <c r="H234" s="761"/>
    </row>
    <row r="235" spans="1:8">
      <c r="A235" s="762" t="s">
        <v>775</v>
      </c>
      <c r="B235" s="761"/>
      <c r="C235" s="761"/>
      <c r="D235" s="761"/>
      <c r="E235" s="761"/>
      <c r="F235" s="761"/>
      <c r="G235" s="761"/>
      <c r="H235" s="761"/>
    </row>
    <row r="236" spans="1:8">
      <c r="A236" s="761"/>
      <c r="B236" s="761"/>
      <c r="C236" s="761"/>
      <c r="D236" s="761"/>
      <c r="E236" s="761"/>
      <c r="F236" s="761"/>
      <c r="G236" s="761"/>
      <c r="H236" s="761"/>
    </row>
    <row r="237" spans="1:8">
      <c r="A237" s="762" t="s">
        <v>765</v>
      </c>
      <c r="B237" s="761"/>
      <c r="C237" s="761"/>
      <c r="D237" s="761"/>
      <c r="E237" s="761"/>
      <c r="F237" s="761"/>
      <c r="G237" s="761"/>
      <c r="H237" s="761"/>
    </row>
    <row r="238" spans="1:8">
      <c r="A238" s="762" t="s">
        <v>766</v>
      </c>
      <c r="B238" s="761"/>
      <c r="C238" s="761"/>
      <c r="D238" s="761"/>
      <c r="E238" s="761"/>
      <c r="F238" s="761"/>
      <c r="G238" s="761"/>
      <c r="H238" s="761"/>
    </row>
    <row r="239" spans="1:8">
      <c r="A239" s="762" t="s">
        <v>767</v>
      </c>
      <c r="B239" s="761"/>
      <c r="C239" s="761"/>
      <c r="D239" s="761"/>
      <c r="E239" s="761"/>
      <c r="F239" s="761"/>
      <c r="G239" s="761"/>
      <c r="H239" s="761"/>
    </row>
    <row r="240" spans="1:8">
      <c r="A240" s="762" t="s">
        <v>768</v>
      </c>
      <c r="B240" s="761"/>
      <c r="C240" s="761"/>
      <c r="D240" s="761"/>
      <c r="E240" s="761"/>
      <c r="F240" s="761"/>
      <c r="G240" s="761"/>
      <c r="H240" s="761"/>
    </row>
    <row r="241" spans="1:8">
      <c r="A241" s="762" t="s">
        <v>769</v>
      </c>
      <c r="B241" s="761"/>
      <c r="C241" s="761"/>
      <c r="D241" s="761"/>
      <c r="E241" s="761"/>
      <c r="F241" s="761"/>
      <c r="G241" s="761"/>
      <c r="H241" s="761"/>
    </row>
    <row r="242" spans="1:8">
      <c r="A242" s="762" t="s">
        <v>770</v>
      </c>
      <c r="B242" s="761"/>
      <c r="C242" s="761"/>
      <c r="D242" s="761"/>
      <c r="E242" s="761"/>
      <c r="F242" s="761"/>
      <c r="G242" s="761"/>
      <c r="H242" s="761"/>
    </row>
    <row r="243" spans="1:8">
      <c r="A243" s="761"/>
      <c r="B243" s="761"/>
      <c r="C243" s="761"/>
      <c r="D243" s="761"/>
      <c r="E243" s="761"/>
      <c r="F243" s="761"/>
      <c r="G243" s="761"/>
      <c r="H243" s="761"/>
    </row>
    <row r="244" spans="1:8">
      <c r="A244" s="762" t="s">
        <v>755</v>
      </c>
      <c r="B244" s="761"/>
      <c r="C244" s="761"/>
      <c r="D244" s="761"/>
      <c r="E244" s="761"/>
      <c r="F244" s="761"/>
      <c r="G244" s="761"/>
      <c r="H244" s="761"/>
    </row>
    <row r="245" spans="1:8">
      <c r="A245" s="762" t="s">
        <v>756</v>
      </c>
      <c r="B245" s="761"/>
      <c r="C245" s="761"/>
      <c r="D245" s="761"/>
      <c r="E245" s="761"/>
      <c r="F245" s="761"/>
      <c r="G245" s="761"/>
      <c r="H245" s="761"/>
    </row>
    <row r="246" spans="1:8">
      <c r="A246" s="762" t="s">
        <v>757</v>
      </c>
      <c r="B246" s="761"/>
      <c r="C246" s="761"/>
      <c r="D246" s="761"/>
      <c r="E246" s="761"/>
      <c r="F246" s="761"/>
      <c r="G246" s="761"/>
      <c r="H246" s="761"/>
    </row>
    <row r="247" spans="1:8">
      <c r="A247" s="762" t="s">
        <v>758</v>
      </c>
      <c r="B247" s="761"/>
      <c r="C247" s="761"/>
      <c r="D247" s="761"/>
      <c r="E247" s="761"/>
      <c r="F247" s="761"/>
      <c r="G247" s="761"/>
      <c r="H247" s="761"/>
    </row>
    <row r="248" spans="1:8">
      <c r="A248" s="762" t="s">
        <v>759</v>
      </c>
      <c r="B248" s="761"/>
      <c r="C248" s="761"/>
      <c r="D248" s="761"/>
      <c r="E248" s="761"/>
      <c r="F248" s="761"/>
      <c r="G248" s="761"/>
      <c r="H248" s="761"/>
    </row>
    <row r="249" spans="1:8">
      <c r="A249" s="762" t="s">
        <v>760</v>
      </c>
      <c r="B249" s="761"/>
      <c r="C249" s="761"/>
      <c r="D249" s="761"/>
      <c r="E249" s="761"/>
      <c r="F249" s="761"/>
      <c r="G249" s="761"/>
      <c r="H249" s="761"/>
    </row>
    <row r="250" spans="1:8">
      <c r="A250" s="762" t="s">
        <v>761</v>
      </c>
      <c r="B250" s="761"/>
      <c r="C250" s="761"/>
      <c r="D250" s="761"/>
      <c r="E250" s="761"/>
      <c r="F250" s="761"/>
      <c r="G250" s="761"/>
      <c r="H250" s="761"/>
    </row>
    <row r="251" spans="1:8">
      <c r="A251" s="762" t="s">
        <v>762</v>
      </c>
      <c r="B251" s="761"/>
      <c r="C251" s="761"/>
      <c r="D251" s="761"/>
      <c r="E251" s="761"/>
      <c r="F251" s="761"/>
      <c r="G251" s="761"/>
      <c r="H251" s="761"/>
    </row>
    <row r="252" spans="1:8">
      <c r="A252" s="762" t="s">
        <v>763</v>
      </c>
      <c r="B252" s="761"/>
      <c r="C252" s="761"/>
      <c r="D252" s="761"/>
      <c r="E252" s="761"/>
      <c r="F252" s="761"/>
      <c r="G252" s="761"/>
      <c r="H252" s="761"/>
    </row>
    <row r="253" spans="1:8">
      <c r="A253" s="762" t="s">
        <v>764</v>
      </c>
      <c r="B253" s="761"/>
      <c r="C253" s="761"/>
      <c r="D253" s="761"/>
      <c r="E253" s="761"/>
      <c r="F253" s="761"/>
      <c r="G253" s="761"/>
      <c r="H253" s="761"/>
    </row>
    <row r="254" spans="1:8">
      <c r="A254" s="761"/>
      <c r="B254" s="761"/>
      <c r="C254" s="761"/>
      <c r="D254" s="761"/>
      <c r="E254" s="761"/>
      <c r="F254" s="761"/>
      <c r="G254" s="761"/>
      <c r="H254" s="761"/>
    </row>
    <row r="255" spans="1:8">
      <c r="A255" s="762" t="s">
        <v>753</v>
      </c>
      <c r="B255" s="761"/>
      <c r="C255" s="761"/>
      <c r="D255" s="761"/>
      <c r="E255" s="761"/>
      <c r="F255" s="761"/>
      <c r="G255" s="761"/>
      <c r="H255" s="761"/>
    </row>
    <row r="256" spans="1:8">
      <c r="A256" s="762" t="s">
        <v>754</v>
      </c>
      <c r="B256" s="761"/>
      <c r="C256" s="761"/>
      <c r="D256" s="761"/>
      <c r="E256" s="761"/>
      <c r="F256" s="761"/>
      <c r="G256" s="761"/>
      <c r="H256" s="761"/>
    </row>
    <row r="257" spans="1:8">
      <c r="A257" s="761"/>
      <c r="B257" s="761"/>
      <c r="C257" s="761"/>
      <c r="D257" s="761"/>
      <c r="E257" s="761"/>
      <c r="F257" s="761"/>
      <c r="G257" s="761"/>
      <c r="H257" s="761"/>
    </row>
    <row r="258" spans="1:8">
      <c r="A258" s="762" t="s">
        <v>737</v>
      </c>
      <c r="B258" s="761"/>
      <c r="C258" s="761"/>
      <c r="D258" s="761"/>
      <c r="E258" s="761"/>
      <c r="F258" s="761"/>
      <c r="G258" s="761"/>
      <c r="H258" s="761"/>
    </row>
    <row r="259" spans="1:8">
      <c r="A259" s="762" t="s">
        <v>738</v>
      </c>
      <c r="B259" s="761"/>
      <c r="C259" s="761"/>
      <c r="D259" s="761"/>
      <c r="E259" s="761"/>
      <c r="F259" s="761"/>
      <c r="G259" s="761"/>
      <c r="H259" s="761"/>
    </row>
    <row r="260" spans="1:8">
      <c r="A260" s="762" t="s">
        <v>739</v>
      </c>
      <c r="B260" s="761"/>
      <c r="C260" s="761"/>
      <c r="D260" s="761"/>
      <c r="E260" s="761"/>
      <c r="F260" s="761"/>
      <c r="G260" s="761"/>
      <c r="H260" s="761"/>
    </row>
    <row r="261" spans="1:8">
      <c r="A261" s="762" t="s">
        <v>740</v>
      </c>
      <c r="B261" s="761"/>
      <c r="C261" s="761"/>
      <c r="D261" s="761"/>
      <c r="E261" s="761"/>
      <c r="F261" s="761"/>
      <c r="G261" s="761"/>
      <c r="H261" s="761"/>
    </row>
    <row r="262" spans="1:8">
      <c r="A262" s="762" t="s">
        <v>741</v>
      </c>
      <c r="B262" s="761"/>
      <c r="C262" s="761"/>
      <c r="D262" s="761"/>
      <c r="E262" s="761"/>
      <c r="F262" s="761"/>
      <c r="G262" s="761"/>
      <c r="H262" s="761"/>
    </row>
    <row r="263" spans="1:8">
      <c r="A263" s="762" t="s">
        <v>742</v>
      </c>
      <c r="B263" s="761"/>
      <c r="C263" s="761"/>
      <c r="D263" s="761"/>
      <c r="E263" s="761"/>
      <c r="F263" s="761"/>
      <c r="G263" s="761"/>
      <c r="H263" s="761"/>
    </row>
    <row r="264" spans="1:8">
      <c r="A264" s="762" t="s">
        <v>743</v>
      </c>
      <c r="B264" s="761"/>
      <c r="C264" s="761"/>
      <c r="D264" s="761"/>
      <c r="E264" s="761"/>
      <c r="F264" s="761"/>
      <c r="G264" s="761"/>
      <c r="H264" s="761"/>
    </row>
    <row r="265" spans="1:8">
      <c r="A265" s="762" t="s">
        <v>744</v>
      </c>
      <c r="B265" s="761"/>
      <c r="C265" s="761"/>
      <c r="D265" s="761"/>
      <c r="E265" s="761"/>
      <c r="F265" s="761"/>
      <c r="G265" s="761"/>
      <c r="H265" s="761"/>
    </row>
    <row r="266" spans="1:8">
      <c r="A266" s="762" t="s">
        <v>745</v>
      </c>
      <c r="B266" s="761"/>
      <c r="C266" s="761"/>
      <c r="D266" s="761"/>
      <c r="E266" s="761"/>
      <c r="F266" s="761"/>
      <c r="G266" s="761"/>
      <c r="H266" s="761"/>
    </row>
    <row r="267" spans="1:8">
      <c r="A267" s="762" t="s">
        <v>746</v>
      </c>
      <c r="B267" s="761"/>
      <c r="C267" s="761"/>
      <c r="D267" s="761"/>
      <c r="E267" s="761"/>
      <c r="F267" s="761"/>
      <c r="G267" s="761"/>
      <c r="H267" s="761"/>
    </row>
    <row r="268" spans="1:8">
      <c r="A268" s="762" t="s">
        <v>747</v>
      </c>
      <c r="B268" s="761"/>
      <c r="C268" s="761"/>
      <c r="D268" s="761"/>
      <c r="E268" s="761"/>
      <c r="F268" s="761"/>
      <c r="G268" s="761"/>
      <c r="H268" s="761"/>
    </row>
    <row r="269" spans="1:8">
      <c r="A269" s="762" t="s">
        <v>748</v>
      </c>
      <c r="B269" s="761"/>
      <c r="C269" s="761"/>
      <c r="D269" s="761"/>
      <c r="E269" s="761"/>
      <c r="F269" s="761"/>
      <c r="G269" s="761"/>
      <c r="H269" s="761"/>
    </row>
    <row r="270" spans="1:8">
      <c r="A270" s="762" t="s">
        <v>749</v>
      </c>
      <c r="B270" s="761"/>
      <c r="C270" s="761"/>
      <c r="D270" s="761"/>
      <c r="E270" s="761"/>
      <c r="F270" s="761"/>
      <c r="G270" s="761"/>
      <c r="H270" s="761"/>
    </row>
    <row r="271" spans="1:8">
      <c r="A271" s="762" t="s">
        <v>750</v>
      </c>
      <c r="B271" s="761"/>
      <c r="C271" s="761"/>
      <c r="D271" s="761"/>
      <c r="E271" s="761"/>
      <c r="F271" s="761"/>
      <c r="G271" s="761"/>
      <c r="H271" s="761"/>
    </row>
    <row r="272" spans="1:8">
      <c r="A272" s="762" t="s">
        <v>751</v>
      </c>
      <c r="B272" s="761"/>
      <c r="C272" s="761"/>
      <c r="D272" s="761"/>
      <c r="E272" s="761"/>
      <c r="F272" s="761"/>
      <c r="G272" s="761"/>
      <c r="H272" s="761"/>
    </row>
    <row r="273" spans="1:8">
      <c r="A273" s="762" t="s">
        <v>752</v>
      </c>
      <c r="B273" s="761"/>
      <c r="C273" s="761"/>
      <c r="D273" s="761"/>
      <c r="E273" s="761"/>
      <c r="F273" s="761"/>
      <c r="G273" s="761"/>
      <c r="H273" s="761"/>
    </row>
    <row r="274" spans="1:8">
      <c r="A274" s="761"/>
      <c r="B274" s="761"/>
      <c r="C274" s="761"/>
      <c r="D274" s="761"/>
      <c r="E274" s="761"/>
      <c r="F274" s="761"/>
      <c r="G274" s="761"/>
      <c r="H274" s="761"/>
    </row>
    <row r="275" spans="1:8">
      <c r="A275" s="762" t="s">
        <v>730</v>
      </c>
      <c r="B275" s="761"/>
      <c r="C275" s="761"/>
      <c r="D275" s="761"/>
      <c r="E275" s="761"/>
      <c r="F275" s="761"/>
      <c r="G275" s="761"/>
      <c r="H275" s="761"/>
    </row>
    <row r="276" spans="1:8">
      <c r="A276" s="762" t="s">
        <v>731</v>
      </c>
      <c r="B276" s="761"/>
      <c r="C276" s="761"/>
      <c r="D276" s="761"/>
      <c r="E276" s="761"/>
      <c r="F276" s="761"/>
      <c r="G276" s="761"/>
      <c r="H276" s="761"/>
    </row>
    <row r="277" spans="1:8">
      <c r="A277" s="762" t="s">
        <v>732</v>
      </c>
      <c r="B277" s="761"/>
      <c r="C277" s="761"/>
      <c r="D277" s="761"/>
      <c r="E277" s="761"/>
      <c r="F277" s="761"/>
      <c r="G277" s="761"/>
      <c r="H277" s="761"/>
    </row>
    <row r="278" spans="1:8">
      <c r="A278" s="762" t="s">
        <v>733</v>
      </c>
      <c r="B278" s="761"/>
      <c r="C278" s="761"/>
      <c r="D278" s="761"/>
      <c r="E278" s="761"/>
      <c r="F278" s="761"/>
      <c r="G278" s="761"/>
      <c r="H278" s="761"/>
    </row>
    <row r="279" spans="1:8">
      <c r="A279" s="762" t="s">
        <v>734</v>
      </c>
      <c r="B279" s="761"/>
      <c r="C279" s="761"/>
      <c r="D279" s="761"/>
      <c r="E279" s="761"/>
      <c r="F279" s="761"/>
      <c r="G279" s="761"/>
      <c r="H279" s="761"/>
    </row>
    <row r="280" spans="1:8">
      <c r="A280" s="762" t="s">
        <v>735</v>
      </c>
      <c r="B280" s="761"/>
      <c r="C280" s="761"/>
      <c r="D280" s="761"/>
      <c r="E280" s="761"/>
      <c r="F280" s="761"/>
      <c r="G280" s="761"/>
      <c r="H280" s="761"/>
    </row>
    <row r="281" spans="1:8">
      <c r="A281" s="762" t="s">
        <v>736</v>
      </c>
      <c r="B281" s="761"/>
      <c r="C281" s="761"/>
      <c r="D281" s="761"/>
      <c r="E281" s="761"/>
      <c r="F281" s="761"/>
      <c r="G281" s="761"/>
      <c r="H281" s="761"/>
    </row>
    <row r="282" spans="1:8">
      <c r="A282" s="761"/>
      <c r="B282" s="761"/>
      <c r="C282" s="761"/>
      <c r="D282" s="761"/>
      <c r="E282" s="761"/>
      <c r="F282" s="761"/>
      <c r="G282" s="761"/>
      <c r="H282" s="761"/>
    </row>
    <row r="283" spans="1:8">
      <c r="A283" s="762" t="s">
        <v>721</v>
      </c>
      <c r="B283" s="761"/>
      <c r="C283" s="761"/>
      <c r="D283" s="761"/>
      <c r="E283" s="761"/>
      <c r="F283" s="761"/>
      <c r="G283" s="761"/>
      <c r="H283" s="761"/>
    </row>
    <row r="284" spans="1:8">
      <c r="A284" s="762" t="s">
        <v>722</v>
      </c>
      <c r="B284" s="761"/>
      <c r="C284" s="761"/>
      <c r="D284" s="761"/>
      <c r="E284" s="761"/>
      <c r="F284" s="761"/>
      <c r="G284" s="761"/>
      <c r="H284" s="761"/>
    </row>
    <row r="285" spans="1:8">
      <c r="A285" s="762" t="s">
        <v>723</v>
      </c>
      <c r="B285" s="761"/>
      <c r="C285" s="761"/>
      <c r="D285" s="761"/>
      <c r="E285" s="761"/>
      <c r="F285" s="761"/>
      <c r="G285" s="761"/>
      <c r="H285" s="761"/>
    </row>
    <row r="286" spans="1:8">
      <c r="A286" s="762" t="s">
        <v>724</v>
      </c>
      <c r="B286" s="761"/>
      <c r="C286" s="761"/>
      <c r="D286" s="761"/>
      <c r="E286" s="761"/>
      <c r="F286" s="761"/>
      <c r="G286" s="761"/>
      <c r="H286" s="761"/>
    </row>
    <row r="287" spans="1:8">
      <c r="A287" s="762" t="s">
        <v>725</v>
      </c>
      <c r="B287" s="761"/>
      <c r="C287" s="761"/>
      <c r="D287" s="761"/>
      <c r="E287" s="761"/>
      <c r="F287" s="761"/>
      <c r="G287" s="761"/>
      <c r="H287" s="761"/>
    </row>
    <row r="288" spans="1:8">
      <c r="A288" s="762" t="s">
        <v>726</v>
      </c>
      <c r="B288" s="761"/>
      <c r="C288" s="761"/>
      <c r="D288" s="761"/>
      <c r="E288" s="761"/>
      <c r="F288" s="761"/>
      <c r="G288" s="761"/>
      <c r="H288" s="761"/>
    </row>
    <row r="289" spans="1:8">
      <c r="A289" s="762" t="s">
        <v>727</v>
      </c>
      <c r="B289" s="761"/>
      <c r="C289" s="761"/>
      <c r="D289" s="761"/>
      <c r="E289" s="761"/>
      <c r="F289" s="761"/>
      <c r="G289" s="761"/>
      <c r="H289" s="761"/>
    </row>
    <row r="290" spans="1:8">
      <c r="A290" s="762" t="s">
        <v>728</v>
      </c>
      <c r="B290" s="761"/>
      <c r="C290" s="761"/>
      <c r="D290" s="761"/>
      <c r="E290" s="761"/>
      <c r="F290" s="761"/>
      <c r="G290" s="761"/>
      <c r="H290" s="761"/>
    </row>
    <row r="291" spans="1:8">
      <c r="A291" s="762" t="s">
        <v>729</v>
      </c>
      <c r="B291" s="761"/>
      <c r="C291" s="761"/>
      <c r="D291" s="761"/>
      <c r="E291" s="761"/>
      <c r="F291" s="761"/>
      <c r="G291" s="761"/>
      <c r="H291" s="761"/>
    </row>
    <row r="292" spans="1:8">
      <c r="A292" s="761"/>
      <c r="B292" s="761"/>
      <c r="C292" s="761"/>
      <c r="D292" s="761"/>
      <c r="E292" s="761"/>
      <c r="F292" s="761"/>
      <c r="G292" s="761"/>
      <c r="H292" s="761"/>
    </row>
    <row r="293" spans="1:8">
      <c r="A293" s="762" t="s">
        <v>714</v>
      </c>
      <c r="B293" s="761"/>
      <c r="C293" s="761"/>
      <c r="D293" s="761"/>
      <c r="E293" s="761"/>
      <c r="F293" s="761"/>
      <c r="G293" s="761"/>
      <c r="H293" s="761"/>
    </row>
    <row r="294" spans="1:8">
      <c r="A294" s="762" t="s">
        <v>715</v>
      </c>
      <c r="B294" s="761"/>
      <c r="C294" s="761"/>
      <c r="D294" s="761"/>
      <c r="E294" s="761"/>
      <c r="F294" s="761"/>
      <c r="G294" s="761"/>
      <c r="H294" s="761"/>
    </row>
    <row r="295" spans="1:8">
      <c r="A295" s="762" t="s">
        <v>716</v>
      </c>
      <c r="B295" s="761"/>
      <c r="C295" s="761"/>
      <c r="D295" s="761"/>
      <c r="E295" s="761"/>
      <c r="F295" s="761"/>
      <c r="G295" s="761"/>
      <c r="H295" s="761"/>
    </row>
    <row r="296" spans="1:8">
      <c r="A296" s="762" t="s">
        <v>717</v>
      </c>
      <c r="B296" s="761"/>
      <c r="C296" s="761"/>
      <c r="D296" s="761"/>
      <c r="E296" s="761"/>
      <c r="F296" s="761"/>
      <c r="G296" s="761"/>
      <c r="H296" s="761"/>
    </row>
    <row r="297" spans="1:8">
      <c r="A297" s="762" t="s">
        <v>718</v>
      </c>
      <c r="B297" s="761"/>
      <c r="C297" s="761"/>
      <c r="D297" s="761"/>
      <c r="E297" s="761"/>
      <c r="F297" s="761"/>
      <c r="G297" s="761"/>
      <c r="H297" s="761"/>
    </row>
    <row r="298" spans="1:8">
      <c r="A298" s="762" t="s">
        <v>719</v>
      </c>
      <c r="B298" s="761"/>
      <c r="C298" s="761"/>
      <c r="D298" s="761"/>
      <c r="E298" s="761"/>
      <c r="F298" s="761"/>
      <c r="G298" s="761"/>
      <c r="H298" s="761"/>
    </row>
    <row r="299" spans="1:8">
      <c r="A299" s="762" t="s">
        <v>720</v>
      </c>
      <c r="B299" s="761"/>
      <c r="C299" s="761"/>
      <c r="D299" s="761"/>
      <c r="E299" s="761"/>
      <c r="F299" s="761"/>
      <c r="G299" s="761"/>
      <c r="H299" s="761"/>
    </row>
    <row r="300" spans="1:8">
      <c r="A300" s="761"/>
      <c r="B300" s="761"/>
      <c r="C300" s="761"/>
      <c r="D300" s="761"/>
      <c r="E300" s="761"/>
      <c r="F300" s="761"/>
      <c r="G300" s="761"/>
      <c r="H300" s="761"/>
    </row>
    <row r="301" spans="1:8">
      <c r="A301" s="762" t="s">
        <v>711</v>
      </c>
      <c r="B301" s="761"/>
      <c r="C301" s="761"/>
      <c r="D301" s="761"/>
      <c r="E301" s="761"/>
      <c r="F301" s="761"/>
      <c r="G301" s="761"/>
      <c r="H301" s="761"/>
    </row>
    <row r="302" spans="1:8">
      <c r="A302" s="762" t="s">
        <v>712</v>
      </c>
      <c r="B302" s="761"/>
      <c r="C302" s="761"/>
      <c r="D302" s="761"/>
      <c r="E302" s="761"/>
      <c r="F302" s="761"/>
      <c r="G302" s="761"/>
      <c r="H302" s="761"/>
    </row>
    <row r="303" spans="1:8">
      <c r="A303" s="762" t="s">
        <v>713</v>
      </c>
      <c r="B303" s="761"/>
      <c r="C303" s="761"/>
      <c r="D303" s="761"/>
      <c r="E303" s="761"/>
      <c r="F303" s="761"/>
      <c r="G303" s="761"/>
      <c r="H303" s="761"/>
    </row>
    <row r="304" spans="1:8">
      <c r="A304" s="761"/>
      <c r="B304" s="761"/>
      <c r="C304" s="761"/>
      <c r="D304" s="761"/>
      <c r="E304" s="761"/>
      <c r="F304" s="761"/>
      <c r="G304" s="761"/>
      <c r="H304" s="761"/>
    </row>
    <row r="305" spans="1:8">
      <c r="A305" s="762" t="s">
        <v>709</v>
      </c>
      <c r="B305" s="761"/>
      <c r="C305" s="761"/>
      <c r="D305" s="761"/>
      <c r="E305" s="761"/>
      <c r="F305" s="761"/>
      <c r="G305" s="761"/>
      <c r="H305" s="761"/>
    </row>
    <row r="306" spans="1:8">
      <c r="A306" s="762" t="s">
        <v>710</v>
      </c>
      <c r="B306" s="761"/>
      <c r="C306" s="761"/>
      <c r="D306" s="761"/>
      <c r="E306" s="761"/>
      <c r="F306" s="761"/>
      <c r="G306" s="761"/>
      <c r="H306" s="761"/>
    </row>
    <row r="307" spans="1:8">
      <c r="A307" s="761"/>
      <c r="B307" s="761"/>
      <c r="C307" s="761"/>
      <c r="D307" s="761"/>
      <c r="E307" s="761"/>
      <c r="F307" s="761"/>
      <c r="G307" s="761"/>
      <c r="H307" s="761"/>
    </row>
    <row r="308" spans="1:8">
      <c r="A308" s="762" t="s">
        <v>696</v>
      </c>
      <c r="B308" s="761"/>
      <c r="C308" s="761"/>
      <c r="D308" s="761"/>
      <c r="E308" s="761"/>
      <c r="F308" s="761"/>
      <c r="G308" s="761"/>
      <c r="H308" s="761"/>
    </row>
    <row r="309" spans="1:8">
      <c r="A309" s="762" t="s">
        <v>697</v>
      </c>
      <c r="B309" s="761"/>
      <c r="C309" s="761"/>
      <c r="D309" s="761"/>
      <c r="E309" s="761"/>
      <c r="F309" s="761"/>
      <c r="G309" s="761"/>
      <c r="H309" s="761"/>
    </row>
    <row r="310" spans="1:8">
      <c r="A310" s="762" t="s">
        <v>698</v>
      </c>
      <c r="B310" s="761"/>
      <c r="C310" s="761"/>
      <c r="D310" s="761"/>
      <c r="E310" s="761"/>
      <c r="F310" s="761"/>
      <c r="G310" s="761"/>
      <c r="H310" s="761"/>
    </row>
    <row r="311" spans="1:8">
      <c r="A311" s="762" t="s">
        <v>699</v>
      </c>
      <c r="B311" s="761"/>
      <c r="C311" s="761"/>
      <c r="D311" s="761"/>
      <c r="E311" s="761"/>
      <c r="F311" s="761"/>
      <c r="G311" s="761"/>
      <c r="H311" s="761"/>
    </row>
    <row r="312" spans="1:8">
      <c r="A312" s="762" t="s">
        <v>700</v>
      </c>
      <c r="B312" s="761"/>
      <c r="C312" s="761"/>
      <c r="D312" s="761"/>
      <c r="E312" s="761"/>
      <c r="F312" s="761"/>
      <c r="G312" s="761"/>
      <c r="H312" s="761"/>
    </row>
    <row r="313" spans="1:8">
      <c r="A313" s="762" t="s">
        <v>701</v>
      </c>
      <c r="B313" s="761"/>
      <c r="C313" s="761"/>
      <c r="D313" s="761"/>
      <c r="E313" s="761"/>
      <c r="F313" s="761"/>
      <c r="G313" s="761"/>
      <c r="H313" s="761"/>
    </row>
    <row r="314" spans="1:8">
      <c r="A314" s="762" t="s">
        <v>702</v>
      </c>
      <c r="B314" s="761"/>
      <c r="C314" s="761"/>
      <c r="D314" s="761"/>
      <c r="E314" s="761"/>
      <c r="F314" s="761"/>
      <c r="G314" s="761"/>
      <c r="H314" s="761"/>
    </row>
    <row r="315" spans="1:8">
      <c r="A315" s="762" t="s">
        <v>703</v>
      </c>
      <c r="B315" s="761"/>
      <c r="C315" s="761"/>
      <c r="D315" s="761"/>
      <c r="E315" s="761"/>
      <c r="F315" s="761"/>
      <c r="G315" s="761"/>
      <c r="H315" s="761"/>
    </row>
    <row r="316" spans="1:8">
      <c r="A316" s="762" t="s">
        <v>704</v>
      </c>
      <c r="B316" s="761"/>
      <c r="C316" s="761"/>
      <c r="D316" s="761"/>
      <c r="E316" s="761"/>
      <c r="F316" s="761"/>
      <c r="G316" s="761"/>
      <c r="H316" s="761"/>
    </row>
    <row r="317" spans="1:8">
      <c r="A317" s="762" t="s">
        <v>705</v>
      </c>
      <c r="B317" s="761"/>
      <c r="C317" s="761"/>
      <c r="D317" s="761"/>
      <c r="E317" s="761"/>
      <c r="F317" s="761"/>
      <c r="G317" s="761"/>
      <c r="H317" s="761"/>
    </row>
    <row r="318" spans="1:8">
      <c r="A318" s="762" t="s">
        <v>706</v>
      </c>
      <c r="B318" s="761"/>
      <c r="C318" s="761"/>
      <c r="D318" s="761"/>
      <c r="E318" s="761"/>
      <c r="F318" s="761"/>
      <c r="G318" s="761"/>
      <c r="H318" s="761"/>
    </row>
    <row r="319" spans="1:8">
      <c r="A319" s="762" t="s">
        <v>707</v>
      </c>
      <c r="B319" s="761"/>
      <c r="C319" s="761"/>
      <c r="D319" s="761"/>
      <c r="E319" s="761"/>
      <c r="F319" s="761"/>
      <c r="G319" s="761"/>
      <c r="H319" s="761"/>
    </row>
    <row r="320" spans="1:8">
      <c r="A320" s="762" t="s">
        <v>708</v>
      </c>
      <c r="B320" s="761"/>
      <c r="C320" s="761"/>
      <c r="D320" s="761"/>
      <c r="E320" s="761"/>
      <c r="F320" s="761"/>
      <c r="G320" s="761"/>
      <c r="H320" s="761"/>
    </row>
    <row r="321" spans="1:8">
      <c r="A321" s="761"/>
      <c r="B321" s="761"/>
      <c r="C321" s="761"/>
      <c r="D321" s="761"/>
      <c r="E321" s="761"/>
      <c r="F321" s="761"/>
      <c r="G321" s="761"/>
      <c r="H321" s="761"/>
    </row>
    <row r="322" spans="1:8">
      <c r="A322" s="762" t="s">
        <v>688</v>
      </c>
      <c r="B322" s="761"/>
      <c r="C322" s="761"/>
      <c r="D322" s="761"/>
      <c r="E322" s="761"/>
      <c r="F322" s="761"/>
      <c r="G322" s="761"/>
      <c r="H322" s="761"/>
    </row>
    <row r="323" spans="1:8">
      <c r="A323" s="762" t="s">
        <v>689</v>
      </c>
      <c r="B323" s="761"/>
      <c r="C323" s="761"/>
      <c r="D323" s="761"/>
      <c r="E323" s="761"/>
      <c r="F323" s="761"/>
      <c r="G323" s="761"/>
      <c r="H323" s="761"/>
    </row>
    <row r="324" spans="1:8">
      <c r="A324" s="762" t="s">
        <v>690</v>
      </c>
      <c r="B324" s="761"/>
      <c r="C324" s="761"/>
      <c r="D324" s="761"/>
      <c r="E324" s="761"/>
      <c r="F324" s="761"/>
      <c r="G324" s="761"/>
      <c r="H324" s="761"/>
    </row>
    <row r="325" spans="1:8">
      <c r="A325" s="762" t="s">
        <v>691</v>
      </c>
      <c r="B325" s="761"/>
      <c r="C325" s="761"/>
      <c r="D325" s="761"/>
      <c r="E325" s="761"/>
      <c r="F325" s="761"/>
      <c r="G325" s="761"/>
      <c r="H325" s="761"/>
    </row>
    <row r="326" spans="1:8">
      <c r="A326" s="762" t="s">
        <v>692</v>
      </c>
      <c r="B326" s="761"/>
      <c r="C326" s="761"/>
      <c r="D326" s="761"/>
      <c r="E326" s="761"/>
      <c r="F326" s="761"/>
      <c r="G326" s="761"/>
      <c r="H326" s="761"/>
    </row>
    <row r="327" spans="1:8">
      <c r="A327" s="762" t="s">
        <v>693</v>
      </c>
      <c r="B327" s="761"/>
      <c r="C327" s="761"/>
      <c r="D327" s="761"/>
      <c r="E327" s="761"/>
      <c r="F327" s="761"/>
      <c r="G327" s="761"/>
      <c r="H327" s="761"/>
    </row>
    <row r="328" spans="1:8">
      <c r="A328" s="762" t="s">
        <v>694</v>
      </c>
      <c r="B328" s="761"/>
      <c r="C328" s="761"/>
      <c r="D328" s="761"/>
      <c r="E328" s="761"/>
      <c r="F328" s="761"/>
      <c r="G328" s="761"/>
      <c r="H328" s="761"/>
    </row>
    <row r="329" spans="1:8">
      <c r="A329" s="762" t="s">
        <v>695</v>
      </c>
      <c r="B329" s="761"/>
      <c r="C329" s="761"/>
      <c r="D329" s="761"/>
      <c r="E329" s="761"/>
      <c r="F329" s="761"/>
      <c r="G329" s="761"/>
      <c r="H329" s="761"/>
    </row>
    <row r="330" spans="1:8">
      <c r="A330" s="761"/>
      <c r="B330" s="761"/>
      <c r="C330" s="761"/>
      <c r="D330" s="761"/>
      <c r="E330" s="761"/>
      <c r="F330" s="761"/>
      <c r="G330" s="761"/>
      <c r="H330" s="761"/>
    </row>
    <row r="331" spans="1:8">
      <c r="A331" s="762" t="s">
        <v>653</v>
      </c>
      <c r="B331" s="761"/>
      <c r="C331" s="761"/>
      <c r="D331" s="761"/>
      <c r="E331" s="761"/>
      <c r="F331" s="761"/>
      <c r="G331" s="761"/>
      <c r="H331" s="761"/>
    </row>
    <row r="332" spans="1:8">
      <c r="A332" s="762" t="s">
        <v>654</v>
      </c>
      <c r="B332" s="761"/>
      <c r="C332" s="761"/>
      <c r="D332" s="761"/>
      <c r="E332" s="761"/>
      <c r="F332" s="761"/>
      <c r="G332" s="761"/>
      <c r="H332" s="761"/>
    </row>
    <row r="333" spans="1:8">
      <c r="A333" s="762" t="s">
        <v>655</v>
      </c>
      <c r="B333" s="761"/>
      <c r="C333" s="761"/>
      <c r="D333" s="761"/>
      <c r="E333" s="761"/>
      <c r="F333" s="761"/>
      <c r="G333" s="761"/>
      <c r="H333" s="761"/>
    </row>
    <row r="334" spans="1:8">
      <c r="A334" s="762" t="s">
        <v>656</v>
      </c>
      <c r="B334" s="761"/>
      <c r="C334" s="761"/>
      <c r="D334" s="761"/>
      <c r="E334" s="761"/>
      <c r="F334" s="761"/>
      <c r="G334" s="761"/>
      <c r="H334" s="761"/>
    </row>
    <row r="335" spans="1:8">
      <c r="A335" s="762" t="s">
        <v>657</v>
      </c>
      <c r="B335" s="761"/>
      <c r="C335" s="761"/>
      <c r="D335" s="761"/>
      <c r="E335" s="761"/>
      <c r="F335" s="761"/>
      <c r="G335" s="761"/>
      <c r="H335" s="761"/>
    </row>
    <row r="336" spans="1:8">
      <c r="A336" s="762" t="s">
        <v>658</v>
      </c>
      <c r="B336" s="761"/>
      <c r="C336" s="761"/>
      <c r="D336" s="761"/>
      <c r="E336" s="761"/>
      <c r="F336" s="761"/>
      <c r="G336" s="761"/>
      <c r="H336" s="761"/>
    </row>
    <row r="337" spans="1:8">
      <c r="A337" s="762" t="s">
        <v>659</v>
      </c>
      <c r="B337" s="761"/>
      <c r="C337" s="761"/>
      <c r="D337" s="761"/>
      <c r="E337" s="761"/>
      <c r="F337" s="761"/>
      <c r="G337" s="761"/>
      <c r="H337" s="761"/>
    </row>
    <row r="338" spans="1:8">
      <c r="A338" s="762" t="s">
        <v>660</v>
      </c>
      <c r="B338" s="761"/>
      <c r="C338" s="761"/>
      <c r="D338" s="761"/>
      <c r="E338" s="761"/>
      <c r="F338" s="761"/>
      <c r="G338" s="761"/>
      <c r="H338" s="761"/>
    </row>
    <row r="339" spans="1:8">
      <c r="A339" s="762" t="s">
        <v>661</v>
      </c>
      <c r="B339" s="761"/>
      <c r="C339" s="761"/>
      <c r="D339" s="761"/>
      <c r="E339" s="761"/>
      <c r="F339" s="761"/>
      <c r="G339" s="761"/>
      <c r="H339" s="761"/>
    </row>
    <row r="340" spans="1:8">
      <c r="A340" s="762" t="s">
        <v>662</v>
      </c>
      <c r="B340" s="761"/>
      <c r="C340" s="761"/>
      <c r="D340" s="761"/>
      <c r="E340" s="761"/>
      <c r="F340" s="761"/>
      <c r="G340" s="761"/>
      <c r="H340" s="761"/>
    </row>
    <row r="341" spans="1:8">
      <c r="A341" s="762" t="s">
        <v>663</v>
      </c>
      <c r="B341" s="761"/>
      <c r="C341" s="761"/>
      <c r="D341" s="761"/>
      <c r="E341" s="761"/>
      <c r="F341" s="761"/>
      <c r="G341" s="761"/>
      <c r="H341" s="761"/>
    </row>
    <row r="342" spans="1:8">
      <c r="A342" s="762" t="s">
        <v>664</v>
      </c>
      <c r="B342" s="761"/>
      <c r="C342" s="761"/>
      <c r="D342" s="761"/>
      <c r="E342" s="761"/>
      <c r="F342" s="761"/>
      <c r="G342" s="761"/>
      <c r="H342" s="761"/>
    </row>
    <row r="343" spans="1:8">
      <c r="A343" s="762" t="s">
        <v>665</v>
      </c>
      <c r="B343" s="761"/>
      <c r="C343" s="761"/>
      <c r="D343" s="761"/>
      <c r="E343" s="761"/>
      <c r="F343" s="761"/>
      <c r="G343" s="761"/>
      <c r="H343" s="761"/>
    </row>
    <row r="344" spans="1:8">
      <c r="A344" s="762" t="s">
        <v>666</v>
      </c>
      <c r="B344" s="761"/>
      <c r="C344" s="761"/>
      <c r="D344" s="761"/>
      <c r="E344" s="761"/>
      <c r="F344" s="761"/>
      <c r="G344" s="761"/>
      <c r="H344" s="761"/>
    </row>
    <row r="345" spans="1:8">
      <c r="A345" s="762" t="s">
        <v>667</v>
      </c>
      <c r="B345" s="761"/>
      <c r="C345" s="761"/>
      <c r="D345" s="761"/>
      <c r="E345" s="761"/>
      <c r="F345" s="761"/>
      <c r="G345" s="761"/>
      <c r="H345" s="761"/>
    </row>
    <row r="346" spans="1:8">
      <c r="A346" s="762" t="s">
        <v>668</v>
      </c>
      <c r="B346" s="761"/>
      <c r="C346" s="761"/>
      <c r="D346" s="761"/>
      <c r="E346" s="761"/>
      <c r="F346" s="761"/>
      <c r="G346" s="761"/>
      <c r="H346" s="761"/>
    </row>
    <row r="347" spans="1:8">
      <c r="A347" s="762" t="s">
        <v>669</v>
      </c>
      <c r="B347" s="761"/>
      <c r="C347" s="761"/>
      <c r="D347" s="761"/>
      <c r="E347" s="761"/>
      <c r="F347" s="761"/>
      <c r="G347" s="761"/>
      <c r="H347" s="761"/>
    </row>
    <row r="348" spans="1:8">
      <c r="A348" s="762" t="s">
        <v>670</v>
      </c>
      <c r="B348" s="761"/>
      <c r="C348" s="761"/>
      <c r="D348" s="761"/>
      <c r="E348" s="761"/>
      <c r="F348" s="761"/>
      <c r="G348" s="761"/>
      <c r="H348" s="761"/>
    </row>
    <row r="349" spans="1:8">
      <c r="A349" s="762" t="s">
        <v>671</v>
      </c>
      <c r="B349" s="761"/>
      <c r="C349" s="761"/>
      <c r="D349" s="761"/>
      <c r="E349" s="761"/>
      <c r="F349" s="761"/>
      <c r="G349" s="761"/>
      <c r="H349" s="761"/>
    </row>
    <row r="350" spans="1:8">
      <c r="A350" s="762" t="s">
        <v>672</v>
      </c>
      <c r="B350" s="761"/>
      <c r="C350" s="761"/>
      <c r="D350" s="761"/>
      <c r="E350" s="761"/>
      <c r="F350" s="761"/>
      <c r="G350" s="761"/>
      <c r="H350" s="761"/>
    </row>
    <row r="351" spans="1:8">
      <c r="A351" s="762" t="s">
        <v>673</v>
      </c>
      <c r="B351" s="761"/>
      <c r="C351" s="761"/>
      <c r="D351" s="761"/>
      <c r="E351" s="761"/>
      <c r="F351" s="761"/>
      <c r="G351" s="761"/>
      <c r="H351" s="761"/>
    </row>
    <row r="352" spans="1:8">
      <c r="A352" s="762" t="s">
        <v>674</v>
      </c>
      <c r="B352" s="761"/>
      <c r="C352" s="761"/>
      <c r="D352" s="761"/>
      <c r="E352" s="761"/>
      <c r="F352" s="761"/>
      <c r="G352" s="761"/>
      <c r="H352" s="761"/>
    </row>
    <row r="353" spans="1:8">
      <c r="A353" s="762" t="s">
        <v>675</v>
      </c>
      <c r="B353" s="761"/>
      <c r="C353" s="761"/>
      <c r="D353" s="761"/>
      <c r="E353" s="761"/>
      <c r="F353" s="761"/>
      <c r="G353" s="761"/>
      <c r="H353" s="761"/>
    </row>
    <row r="354" spans="1:8">
      <c r="A354" s="762" t="s">
        <v>676</v>
      </c>
      <c r="B354" s="761"/>
      <c r="C354" s="761"/>
      <c r="D354" s="761"/>
      <c r="E354" s="761"/>
      <c r="F354" s="761"/>
      <c r="G354" s="761"/>
      <c r="H354" s="761"/>
    </row>
    <row r="355" spans="1:8">
      <c r="A355" s="762" t="s">
        <v>677</v>
      </c>
      <c r="B355" s="761"/>
      <c r="C355" s="761"/>
      <c r="D355" s="761"/>
      <c r="E355" s="761"/>
      <c r="F355" s="761"/>
      <c r="G355" s="761"/>
      <c r="H355" s="761"/>
    </row>
    <row r="356" spans="1:8">
      <c r="A356" s="762" t="s">
        <v>678</v>
      </c>
      <c r="B356" s="761"/>
      <c r="C356" s="761"/>
      <c r="D356" s="761"/>
      <c r="E356" s="761"/>
      <c r="F356" s="761"/>
      <c r="G356" s="761"/>
      <c r="H356" s="761"/>
    </row>
    <row r="357" spans="1:8">
      <c r="A357" s="762" t="s">
        <v>679</v>
      </c>
      <c r="B357" s="761"/>
      <c r="C357" s="761"/>
      <c r="D357" s="761"/>
      <c r="E357" s="761"/>
      <c r="F357" s="761"/>
      <c r="G357" s="761"/>
      <c r="H357" s="761"/>
    </row>
    <row r="358" spans="1:8">
      <c r="A358" s="762" t="s">
        <v>680</v>
      </c>
      <c r="B358" s="761"/>
      <c r="C358" s="761"/>
      <c r="D358" s="761"/>
      <c r="E358" s="761"/>
      <c r="F358" s="761"/>
      <c r="G358" s="761"/>
      <c r="H358" s="761"/>
    </row>
    <row r="359" spans="1:8">
      <c r="A359" s="762" t="s">
        <v>681</v>
      </c>
      <c r="B359" s="761"/>
      <c r="C359" s="761"/>
      <c r="D359" s="761"/>
      <c r="E359" s="761"/>
      <c r="F359" s="761"/>
      <c r="G359" s="761"/>
      <c r="H359" s="761"/>
    </row>
    <row r="360" spans="1:8">
      <c r="A360" s="762" t="s">
        <v>682</v>
      </c>
      <c r="B360" s="761"/>
      <c r="C360" s="761"/>
      <c r="D360" s="761"/>
      <c r="E360" s="761"/>
      <c r="F360" s="761"/>
      <c r="G360" s="761"/>
      <c r="H360" s="761"/>
    </row>
    <row r="361" spans="1:8">
      <c r="A361" s="762" t="s">
        <v>683</v>
      </c>
      <c r="B361" s="761"/>
      <c r="C361" s="761"/>
      <c r="D361" s="761"/>
      <c r="E361" s="761"/>
      <c r="F361" s="761"/>
      <c r="G361" s="761"/>
      <c r="H361" s="761"/>
    </row>
    <row r="362" spans="1:8">
      <c r="A362" s="762" t="s">
        <v>684</v>
      </c>
      <c r="B362" s="761"/>
      <c r="C362" s="761"/>
      <c r="D362" s="761"/>
      <c r="E362" s="761"/>
      <c r="F362" s="761"/>
      <c r="G362" s="761"/>
      <c r="H362" s="761"/>
    </row>
    <row r="363" spans="1:8">
      <c r="A363" s="762" t="s">
        <v>685</v>
      </c>
      <c r="B363" s="761"/>
      <c r="C363" s="761"/>
      <c r="D363" s="761"/>
      <c r="E363" s="761"/>
      <c r="F363" s="761"/>
      <c r="G363" s="761"/>
      <c r="H363" s="761"/>
    </row>
    <row r="364" spans="1:8">
      <c r="A364" s="762" t="s">
        <v>686</v>
      </c>
      <c r="B364" s="761"/>
      <c r="C364" s="761"/>
      <c r="D364" s="761"/>
      <c r="E364" s="761"/>
      <c r="F364" s="761"/>
      <c r="G364" s="761"/>
      <c r="H364" s="761"/>
    </row>
    <row r="365" spans="1:8">
      <c r="A365" s="762" t="s">
        <v>687</v>
      </c>
      <c r="B365" s="761"/>
      <c r="C365" s="761"/>
      <c r="D365" s="761"/>
      <c r="E365" s="761"/>
      <c r="F365" s="761"/>
      <c r="G365" s="761"/>
      <c r="H365" s="761"/>
    </row>
    <row r="366" spans="1:8">
      <c r="A366" s="761"/>
      <c r="B366" s="761"/>
      <c r="C366" s="761"/>
      <c r="D366" s="761"/>
      <c r="E366" s="761"/>
      <c r="F366" s="761"/>
      <c r="G366" s="761"/>
      <c r="H366" s="761"/>
    </row>
    <row r="367" spans="1:8">
      <c r="A367" s="762" t="s">
        <v>645</v>
      </c>
      <c r="B367" s="761"/>
      <c r="C367" s="761"/>
      <c r="D367" s="761"/>
      <c r="E367" s="761"/>
      <c r="F367" s="761"/>
      <c r="G367" s="761"/>
      <c r="H367" s="761"/>
    </row>
    <row r="368" spans="1:8">
      <c r="A368" s="762" t="s">
        <v>649</v>
      </c>
      <c r="B368" s="761"/>
      <c r="C368" s="761"/>
      <c r="D368" s="761"/>
      <c r="E368" s="761"/>
      <c r="F368" s="761"/>
      <c r="G368" s="761"/>
      <c r="H368" s="761"/>
    </row>
    <row r="369" spans="1:8">
      <c r="A369" s="762" t="s">
        <v>650</v>
      </c>
      <c r="B369" s="761"/>
      <c r="C369" s="761"/>
      <c r="D369" s="761"/>
      <c r="E369" s="761"/>
      <c r="F369" s="761"/>
      <c r="G369" s="761"/>
      <c r="H369" s="761"/>
    </row>
    <row r="370" spans="1:8">
      <c r="A370" s="762" t="s">
        <v>651</v>
      </c>
      <c r="B370" s="761"/>
      <c r="C370" s="761"/>
      <c r="D370" s="761"/>
      <c r="E370" s="761"/>
      <c r="F370" s="761"/>
      <c r="G370" s="761"/>
      <c r="H370" s="761"/>
    </row>
    <row r="371" spans="1:8">
      <c r="A371" s="762" t="s">
        <v>652</v>
      </c>
      <c r="B371" s="761"/>
      <c r="C371" s="761"/>
      <c r="D371" s="761"/>
      <c r="E371" s="761"/>
      <c r="F371" s="761"/>
      <c r="G371" s="761"/>
      <c r="H371" s="761"/>
    </row>
    <row r="372" spans="1:8">
      <c r="A372" s="761"/>
      <c r="B372" s="761"/>
      <c r="C372" s="761"/>
      <c r="D372" s="761"/>
      <c r="E372" s="761"/>
      <c r="F372" s="761"/>
      <c r="G372" s="761"/>
      <c r="H372" s="761"/>
    </row>
    <row r="373" spans="1:8">
      <c r="A373" s="762" t="s">
        <v>645</v>
      </c>
      <c r="B373" s="761"/>
      <c r="C373" s="761"/>
      <c r="D373" s="761"/>
      <c r="E373" s="761"/>
      <c r="F373" s="761"/>
      <c r="G373" s="761"/>
      <c r="H373" s="761"/>
    </row>
    <row r="374" spans="1:8">
      <c r="A374" s="762" t="s">
        <v>646</v>
      </c>
      <c r="B374" s="761"/>
      <c r="C374" s="761"/>
      <c r="D374" s="761"/>
      <c r="E374" s="761"/>
      <c r="F374" s="761"/>
      <c r="G374" s="761"/>
      <c r="H374" s="761"/>
    </row>
    <row r="375" spans="1:8">
      <c r="A375" s="762" t="s">
        <v>647</v>
      </c>
      <c r="B375" s="761"/>
      <c r="C375" s="761"/>
      <c r="D375" s="761"/>
      <c r="E375" s="761"/>
      <c r="F375" s="761"/>
      <c r="G375" s="761"/>
      <c r="H375" s="761"/>
    </row>
    <row r="376" spans="1:8">
      <c r="A376" s="762" t="s">
        <v>648</v>
      </c>
      <c r="B376" s="761"/>
      <c r="C376" s="761"/>
      <c r="D376" s="761"/>
      <c r="E376" s="761"/>
      <c r="F376" s="761"/>
      <c r="G376" s="761"/>
      <c r="H376" s="761"/>
    </row>
    <row r="377" spans="1:8">
      <c r="A377" s="761"/>
      <c r="B377" s="761"/>
      <c r="C377" s="761"/>
      <c r="D377" s="761"/>
      <c r="E377" s="761"/>
      <c r="F377" s="761"/>
      <c r="G377" s="761"/>
      <c r="H377" s="761"/>
    </row>
    <row r="378" spans="1:8">
      <c r="A378" s="762" t="s">
        <v>639</v>
      </c>
      <c r="B378" s="761"/>
      <c r="C378" s="761"/>
      <c r="D378" s="761"/>
      <c r="E378" s="761"/>
      <c r="F378" s="761"/>
      <c r="G378" s="761"/>
      <c r="H378" s="761"/>
    </row>
    <row r="379" spans="1:8">
      <c r="A379" s="762" t="s">
        <v>640</v>
      </c>
      <c r="B379" s="761"/>
      <c r="C379" s="761"/>
      <c r="D379" s="761"/>
      <c r="E379" s="761"/>
      <c r="F379" s="761"/>
      <c r="G379" s="761"/>
      <c r="H379" s="761"/>
    </row>
    <row r="380" spans="1:8">
      <c r="A380" s="762" t="s">
        <v>641</v>
      </c>
      <c r="B380" s="761"/>
      <c r="C380" s="761"/>
      <c r="D380" s="761"/>
      <c r="E380" s="761"/>
      <c r="F380" s="761"/>
      <c r="G380" s="761"/>
      <c r="H380" s="761"/>
    </row>
    <row r="381" spans="1:8">
      <c r="A381" s="762" t="s">
        <v>642</v>
      </c>
      <c r="B381" s="761"/>
      <c r="C381" s="761"/>
      <c r="D381" s="761"/>
      <c r="E381" s="761"/>
      <c r="F381" s="761"/>
      <c r="G381" s="761"/>
      <c r="H381" s="761"/>
    </row>
    <row r="382" spans="1:8">
      <c r="A382" s="762" t="s">
        <v>643</v>
      </c>
      <c r="B382" s="761"/>
      <c r="C382" s="761"/>
      <c r="D382" s="761"/>
      <c r="E382" s="761"/>
      <c r="F382" s="761"/>
      <c r="G382" s="761"/>
      <c r="H382" s="761"/>
    </row>
    <row r="383" spans="1:8">
      <c r="A383" s="762" t="s">
        <v>644</v>
      </c>
      <c r="B383" s="761"/>
      <c r="C383" s="761"/>
      <c r="D383" s="761"/>
      <c r="E383" s="761"/>
      <c r="F383" s="761"/>
      <c r="G383" s="761"/>
      <c r="H383" s="761"/>
    </row>
    <row r="384" spans="1:8">
      <c r="A384" s="761"/>
      <c r="B384" s="761"/>
      <c r="C384" s="761"/>
      <c r="D384" s="761"/>
      <c r="E384" s="761"/>
      <c r="F384" s="761"/>
      <c r="G384" s="761"/>
      <c r="H384" s="761"/>
    </row>
    <row r="385" spans="1:8">
      <c r="A385" s="762" t="s">
        <v>634</v>
      </c>
      <c r="B385" s="761"/>
      <c r="C385" s="761"/>
      <c r="D385" s="761"/>
      <c r="E385" s="761"/>
      <c r="F385" s="761"/>
      <c r="G385" s="761"/>
      <c r="H385" s="761"/>
    </row>
    <row r="386" spans="1:8">
      <c r="A386" s="762" t="s">
        <v>635</v>
      </c>
      <c r="B386" s="761"/>
      <c r="C386" s="761"/>
      <c r="D386" s="761"/>
      <c r="E386" s="761"/>
      <c r="F386" s="761"/>
      <c r="G386" s="761"/>
      <c r="H386" s="761"/>
    </row>
    <row r="387" spans="1:8">
      <c r="A387" s="762" t="s">
        <v>636</v>
      </c>
      <c r="B387" s="761"/>
      <c r="C387" s="761"/>
      <c r="D387" s="761"/>
      <c r="E387" s="761"/>
      <c r="F387" s="761"/>
      <c r="G387" s="761"/>
      <c r="H387" s="761"/>
    </row>
    <row r="388" spans="1:8">
      <c r="A388" s="762" t="s">
        <v>637</v>
      </c>
      <c r="B388" s="761"/>
      <c r="C388" s="761"/>
      <c r="D388" s="761"/>
      <c r="E388" s="761"/>
      <c r="F388" s="761"/>
      <c r="G388" s="761"/>
      <c r="H388" s="761"/>
    </row>
    <row r="389" spans="1:8">
      <c r="A389" s="762" t="s">
        <v>638</v>
      </c>
      <c r="B389" s="761"/>
      <c r="C389" s="761"/>
      <c r="D389" s="761"/>
      <c r="E389" s="761"/>
      <c r="F389" s="761"/>
      <c r="G389" s="761"/>
      <c r="H389" s="761"/>
    </row>
    <row r="390" spans="1:8">
      <c r="A390" s="761"/>
      <c r="B390" s="761"/>
      <c r="C390" s="761"/>
      <c r="D390" s="761"/>
      <c r="E390" s="761"/>
      <c r="F390" s="761"/>
      <c r="G390" s="761"/>
      <c r="H390" s="761"/>
    </row>
    <row r="391" spans="1:8">
      <c r="A391" s="762" t="s">
        <v>632</v>
      </c>
      <c r="B391" s="761"/>
      <c r="C391" s="761"/>
      <c r="D391" s="761"/>
      <c r="E391" s="761"/>
      <c r="F391" s="761"/>
      <c r="G391" s="761"/>
      <c r="H391" s="761"/>
    </row>
    <row r="392" spans="1:8">
      <c r="A392" s="762" t="s">
        <v>633</v>
      </c>
      <c r="B392" s="761"/>
      <c r="C392" s="761"/>
      <c r="D392" s="761"/>
      <c r="E392" s="761"/>
      <c r="F392" s="761"/>
      <c r="G392" s="761"/>
      <c r="H392" s="761"/>
    </row>
    <row r="394" spans="1:8">
      <c r="A394" s="757" t="s">
        <v>890</v>
      </c>
    </row>
  </sheetData>
  <mergeCells count="12">
    <mergeCell ref="A117:H117"/>
    <mergeCell ref="A124:H124"/>
    <mergeCell ref="A111:H111"/>
    <mergeCell ref="A112:H112"/>
    <mergeCell ref="A113:H113"/>
    <mergeCell ref="A114:H114"/>
    <mergeCell ref="A116:H116"/>
    <mergeCell ref="A132:H132"/>
    <mergeCell ref="A133:H133"/>
    <mergeCell ref="B125:C125"/>
    <mergeCell ref="D125:F125"/>
    <mergeCell ref="G125:H12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B11"/>
  <sheetViews>
    <sheetView showGridLines="0" showRowColHeaders="0" workbookViewId="0">
      <selection activeCell="N1" sqref="N1"/>
    </sheetView>
  </sheetViews>
  <sheetFormatPr defaultRowHeight="12.75"/>
  <cols>
    <col min="1" max="1" width="9.33203125" style="754"/>
    <col min="2" max="2" width="103" style="754" customWidth="1"/>
    <col min="3" max="16384" width="9.33203125" style="754"/>
  </cols>
  <sheetData>
    <row r="1" spans="2:2" ht="32.25" customHeight="1"/>
    <row r="2" spans="2:2" ht="72" hidden="1">
      <c r="B2" s="773" t="s">
        <v>958</v>
      </c>
    </row>
    <row r="3" spans="2:2" ht="72">
      <c r="B3" s="773" t="s">
        <v>959</v>
      </c>
    </row>
    <row r="4" spans="2:2" ht="18" hidden="1">
      <c r="B4" s="773"/>
    </row>
    <row r="5" spans="2:2" ht="54" hidden="1">
      <c r="B5" s="773" t="s">
        <v>960</v>
      </c>
    </row>
    <row r="6" spans="2:2" ht="7.5" customHeight="1">
      <c r="B6" s="773"/>
    </row>
    <row r="7" spans="2:2" ht="18">
      <c r="B7" s="774" t="s">
        <v>961</v>
      </c>
    </row>
    <row r="8" spans="2:2" ht="18">
      <c r="B8" s="774" t="s">
        <v>963</v>
      </c>
    </row>
    <row r="9" spans="2:2" ht="18">
      <c r="B9" s="774" t="s">
        <v>964</v>
      </c>
    </row>
    <row r="10" spans="2:2" ht="18">
      <c r="B10" s="775"/>
    </row>
    <row r="11" spans="2:2" ht="54">
      <c r="B11" s="776" t="s">
        <v>962</v>
      </c>
    </row>
  </sheetData>
  <dataConsolidate/>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IV387"/>
  <sheetViews>
    <sheetView showGridLines="0" zoomScaleNormal="100" zoomScaleSheetLayoutView="85" workbookViewId="0">
      <pane xSplit="1" ySplit="8" topLeftCell="P324" activePane="bottomRight" state="frozen"/>
      <selection activeCell="G31" sqref="G31"/>
      <selection pane="topRight" activeCell="G31" sqref="G31"/>
      <selection pane="bottomLeft" activeCell="G31" sqref="G31"/>
      <selection pane="bottomRight" activeCell="P9" sqref="P9"/>
    </sheetView>
  </sheetViews>
  <sheetFormatPr defaultRowHeight="11.25" outlineLevelRow="1" outlineLevelCol="1"/>
  <cols>
    <col min="1" max="1" width="43.1640625" style="2" customWidth="1"/>
    <col min="2" max="12" width="10.1640625" style="31" hidden="1" customWidth="1" outlineLevel="1"/>
    <col min="13" max="13" width="10.1640625" style="31" hidden="1" customWidth="1" outlineLevel="1" collapsed="1"/>
    <col min="14" max="14" width="10.1640625" style="31" hidden="1" customWidth="1" outlineLevel="1"/>
    <col min="15" max="15" width="10.1640625" style="31" hidden="1" customWidth="1" outlineLevel="1" collapsed="1"/>
    <col min="16" max="16" width="10.1640625" style="31" customWidth="1" collapsed="1"/>
    <col min="17" max="22" width="10.1640625" style="31" customWidth="1"/>
    <col min="23" max="27" width="10.1640625" style="31" hidden="1" customWidth="1" outlineLevel="1"/>
    <col min="28" max="28" width="2.83203125" style="324" customWidth="1" collapsed="1"/>
    <col min="29" max="60" width="10.1640625" style="31" hidden="1" customWidth="1" outlineLevel="1"/>
    <col min="61" max="61" width="10.1640625" style="31" hidden="1" customWidth="1" outlineLevel="1" collapsed="1"/>
    <col min="62" max="64" width="10.1640625" style="31" hidden="1" customWidth="1" outlineLevel="1"/>
    <col min="65" max="65" width="10.1640625" style="31" hidden="1" customWidth="1" outlineLevel="1" collapsed="1"/>
    <col min="66" max="72" width="10.1640625" style="31" hidden="1" customWidth="1" outlineLevel="1"/>
    <col min="73" max="73" width="10.1640625" style="31" hidden="1" customWidth="1" outlineLevel="1" collapsed="1"/>
    <col min="74" max="76" width="10.1640625" style="31" hidden="1" customWidth="1" outlineLevel="1"/>
    <col min="77" max="77" width="10.1640625" style="31" hidden="1" customWidth="1" outlineLevel="1" collapsed="1"/>
    <col min="78" max="80" width="10.1640625" style="31" hidden="1" customWidth="1" outlineLevel="1"/>
    <col min="81" max="81" width="10.1640625" style="31" customWidth="1" collapsed="1"/>
    <col min="82" max="88" width="10.1640625" style="31" customWidth="1"/>
    <col min="89" max="90" width="9.83203125" style="2" bestFit="1" customWidth="1"/>
    <col min="91" max="16384" width="9.33203125" style="2"/>
  </cols>
  <sheetData>
    <row r="1" spans="1:136" ht="12.75" customHeight="1">
      <c r="A1" s="1" t="s">
        <v>0</v>
      </c>
      <c r="AB1" s="496"/>
      <c r="BQ1" s="497"/>
      <c r="BR1" s="497"/>
      <c r="BS1" s="497"/>
      <c r="BT1" s="497"/>
      <c r="BU1" s="497"/>
      <c r="BV1" s="497"/>
      <c r="BW1" s="497"/>
      <c r="BY1" s="497"/>
      <c r="BZ1" s="497"/>
      <c r="CA1" s="497"/>
      <c r="CB1" s="497"/>
      <c r="CC1" s="497"/>
      <c r="CD1" s="497"/>
      <c r="CE1" s="497"/>
      <c r="CF1" s="497" t="s">
        <v>1</v>
      </c>
      <c r="CG1" s="497"/>
      <c r="CH1" s="497"/>
      <c r="CI1" s="497"/>
      <c r="CJ1" s="497"/>
    </row>
    <row r="2" spans="1:136" ht="12.75" customHeight="1">
      <c r="A2" s="2" t="s">
        <v>2</v>
      </c>
      <c r="Q2" s="498"/>
      <c r="R2" s="500"/>
      <c r="S2" s="500"/>
      <c r="T2" s="500"/>
      <c r="U2" s="500"/>
      <c r="BQ2" s="497"/>
      <c r="BR2" s="497"/>
      <c r="BS2" s="497"/>
      <c r="BT2" s="497"/>
      <c r="BU2" s="497"/>
      <c r="BV2" s="497"/>
      <c r="BW2" s="497"/>
      <c r="BY2" s="497"/>
      <c r="BZ2" s="497"/>
      <c r="CA2" s="497"/>
      <c r="CB2" s="497"/>
      <c r="CC2" s="497"/>
      <c r="CD2" s="497"/>
      <c r="CE2" s="497"/>
      <c r="CF2" s="497" t="s">
        <v>3</v>
      </c>
      <c r="CG2" s="497"/>
      <c r="CH2" s="497"/>
      <c r="CI2" s="497"/>
      <c r="CJ2" s="497"/>
    </row>
    <row r="3" spans="1:136" ht="12.75" customHeight="1">
      <c r="M3" s="33"/>
      <c r="N3" s="499"/>
      <c r="P3" s="500"/>
      <c r="Q3" s="500"/>
      <c r="R3" s="500"/>
      <c r="S3" s="500"/>
      <c r="T3" s="500"/>
      <c r="U3" s="500"/>
      <c r="BQ3" s="500"/>
      <c r="BR3" s="500"/>
      <c r="BS3" s="500"/>
      <c r="BT3" s="500"/>
      <c r="BU3" s="500"/>
      <c r="BV3" s="500"/>
      <c r="BW3" s="500"/>
      <c r="BY3" s="500"/>
      <c r="BZ3" s="500"/>
      <c r="CA3" s="500"/>
      <c r="CB3" s="500"/>
      <c r="CC3" s="500"/>
      <c r="CD3" s="500"/>
      <c r="CE3" s="500"/>
      <c r="CF3" s="500" t="s">
        <v>4</v>
      </c>
      <c r="CG3" s="500"/>
      <c r="CH3" s="500"/>
      <c r="CI3" s="500"/>
      <c r="CJ3" s="500"/>
    </row>
    <row r="4" spans="1:136" ht="12.75" customHeight="1">
      <c r="B4" s="500"/>
      <c r="C4" s="500"/>
      <c r="D4" s="500"/>
      <c r="E4" s="500"/>
      <c r="F4" s="500"/>
      <c r="G4" s="500"/>
      <c r="H4" s="500"/>
      <c r="I4" s="500"/>
      <c r="J4" s="500"/>
      <c r="K4" s="500"/>
      <c r="L4" s="500"/>
      <c r="M4" s="500"/>
      <c r="N4" s="500"/>
      <c r="O4" s="500"/>
      <c r="P4" s="500"/>
      <c r="Q4" s="498"/>
      <c r="R4" s="500"/>
      <c r="S4" s="500"/>
      <c r="T4" s="500"/>
      <c r="U4" s="500"/>
      <c r="BN4" s="500"/>
      <c r="BO4" s="500"/>
      <c r="BP4" s="500"/>
      <c r="BQ4" s="500"/>
      <c r="BR4" s="500"/>
      <c r="BS4" s="500"/>
      <c r="BT4" s="500"/>
      <c r="BU4" s="500"/>
      <c r="BV4" s="500"/>
      <c r="BW4" s="500"/>
      <c r="BY4" s="500"/>
      <c r="BZ4" s="500"/>
      <c r="CA4" s="500"/>
      <c r="CB4" s="500"/>
      <c r="CC4" s="500"/>
      <c r="CD4" s="500"/>
      <c r="CE4" s="500"/>
      <c r="CF4" s="500" t="s">
        <v>5</v>
      </c>
      <c r="CG4" s="500"/>
      <c r="CH4" s="500"/>
      <c r="CI4" s="500"/>
      <c r="CJ4" s="500"/>
    </row>
    <row r="5" spans="1:136" ht="12.75" customHeight="1">
      <c r="O5" s="487"/>
      <c r="P5" s="8"/>
      <c r="Q5" s="501"/>
      <c r="R5" s="506"/>
      <c r="S5" s="506"/>
      <c r="T5" s="506"/>
      <c r="U5" s="506"/>
      <c r="V5" s="506"/>
      <c r="BN5" s="500"/>
      <c r="BO5" s="500"/>
      <c r="BP5" s="500"/>
      <c r="BQ5" s="500"/>
      <c r="BR5" s="500"/>
      <c r="BS5" s="500"/>
      <c r="BT5" s="500"/>
      <c r="BU5" s="500"/>
      <c r="BV5" s="500"/>
      <c r="BW5" s="500"/>
      <c r="BY5" s="506"/>
      <c r="BZ5" s="506"/>
      <c r="CA5" s="506"/>
      <c r="CB5" s="506"/>
      <c r="CC5" s="500"/>
      <c r="CD5" s="500"/>
      <c r="CE5" s="500"/>
      <c r="CF5" s="9"/>
      <c r="CG5" s="500"/>
      <c r="CH5" s="500"/>
      <c r="CI5" s="500"/>
      <c r="CJ5" s="9"/>
    </row>
    <row r="6" spans="1:136" ht="12.75" customHeight="1">
      <c r="O6" s="324"/>
      <c r="P6" s="324"/>
      <c r="Q6" s="10"/>
      <c r="R6" s="506"/>
      <c r="S6" s="506"/>
      <c r="T6" s="506"/>
      <c r="U6" s="506"/>
      <c r="V6" s="11"/>
      <c r="W6" s="11"/>
      <c r="X6" s="11"/>
      <c r="Y6" s="11"/>
      <c r="Z6" s="11"/>
      <c r="AA6" s="11"/>
      <c r="BM6" s="500"/>
      <c r="BN6" s="500"/>
      <c r="BO6" s="500"/>
      <c r="BP6" s="500"/>
      <c r="BQ6" s="500"/>
      <c r="BR6" s="500"/>
      <c r="BS6" s="500"/>
      <c r="BT6" s="500"/>
      <c r="BU6" s="11"/>
      <c r="BV6" s="11"/>
      <c r="BW6" s="11"/>
      <c r="BX6" s="11"/>
      <c r="BY6" s="506"/>
      <c r="BZ6" s="506"/>
      <c r="CA6" s="506"/>
      <c r="CB6" s="506"/>
      <c r="CC6" s="506"/>
      <c r="CD6" s="506"/>
      <c r="CE6" s="506"/>
      <c r="CF6" s="506"/>
      <c r="CG6" s="11"/>
      <c r="CH6" s="11"/>
      <c r="CI6" s="11"/>
      <c r="CJ6" s="11"/>
    </row>
    <row r="7" spans="1:136" ht="12.75" hidden="1" customHeight="1" outlineLevel="1">
      <c r="BM7" s="497"/>
      <c r="BN7" s="497"/>
      <c r="BO7" s="497"/>
      <c r="BP7" s="497"/>
      <c r="BQ7" s="497"/>
      <c r="BR7" s="497"/>
      <c r="BS7" s="497"/>
      <c r="BT7" s="497"/>
      <c r="BU7" s="497"/>
      <c r="BV7" s="497"/>
      <c r="BW7" s="497"/>
      <c r="BX7" s="497"/>
      <c r="BY7" s="497"/>
      <c r="BZ7" s="497"/>
      <c r="CA7" s="497"/>
      <c r="CB7" s="497"/>
      <c r="CC7" s="497"/>
      <c r="CD7" s="497"/>
      <c r="CE7" s="497"/>
      <c r="CF7" s="497"/>
      <c r="CG7" s="497"/>
      <c r="CH7" s="497"/>
      <c r="CI7" s="497"/>
      <c r="CJ7" s="497"/>
    </row>
    <row r="8" spans="1:136" s="30" customFormat="1" ht="12.75" customHeight="1" collapsed="1">
      <c r="A8" s="12" t="s">
        <v>6</v>
      </c>
      <c r="B8" s="13">
        <v>2000</v>
      </c>
      <c r="C8" s="13">
        <f>+B8+1</f>
        <v>2001</v>
      </c>
      <c r="D8" s="13">
        <f t="shared" ref="D8:K8" si="0">+C8+1</f>
        <v>2002</v>
      </c>
      <c r="E8" s="13">
        <f t="shared" si="0"/>
        <v>2003</v>
      </c>
      <c r="F8" s="13">
        <f t="shared" si="0"/>
        <v>2004</v>
      </c>
      <c r="G8" s="13">
        <f t="shared" si="0"/>
        <v>2005</v>
      </c>
      <c r="H8" s="13">
        <f t="shared" si="0"/>
        <v>2006</v>
      </c>
      <c r="I8" s="13">
        <f t="shared" si="0"/>
        <v>2007</v>
      </c>
      <c r="J8" s="13">
        <f t="shared" si="0"/>
        <v>2008</v>
      </c>
      <c r="K8" s="13">
        <f t="shared" si="0"/>
        <v>2009</v>
      </c>
      <c r="L8" s="13">
        <v>2010</v>
      </c>
      <c r="M8" s="13">
        <f>+IS!M8</f>
        <v>2011</v>
      </c>
      <c r="N8" s="13">
        <f>+IS!N8</f>
        <v>2012</v>
      </c>
      <c r="O8" s="599">
        <f>+IS!O8</f>
        <v>2013</v>
      </c>
      <c r="P8" s="599">
        <f>+IS!P8</f>
        <v>2014</v>
      </c>
      <c r="Q8" s="599">
        <f>+IS!Q8</f>
        <v>2015</v>
      </c>
      <c r="R8" s="599">
        <f>+IS!R8</f>
        <v>2016</v>
      </c>
      <c r="S8" s="599">
        <f>+IS!S8</f>
        <v>2017</v>
      </c>
      <c r="T8" s="599" t="str">
        <f>+IS!T8</f>
        <v>2018E</v>
      </c>
      <c r="U8" s="599" t="str">
        <f>+IS!U8</f>
        <v>2019E</v>
      </c>
      <c r="V8" s="599" t="str">
        <f>+IS!V8</f>
        <v>2020E</v>
      </c>
      <c r="W8" s="599" t="str">
        <f>+IS!W8</f>
        <v>2021E</v>
      </c>
      <c r="X8" s="599" t="str">
        <f>+IS!X8</f>
        <v>2022E</v>
      </c>
      <c r="Y8" s="599" t="str">
        <f>+IS!Y8</f>
        <v>2023E</v>
      </c>
      <c r="Z8" s="599" t="str">
        <f>+IS!Z8</f>
        <v>2024E</v>
      </c>
      <c r="AA8" s="599" t="str">
        <f>+IS!AA8</f>
        <v>2025E</v>
      </c>
      <c r="AB8" s="14"/>
      <c r="AC8" s="15" t="s">
        <v>7</v>
      </c>
      <c r="AD8" s="15" t="s">
        <v>8</v>
      </c>
      <c r="AE8" s="15" t="s">
        <v>9</v>
      </c>
      <c r="AF8" s="15" t="s">
        <v>10</v>
      </c>
      <c r="AG8" s="15" t="s">
        <v>11</v>
      </c>
      <c r="AH8" s="15" t="s">
        <v>12</v>
      </c>
      <c r="AI8" s="15" t="s">
        <v>13</v>
      </c>
      <c r="AJ8" s="15" t="s">
        <v>14</v>
      </c>
      <c r="AK8" s="15" t="s">
        <v>15</v>
      </c>
      <c r="AL8" s="15" t="s">
        <v>16</v>
      </c>
      <c r="AM8" s="15" t="s">
        <v>17</v>
      </c>
      <c r="AN8" s="15" t="s">
        <v>18</v>
      </c>
      <c r="AO8" s="15" t="s">
        <v>19</v>
      </c>
      <c r="AP8" s="15" t="s">
        <v>20</v>
      </c>
      <c r="AQ8" s="15" t="s">
        <v>21</v>
      </c>
      <c r="AR8" s="15" t="s">
        <v>22</v>
      </c>
      <c r="AS8" s="15" t="s">
        <v>23</v>
      </c>
      <c r="AT8" s="15" t="s">
        <v>24</v>
      </c>
      <c r="AU8" s="15" t="s">
        <v>25</v>
      </c>
      <c r="AV8" s="15" t="s">
        <v>26</v>
      </c>
      <c r="AW8" s="15" t="s">
        <v>27</v>
      </c>
      <c r="AX8" s="15" t="s">
        <v>28</v>
      </c>
      <c r="AY8" s="15" t="s">
        <v>29</v>
      </c>
      <c r="AZ8" s="15" t="s">
        <v>30</v>
      </c>
      <c r="BA8" s="15" t="s">
        <v>31</v>
      </c>
      <c r="BB8" s="15" t="s">
        <v>32</v>
      </c>
      <c r="BC8" s="15" t="s">
        <v>33</v>
      </c>
      <c r="BD8" s="15" t="s">
        <v>34</v>
      </c>
      <c r="BE8" s="15" t="s">
        <v>35</v>
      </c>
      <c r="BF8" s="15" t="s">
        <v>36</v>
      </c>
      <c r="BG8" s="15" t="s">
        <v>37</v>
      </c>
      <c r="BH8" s="15" t="s">
        <v>38</v>
      </c>
      <c r="BI8" s="15" t="str">
        <f>+IS!BI8</f>
        <v>1Q12</v>
      </c>
      <c r="BJ8" s="15" t="str">
        <f>+IS!BJ8</f>
        <v>2Q12</v>
      </c>
      <c r="BK8" s="15" t="str">
        <f>+IS!BK8</f>
        <v>3Q12</v>
      </c>
      <c r="BL8" s="15" t="str">
        <f>+IS!BL8</f>
        <v>4Q12</v>
      </c>
      <c r="BM8" s="15" t="str">
        <f>+IS!BM8</f>
        <v>1Q13</v>
      </c>
      <c r="BN8" s="15" t="str">
        <f>+IS!BN8</f>
        <v>2Q13</v>
      </c>
      <c r="BO8" s="15" t="str">
        <f>+IS!BO8</f>
        <v>3Q13</v>
      </c>
      <c r="BP8" s="15" t="str">
        <f>+IS!BP8</f>
        <v>4Q13</v>
      </c>
      <c r="BQ8" s="15" t="str">
        <f>+IS!BQ8</f>
        <v>1Q14</v>
      </c>
      <c r="BR8" s="15" t="str">
        <f>+IS!BR8</f>
        <v>2Q14</v>
      </c>
      <c r="BS8" s="15" t="str">
        <f>+IS!BS8</f>
        <v>3Q14</v>
      </c>
      <c r="BT8" s="15" t="str">
        <f>+IS!BT8</f>
        <v>4Q14</v>
      </c>
      <c r="BU8" s="705" t="str">
        <f>+IS!BU8</f>
        <v>1Q15</v>
      </c>
      <c r="BV8" s="705" t="str">
        <f>+IS!BV8</f>
        <v>2Q15</v>
      </c>
      <c r="BW8" s="705" t="str">
        <f>+IS!BW8</f>
        <v>3Q15</v>
      </c>
      <c r="BX8" s="705" t="str">
        <f>+IS!BX8</f>
        <v>4Q15</v>
      </c>
      <c r="BY8" s="705" t="str">
        <f>+IS!BY8</f>
        <v>1Q16</v>
      </c>
      <c r="BZ8" s="705" t="str">
        <f>+IS!BZ8</f>
        <v>2Q16</v>
      </c>
      <c r="CA8" s="705" t="str">
        <f>+IS!CA8</f>
        <v>3Q16</v>
      </c>
      <c r="CB8" s="705" t="str">
        <f>+IS!CB8</f>
        <v>4Q16</v>
      </c>
      <c r="CC8" s="705" t="str">
        <f>+IS!CC8</f>
        <v>1Q17</v>
      </c>
      <c r="CD8" s="705" t="str">
        <f>+IS!CD8</f>
        <v>2Q17</v>
      </c>
      <c r="CE8" s="705" t="str">
        <f>+IS!CE8</f>
        <v>3Q17</v>
      </c>
      <c r="CF8" s="705" t="str">
        <f>+IS!CF8</f>
        <v>4Q17</v>
      </c>
      <c r="CG8" s="705" t="str">
        <f>+IS!CG8</f>
        <v>1Q18E</v>
      </c>
      <c r="CH8" s="705" t="str">
        <f>+IS!CH8</f>
        <v>2Q18E</v>
      </c>
      <c r="CI8" s="705" t="str">
        <f>+IS!CI8</f>
        <v>3Q18E</v>
      </c>
      <c r="CJ8" s="705" t="str">
        <f>+IS!CJ8</f>
        <v>4Q18E</v>
      </c>
    </row>
    <row r="9" spans="1:136" s="90" customFormat="1" ht="6" customHeight="1">
      <c r="A9" s="87"/>
      <c r="B9" s="103"/>
      <c r="C9" s="103"/>
      <c r="D9" s="103"/>
      <c r="E9" s="103"/>
      <c r="F9" s="103"/>
      <c r="G9" s="103"/>
      <c r="H9" s="103"/>
      <c r="I9" s="103"/>
      <c r="J9" s="103"/>
      <c r="K9" s="103"/>
      <c r="L9" s="103"/>
      <c r="M9" s="91"/>
      <c r="N9" s="91"/>
      <c r="O9" s="91"/>
      <c r="P9" s="502"/>
      <c r="Q9" s="158"/>
      <c r="R9" s="158"/>
      <c r="S9" s="158"/>
      <c r="T9" s="158"/>
      <c r="U9" s="158"/>
      <c r="V9" s="158"/>
      <c r="W9" s="158"/>
      <c r="X9" s="158"/>
      <c r="Y9" s="158"/>
      <c r="Z9" s="158"/>
      <c r="AA9" s="158"/>
      <c r="AB9" s="158"/>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O9" s="39"/>
      <c r="DK9" s="39"/>
      <c r="DL9" s="39"/>
      <c r="DM9" s="39"/>
      <c r="DN9" s="39"/>
      <c r="DO9" s="39"/>
      <c r="DP9" s="39"/>
      <c r="DQ9" s="91"/>
      <c r="DR9" s="39"/>
      <c r="DS9" s="39"/>
      <c r="DT9" s="39"/>
      <c r="DU9" s="39"/>
      <c r="DV9" s="39"/>
      <c r="DW9" s="39"/>
      <c r="DX9" s="39"/>
      <c r="DY9" s="39"/>
      <c r="DZ9" s="39"/>
      <c r="EA9" s="92"/>
      <c r="EB9" s="92"/>
      <c r="EC9" s="92"/>
      <c r="ED9" s="92"/>
      <c r="EE9" s="92"/>
      <c r="EF9" s="92"/>
    </row>
    <row r="10" spans="1:136" ht="11.25" customHeight="1">
      <c r="A10" s="16" t="s">
        <v>39</v>
      </c>
      <c r="AB10" s="473"/>
      <c r="BL10" s="500"/>
      <c r="BM10" s="500"/>
      <c r="BN10" s="500"/>
      <c r="BO10" s="500"/>
      <c r="BP10" s="500"/>
      <c r="BQ10" s="11"/>
      <c r="BR10" s="500"/>
      <c r="BS10" s="500"/>
      <c r="BT10" s="500"/>
      <c r="BU10" s="500"/>
      <c r="BV10" s="500"/>
      <c r="BW10" s="500"/>
      <c r="BX10" s="500"/>
      <c r="BY10" s="500"/>
      <c r="BZ10" s="500"/>
      <c r="CA10" s="500"/>
      <c r="CB10" s="500"/>
      <c r="CC10" s="500"/>
      <c r="CD10" s="500"/>
      <c r="CE10" s="500"/>
      <c r="CF10" s="500"/>
      <c r="CG10" s="500"/>
      <c r="CH10" s="500"/>
      <c r="CI10" s="500"/>
      <c r="CJ10" s="500"/>
    </row>
    <row r="11" spans="1:136" s="90" customFormat="1" ht="6" customHeight="1">
      <c r="A11" s="87"/>
      <c r="B11" s="103"/>
      <c r="C11" s="103"/>
      <c r="D11" s="103"/>
      <c r="E11" s="103"/>
      <c r="F11" s="103"/>
      <c r="G11" s="103"/>
      <c r="H11" s="103"/>
      <c r="I11" s="103"/>
      <c r="J11" s="103"/>
      <c r="K11" s="103"/>
      <c r="L11" s="103"/>
      <c r="M11" s="91"/>
      <c r="N11" s="91"/>
      <c r="O11" s="91"/>
      <c r="P11" s="502"/>
      <c r="Q11" s="158"/>
      <c r="R11" s="158"/>
      <c r="S11" s="158"/>
      <c r="T11" s="158"/>
      <c r="U11" s="158"/>
      <c r="V11" s="158"/>
      <c r="W11" s="158"/>
      <c r="X11" s="158"/>
      <c r="Y11" s="158"/>
      <c r="Z11" s="158"/>
      <c r="AA11" s="158"/>
      <c r="AB11" s="158"/>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O11" s="39"/>
      <c r="DK11" s="39"/>
      <c r="DL11" s="39"/>
      <c r="DM11" s="39"/>
      <c r="DN11" s="39"/>
      <c r="DO11" s="39"/>
      <c r="DP11" s="39"/>
      <c r="DQ11" s="91"/>
      <c r="DR11" s="39"/>
      <c r="DS11" s="39"/>
      <c r="DT11" s="39"/>
      <c r="DU11" s="39"/>
      <c r="DV11" s="39"/>
      <c r="DW11" s="39"/>
      <c r="DX11" s="39"/>
      <c r="DY11" s="39"/>
      <c r="DZ11" s="39"/>
      <c r="EA11" s="92"/>
      <c r="EB11" s="92"/>
      <c r="EC11" s="92"/>
      <c r="ED11" s="92"/>
      <c r="EE11" s="92"/>
      <c r="EF11" s="92"/>
    </row>
    <row r="12" spans="1:136" ht="11.25" customHeight="1">
      <c r="A12" s="19" t="s">
        <v>40</v>
      </c>
      <c r="B12" s="503"/>
      <c r="C12" s="503"/>
      <c r="D12" s="503"/>
      <c r="E12" s="503"/>
      <c r="F12" s="503"/>
      <c r="G12" s="503"/>
      <c r="H12" s="503"/>
      <c r="I12" s="503"/>
      <c r="J12" s="503"/>
      <c r="K12" s="503"/>
      <c r="L12" s="503"/>
      <c r="M12" s="503"/>
      <c r="N12" s="503"/>
      <c r="O12" s="503"/>
      <c r="P12" s="503"/>
      <c r="Q12" s="503"/>
      <c r="R12" s="503"/>
      <c r="S12" s="503"/>
      <c r="T12" s="503"/>
      <c r="U12" s="503"/>
      <c r="V12" s="503"/>
      <c r="W12" s="503"/>
      <c r="X12" s="503"/>
      <c r="Y12" s="503"/>
      <c r="Z12" s="503"/>
      <c r="AA12" s="503"/>
      <c r="AB12" s="473"/>
      <c r="AC12" s="504"/>
      <c r="AD12" s="504"/>
      <c r="AE12" s="504"/>
      <c r="AF12" s="504"/>
      <c r="AG12" s="504"/>
      <c r="AH12" s="504"/>
      <c r="AI12" s="504"/>
      <c r="AJ12" s="504"/>
      <c r="AK12" s="504"/>
      <c r="AL12" s="504"/>
      <c r="AM12" s="504"/>
      <c r="AN12" s="504"/>
      <c r="AO12" s="504"/>
      <c r="AP12" s="504"/>
      <c r="AQ12" s="504"/>
      <c r="AR12" s="504"/>
      <c r="AS12" s="504"/>
      <c r="AT12" s="504"/>
      <c r="AU12" s="504"/>
      <c r="AV12" s="504"/>
      <c r="AW12" s="504"/>
      <c r="AX12" s="504"/>
      <c r="AY12" s="504"/>
      <c r="AZ12" s="504"/>
      <c r="BA12" s="504"/>
      <c r="BB12" s="504"/>
      <c r="BC12" s="504"/>
      <c r="BD12" s="504"/>
      <c r="BE12" s="504"/>
      <c r="BF12" s="503"/>
      <c r="BG12" s="503"/>
      <c r="BH12" s="503"/>
      <c r="BI12" s="503"/>
      <c r="BJ12" s="503"/>
      <c r="BK12" s="503"/>
      <c r="BL12" s="503"/>
      <c r="BM12" s="503"/>
      <c r="BN12" s="503"/>
      <c r="BO12" s="503"/>
      <c r="BP12" s="503"/>
      <c r="BQ12" s="503"/>
      <c r="BR12" s="503"/>
      <c r="BS12" s="503"/>
      <c r="BT12" s="503"/>
      <c r="BU12" s="503"/>
      <c r="BV12" s="503"/>
      <c r="BW12" s="503"/>
      <c r="BX12" s="503"/>
      <c r="BY12" s="503"/>
      <c r="BZ12" s="503"/>
      <c r="CA12" s="503"/>
      <c r="CB12" s="503"/>
      <c r="CC12" s="503"/>
      <c r="CD12" s="503"/>
      <c r="CE12" s="503"/>
      <c r="CF12" s="503"/>
      <c r="CG12" s="503"/>
      <c r="CH12" s="503"/>
      <c r="CI12" s="503"/>
      <c r="CJ12" s="503"/>
    </row>
    <row r="13" spans="1:136" ht="11.25" customHeight="1">
      <c r="A13" s="2" t="s">
        <v>41</v>
      </c>
      <c r="B13" s="32"/>
      <c r="C13" s="32"/>
      <c r="D13" s="32"/>
      <c r="E13" s="32"/>
      <c r="F13" s="505">
        <v>1.8361859794084858E-2</v>
      </c>
      <c r="G13" s="505">
        <v>3.3760258642128824E-2</v>
      </c>
      <c r="H13" s="505">
        <v>7.1526983847799959E-3</v>
      </c>
      <c r="I13" s="505">
        <v>7.7081153230112123E-2</v>
      </c>
      <c r="J13" s="505">
        <v>-6.6458730317921991E-3</v>
      </c>
      <c r="K13" s="505">
        <v>-9.5003302509907538E-3</v>
      </c>
      <c r="L13" s="505">
        <v>3.2833261208239574E-2</v>
      </c>
      <c r="M13" s="497">
        <f t="shared" ref="M13:AA14" si="1">+M131/L$140</f>
        <v>1.6007018323859125E-2</v>
      </c>
      <c r="N13" s="497">
        <f t="shared" si="1"/>
        <v>1.1167941915666016E-2</v>
      </c>
      <c r="O13" s="497">
        <f t="shared" si="1"/>
        <v>3.4010909610167069E-2</v>
      </c>
      <c r="P13" s="497">
        <f t="shared" si="1"/>
        <v>-2.106861384175189E-2</v>
      </c>
      <c r="Q13" s="497">
        <f t="shared" si="1"/>
        <v>-2.3277079829031121E-2</v>
      </c>
      <c r="R13" s="497">
        <f>+R131/Q$140</f>
        <v>-1.5661745068864207E-3</v>
      </c>
      <c r="S13" s="497">
        <f t="shared" si="1"/>
        <v>-6.178432924416305E-3</v>
      </c>
      <c r="T13" s="497">
        <f t="shared" si="1"/>
        <v>5.8253336455162726E-3</v>
      </c>
      <c r="U13" s="497">
        <f t="shared" ca="1" si="1"/>
        <v>0.01</v>
      </c>
      <c r="V13" s="497">
        <f t="shared" ca="1" si="1"/>
        <v>1.3803415217180934E-2</v>
      </c>
      <c r="W13" s="497">
        <f t="shared" ca="1" si="1"/>
        <v>1.2468939257409674E-2</v>
      </c>
      <c r="X13" s="497">
        <f t="shared" ca="1" si="1"/>
        <v>1.1247975948397416E-2</v>
      </c>
      <c r="Y13" s="497">
        <f t="shared" ca="1" si="1"/>
        <v>1.0145535164256128E-2</v>
      </c>
      <c r="Z13" s="497">
        <f t="shared" ca="1" si="1"/>
        <v>9.1503089101993042E-3</v>
      </c>
      <c r="AA13" s="497">
        <f t="shared" ca="1" si="1"/>
        <v>8.2520303885170194E-3</v>
      </c>
      <c r="AC13" s="505"/>
      <c r="AD13" s="505"/>
      <c r="AE13" s="505"/>
      <c r="AF13" s="505"/>
      <c r="AG13" s="505">
        <v>2.297029702970297E-2</v>
      </c>
      <c r="AH13" s="505">
        <v>0</v>
      </c>
      <c r="AI13" s="505">
        <v>2.6561285307074373E-2</v>
      </c>
      <c r="AJ13" s="505">
        <v>1.6510527445592449E-2</v>
      </c>
      <c r="AK13" s="505">
        <v>1.8860900856185633E-2</v>
      </c>
      <c r="AL13" s="505">
        <v>4.4876409887209021E-2</v>
      </c>
      <c r="AM13" s="505">
        <v>1.6383269206900832E-2</v>
      </c>
      <c r="AN13" s="505">
        <v>0.02</v>
      </c>
      <c r="AO13" s="505">
        <v>3.4000000000000002E-2</v>
      </c>
      <c r="AP13" s="505">
        <v>2.4E-2</v>
      </c>
      <c r="AQ13" s="505">
        <v>3.9E-2</v>
      </c>
      <c r="AR13" s="505">
        <v>4.2000000000000003E-2</v>
      </c>
      <c r="AS13" s="505">
        <v>3.6999999999999998E-2</v>
      </c>
      <c r="AT13" s="505">
        <v>-3.0000000000000001E-3</v>
      </c>
      <c r="AU13" s="505">
        <v>-1.2999999999999999E-2</v>
      </c>
      <c r="AV13" s="505">
        <v>-5.3999999999999999E-2</v>
      </c>
      <c r="AW13" s="505">
        <v>-3.4000000000000002E-2</v>
      </c>
      <c r="AX13" s="505">
        <v>2E-3</v>
      </c>
      <c r="AY13" s="505">
        <v>7.0000000000000001E-3</v>
      </c>
      <c r="AZ13" s="505">
        <v>1.6E-2</v>
      </c>
      <c r="BA13" s="505">
        <v>3.1E-2</v>
      </c>
      <c r="BB13" s="505">
        <v>2.3E-2</v>
      </c>
      <c r="BC13" s="505">
        <v>2E-3</v>
      </c>
      <c r="BD13" s="505">
        <v>4.5999999999999999E-2</v>
      </c>
      <c r="BE13" s="505">
        <v>8.9999999999999993E-3</v>
      </c>
      <c r="BF13" s="505">
        <v>1.6E-2</v>
      </c>
      <c r="BG13" s="505">
        <v>1.4E-2</v>
      </c>
      <c r="BH13" s="505">
        <v>-1.4999999999999999E-2</v>
      </c>
      <c r="BI13" s="497">
        <f t="shared" ref="BI13:BK14" si="2">+BI131/BE$140</f>
        <v>3.2141636141636142E-2</v>
      </c>
      <c r="BJ13" s="497">
        <f t="shared" si="2"/>
        <v>-1.7716904943795703E-3</v>
      </c>
      <c r="BK13" s="497">
        <f t="shared" si="2"/>
        <v>-6.1428571428571426E-3</v>
      </c>
      <c r="BL13" s="497">
        <f>+BL131/BH$140</f>
        <v>2.1369976237214591E-2</v>
      </c>
      <c r="BM13" s="497">
        <f t="shared" ref="BM13:CA14" si="3">+BM131/BI$140</f>
        <v>2.5489096573208723E-2</v>
      </c>
      <c r="BN13" s="497">
        <f>+BN131/BJ$140</f>
        <v>3.6889292834525626E-2</v>
      </c>
      <c r="BO13" s="497">
        <f t="shared" si="3"/>
        <v>5.2326927696372809E-2</v>
      </c>
      <c r="BP13" s="497">
        <f t="shared" si="3"/>
        <v>2.3143654555028963E-2</v>
      </c>
      <c r="BQ13" s="506">
        <f>+BQ131/BM$140</f>
        <v>2.8032936870997262E-3</v>
      </c>
      <c r="BR13" s="497">
        <f t="shared" si="3"/>
        <v>-2.3963699825479929E-2</v>
      </c>
      <c r="BS13" s="497">
        <f t="shared" si="3"/>
        <v>-3.1202785646836633E-2</v>
      </c>
      <c r="BT13" s="497">
        <f t="shared" si="3"/>
        <v>-3.1397027824620574E-2</v>
      </c>
      <c r="BU13" s="497">
        <f t="shared" si="3"/>
        <v>-2.3124870558401307E-2</v>
      </c>
      <c r="BV13" s="497">
        <f t="shared" si="3"/>
        <v>-2.0417664619345386E-2</v>
      </c>
      <c r="BW13" s="497">
        <f t="shared" si="3"/>
        <v>-2.9110836762688615E-2</v>
      </c>
      <c r="BX13" s="497">
        <f t="shared" si="3"/>
        <v>-2.0578579897246742E-2</v>
      </c>
      <c r="BY13" s="497">
        <f t="shared" si="3"/>
        <v>-6.0136698212407986E-3</v>
      </c>
      <c r="BZ13" s="497">
        <f t="shared" si="3"/>
        <v>6.8105893476205466E-4</v>
      </c>
      <c r="CA13" s="497">
        <f t="shared" si="3"/>
        <v>4.8749804656977678E-3</v>
      </c>
      <c r="CB13" s="497">
        <f>+CB131/BX$140</f>
        <v>-5.3546826908984291E-3</v>
      </c>
      <c r="CC13" s="497">
        <f t="shared" ref="CC13:CF14" si="4">+CC131/BY$140</f>
        <v>-4.8657260621433104E-3</v>
      </c>
      <c r="CD13" s="497">
        <f t="shared" si="4"/>
        <v>-3.7886485607415837E-2</v>
      </c>
      <c r="CE13" s="497">
        <f t="shared" si="4"/>
        <v>1.3372596153846153E-2</v>
      </c>
      <c r="CF13" s="497">
        <f t="shared" si="4"/>
        <v>3.6639281910847408E-3</v>
      </c>
      <c r="CG13" s="497">
        <f t="shared" ref="CG13:CJ14" si="5">+CG131/CC$140</f>
        <v>-1.8636508442179036E-3</v>
      </c>
      <c r="CH13" s="497">
        <f t="shared" si="5"/>
        <v>1.9568413886997961E-2</v>
      </c>
      <c r="CI13" s="497">
        <f t="shared" si="5"/>
        <v>2.9084766584766587E-3</v>
      </c>
      <c r="CJ13" s="497">
        <f t="shared" si="5"/>
        <v>3.8873563218390799E-3</v>
      </c>
    </row>
    <row r="14" spans="1:136" ht="11.25" customHeight="1">
      <c r="A14" s="2" t="s">
        <v>42</v>
      </c>
      <c r="B14" s="32"/>
      <c r="C14" s="32"/>
      <c r="D14" s="32"/>
      <c r="E14" s="32"/>
      <c r="F14" s="505">
        <v>8.6890943668437269E-3</v>
      </c>
      <c r="G14" s="505">
        <v>1.4082317831385227E-2</v>
      </c>
      <c r="H14" s="505">
        <v>6.7129833201418814E-3</v>
      </c>
      <c r="I14" s="505">
        <v>1.1222103577148958E-2</v>
      </c>
      <c r="J14" s="505">
        <v>7.88373282519306E-2</v>
      </c>
      <c r="K14" s="505">
        <v>3.6613606340819019E-2</v>
      </c>
      <c r="L14" s="505">
        <v>5.7929288558075127E-3</v>
      </c>
      <c r="M14" s="497">
        <f t="shared" si="1"/>
        <v>5.4418241290609418E-2</v>
      </c>
      <c r="N14" s="497">
        <f t="shared" si="1"/>
        <v>3.203758726612678E-2</v>
      </c>
      <c r="O14" s="497">
        <f t="shared" si="1"/>
        <v>3.848693417106956E-3</v>
      </c>
      <c r="P14" s="497">
        <f t="shared" si="1"/>
        <v>4.5155698461712794E-2</v>
      </c>
      <c r="Q14" s="497">
        <f t="shared" si="1"/>
        <v>3.6908155633528221E-2</v>
      </c>
      <c r="R14" s="497">
        <f t="shared" si="1"/>
        <v>1.6029453282972797E-2</v>
      </c>
      <c r="S14" s="497">
        <f t="shared" si="1"/>
        <v>1.4659833795013852E-2</v>
      </c>
      <c r="T14" s="497">
        <f t="shared" si="1"/>
        <v>1.0702606727542339E-2</v>
      </c>
      <c r="U14" s="497">
        <f t="shared" ca="1" si="1"/>
        <v>1.4065295403035407E-2</v>
      </c>
      <c r="V14" s="497">
        <f t="shared" ca="1" si="1"/>
        <v>1.4906387657771695E-2</v>
      </c>
      <c r="W14" s="497">
        <f t="shared" ca="1" si="1"/>
        <v>1.9650644314535646E-2</v>
      </c>
      <c r="X14" s="497">
        <f t="shared" ca="1" si="1"/>
        <v>1.9856237999152721E-2</v>
      </c>
      <c r="Y14" s="497">
        <f t="shared" ca="1" si="1"/>
        <v>2.0063783551429806E-2</v>
      </c>
      <c r="Z14" s="497">
        <f t="shared" ca="1" si="1"/>
        <v>2.0273350300138358E-2</v>
      </c>
      <c r="AA14" s="497">
        <f t="shared" ca="1" si="1"/>
        <v>2.048500237720955E-2</v>
      </c>
      <c r="AC14" s="505"/>
      <c r="AD14" s="505"/>
      <c r="AE14" s="505"/>
      <c r="AF14" s="505"/>
      <c r="AG14" s="505">
        <v>1.5709570957095711E-2</v>
      </c>
      <c r="AH14" s="505">
        <v>1.1494252873563218E-2</v>
      </c>
      <c r="AI14" s="505">
        <v>9.0697071780253945E-3</v>
      </c>
      <c r="AJ14" s="505">
        <v>1.2091177002894775E-2</v>
      </c>
      <c r="AK14" s="505">
        <v>1.6379203375108575E-2</v>
      </c>
      <c r="AL14" s="505">
        <v>3.7197024238060953E-3</v>
      </c>
      <c r="AM14" s="505">
        <v>4.9646270323941916E-3</v>
      </c>
      <c r="AN14" s="505">
        <v>3.0000000000000001E-3</v>
      </c>
      <c r="AO14" s="505">
        <v>2E-3</v>
      </c>
      <c r="AP14" s="505">
        <v>1.7000000000000001E-2</v>
      </c>
      <c r="AQ14" s="505">
        <v>2.3E-2</v>
      </c>
      <c r="AR14" s="505">
        <v>0.02</v>
      </c>
      <c r="AS14" s="505">
        <v>4.2999999999999997E-2</v>
      </c>
      <c r="AT14" s="505">
        <v>7.1999999999999995E-2</v>
      </c>
      <c r="AU14" s="505">
        <v>8.4000000000000005E-2</v>
      </c>
      <c r="AV14" s="505">
        <v>9.8000000000000004E-2</v>
      </c>
      <c r="AW14" s="505">
        <v>5.7000000000000002E-2</v>
      </c>
      <c r="AX14" s="505">
        <v>2.7E-2</v>
      </c>
      <c r="AY14" s="505">
        <v>-2E-3</v>
      </c>
      <c r="AZ14" s="505">
        <v>-1.2E-2</v>
      </c>
      <c r="BA14" s="505">
        <v>2E-3</v>
      </c>
      <c r="BB14" s="505">
        <v>-2E-3</v>
      </c>
      <c r="BC14" s="505">
        <v>2.3E-2</v>
      </c>
      <c r="BD14" s="505">
        <v>1.9E-2</v>
      </c>
      <c r="BE14" s="505">
        <v>3.6999999999999998E-2</v>
      </c>
      <c r="BF14" s="505">
        <v>5.5E-2</v>
      </c>
      <c r="BG14" s="505">
        <v>7.0000000000000007E-2</v>
      </c>
      <c r="BH14" s="505">
        <v>7.5999999999999998E-2</v>
      </c>
      <c r="BI14" s="497">
        <f t="shared" si="2"/>
        <v>4.9634920634920643E-2</v>
      </c>
      <c r="BJ14" s="497">
        <f t="shared" si="2"/>
        <v>4.4766670304485438E-2</v>
      </c>
      <c r="BK14" s="497">
        <f t="shared" si="2"/>
        <v>2.117099567099567E-2</v>
      </c>
      <c r="BL14" s="497">
        <f>+BL132/BH$140</f>
        <v>1.4951957846885008E-2</v>
      </c>
      <c r="BM14" s="497">
        <f t="shared" si="3"/>
        <v>1.2107534325602859E-2</v>
      </c>
      <c r="BN14" s="497">
        <f t="shared" si="3"/>
        <v>1.0368242054649938E-3</v>
      </c>
      <c r="BO14" s="497">
        <f t="shared" si="3"/>
        <v>6.0293057890944859E-5</v>
      </c>
      <c r="BP14" s="497">
        <f t="shared" si="3"/>
        <v>2.1572406529752511E-3</v>
      </c>
      <c r="BQ14" s="506">
        <f t="shared" si="3"/>
        <v>2.5060841720036597E-2</v>
      </c>
      <c r="BR14" s="497">
        <f t="shared" si="3"/>
        <v>3.6105642815590457E-2</v>
      </c>
      <c r="BS14" s="497">
        <f t="shared" si="3"/>
        <v>5.8018885741265347E-2</v>
      </c>
      <c r="BT14" s="497">
        <f>+BT132/BP$140</f>
        <v>6.0387331365935909E-2</v>
      </c>
      <c r="BU14" s="497">
        <f t="shared" si="3"/>
        <v>3.3254559305408465E-2</v>
      </c>
      <c r="BV14" s="497">
        <f t="shared" si="3"/>
        <v>2.88463142294152E-2</v>
      </c>
      <c r="BW14" s="497">
        <f t="shared" si="3"/>
        <v>4.6703292181069958E-2</v>
      </c>
      <c r="BX14" s="497">
        <f t="shared" si="3"/>
        <v>3.8882228955341845E-2</v>
      </c>
      <c r="BY14" s="497">
        <f t="shared" si="3"/>
        <v>2.9444043863602221E-2</v>
      </c>
      <c r="BZ14" s="497">
        <f t="shared" si="3"/>
        <v>1.7020485345099274E-2</v>
      </c>
      <c r="CA14" s="497">
        <f t="shared" si="3"/>
        <v>6.8054383497421472E-3</v>
      </c>
      <c r="CB14" s="497">
        <f>+CB132/BX$140</f>
        <v>1.0637402901949287E-2</v>
      </c>
      <c r="CC14" s="497">
        <f t="shared" si="4"/>
        <v>1.2035668991756501E-2</v>
      </c>
      <c r="CD14" s="497">
        <f t="shared" si="4"/>
        <v>1.0460725321190436E-2</v>
      </c>
      <c r="CE14" s="497">
        <f t="shared" si="4"/>
        <v>1.4837660256410257E-2</v>
      </c>
      <c r="CF14" s="497">
        <f t="shared" si="4"/>
        <v>2.0937623611745015E-2</v>
      </c>
      <c r="CG14" s="497">
        <f t="shared" si="5"/>
        <v>1.304396304555591E-2</v>
      </c>
      <c r="CH14" s="497">
        <f t="shared" si="5"/>
        <v>1.5504424778761062E-2</v>
      </c>
      <c r="CI14" s="497">
        <f t="shared" si="5"/>
        <v>9.8203316953316966E-3</v>
      </c>
      <c r="CJ14" s="497">
        <f t="shared" si="5"/>
        <v>5.3622126436781584E-3</v>
      </c>
    </row>
    <row r="15" spans="1:136" s="90" customFormat="1" ht="6" customHeight="1">
      <c r="A15" s="87"/>
      <c r="B15" s="103"/>
      <c r="C15" s="103"/>
      <c r="D15" s="103"/>
      <c r="E15" s="103"/>
      <c r="F15" s="103"/>
      <c r="G15" s="103"/>
      <c r="H15" s="103"/>
      <c r="I15" s="103"/>
      <c r="J15" s="103"/>
      <c r="K15" s="103"/>
      <c r="L15" s="103"/>
      <c r="M15" s="91"/>
      <c r="N15" s="91"/>
      <c r="O15" s="91"/>
      <c r="P15" s="502"/>
      <c r="Q15" s="158"/>
      <c r="R15" s="698"/>
      <c r="S15" s="158"/>
      <c r="T15" s="158"/>
      <c r="U15" s="158"/>
      <c r="V15" s="158"/>
      <c r="W15" s="158"/>
      <c r="X15" s="158"/>
      <c r="Y15" s="158"/>
      <c r="Z15" s="158"/>
      <c r="AA15" s="158"/>
      <c r="AB15" s="158"/>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1"/>
      <c r="CF15" s="91"/>
      <c r="CG15" s="91"/>
      <c r="CH15" s="91"/>
      <c r="CI15" s="91"/>
      <c r="CJ15" s="91"/>
      <c r="CO15" s="39"/>
      <c r="DK15" s="39"/>
      <c r="DL15" s="39"/>
      <c r="DM15" s="39"/>
      <c r="DN15" s="39"/>
      <c r="DO15" s="39"/>
      <c r="DP15" s="39"/>
      <c r="DQ15" s="91"/>
      <c r="DR15" s="39"/>
      <c r="DS15" s="39"/>
      <c r="DT15" s="39"/>
      <c r="DU15" s="39"/>
      <c r="DV15" s="39"/>
      <c r="DW15" s="39"/>
      <c r="DX15" s="39"/>
      <c r="DY15" s="39"/>
      <c r="DZ15" s="39"/>
      <c r="EA15" s="92"/>
      <c r="EB15" s="92"/>
      <c r="EC15" s="92"/>
      <c r="ED15" s="92"/>
      <c r="EE15" s="92"/>
      <c r="EF15" s="92"/>
    </row>
    <row r="16" spans="1:136" ht="11.25" customHeight="1">
      <c r="A16" s="2" t="s">
        <v>43</v>
      </c>
      <c r="B16" s="32"/>
      <c r="C16" s="32"/>
      <c r="D16" s="32"/>
      <c r="E16" s="32"/>
      <c r="F16" s="505">
        <v>0</v>
      </c>
      <c r="G16" s="505">
        <v>0</v>
      </c>
      <c r="H16" s="505">
        <v>0</v>
      </c>
      <c r="I16" s="505">
        <v>0</v>
      </c>
      <c r="J16" s="505">
        <v>0</v>
      </c>
      <c r="K16" s="505">
        <v>0</v>
      </c>
      <c r="L16" s="505">
        <v>-1.4293618590925858E-3</v>
      </c>
      <c r="M16" s="497">
        <f t="shared" ref="M16:AA20" si="6">+M134/L$140</f>
        <v>3.4107148528057414E-2</v>
      </c>
      <c r="N16" s="497">
        <f t="shared" si="6"/>
        <v>-4.4010053057805081E-2</v>
      </c>
      <c r="O16" s="497">
        <f t="shared" si="6"/>
        <v>-2.3898023554349505E-2</v>
      </c>
      <c r="P16" s="497">
        <f t="shared" si="6"/>
        <v>-5.11629224623927E-2</v>
      </c>
      <c r="Q16" s="497">
        <f t="shared" si="6"/>
        <v>-0.12053992190655716</v>
      </c>
      <c r="R16" s="497">
        <f>+R134/Q$140</f>
        <v>-4.7003166609438783E-2</v>
      </c>
      <c r="S16" s="497">
        <f>+S134/R$140</f>
        <v>3.0075187969924814E-3</v>
      </c>
      <c r="T16" s="497">
        <f>+T134/S$140</f>
        <v>3.3761641116788706E-2</v>
      </c>
      <c r="U16" s="497">
        <f t="shared" ca="1" si="6"/>
        <v>0</v>
      </c>
      <c r="V16" s="497">
        <f t="shared" ca="1" si="6"/>
        <v>0</v>
      </c>
      <c r="W16" s="497">
        <f t="shared" ca="1" si="6"/>
        <v>0</v>
      </c>
      <c r="X16" s="497">
        <f t="shared" ca="1" si="6"/>
        <v>0</v>
      </c>
      <c r="Y16" s="497">
        <f t="shared" ca="1" si="6"/>
        <v>0</v>
      </c>
      <c r="Z16" s="497">
        <f t="shared" ca="1" si="6"/>
        <v>0</v>
      </c>
      <c r="AA16" s="497">
        <f t="shared" ca="1" si="6"/>
        <v>0</v>
      </c>
      <c r="AC16" s="32"/>
      <c r="AD16" s="32"/>
      <c r="AE16" s="32"/>
      <c r="AF16" s="32"/>
      <c r="AG16" s="32"/>
      <c r="AH16" s="32"/>
      <c r="AI16" s="32"/>
      <c r="AJ16" s="32"/>
      <c r="AK16" s="32"/>
      <c r="AL16" s="32"/>
      <c r="AM16" s="32"/>
      <c r="AN16" s="32"/>
      <c r="AO16" s="32"/>
      <c r="AP16" s="32"/>
      <c r="AQ16" s="32"/>
      <c r="AR16" s="32"/>
      <c r="AS16" s="505">
        <v>0.12014134275618374</v>
      </c>
      <c r="AT16" s="505">
        <v>0.1383116883116883</v>
      </c>
      <c r="AU16" s="505">
        <v>0.10484129528695095</v>
      </c>
      <c r="AV16" s="505">
        <v>-0.101826369777333</v>
      </c>
      <c r="AW16" s="505">
        <v>-0.15348619560131024</v>
      </c>
      <c r="AX16" s="505">
        <v>-0.16591056383668179</v>
      </c>
      <c r="AY16" s="505">
        <v>-0.11960652805723228</v>
      </c>
      <c r="AZ16" s="505">
        <v>5.565217391304348E-2</v>
      </c>
      <c r="BA16" s="505">
        <v>7.744565217391304E-2</v>
      </c>
      <c r="BB16" s="505">
        <v>-3.7641154328732747E-3</v>
      </c>
      <c r="BC16" s="505">
        <v>-6.2360248447204968E-2</v>
      </c>
      <c r="BD16" s="505">
        <v>-5.959475566150179E-2</v>
      </c>
      <c r="BE16" s="505">
        <v>1.4209591474245116E-2</v>
      </c>
      <c r="BF16" s="505">
        <v>0.10439921208141825</v>
      </c>
      <c r="BG16" s="505">
        <v>8.0968280467445738E-2</v>
      </c>
      <c r="BH16" s="505">
        <v>-2.2844999335901183E-2</v>
      </c>
      <c r="BI16" s="497">
        <f t="shared" ref="BI16:BX20" si="7">+BI134/BE$140</f>
        <v>-2.3321123321123322E-2</v>
      </c>
      <c r="BJ16" s="497">
        <f t="shared" si="7"/>
        <v>-7.0937465895449095E-2</v>
      </c>
      <c r="BK16" s="497">
        <f t="shared" si="7"/>
        <v>-6.5276828434723169E-2</v>
      </c>
      <c r="BL16" s="497">
        <f t="shared" si="7"/>
        <v>-1.6737266246513071E-2</v>
      </c>
      <c r="BM16" s="497">
        <f t="shared" si="7"/>
        <v>-2.2705583795494151E-2</v>
      </c>
      <c r="BN16" s="497">
        <f t="shared" si="7"/>
        <v>-1.9115749970681366E-2</v>
      </c>
      <c r="BO16" s="497">
        <f t="shared" si="7"/>
        <v>-2.7624309392265196E-2</v>
      </c>
      <c r="BP16" s="497">
        <f t="shared" si="7"/>
        <v>-2.6013691416535017E-2</v>
      </c>
      <c r="BQ16" s="506">
        <f t="shared" si="7"/>
        <v>-3.7053979871912168E-2</v>
      </c>
      <c r="BR16" s="497">
        <f t="shared" si="7"/>
        <v>-2.8737638161721934E-2</v>
      </c>
      <c r="BS16" s="497">
        <f t="shared" si="7"/>
        <v>-3.9069877242681773E-2</v>
      </c>
      <c r="BT16" s="497">
        <f t="shared" si="7"/>
        <v>-9.5278246205733552E-2</v>
      </c>
      <c r="BU16" s="497">
        <f t="shared" si="7"/>
        <v>-0.11252992817238627</v>
      </c>
      <c r="BV16" s="497">
        <f t="shared" si="7"/>
        <v>-0.12272540703242578</v>
      </c>
      <c r="BW16" s="497">
        <f>+BW134/BS$140</f>
        <v>-0.13525377229080932</v>
      </c>
      <c r="BX16" s="497">
        <f>+BX134/BT$140</f>
        <v>-0.11223817678830193</v>
      </c>
      <c r="BY16" s="497">
        <f t="shared" ref="BY16:CB20" si="8">+BY134/BU$140</f>
        <v>-7.2254769415652703E-2</v>
      </c>
      <c r="BZ16" s="497">
        <f t="shared" si="8"/>
        <v>-4.9164828238260322E-2</v>
      </c>
      <c r="CA16" s="497">
        <f t="shared" si="8"/>
        <v>-3.0629785904047507E-2</v>
      </c>
      <c r="CB16" s="497">
        <f t="shared" si="8"/>
        <v>-3.5614832185255754E-2</v>
      </c>
      <c r="CC16" s="497">
        <f t="shared" ref="CC16:CF20" si="9">+CC134/BY$140</f>
        <v>-1.4584654407102092E-2</v>
      </c>
      <c r="CD16" s="497">
        <f t="shared" si="9"/>
        <v>-2.0165880630996912E-2</v>
      </c>
      <c r="CE16" s="497">
        <f t="shared" si="9"/>
        <v>1.282051282051282E-2</v>
      </c>
      <c r="CF16" s="497">
        <f t="shared" si="9"/>
        <v>3.2253156853795831E-2</v>
      </c>
      <c r="CG16" s="497">
        <f t="shared" ref="CG16:CJ20" si="10">+CG134/CC$140</f>
        <v>5.7440750009695792E-2</v>
      </c>
      <c r="CH16" s="497">
        <f t="shared" si="10"/>
        <v>4.1110583168474671E-2</v>
      </c>
      <c r="CI16" s="497">
        <f t="shared" si="10"/>
        <v>1.6217905405405401E-2</v>
      </c>
      <c r="CJ16" s="497">
        <f t="shared" si="10"/>
        <v>2.261293103448276E-2</v>
      </c>
      <c r="CK16" s="21"/>
    </row>
    <row r="17" spans="1:136" ht="11.25" customHeight="1">
      <c r="A17" s="2" t="s">
        <v>44</v>
      </c>
      <c r="B17" s="32"/>
      <c r="C17" s="32"/>
      <c r="D17" s="32"/>
      <c r="E17" s="32"/>
      <c r="F17" s="505">
        <v>-7.321409894362514E-4</v>
      </c>
      <c r="G17" s="505">
        <v>-1.9786307874950534E-4</v>
      </c>
      <c r="H17" s="505">
        <v>0</v>
      </c>
      <c r="I17" s="505">
        <v>0</v>
      </c>
      <c r="J17" s="505">
        <v>0</v>
      </c>
      <c r="K17" s="505">
        <v>0</v>
      </c>
      <c r="L17" s="505">
        <v>0.42152342309111029</v>
      </c>
      <c r="M17" s="497">
        <f t="shared" si="6"/>
        <v>2.2134713709549367E-2</v>
      </c>
      <c r="N17" s="497">
        <f t="shared" si="6"/>
        <v>0</v>
      </c>
      <c r="O17" s="497">
        <f t="shared" si="6"/>
        <v>2.6417249750107096E-3</v>
      </c>
      <c r="P17" s="497">
        <f t="shared" si="6"/>
        <v>3.6828238760304823E-4</v>
      </c>
      <c r="Q17" s="497">
        <f t="shared" si="6"/>
        <v>5.5654369193483232E-3</v>
      </c>
      <c r="R17" s="697">
        <f t="shared" si="6"/>
        <v>3.5099767273282208E-3</v>
      </c>
      <c r="S17" s="497">
        <f t="shared" si="6"/>
        <v>2.3347843292441631E-3</v>
      </c>
      <c r="T17" s="497">
        <f t="shared" ca="1" si="6"/>
        <v>0</v>
      </c>
      <c r="U17" s="497">
        <f t="shared" ca="1" si="6"/>
        <v>0</v>
      </c>
      <c r="V17" s="497">
        <f t="shared" ca="1" si="6"/>
        <v>0</v>
      </c>
      <c r="W17" s="497">
        <f t="shared" ca="1" si="6"/>
        <v>0</v>
      </c>
      <c r="X17" s="497">
        <f t="shared" ca="1" si="6"/>
        <v>0</v>
      </c>
      <c r="Y17" s="497">
        <f t="shared" ca="1" si="6"/>
        <v>0</v>
      </c>
      <c r="Z17" s="497">
        <f t="shared" ca="1" si="6"/>
        <v>0</v>
      </c>
      <c r="AA17" s="497">
        <f t="shared" ca="1" si="6"/>
        <v>0</v>
      </c>
      <c r="AC17" s="32"/>
      <c r="AD17" s="32"/>
      <c r="AE17" s="32"/>
      <c r="AF17" s="32"/>
      <c r="AG17" s="32"/>
      <c r="AH17" s="32"/>
      <c r="AI17" s="32"/>
      <c r="AJ17" s="32"/>
      <c r="AK17" s="32"/>
      <c r="AL17" s="32"/>
      <c r="AM17" s="32"/>
      <c r="AN17" s="32"/>
      <c r="AO17" s="32"/>
      <c r="AP17" s="32"/>
      <c r="AQ17" s="32"/>
      <c r="AR17" s="32"/>
      <c r="AS17" s="505">
        <v>0.24770318021201412</v>
      </c>
      <c r="AT17" s="505">
        <v>0.2818181818181818</v>
      </c>
      <c r="AU17" s="505">
        <v>0.25873677460724592</v>
      </c>
      <c r="AV17" s="505">
        <v>0.19864898674005504</v>
      </c>
      <c r="AW17" s="505">
        <v>0</v>
      </c>
      <c r="AX17" s="505">
        <v>0</v>
      </c>
      <c r="AY17" s="505">
        <v>0</v>
      </c>
      <c r="AZ17" s="505">
        <v>0</v>
      </c>
      <c r="BA17" s="505">
        <v>0.4418478260869565</v>
      </c>
      <c r="BB17" s="505">
        <v>0.53425345043914685</v>
      </c>
      <c r="BC17" s="505">
        <v>0.57689440993788821</v>
      </c>
      <c r="BD17" s="505">
        <v>0.52304330552244738</v>
      </c>
      <c r="BE17" s="505">
        <v>0.11651865008880995</v>
      </c>
      <c r="BF17" s="505">
        <v>0</v>
      </c>
      <c r="BG17" s="505">
        <v>0</v>
      </c>
      <c r="BH17" s="505">
        <v>0</v>
      </c>
      <c r="BI17" s="497">
        <f t="shared" si="7"/>
        <v>0</v>
      </c>
      <c r="BJ17" s="497">
        <f t="shared" si="7"/>
        <v>0</v>
      </c>
      <c r="BK17" s="497">
        <f t="shared" si="7"/>
        <v>0</v>
      </c>
      <c r="BL17" s="497">
        <f>+BL135/BH$140</f>
        <v>0</v>
      </c>
      <c r="BM17" s="497">
        <f>+BM135/BI$140</f>
        <v>1.6730125764393678E-3</v>
      </c>
      <c r="BN17" s="497">
        <f t="shared" si="7"/>
        <v>2.9318634924357921E-3</v>
      </c>
      <c r="BO17" s="497">
        <f t="shared" si="7"/>
        <v>2.7624309392265192E-3</v>
      </c>
      <c r="BP17" s="497">
        <f t="shared" si="7"/>
        <v>3.1595576619273301E-3</v>
      </c>
      <c r="BQ17" s="506">
        <f t="shared" si="7"/>
        <v>1.4867337602927722E-3</v>
      </c>
      <c r="BR17" s="497">
        <f t="shared" si="7"/>
        <v>0</v>
      </c>
      <c r="BS17" s="497">
        <f t="shared" si="7"/>
        <v>0</v>
      </c>
      <c r="BT17" s="497">
        <f t="shared" si="7"/>
        <v>0</v>
      </c>
      <c r="BU17" s="497">
        <f t="shared" si="7"/>
        <v>6.6507049747273209E-4</v>
      </c>
      <c r="BV17" s="497">
        <f t="shared" si="7"/>
        <v>1.4144205773703655E-3</v>
      </c>
      <c r="BW17" s="497">
        <f t="shared" si="7"/>
        <v>1.1522633744855968E-2</v>
      </c>
      <c r="BX17" s="497">
        <f t="shared" si="7"/>
        <v>8.6945066526149389E-3</v>
      </c>
      <c r="BY17" s="497">
        <f t="shared" si="8"/>
        <v>6.4593660808171848E-3</v>
      </c>
      <c r="BZ17" s="497">
        <f t="shared" si="8"/>
        <v>5.2001260636621496E-3</v>
      </c>
      <c r="CA17" s="497">
        <f t="shared" si="8"/>
        <v>0</v>
      </c>
      <c r="CB17" s="497">
        <f t="shared" si="8"/>
        <v>2.3450095266012018E-3</v>
      </c>
      <c r="CC17" s="497">
        <f t="shared" si="9"/>
        <v>2.2194039315155357E-3</v>
      </c>
      <c r="CD17" s="497">
        <f t="shared" si="9"/>
        <v>2.6020491136770209E-3</v>
      </c>
      <c r="CE17" s="497">
        <f t="shared" si="9"/>
        <v>3.205128205128205E-3</v>
      </c>
      <c r="CF17" s="497">
        <f t="shared" si="9"/>
        <v>1.3692377909630307E-3</v>
      </c>
      <c r="CG17" s="497">
        <f t="shared" si="10"/>
        <v>0</v>
      </c>
      <c r="CH17" s="497">
        <f t="shared" si="10"/>
        <v>0</v>
      </c>
      <c r="CI17" s="497">
        <f t="shared" si="10"/>
        <v>0</v>
      </c>
      <c r="CJ17" s="497">
        <f t="shared" si="10"/>
        <v>0</v>
      </c>
    </row>
    <row r="18" spans="1:136" ht="11.25" customHeight="1">
      <c r="A18" s="2" t="s">
        <v>45</v>
      </c>
      <c r="B18" s="32"/>
      <c r="C18" s="32"/>
      <c r="D18" s="32"/>
      <c r="E18" s="32"/>
      <c r="F18" s="505">
        <v>2.8658090157933271E-2</v>
      </c>
      <c r="G18" s="505">
        <v>6.6086268302334786E-2</v>
      </c>
      <c r="H18" s="505">
        <v>3.4103512014787431E-2</v>
      </c>
      <c r="I18" s="505">
        <v>3.8618971347214807E-2</v>
      </c>
      <c r="J18" s="505">
        <v>1.8802966101694914E-2</v>
      </c>
      <c r="K18" s="505">
        <v>4.7389243945915394E-3</v>
      </c>
      <c r="L18" s="505">
        <v>9.6827738841755813E-4</v>
      </c>
      <c r="M18" s="497">
        <f t="shared" si="6"/>
        <v>-6.827781129918384E-3</v>
      </c>
      <c r="N18" s="497">
        <f t="shared" si="6"/>
        <v>-2.0106115610164757E-3</v>
      </c>
      <c r="O18" s="497">
        <f t="shared" si="6"/>
        <v>-9.4388119377409683E-3</v>
      </c>
      <c r="P18" s="497">
        <f t="shared" si="6"/>
        <v>-2.0113884246012637E-3</v>
      </c>
      <c r="Q18" s="497">
        <f t="shared" si="6"/>
        <v>-1.0098290022889458E-4</v>
      </c>
      <c r="R18" s="697">
        <f t="shared" si="6"/>
        <v>-3.0521536759375834E-4</v>
      </c>
      <c r="S18" s="497">
        <f t="shared" si="6"/>
        <v>0</v>
      </c>
      <c r="T18" s="497">
        <f t="shared" si="6"/>
        <v>0</v>
      </c>
      <c r="U18" s="497">
        <f t="shared" ca="1" si="6"/>
        <v>0</v>
      </c>
      <c r="V18" s="497">
        <f t="shared" ca="1" si="6"/>
        <v>0</v>
      </c>
      <c r="W18" s="497">
        <f t="shared" ca="1" si="6"/>
        <v>0</v>
      </c>
      <c r="X18" s="497">
        <f t="shared" ca="1" si="6"/>
        <v>0</v>
      </c>
      <c r="Y18" s="497">
        <f t="shared" ca="1" si="6"/>
        <v>0</v>
      </c>
      <c r="Z18" s="497">
        <f t="shared" ca="1" si="6"/>
        <v>0</v>
      </c>
      <c r="AA18" s="497">
        <f t="shared" ca="1" si="6"/>
        <v>0</v>
      </c>
      <c r="AC18" s="32"/>
      <c r="AD18" s="32"/>
      <c r="AE18" s="32"/>
      <c r="AF18" s="32"/>
      <c r="AG18" s="32"/>
      <c r="AH18" s="32"/>
      <c r="AI18" s="32"/>
      <c r="AJ18" s="32"/>
      <c r="AK18" s="32"/>
      <c r="AL18" s="32"/>
      <c r="AM18" s="32"/>
      <c r="AN18" s="32"/>
      <c r="AO18" s="32"/>
      <c r="AP18" s="32"/>
      <c r="AQ18" s="32"/>
      <c r="AR18" s="32"/>
      <c r="AS18" s="505">
        <v>-7.0671378091872794E-2</v>
      </c>
      <c r="AT18" s="505">
        <v>-6.2012987012987013E-2</v>
      </c>
      <c r="AU18" s="505">
        <v>2.1801859570375122E-2</v>
      </c>
      <c r="AV18" s="505">
        <v>7.0052539404553416E-3</v>
      </c>
      <c r="AW18" s="505">
        <v>0</v>
      </c>
      <c r="AX18" s="505">
        <v>1.0801468999783971E-3</v>
      </c>
      <c r="AY18" s="505">
        <v>2.23563603845294E-4</v>
      </c>
      <c r="AZ18" s="505">
        <v>1.5217391304347826E-3</v>
      </c>
      <c r="BA18" s="505">
        <v>0</v>
      </c>
      <c r="BB18" s="505">
        <v>0</v>
      </c>
      <c r="BC18" s="505">
        <v>0</v>
      </c>
      <c r="BD18" s="505">
        <v>0</v>
      </c>
      <c r="BE18" s="505">
        <v>0</v>
      </c>
      <c r="BF18" s="505">
        <v>0</v>
      </c>
      <c r="BG18" s="505">
        <v>0</v>
      </c>
      <c r="BH18" s="505">
        <v>0</v>
      </c>
      <c r="BI18" s="497">
        <f t="shared" si="7"/>
        <v>1.221001221001221E-4</v>
      </c>
      <c r="BJ18" s="497">
        <f t="shared" si="7"/>
        <v>-2.1826912583215105E-3</v>
      </c>
      <c r="BK18" s="497">
        <f t="shared" si="7"/>
        <v>-1.4809751651856916E-3</v>
      </c>
      <c r="BL18" s="497">
        <f>+BL136/BH$140</f>
        <v>-4.132658332472363E-3</v>
      </c>
      <c r="BM18" s="497">
        <f t="shared" si="7"/>
        <v>-7.4997115495557863E-3</v>
      </c>
      <c r="BN18" s="497">
        <f t="shared" si="7"/>
        <v>-1.3662483874750792E-2</v>
      </c>
      <c r="BO18" s="497">
        <f t="shared" si="7"/>
        <v>-1.2130674993994716E-2</v>
      </c>
      <c r="BP18" s="497">
        <f>+BP136/BL$140</f>
        <v>-5.0552922590837279E-3</v>
      </c>
      <c r="BQ18" s="506">
        <f t="shared" si="7"/>
        <v>-3.9455626715462029E-3</v>
      </c>
      <c r="BR18" s="497">
        <f t="shared" si="7"/>
        <v>-1.6288539848749273E-3</v>
      </c>
      <c r="BS18" s="497">
        <f>+BS136/BO$140</f>
        <v>-1.4164305949008499E-3</v>
      </c>
      <c r="BT18" s="497">
        <f>+BT136/BP$140</f>
        <v>-1.1066610455311974E-3</v>
      </c>
      <c r="BU18" s="497">
        <f>+BU136/BQ$140</f>
        <v>0</v>
      </c>
      <c r="BV18" s="497">
        <f t="shared" si="7"/>
        <v>0</v>
      </c>
      <c r="BW18" s="497">
        <f t="shared" si="7"/>
        <v>0</v>
      </c>
      <c r="BX18" s="497">
        <f t="shared" si="7"/>
        <v>-3.952048478461336E-4</v>
      </c>
      <c r="BY18" s="497">
        <f t="shared" si="8"/>
        <v>-3.0043563166591558E-4</v>
      </c>
      <c r="BZ18" s="497">
        <f t="shared" si="8"/>
        <v>-3.1515915537346358E-4</v>
      </c>
      <c r="CA18" s="497">
        <f t="shared" si="8"/>
        <v>-3.1254883575558681E-4</v>
      </c>
      <c r="CB18" s="497">
        <f t="shared" si="8"/>
        <v>-2.9312619082515022E-4</v>
      </c>
      <c r="CC18" s="497">
        <f t="shared" si="9"/>
        <v>0</v>
      </c>
      <c r="CD18" s="497">
        <f t="shared" si="9"/>
        <v>0</v>
      </c>
      <c r="CE18" s="497">
        <f t="shared" si="9"/>
        <v>0</v>
      </c>
      <c r="CF18" s="497">
        <f t="shared" si="9"/>
        <v>0</v>
      </c>
      <c r="CG18" s="497">
        <f t="shared" si="10"/>
        <v>0</v>
      </c>
      <c r="CH18" s="497">
        <f t="shared" si="10"/>
        <v>0</v>
      </c>
      <c r="CI18" s="497">
        <f t="shared" ca="1" si="10"/>
        <v>0</v>
      </c>
      <c r="CJ18" s="497">
        <f t="shared" si="10"/>
        <v>0</v>
      </c>
    </row>
    <row r="19" spans="1:136" ht="11.25" customHeight="1">
      <c r="A19" s="2" t="s">
        <v>46</v>
      </c>
      <c r="B19" s="32"/>
      <c r="C19" s="32"/>
      <c r="D19" s="32"/>
      <c r="E19" s="32"/>
      <c r="F19" s="505">
        <v>0</v>
      </c>
      <c r="G19" s="505">
        <v>0</v>
      </c>
      <c r="H19" s="505">
        <v>0</v>
      </c>
      <c r="I19" s="505">
        <v>0</v>
      </c>
      <c r="J19" s="505">
        <v>0</v>
      </c>
      <c r="K19" s="505">
        <v>0</v>
      </c>
      <c r="L19" s="505">
        <v>9.2677978605680555E-3</v>
      </c>
      <c r="M19" s="497">
        <f t="shared" si="6"/>
        <v>1.8165073517736351E-2</v>
      </c>
      <c r="N19" s="497">
        <f t="shared" si="6"/>
        <v>-1.8961184026808155E-2</v>
      </c>
      <c r="O19" s="497">
        <f t="shared" si="6"/>
        <v>1.0852491789233186E-3</v>
      </c>
      <c r="P19" s="497">
        <f t="shared" si="6"/>
        <v>-1.0765177483781411E-3</v>
      </c>
      <c r="Q19" s="497">
        <f t="shared" si="6"/>
        <v>2.6255554059512591E-3</v>
      </c>
      <c r="R19" s="697">
        <f t="shared" si="6"/>
        <v>-2.1746594941055284E-3</v>
      </c>
      <c r="S19" s="497">
        <f t="shared" si="6"/>
        <v>0</v>
      </c>
      <c r="T19" s="497">
        <f t="shared" si="6"/>
        <v>0</v>
      </c>
      <c r="U19" s="497">
        <f t="shared" ca="1" si="6"/>
        <v>0</v>
      </c>
      <c r="V19" s="497">
        <f t="shared" ca="1" si="6"/>
        <v>0</v>
      </c>
      <c r="W19" s="497">
        <f t="shared" ca="1" si="6"/>
        <v>0</v>
      </c>
      <c r="X19" s="497">
        <f t="shared" ca="1" si="6"/>
        <v>0</v>
      </c>
      <c r="Y19" s="497">
        <f t="shared" ca="1" si="6"/>
        <v>0</v>
      </c>
      <c r="Z19" s="497">
        <f t="shared" ca="1" si="6"/>
        <v>0</v>
      </c>
      <c r="AA19" s="497">
        <f t="shared" ca="1" si="6"/>
        <v>0</v>
      </c>
      <c r="AC19" s="32"/>
      <c r="AD19" s="32"/>
      <c r="AE19" s="32"/>
      <c r="AF19" s="32"/>
      <c r="AG19" s="32"/>
      <c r="AH19" s="32"/>
      <c r="AI19" s="32"/>
      <c r="AJ19" s="32"/>
      <c r="AK19" s="32"/>
      <c r="AL19" s="32"/>
      <c r="AM19" s="32"/>
      <c r="AN19" s="32"/>
      <c r="AO19" s="32"/>
      <c r="AP19" s="32"/>
      <c r="AQ19" s="32"/>
      <c r="AR19" s="32"/>
      <c r="AS19" s="505">
        <v>0</v>
      </c>
      <c r="AT19" s="505">
        <v>0</v>
      </c>
      <c r="AU19" s="505">
        <v>0</v>
      </c>
      <c r="AV19" s="505">
        <v>0</v>
      </c>
      <c r="AW19" s="505">
        <v>0</v>
      </c>
      <c r="AX19" s="505">
        <v>0</v>
      </c>
      <c r="AY19" s="505">
        <v>0</v>
      </c>
      <c r="AZ19" s="505">
        <v>0</v>
      </c>
      <c r="BA19" s="505">
        <v>0</v>
      </c>
      <c r="BB19" s="505">
        <v>0</v>
      </c>
      <c r="BC19" s="505">
        <v>0</v>
      </c>
      <c r="BD19" s="505">
        <v>0</v>
      </c>
      <c r="BE19" s="505">
        <v>0</v>
      </c>
      <c r="BF19" s="505">
        <v>0</v>
      </c>
      <c r="BG19" s="505">
        <v>0</v>
      </c>
      <c r="BH19" s="505">
        <v>4.4627440563155797E-2</v>
      </c>
      <c r="BI19" s="497">
        <f t="shared" si="7"/>
        <v>0</v>
      </c>
      <c r="BJ19" s="497">
        <f t="shared" si="7"/>
        <v>-3.8087962457710359E-2</v>
      </c>
      <c r="BK19" s="497">
        <f t="shared" si="7"/>
        <v>0</v>
      </c>
      <c r="BL19" s="497">
        <f>+BL137/BH$140</f>
        <v>-3.4094431242896996E-2</v>
      </c>
      <c r="BM19" s="497">
        <f t="shared" si="7"/>
        <v>0</v>
      </c>
      <c r="BN19" s="497">
        <f t="shared" si="7"/>
        <v>0</v>
      </c>
      <c r="BO19" s="497">
        <f t="shared" si="7"/>
        <v>2.2820081671871247E-3</v>
      </c>
      <c r="BP19" s="497">
        <f t="shared" si="7"/>
        <v>2.0010531858873091E-3</v>
      </c>
      <c r="BQ19" s="506">
        <f t="shared" si="7"/>
        <v>0</v>
      </c>
      <c r="BR19" s="497">
        <f t="shared" si="7"/>
        <v>0</v>
      </c>
      <c r="BS19" s="497">
        <f t="shared" si="7"/>
        <v>-2.2426817752596788E-3</v>
      </c>
      <c r="BT19" s="497">
        <f t="shared" si="7"/>
        <v>-2.0025295109612142E-3</v>
      </c>
      <c r="BU19" s="497">
        <f t="shared" si="7"/>
        <v>5.1875498802873106E-3</v>
      </c>
      <c r="BV19" s="497">
        <f t="shared" si="7"/>
        <v>0</v>
      </c>
      <c r="BW19" s="497">
        <f t="shared" si="7"/>
        <v>2.606310013717421E-3</v>
      </c>
      <c r="BX19" s="497">
        <f t="shared" si="7"/>
        <v>2.6346989856408905E-3</v>
      </c>
      <c r="BY19" s="497">
        <f t="shared" si="8"/>
        <v>-5.7082770016523956E-3</v>
      </c>
      <c r="BZ19" s="497">
        <f t="shared" si="8"/>
        <v>0</v>
      </c>
      <c r="CA19" s="497">
        <f t="shared" si="8"/>
        <v>-2.9692139396780746E-3</v>
      </c>
      <c r="CB19" s="497">
        <f t="shared" si="8"/>
        <v>0</v>
      </c>
      <c r="CC19" s="497">
        <f t="shared" si="9"/>
        <v>0</v>
      </c>
      <c r="CD19" s="497">
        <f t="shared" si="9"/>
        <v>0</v>
      </c>
      <c r="CE19" s="497">
        <f t="shared" si="9"/>
        <v>0</v>
      </c>
      <c r="CF19" s="497">
        <f t="shared" si="9"/>
        <v>0</v>
      </c>
      <c r="CG19" s="497">
        <f t="shared" si="10"/>
        <v>0</v>
      </c>
      <c r="CH19" s="497">
        <f t="shared" si="10"/>
        <v>0</v>
      </c>
      <c r="CI19" s="497">
        <f t="shared" si="10"/>
        <v>0</v>
      </c>
      <c r="CJ19" s="497">
        <f t="shared" si="10"/>
        <v>0</v>
      </c>
    </row>
    <row r="20" spans="1:136" ht="11.25" customHeight="1">
      <c r="A20" s="2" t="s">
        <v>47</v>
      </c>
      <c r="B20" s="32"/>
      <c r="C20" s="32"/>
      <c r="D20" s="32"/>
      <c r="E20" s="32"/>
      <c r="F20" s="32"/>
      <c r="G20" s="32"/>
      <c r="H20" s="32"/>
      <c r="I20" s="32"/>
      <c r="J20" s="32"/>
      <c r="K20" s="32"/>
      <c r="L20" s="32" t="s">
        <v>48</v>
      </c>
      <c r="M20" s="497">
        <f t="shared" si="6"/>
        <v>-3.1757121534504114E-5</v>
      </c>
      <c r="N20" s="497">
        <f t="shared" si="6"/>
        <v>2.7925160569673275E-5</v>
      </c>
      <c r="O20" s="497">
        <f t="shared" si="6"/>
        <v>0</v>
      </c>
      <c r="P20" s="497">
        <f t="shared" si="6"/>
        <v>-0.12859429445593357</v>
      </c>
      <c r="Q20" s="497">
        <f t="shared" si="6"/>
        <v>3.78382927157672E-4</v>
      </c>
      <c r="R20" s="697">
        <f t="shared" si="6"/>
        <v>2.8129411315859715E-4</v>
      </c>
      <c r="S20" s="497">
        <f t="shared" ca="1" si="6"/>
        <v>0</v>
      </c>
      <c r="T20" s="497">
        <f t="shared" si="6"/>
        <v>0</v>
      </c>
      <c r="U20" s="497">
        <f t="shared" ca="1" si="6"/>
        <v>0</v>
      </c>
      <c r="V20" s="497">
        <f t="shared" ca="1" si="6"/>
        <v>0</v>
      </c>
      <c r="W20" s="497">
        <f t="shared" ca="1" si="6"/>
        <v>0</v>
      </c>
      <c r="X20" s="497">
        <f t="shared" ca="1" si="6"/>
        <v>0</v>
      </c>
      <c r="Y20" s="497">
        <f t="shared" ca="1" si="6"/>
        <v>0</v>
      </c>
      <c r="Z20" s="497">
        <f t="shared" ca="1" si="6"/>
        <v>0</v>
      </c>
      <c r="AA20" s="497">
        <f t="shared" ca="1" si="6"/>
        <v>0</v>
      </c>
      <c r="AC20" s="32"/>
      <c r="AD20" s="32"/>
      <c r="AE20" s="32"/>
      <c r="AF20" s="32"/>
      <c r="AG20" s="32"/>
      <c r="AH20" s="32"/>
      <c r="AI20" s="32"/>
      <c r="AJ20" s="32"/>
      <c r="AK20" s="32"/>
      <c r="AL20" s="32"/>
      <c r="AM20" s="32"/>
      <c r="AN20" s="32"/>
      <c r="AO20" s="32"/>
      <c r="AP20" s="32"/>
      <c r="AQ20" s="32"/>
      <c r="AR20" s="32"/>
      <c r="AS20" s="505">
        <v>0</v>
      </c>
      <c r="AT20" s="505">
        <v>0</v>
      </c>
      <c r="AU20" s="505">
        <v>0</v>
      </c>
      <c r="AV20" s="505">
        <v>0</v>
      </c>
      <c r="AW20" s="505">
        <v>0</v>
      </c>
      <c r="AX20" s="505">
        <v>0</v>
      </c>
      <c r="AY20" s="505">
        <v>0</v>
      </c>
      <c r="AZ20" s="505">
        <v>0</v>
      </c>
      <c r="BA20" s="505">
        <v>0</v>
      </c>
      <c r="BB20" s="505">
        <v>0</v>
      </c>
      <c r="BC20" s="505">
        <v>0</v>
      </c>
      <c r="BD20" s="505">
        <v>0</v>
      </c>
      <c r="BE20" s="505">
        <v>0</v>
      </c>
      <c r="BF20" s="505">
        <v>0</v>
      </c>
      <c r="BG20" s="505">
        <v>0</v>
      </c>
      <c r="BH20" s="505">
        <v>0</v>
      </c>
      <c r="BI20" s="497">
        <f t="shared" si="7"/>
        <v>0</v>
      </c>
      <c r="BJ20" s="497">
        <f t="shared" si="7"/>
        <v>0</v>
      </c>
      <c r="BK20" s="497">
        <f t="shared" si="7"/>
        <v>0</v>
      </c>
      <c r="BL20" s="497">
        <f>+BL138/BH$140</f>
        <v>1.0331645831180907E-4</v>
      </c>
      <c r="BM20" s="497">
        <f t="shared" si="7"/>
        <v>0</v>
      </c>
      <c r="BN20" s="497">
        <f t="shared" si="7"/>
        <v>0</v>
      </c>
      <c r="BO20" s="497">
        <f t="shared" si="7"/>
        <v>0</v>
      </c>
      <c r="BP20" s="497">
        <f t="shared" si="7"/>
        <v>0</v>
      </c>
      <c r="BQ20" s="506">
        <f t="shared" si="7"/>
        <v>-0.12856175663311986</v>
      </c>
      <c r="BR20" s="497">
        <f t="shared" si="7"/>
        <v>-0.13139732402559626</v>
      </c>
      <c r="BS20" s="497">
        <f t="shared" si="7"/>
        <v>-0.1236055240793201</v>
      </c>
      <c r="BT20" s="497">
        <f t="shared" si="7"/>
        <v>-0.13053962900505903</v>
      </c>
      <c r="BU20" s="497">
        <f t="shared" si="7"/>
        <v>-2.8664538441071222E-4</v>
      </c>
      <c r="BV20" s="497">
        <f>+BV138/BR$140</f>
        <v>-1.290190176495065E-4</v>
      </c>
      <c r="BW20" s="497">
        <f t="shared" si="7"/>
        <v>-4.9026063100135974E-4</v>
      </c>
      <c r="BX20" s="497">
        <f t="shared" si="7"/>
        <v>2.3597681464892651E-3</v>
      </c>
      <c r="BY20" s="497">
        <f t="shared" si="8"/>
        <v>2.3944719843773383E-4</v>
      </c>
      <c r="BZ20" s="497">
        <f t="shared" si="8"/>
        <v>2.5323038134258014E-4</v>
      </c>
      <c r="CA20" s="497">
        <f t="shared" si="8"/>
        <v>3.8068448195030139E-4</v>
      </c>
      <c r="CB20" s="497">
        <f t="shared" si="8"/>
        <v>2.54433533636231E-4</v>
      </c>
      <c r="CC20" s="497">
        <f t="shared" si="9"/>
        <v>0</v>
      </c>
      <c r="CD20" s="497">
        <f t="shared" ca="1" si="9"/>
        <v>3.3338754268987707E-5</v>
      </c>
      <c r="CE20" s="497">
        <f t="shared" si="9"/>
        <v>3.7820512820513492E-5</v>
      </c>
      <c r="CF20" s="497">
        <f t="shared" ca="1" si="9"/>
        <v>-6.7092651757189967E-5</v>
      </c>
      <c r="CG20" s="497">
        <f t="shared" si="10"/>
        <v>0</v>
      </c>
      <c r="CH20" s="497">
        <f t="shared" si="10"/>
        <v>0</v>
      </c>
      <c r="CI20" s="497">
        <f t="shared" si="10"/>
        <v>0</v>
      </c>
      <c r="CJ20" s="497">
        <f t="shared" si="10"/>
        <v>0</v>
      </c>
    </row>
    <row r="21" spans="1:136" s="90" customFormat="1" ht="6" customHeight="1">
      <c r="A21" s="87"/>
      <c r="B21" s="103"/>
      <c r="C21" s="103"/>
      <c r="D21" s="103"/>
      <c r="E21" s="103"/>
      <c r="F21" s="103"/>
      <c r="G21" s="103"/>
      <c r="H21" s="103"/>
      <c r="I21" s="103"/>
      <c r="J21" s="103"/>
      <c r="K21" s="103"/>
      <c r="L21" s="103"/>
      <c r="M21" s="91"/>
      <c r="N21" s="91"/>
      <c r="O21" s="91"/>
      <c r="P21" s="502"/>
      <c r="Q21" s="158"/>
      <c r="R21" s="158"/>
      <c r="S21" s="158"/>
      <c r="T21" s="158"/>
      <c r="U21" s="158"/>
      <c r="V21" s="158"/>
      <c r="W21" s="158"/>
      <c r="X21" s="158"/>
      <c r="Y21" s="158"/>
      <c r="Z21" s="158"/>
      <c r="AA21" s="158"/>
      <c r="AB21" s="158"/>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1"/>
      <c r="CF21" s="91"/>
      <c r="CG21" s="91"/>
      <c r="CH21" s="91"/>
      <c r="CI21" s="91"/>
      <c r="CJ21" s="91"/>
      <c r="CO21" s="39"/>
      <c r="DK21" s="39"/>
      <c r="DL21" s="39"/>
      <c r="DM21" s="39"/>
      <c r="DN21" s="39"/>
      <c r="DO21" s="39"/>
      <c r="DP21" s="39"/>
      <c r="DQ21" s="91"/>
      <c r="DR21" s="39"/>
      <c r="DS21" s="39"/>
      <c r="DT21" s="39"/>
      <c r="DU21" s="39"/>
      <c r="DV21" s="39"/>
      <c r="DW21" s="39"/>
      <c r="DX21" s="39"/>
      <c r="DY21" s="39"/>
      <c r="DZ21" s="39"/>
      <c r="EA21" s="92"/>
      <c r="EB21" s="92"/>
      <c r="EC21" s="92"/>
      <c r="ED21" s="92"/>
      <c r="EE21" s="92"/>
      <c r="EF21" s="92"/>
    </row>
    <row r="22" spans="1:136" s="16" customFormat="1" ht="11.25" customHeight="1">
      <c r="A22" s="16" t="s">
        <v>49</v>
      </c>
      <c r="B22" s="507"/>
      <c r="C22" s="507"/>
      <c r="D22" s="507"/>
      <c r="E22" s="507"/>
      <c r="F22" s="507">
        <f>+SUM(F13:F14)</f>
        <v>2.7050954160928585E-2</v>
      </c>
      <c r="G22" s="507">
        <f t="shared" ref="G22:L22" si="11">+SUM(G13:G14)</f>
        <v>4.7842576473514052E-2</v>
      </c>
      <c r="H22" s="507">
        <f t="shared" si="11"/>
        <v>1.3865681704921877E-2</v>
      </c>
      <c r="I22" s="507">
        <f t="shared" si="11"/>
        <v>8.8303256807261088E-2</v>
      </c>
      <c r="J22" s="507">
        <f t="shared" si="11"/>
        <v>7.2191455220138395E-2</v>
      </c>
      <c r="K22" s="507">
        <f t="shared" si="11"/>
        <v>2.7113276089828265E-2</v>
      </c>
      <c r="L22" s="507">
        <f t="shared" si="11"/>
        <v>3.8626190064047085E-2</v>
      </c>
      <c r="M22" s="507">
        <f>+SUM(M13:M14)</f>
        <v>7.0425259614468549E-2</v>
      </c>
      <c r="N22" s="507">
        <f>+SUM(N13:N14)</f>
        <v>4.3205529181792796E-2</v>
      </c>
      <c r="O22" s="507">
        <f>+SUM(O13:O14)</f>
        <v>3.7859603027274022E-2</v>
      </c>
      <c r="P22" s="507">
        <f t="shared" ref="P22:V22" si="12">+SUM(P13:P14)</f>
        <v>2.4087084619960904E-2</v>
      </c>
      <c r="Q22" s="507">
        <f t="shared" si="12"/>
        <v>1.36310758044971E-2</v>
      </c>
      <c r="R22" s="507">
        <f t="shared" si="12"/>
        <v>1.4463278776086377E-2</v>
      </c>
      <c r="S22" s="507">
        <f t="shared" si="12"/>
        <v>8.4814008705975472E-3</v>
      </c>
      <c r="T22" s="507">
        <f t="shared" si="12"/>
        <v>1.652794037305861E-2</v>
      </c>
      <c r="U22" s="507">
        <f t="shared" ca="1" si="12"/>
        <v>2.4065295403035408E-2</v>
      </c>
      <c r="V22" s="507">
        <f t="shared" ca="1" si="12"/>
        <v>2.8709802874952631E-2</v>
      </c>
      <c r="W22" s="507">
        <f ca="1">+SUM(W13:W14)</f>
        <v>3.2119583571945318E-2</v>
      </c>
      <c r="X22" s="507">
        <f ca="1">+SUM(X13:X14)</f>
        <v>3.1104213947550138E-2</v>
      </c>
      <c r="Y22" s="507">
        <f ca="1">+SUM(Y13:Y14)</f>
        <v>3.0209318715685933E-2</v>
      </c>
      <c r="Z22" s="507">
        <f ca="1">+SUM(Z13:Z14)</f>
        <v>2.9423659210337662E-2</v>
      </c>
      <c r="AA22" s="507">
        <f ca="1">+SUM(AA13:AA14)</f>
        <v>2.8737032765726568E-2</v>
      </c>
      <c r="AB22" s="473"/>
      <c r="AC22" s="508"/>
      <c r="AD22" s="32"/>
      <c r="AE22" s="32"/>
      <c r="AF22" s="32"/>
      <c r="AG22" s="509">
        <f>+AG14+AG13</f>
        <v>3.8679867986798677E-2</v>
      </c>
      <c r="AH22" s="509">
        <f t="shared" ref="AH22:BH22" si="13">+AH14+AH13</f>
        <v>1.1494252873563218E-2</v>
      </c>
      <c r="AI22" s="509">
        <f t="shared" si="13"/>
        <v>3.5630992485099766E-2</v>
      </c>
      <c r="AJ22" s="509">
        <f t="shared" si="13"/>
        <v>2.8601704448487225E-2</v>
      </c>
      <c r="AK22" s="509">
        <f t="shared" si="13"/>
        <v>3.5240104231294207E-2</v>
      </c>
      <c r="AL22" s="509">
        <f t="shared" si="13"/>
        <v>4.8596112311015113E-2</v>
      </c>
      <c r="AM22" s="509">
        <f t="shared" si="13"/>
        <v>2.1347896239295023E-2</v>
      </c>
      <c r="AN22" s="509">
        <f t="shared" si="13"/>
        <v>2.3E-2</v>
      </c>
      <c r="AO22" s="509">
        <f t="shared" si="13"/>
        <v>3.6000000000000004E-2</v>
      </c>
      <c r="AP22" s="509">
        <f t="shared" si="13"/>
        <v>4.1000000000000002E-2</v>
      </c>
      <c r="AQ22" s="509">
        <f t="shared" si="13"/>
        <v>6.2E-2</v>
      </c>
      <c r="AR22" s="509">
        <f t="shared" si="13"/>
        <v>6.2E-2</v>
      </c>
      <c r="AS22" s="509">
        <f t="shared" si="13"/>
        <v>7.9999999999999988E-2</v>
      </c>
      <c r="AT22" s="509">
        <f t="shared" si="13"/>
        <v>6.8999999999999992E-2</v>
      </c>
      <c r="AU22" s="509">
        <f t="shared" si="13"/>
        <v>7.1000000000000008E-2</v>
      </c>
      <c r="AV22" s="509">
        <f t="shared" si="13"/>
        <v>4.4000000000000004E-2</v>
      </c>
      <c r="AW22" s="509">
        <f t="shared" si="13"/>
        <v>2.3E-2</v>
      </c>
      <c r="AX22" s="509">
        <f t="shared" si="13"/>
        <v>2.8999999999999998E-2</v>
      </c>
      <c r="AY22" s="509">
        <f t="shared" si="13"/>
        <v>5.0000000000000001E-3</v>
      </c>
      <c r="AZ22" s="509">
        <f t="shared" si="13"/>
        <v>4.0000000000000001E-3</v>
      </c>
      <c r="BA22" s="509">
        <f t="shared" si="13"/>
        <v>3.3000000000000002E-2</v>
      </c>
      <c r="BB22" s="509">
        <f t="shared" si="13"/>
        <v>2.0999999999999998E-2</v>
      </c>
      <c r="BC22" s="509">
        <f t="shared" si="13"/>
        <v>2.5000000000000001E-2</v>
      </c>
      <c r="BD22" s="509">
        <f t="shared" si="13"/>
        <v>6.5000000000000002E-2</v>
      </c>
      <c r="BE22" s="509">
        <f t="shared" si="13"/>
        <v>4.5999999999999999E-2</v>
      </c>
      <c r="BF22" s="509">
        <f t="shared" si="13"/>
        <v>7.1000000000000008E-2</v>
      </c>
      <c r="BG22" s="509">
        <f t="shared" si="13"/>
        <v>8.4000000000000005E-2</v>
      </c>
      <c r="BH22" s="509">
        <f t="shared" si="13"/>
        <v>6.0999999999999999E-2</v>
      </c>
      <c r="BI22" s="507">
        <f t="shared" ref="BI22:BW22" si="14">+SUM(BI13:BI14)</f>
        <v>8.1776556776556791E-2</v>
      </c>
      <c r="BJ22" s="507">
        <f t="shared" si="14"/>
        <v>4.2994979810105867E-2</v>
      </c>
      <c r="BK22" s="507">
        <f t="shared" si="14"/>
        <v>1.5028138528138528E-2</v>
      </c>
      <c r="BL22" s="507">
        <f t="shared" si="14"/>
        <v>3.6321934084099602E-2</v>
      </c>
      <c r="BM22" s="507">
        <f t="shared" si="14"/>
        <v>3.759663089881158E-2</v>
      </c>
      <c r="BN22" s="507">
        <f t="shared" si="14"/>
        <v>3.7926117039990617E-2</v>
      </c>
      <c r="BO22" s="507">
        <f t="shared" si="14"/>
        <v>5.2387220754263754E-2</v>
      </c>
      <c r="BP22" s="507">
        <f t="shared" si="14"/>
        <v>2.5300895208004215E-2</v>
      </c>
      <c r="BQ22" s="8">
        <f t="shared" si="14"/>
        <v>2.7864135407136323E-2</v>
      </c>
      <c r="BR22" s="507">
        <f t="shared" si="14"/>
        <v>1.2141942990110528E-2</v>
      </c>
      <c r="BS22" s="507">
        <f t="shared" si="14"/>
        <v>2.6816100094428714E-2</v>
      </c>
      <c r="BT22" s="507">
        <f t="shared" si="14"/>
        <v>2.8990303541315335E-2</v>
      </c>
      <c r="BU22" s="507">
        <f t="shared" si="14"/>
        <v>1.0129688747007159E-2</v>
      </c>
      <c r="BV22" s="507">
        <f t="shared" si="14"/>
        <v>8.428649610069814E-3</v>
      </c>
      <c r="BW22" s="507">
        <f t="shared" si="14"/>
        <v>1.7592455418381343E-2</v>
      </c>
      <c r="BX22" s="507">
        <f t="shared" ref="BX22:CF22" si="15">+SUM(BX13:BX14)</f>
        <v>1.8303649058095103E-2</v>
      </c>
      <c r="BY22" s="507">
        <f t="shared" si="15"/>
        <v>2.3430374042361424E-2</v>
      </c>
      <c r="BZ22" s="507">
        <f t="shared" si="15"/>
        <v>1.7701544279861328E-2</v>
      </c>
      <c r="CA22" s="507">
        <f t="shared" si="15"/>
        <v>1.1680418815439915E-2</v>
      </c>
      <c r="CB22" s="507">
        <f t="shared" si="15"/>
        <v>5.2827202110508576E-3</v>
      </c>
      <c r="CC22" s="507">
        <f t="shared" si="15"/>
        <v>7.1699429296131906E-3</v>
      </c>
      <c r="CD22" s="510">
        <f t="shared" si="15"/>
        <v>-2.7425760286225401E-2</v>
      </c>
      <c r="CE22" s="510">
        <f t="shared" si="15"/>
        <v>2.8210256410256408E-2</v>
      </c>
      <c r="CF22" s="507">
        <f t="shared" si="15"/>
        <v>2.4601551802829757E-2</v>
      </c>
      <c r="CG22" s="507">
        <f>+SUM(CG13:CG14)</f>
        <v>1.1180312201338007E-2</v>
      </c>
      <c r="CH22" s="507">
        <f>+SUM(CH13:CH14)</f>
        <v>3.5072838665759026E-2</v>
      </c>
      <c r="CI22" s="507">
        <f>+SUM(CI13:CI14)</f>
        <v>1.2728808353808355E-2</v>
      </c>
      <c r="CJ22" s="507">
        <f>+SUM(CJ13:CJ14)</f>
        <v>9.2495689655172388E-3</v>
      </c>
      <c r="CK22" s="20"/>
      <c r="CL22" s="732"/>
    </row>
    <row r="23" spans="1:136" s="16" customFormat="1" ht="11.25" customHeight="1">
      <c r="A23" s="16" t="s">
        <v>50</v>
      </c>
      <c r="B23" s="510"/>
      <c r="C23" s="510"/>
      <c r="D23" s="510"/>
      <c r="E23" s="510"/>
      <c r="F23" s="510">
        <f>+SUM(F13:F14,F16:F20)</f>
        <v>5.4976903329425605E-2</v>
      </c>
      <c r="G23" s="510">
        <f t="shared" ref="G23:L23" si="16">+SUM(G13:G14,G16:G20)</f>
        <v>0.11373098169709933</v>
      </c>
      <c r="H23" s="510">
        <f t="shared" si="16"/>
        <v>4.7969193719709306E-2</v>
      </c>
      <c r="I23" s="510">
        <f t="shared" si="16"/>
        <v>0.1269222281544759</v>
      </c>
      <c r="J23" s="510">
        <f t="shared" si="16"/>
        <v>9.0994421321833302E-2</v>
      </c>
      <c r="K23" s="510">
        <f t="shared" si="16"/>
        <v>3.1852200484419807E-2</v>
      </c>
      <c r="L23" s="510">
        <f t="shared" si="16"/>
        <v>0.46895632654505037</v>
      </c>
      <c r="M23" s="510">
        <f>+SUM(M13:M14,M16:M20)</f>
        <v>0.13797265711835879</v>
      </c>
      <c r="N23" s="510">
        <f>+SUM(N13:N14,N16:N20)</f>
        <v>-2.1748394303267242E-2</v>
      </c>
      <c r="O23" s="510">
        <f t="shared" ref="O23:V23" si="17">+SUM(O13:O14,O16:O20)</f>
        <v>8.2497416891175769E-3</v>
      </c>
      <c r="P23" s="510">
        <f t="shared" si="17"/>
        <v>-0.15838975608374173</v>
      </c>
      <c r="Q23" s="510">
        <f t="shared" si="17"/>
        <v>-9.8440453749831694E-2</v>
      </c>
      <c r="R23" s="510">
        <f t="shared" si="17"/>
        <v>-3.1228491854564871E-2</v>
      </c>
      <c r="S23" s="510">
        <f t="shared" ca="1" si="17"/>
        <v>1.3823703996834191E-2</v>
      </c>
      <c r="T23" s="510">
        <f t="shared" ca="1" si="17"/>
        <v>5.0289581489847315E-2</v>
      </c>
      <c r="U23" s="510">
        <f t="shared" ca="1" si="17"/>
        <v>2.4065295403035408E-2</v>
      </c>
      <c r="V23" s="510">
        <f t="shared" ca="1" si="17"/>
        <v>2.8709802874952631E-2</v>
      </c>
      <c r="W23" s="510">
        <f ca="1">+SUM(W13:W14,W16:W20)</f>
        <v>3.2119583571945318E-2</v>
      </c>
      <c r="X23" s="510">
        <f ca="1">+SUM(X13:X14,X16:X20)</f>
        <v>3.1104213947550138E-2</v>
      </c>
      <c r="Y23" s="510">
        <f ca="1">+SUM(Y13:Y14,Y16:Y20)</f>
        <v>3.0209318715685933E-2</v>
      </c>
      <c r="Z23" s="510">
        <f ca="1">+SUM(Z13:Z14,Z16:Z20)</f>
        <v>2.9423659210337662E-2</v>
      </c>
      <c r="AA23" s="510">
        <f ca="1">+SUM(AA13:AA14,AA16:AA20)</f>
        <v>2.8737032765726568E-2</v>
      </c>
      <c r="AB23" s="473"/>
      <c r="AC23" s="32"/>
      <c r="AD23" s="32"/>
      <c r="AE23" s="32"/>
      <c r="AF23" s="32"/>
      <c r="AG23" s="509">
        <f>+AG22+SUM(AG16:AG20)</f>
        <v>3.8679867986798677E-2</v>
      </c>
      <c r="AH23" s="509">
        <f t="shared" ref="AH23:BH23" si="18">+AH22+SUM(AH16:AH20)</f>
        <v>1.1494252873563218E-2</v>
      </c>
      <c r="AI23" s="509">
        <f t="shared" si="18"/>
        <v>3.5630992485099766E-2</v>
      </c>
      <c r="AJ23" s="509">
        <f t="shared" si="18"/>
        <v>2.8601704448487225E-2</v>
      </c>
      <c r="AK23" s="509">
        <f t="shared" si="18"/>
        <v>3.5240104231294207E-2</v>
      </c>
      <c r="AL23" s="509">
        <f t="shared" si="18"/>
        <v>4.8596112311015113E-2</v>
      </c>
      <c r="AM23" s="509">
        <f t="shared" si="18"/>
        <v>2.1347896239295023E-2</v>
      </c>
      <c r="AN23" s="509">
        <f t="shared" si="18"/>
        <v>2.3E-2</v>
      </c>
      <c r="AO23" s="509">
        <f t="shared" si="18"/>
        <v>3.6000000000000004E-2</v>
      </c>
      <c r="AP23" s="509">
        <f t="shared" si="18"/>
        <v>4.1000000000000002E-2</v>
      </c>
      <c r="AQ23" s="509">
        <f t="shared" si="18"/>
        <v>6.2E-2</v>
      </c>
      <c r="AR23" s="509">
        <f t="shared" si="18"/>
        <v>6.2E-2</v>
      </c>
      <c r="AS23" s="509">
        <f t="shared" si="18"/>
        <v>0.37717314487632503</v>
      </c>
      <c r="AT23" s="509">
        <f t="shared" si="18"/>
        <v>0.42711688311688312</v>
      </c>
      <c r="AU23" s="509">
        <f t="shared" si="18"/>
        <v>0.45637992946457201</v>
      </c>
      <c r="AV23" s="509">
        <f t="shared" si="18"/>
        <v>0.14782787090317739</v>
      </c>
      <c r="AW23" s="509">
        <f t="shared" si="18"/>
        <v>-0.13048619560131025</v>
      </c>
      <c r="AX23" s="509">
        <f t="shared" si="18"/>
        <v>-0.13583041693670339</v>
      </c>
      <c r="AY23" s="509">
        <f t="shared" si="18"/>
        <v>-0.11438296445338698</v>
      </c>
      <c r="AZ23" s="509">
        <f t="shared" si="18"/>
        <v>6.1173913043478259E-2</v>
      </c>
      <c r="BA23" s="509">
        <f t="shared" si="18"/>
        <v>0.55229347826086961</v>
      </c>
      <c r="BB23" s="509">
        <f t="shared" si="18"/>
        <v>0.55148933500627362</v>
      </c>
      <c r="BC23" s="509">
        <f t="shared" si="18"/>
        <v>0.53953416149068323</v>
      </c>
      <c r="BD23" s="509">
        <f t="shared" si="18"/>
        <v>0.52844854986094558</v>
      </c>
      <c r="BE23" s="509">
        <f t="shared" si="18"/>
        <v>0.17672824156305506</v>
      </c>
      <c r="BF23" s="509">
        <f t="shared" si="18"/>
        <v>0.17539921208141826</v>
      </c>
      <c r="BG23" s="509">
        <f t="shared" si="18"/>
        <v>0.16496828046744574</v>
      </c>
      <c r="BH23" s="509">
        <f t="shared" si="18"/>
        <v>8.2782441227254616E-2</v>
      </c>
      <c r="BI23" s="510">
        <f t="shared" ref="BI23:BW23" si="19">+SUM(BI13:BI14,BI16:BI20)</f>
        <v>5.8577533577533591E-2</v>
      </c>
      <c r="BJ23" s="510">
        <f t="shared" si="19"/>
        <v>-6.8213139801375097E-2</v>
      </c>
      <c r="BK23" s="510">
        <f t="shared" si="19"/>
        <v>-5.1729665071770334E-2</v>
      </c>
      <c r="BL23" s="510">
        <f t="shared" si="19"/>
        <v>-1.8539105279471019E-2</v>
      </c>
      <c r="BM23" s="510">
        <f t="shared" si="19"/>
        <v>9.0643481302010095E-3</v>
      </c>
      <c r="BN23" s="510">
        <f t="shared" si="19"/>
        <v>8.0797466869942519E-3</v>
      </c>
      <c r="BO23" s="510">
        <f t="shared" si="19"/>
        <v>1.7676675474417487E-2</v>
      </c>
      <c r="BP23" s="510">
        <f t="shared" si="19"/>
        <v>-6.0747761979989059E-4</v>
      </c>
      <c r="BQ23" s="511">
        <f t="shared" si="19"/>
        <v>-0.14021043000914912</v>
      </c>
      <c r="BR23" s="510">
        <f t="shared" si="19"/>
        <v>-0.14962187318208259</v>
      </c>
      <c r="BS23" s="510">
        <f t="shared" si="19"/>
        <v>-0.1395184135977337</v>
      </c>
      <c r="BT23" s="510">
        <f t="shared" si="19"/>
        <v>-0.19993676222596968</v>
      </c>
      <c r="BU23" s="510">
        <f t="shared" si="19"/>
        <v>-9.6834264432029776E-2</v>
      </c>
      <c r="BV23" s="510">
        <f t="shared" si="19"/>
        <v>-0.11301135586263511</v>
      </c>
      <c r="BW23" s="510">
        <f t="shared" si="19"/>
        <v>-0.10402263374485594</v>
      </c>
      <c r="BX23" s="510">
        <f t="shared" ref="BX23:CF23" si="20">+SUM(BX13:BX14,BX16:BX20)</f>
        <v>-8.0640758793307871E-2</v>
      </c>
      <c r="BY23" s="510">
        <f t="shared" si="20"/>
        <v>-4.8134294727354671E-2</v>
      </c>
      <c r="BZ23" s="510">
        <f t="shared" si="20"/>
        <v>-2.6325086668767726E-2</v>
      </c>
      <c r="CA23" s="510">
        <f t="shared" si="20"/>
        <v>-2.1850445382090949E-2</v>
      </c>
      <c r="CB23" s="510">
        <f t="shared" si="20"/>
        <v>-2.8025795104792611E-2</v>
      </c>
      <c r="CC23" s="510">
        <f t="shared" si="20"/>
        <v>-5.195307545973366E-3</v>
      </c>
      <c r="CD23" s="510">
        <f t="shared" ca="1" si="20"/>
        <v>-4.4956253049276307E-2</v>
      </c>
      <c r="CE23" s="510">
        <f t="shared" si="20"/>
        <v>4.4273717948717956E-2</v>
      </c>
      <c r="CF23" s="510">
        <f t="shared" ca="1" si="20"/>
        <v>5.8156853795831437E-2</v>
      </c>
      <c r="CG23" s="510">
        <f>+SUM(CG13:CG14,CG16:CG20)</f>
        <v>6.8621062211033798E-2</v>
      </c>
      <c r="CH23" s="510">
        <f>+SUM(CH13:CH14,CH16:CH20)</f>
        <v>7.6183421834233697E-2</v>
      </c>
      <c r="CI23" s="510">
        <f ca="1">+SUM(CI13:CI14,CI16:CI20)</f>
        <v>2.8946713759213757E-2</v>
      </c>
      <c r="CJ23" s="510">
        <f>+SUM(CJ13:CJ14,CJ16:CJ20)</f>
        <v>3.1862500000000002E-2</v>
      </c>
      <c r="CK23" s="20"/>
      <c r="CL23" s="20"/>
    </row>
    <row r="24" spans="1:136" ht="11.25" customHeight="1">
      <c r="A24" s="22" t="s">
        <v>51</v>
      </c>
      <c r="B24" s="32"/>
      <c r="C24" s="32"/>
      <c r="D24" s="32"/>
      <c r="E24" s="32"/>
      <c r="F24" s="32"/>
      <c r="G24" s="512">
        <f>+((1+G22)*(1+F22))^(1/2)-1</f>
        <v>3.7394678016794192E-2</v>
      </c>
      <c r="H24" s="512">
        <f t="shared" ref="H24:V24" si="21">+((1+H22)*(1+G22))^(1/2)-1</f>
        <v>3.0714135013079513E-2</v>
      </c>
      <c r="I24" s="512">
        <f t="shared" si="21"/>
        <v>5.0425305942588317E-2</v>
      </c>
      <c r="J24" s="512">
        <f t="shared" si="21"/>
        <v>8.0217317319525749E-2</v>
      </c>
      <c r="K24" s="512">
        <f t="shared" si="21"/>
        <v>4.9410347846197133E-2</v>
      </c>
      <c r="L24" s="512">
        <f t="shared" si="21"/>
        <v>3.2853691821537634E-2</v>
      </c>
      <c r="M24" s="512">
        <f t="shared" si="21"/>
        <v>5.4405855987955887E-2</v>
      </c>
      <c r="N24" s="512">
        <f t="shared" si="21"/>
        <v>5.6727755576463368E-2</v>
      </c>
      <c r="O24" s="512">
        <f t="shared" si="21"/>
        <v>4.0529132889835395E-2</v>
      </c>
      <c r="P24" s="512">
        <f t="shared" si="21"/>
        <v>3.0950345607891672E-2</v>
      </c>
      <c r="Q24" s="512">
        <f t="shared" si="21"/>
        <v>1.8845667066814453E-2</v>
      </c>
      <c r="R24" s="512">
        <f t="shared" si="21"/>
        <v>1.4047091919286547E-2</v>
      </c>
      <c r="S24" s="512">
        <f t="shared" si="21"/>
        <v>1.1467917687895346E-2</v>
      </c>
      <c r="T24" s="512">
        <f t="shared" si="21"/>
        <v>1.2496677195301009E-2</v>
      </c>
      <c r="U24" s="512">
        <f t="shared" ca="1" si="21"/>
        <v>2.0289657667652561E-2</v>
      </c>
      <c r="V24" s="512">
        <f t="shared" ca="1" si="21"/>
        <v>2.6384922027373081E-2</v>
      </c>
      <c r="W24" s="512">
        <f ca="1">+((1+W22)*(1+V22))^(1/2)-1</f>
        <v>3.0413282794662821E-2</v>
      </c>
      <c r="X24" s="512">
        <f ca="1">+((1+X22)*(1+W22))^(1/2)-1</f>
        <v>3.1611773836855317E-2</v>
      </c>
      <c r="Y24" s="512">
        <f ca="1">+((1+Y22)*(1+X22))^(1/2)-1</f>
        <v>3.0656669204531362E-2</v>
      </c>
      <c r="Z24" s="512">
        <f ca="1">+((1+Z22)*(1+Y22))^(1/2)-1</f>
        <v>2.9816414039361971E-2</v>
      </c>
      <c r="AA24" s="512">
        <f ca="1">+((1+AA22)*(1+Z22))^(1/2)-1</f>
        <v>2.9080288721380132E-2</v>
      </c>
      <c r="AB24" s="513"/>
      <c r="AC24" s="32"/>
      <c r="AD24" s="32"/>
      <c r="AE24" s="32"/>
      <c r="AF24" s="32"/>
      <c r="AG24" s="32"/>
      <c r="AH24" s="32"/>
      <c r="AI24" s="32"/>
      <c r="AJ24" s="32"/>
      <c r="AK24" s="512">
        <f t="shared" ref="AK24:CB24" si="22">+((1+AK22)*(1+AG22))^(1/2)-1</f>
        <v>3.6958559826572923E-2</v>
      </c>
      <c r="AL24" s="512">
        <f t="shared" si="22"/>
        <v>2.9878119579279661E-2</v>
      </c>
      <c r="AM24" s="512">
        <f t="shared" si="22"/>
        <v>2.8464649589313717E-2</v>
      </c>
      <c r="AN24" s="512">
        <f t="shared" si="22"/>
        <v>2.5797028486046258E-2</v>
      </c>
      <c r="AO24" s="512">
        <f t="shared" si="22"/>
        <v>3.5619982418078289E-2</v>
      </c>
      <c r="AP24" s="512">
        <f t="shared" si="22"/>
        <v>4.4791152774451115E-2</v>
      </c>
      <c r="AQ24" s="512">
        <f t="shared" si="22"/>
        <v>4.1475619400728636E-2</v>
      </c>
      <c r="AR24" s="512">
        <f t="shared" si="22"/>
        <v>4.2317609944301005E-2</v>
      </c>
      <c r="AS24" s="512">
        <f t="shared" si="22"/>
        <v>5.7771241809872587E-2</v>
      </c>
      <c r="AT24" s="512">
        <f t="shared" si="22"/>
        <v>5.4907104914930338E-2</v>
      </c>
      <c r="AU24" s="512">
        <f t="shared" si="22"/>
        <v>6.6490506286858597E-2</v>
      </c>
      <c r="AV24" s="512">
        <f t="shared" si="22"/>
        <v>5.2961537759095956E-2</v>
      </c>
      <c r="AW24" s="512">
        <f t="shared" si="22"/>
        <v>5.1113695087263267E-2</v>
      </c>
      <c r="AX24" s="512">
        <f t="shared" si="22"/>
        <v>4.8809324901337714E-2</v>
      </c>
      <c r="AY24" s="512">
        <f t="shared" si="22"/>
        <v>3.7475300910821518E-2</v>
      </c>
      <c r="AZ24" s="512">
        <f t="shared" si="22"/>
        <v>2.3804668869994883E-2</v>
      </c>
      <c r="BA24" s="512">
        <f t="shared" si="22"/>
        <v>2.7987840395011565E-2</v>
      </c>
      <c r="BB24" s="512">
        <f t="shared" si="22"/>
        <v>2.4992195092235825E-2</v>
      </c>
      <c r="BC24" s="512">
        <f t="shared" si="22"/>
        <v>1.4950737720801799E-2</v>
      </c>
      <c r="BD24" s="512">
        <f t="shared" si="22"/>
        <v>3.4050288912488069E-2</v>
      </c>
      <c r="BE24" s="512">
        <f t="shared" si="22"/>
        <v>3.9479677531023105E-2</v>
      </c>
      <c r="BF24" s="512">
        <f t="shared" si="22"/>
        <v>4.5701200152318711E-2</v>
      </c>
      <c r="BG24" s="512">
        <f t="shared" si="22"/>
        <v>5.408728291351661E-2</v>
      </c>
      <c r="BH24" s="512">
        <f t="shared" si="22"/>
        <v>6.2998118530790181E-2</v>
      </c>
      <c r="BI24" s="512">
        <f t="shared" si="22"/>
        <v>6.3737880489492804E-2</v>
      </c>
      <c r="BJ24" s="512">
        <f t="shared" si="22"/>
        <v>5.6904737134157779E-2</v>
      </c>
      <c r="BK24" s="512">
        <f t="shared" si="22"/>
        <v>4.8947330500679787E-2</v>
      </c>
      <c r="BL24" s="512">
        <f t="shared" si="22"/>
        <v>4.8588371127216812E-2</v>
      </c>
      <c r="BM24" s="512">
        <f t="shared" si="22"/>
        <v>5.9456327885520688E-2</v>
      </c>
      <c r="BN24" s="512">
        <f t="shared" si="22"/>
        <v>4.0457461641996595E-2</v>
      </c>
      <c r="BO24" s="512">
        <f t="shared" si="22"/>
        <v>3.3538892201450565E-2</v>
      </c>
      <c r="BP24" s="512">
        <f t="shared" si="22"/>
        <v>3.0796685452624928E-2</v>
      </c>
      <c r="BQ24" s="514">
        <f t="shared" si="22"/>
        <v>3.2718918157387256E-2</v>
      </c>
      <c r="BR24" s="512">
        <f t="shared" si="22"/>
        <v>2.4952953447638482E-2</v>
      </c>
      <c r="BS24" s="512">
        <f t="shared" si="22"/>
        <v>3.9523035725571365E-2</v>
      </c>
      <c r="BT24" s="512">
        <f t="shared" si="22"/>
        <v>2.714394287327937E-2</v>
      </c>
      <c r="BU24" s="512">
        <f t="shared" si="22"/>
        <v>1.8958330439975413E-2</v>
      </c>
      <c r="BV24" s="512">
        <f t="shared" si="22"/>
        <v>1.0283590277121002E-2</v>
      </c>
      <c r="BW24" s="512">
        <f t="shared" si="22"/>
        <v>2.2193874251952295E-2</v>
      </c>
      <c r="BX24" s="512">
        <f t="shared" si="22"/>
        <v>2.363303040763487E-2</v>
      </c>
      <c r="BY24" s="512">
        <f t="shared" si="22"/>
        <v>1.6758282575383587E-2</v>
      </c>
      <c r="BZ24" s="512">
        <f t="shared" si="22"/>
        <v>1.3054487184289254E-2</v>
      </c>
      <c r="CA24" s="512">
        <f t="shared" si="22"/>
        <v>1.4632131110137836E-2</v>
      </c>
      <c r="CB24" s="512">
        <f t="shared" si="22"/>
        <v>1.177223836492014E-2</v>
      </c>
      <c r="CC24" s="512">
        <f t="shared" ref="CC24:CJ24" si="23">+((1+CC22)*(1+BY22))^(1/2)-1</f>
        <v>1.5267605814682783E-2</v>
      </c>
      <c r="CD24" s="512">
        <f t="shared" si="23"/>
        <v>-5.1179438327775273E-3</v>
      </c>
      <c r="CE24" s="512">
        <f t="shared" si="23"/>
        <v>1.9911850522121854E-2</v>
      </c>
      <c r="CF24" s="512">
        <f t="shared" si="23"/>
        <v>1.4896169629589506E-2</v>
      </c>
      <c r="CG24" s="512">
        <f t="shared" si="23"/>
        <v>9.1731354586142011E-3</v>
      </c>
      <c r="CH24" s="512">
        <f t="shared" si="23"/>
        <v>3.3370216999515367E-3</v>
      </c>
      <c r="CI24" s="512">
        <f t="shared" si="23"/>
        <v>2.0440173509217896E-2</v>
      </c>
      <c r="CJ24" s="512">
        <f t="shared" si="23"/>
        <v>1.6896589884343172E-2</v>
      </c>
    </row>
    <row r="25" spans="1:136" s="16" customFormat="1" ht="6" customHeight="1">
      <c r="B25" s="515"/>
      <c r="C25" s="515"/>
      <c r="D25" s="515"/>
      <c r="E25" s="515"/>
      <c r="F25" s="515"/>
      <c r="G25" s="515"/>
      <c r="H25" s="515"/>
      <c r="I25" s="515"/>
      <c r="J25" s="515"/>
      <c r="K25" s="515"/>
      <c r="L25" s="515"/>
      <c r="M25" s="515"/>
      <c r="N25" s="510"/>
      <c r="O25" s="510"/>
      <c r="P25" s="510"/>
      <c r="Q25" s="510"/>
      <c r="R25" s="510"/>
      <c r="S25" s="510"/>
      <c r="T25" s="510"/>
      <c r="U25" s="510"/>
      <c r="V25" s="510"/>
      <c r="W25" s="510"/>
      <c r="X25" s="510"/>
      <c r="Y25" s="510"/>
      <c r="Z25" s="510"/>
      <c r="AA25" s="510"/>
      <c r="AB25" s="473"/>
      <c r="AC25" s="515"/>
      <c r="AD25" s="515"/>
      <c r="AE25" s="515"/>
      <c r="AF25" s="515"/>
      <c r="AG25" s="515"/>
      <c r="AH25" s="515"/>
      <c r="AI25" s="515"/>
      <c r="AJ25" s="515"/>
      <c r="AK25" s="515"/>
      <c r="AL25" s="515"/>
      <c r="AM25" s="515"/>
      <c r="AN25" s="515"/>
      <c r="AO25" s="515"/>
      <c r="AP25" s="515"/>
      <c r="AQ25" s="515"/>
      <c r="AR25" s="515"/>
      <c r="AS25" s="515"/>
      <c r="AT25" s="515"/>
      <c r="AU25" s="515"/>
      <c r="AV25" s="515"/>
      <c r="AW25" s="515"/>
      <c r="AX25" s="515"/>
      <c r="AY25" s="515"/>
      <c r="AZ25" s="515"/>
      <c r="BA25" s="515"/>
      <c r="BB25" s="515"/>
      <c r="BC25" s="515"/>
      <c r="BD25" s="515"/>
      <c r="BE25" s="515"/>
      <c r="BF25" s="515"/>
      <c r="BG25" s="515"/>
      <c r="BH25" s="515"/>
      <c r="BI25" s="515"/>
      <c r="BJ25" s="515"/>
      <c r="BK25" s="515"/>
      <c r="BL25" s="515"/>
      <c r="BM25" s="510"/>
      <c r="BN25" s="510"/>
      <c r="BO25" s="510"/>
      <c r="BP25" s="510"/>
      <c r="BQ25" s="511"/>
      <c r="BR25" s="510"/>
      <c r="BS25" s="510"/>
      <c r="BT25" s="510"/>
      <c r="BU25" s="516"/>
      <c r="BV25" s="510"/>
      <c r="BW25" s="510"/>
      <c r="BX25" s="510"/>
      <c r="BY25" s="510"/>
      <c r="BZ25" s="510"/>
      <c r="CA25" s="510"/>
      <c r="CB25" s="510"/>
      <c r="CC25" s="510"/>
      <c r="CD25" s="510"/>
      <c r="CE25" s="510"/>
      <c r="CF25" s="735"/>
      <c r="CG25" s="510"/>
      <c r="CH25" s="510"/>
      <c r="CI25" s="510"/>
      <c r="CJ25" s="510"/>
    </row>
    <row r="26" spans="1:136" ht="11.25" customHeight="1">
      <c r="A26" s="2" t="s">
        <v>52</v>
      </c>
      <c r="B26" s="497"/>
      <c r="C26" s="497"/>
      <c r="D26" s="497"/>
      <c r="E26" s="497"/>
      <c r="F26" s="497"/>
      <c r="G26" s="497"/>
      <c r="H26" s="497"/>
      <c r="I26" s="497"/>
      <c r="J26" s="497"/>
      <c r="K26" s="497"/>
      <c r="L26" s="497"/>
      <c r="M26" s="497">
        <f>SUM(M144:M145,M170:M171,M183:M184)/SUM(L153,L179,L192)</f>
        <v>0.12396012398425064</v>
      </c>
      <c r="N26" s="497">
        <f>SUM(N144:N145,N170:N171,N183:N184)/SUM(M153,M179,M192)</f>
        <v>7.4110756576614908E-2</v>
      </c>
      <c r="O26" s="497">
        <f>SUM(O144:O145,O170:O171,O183:O184)/SUM(N153,N179,N192)</f>
        <v>7.2775725778244149E-2</v>
      </c>
      <c r="P26" s="497">
        <f>SUM(P144:P145,P170:P171,P183:P184)/SUM(O153,O179,O192)</f>
        <v>6.4952347533160232E-2</v>
      </c>
      <c r="Q26" s="497">
        <f>SUM(Q144:Q145,Q170:Q171,Q183:Q184)/SUM(P153,P179,P192)</f>
        <v>4.6988326194675391E-2</v>
      </c>
      <c r="R26" s="505">
        <v>2.7E-2</v>
      </c>
      <c r="S26" s="526">
        <v>3.5999999999999997E-2</v>
      </c>
      <c r="T26" s="497">
        <f>SUM(T144:T145,T157:T158)/SUM(S153,S166)</f>
        <v>3.1943959877889228E-2</v>
      </c>
      <c r="U26" s="497">
        <f t="shared" ref="U26:AA26" si="24">SUM(U144:U145,U157:U158)/SUM(T153,T166)</f>
        <v>4.0588168278578397E-2</v>
      </c>
      <c r="V26" s="497">
        <f t="shared" si="24"/>
        <v>5.0638711712640283E-2</v>
      </c>
      <c r="W26" s="497">
        <f t="shared" si="24"/>
        <v>5.0774902647294694E-2</v>
      </c>
      <c r="X26" s="497">
        <f t="shared" si="24"/>
        <v>4.9241793722488866E-2</v>
      </c>
      <c r="Y26" s="497">
        <f t="shared" si="24"/>
        <v>4.7878101632917648E-2</v>
      </c>
      <c r="Z26" s="497">
        <f t="shared" si="24"/>
        <v>4.666690048804336E-2</v>
      </c>
      <c r="AA26" s="497">
        <f t="shared" si="24"/>
        <v>4.559294298829844E-2</v>
      </c>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497">
        <f t="shared" ref="BI26:BX26" si="25">SUM(BI144:BI145,BI170:BI171,BI183:BI184)/SUM(BE153,BE179,BE192)</f>
        <v>0.11727637260950032</v>
      </c>
      <c r="BJ26" s="497">
        <f t="shared" si="25"/>
        <v>8.3697945585785666E-2</v>
      </c>
      <c r="BK26" s="497">
        <f t="shared" si="25"/>
        <v>1.6980206300529693E-2</v>
      </c>
      <c r="BL26" s="497">
        <f t="shared" si="25"/>
        <v>8.2403594771241845E-2</v>
      </c>
      <c r="BM26" s="497">
        <f t="shared" si="25"/>
        <v>8.000565131393049E-2</v>
      </c>
      <c r="BN26" s="497">
        <f t="shared" si="25"/>
        <v>7.882364615820811E-2</v>
      </c>
      <c r="BO26" s="497">
        <f t="shared" si="25"/>
        <v>9.815941176470587E-2</v>
      </c>
      <c r="BP26" s="497">
        <f t="shared" si="25"/>
        <v>3.7982763123530952E-2</v>
      </c>
      <c r="BQ26" s="497">
        <f t="shared" si="25"/>
        <v>6.5262954796030878E-2</v>
      </c>
      <c r="BR26" s="497">
        <f t="shared" si="25"/>
        <v>3.3316473189607516E-2</v>
      </c>
      <c r="BS26" s="497">
        <f t="shared" si="25"/>
        <v>9.1343160377358498E-2</v>
      </c>
      <c r="BT26" s="497">
        <f t="shared" si="25"/>
        <v>7.1547216837441141E-2</v>
      </c>
      <c r="BU26" s="497">
        <f t="shared" si="25"/>
        <v>4.4033932135728475E-2</v>
      </c>
      <c r="BV26" s="497">
        <f t="shared" si="25"/>
        <v>4.8202202202202282E-2</v>
      </c>
      <c r="BW26" s="497">
        <f t="shared" si="25"/>
        <v>5.3068341708542702E-2</v>
      </c>
      <c r="BX26" s="497">
        <f t="shared" si="25"/>
        <v>4.256697499143542E-2</v>
      </c>
      <c r="BY26" s="505">
        <v>3.5999999999999997E-2</v>
      </c>
      <c r="BZ26" s="505">
        <v>3.6999999999999998E-2</v>
      </c>
      <c r="CA26" s="505">
        <v>0.02</v>
      </c>
      <c r="CB26" s="505">
        <v>1.4999999999999999E-2</v>
      </c>
      <c r="CC26" s="505">
        <v>3.5000000000000003E-2</v>
      </c>
      <c r="CD26" s="505">
        <v>-3.0000000000000001E-3</v>
      </c>
      <c r="CE26" s="505">
        <v>4.8000000000000001E-2</v>
      </c>
      <c r="CF26" s="526">
        <v>6.3E-2</v>
      </c>
      <c r="CG26" s="497">
        <f>SUM(CG144:CG145,CG157:CG158)/SUM(CC153,CC166)</f>
        <v>2.8057216054654138E-2</v>
      </c>
      <c r="CH26" s="497">
        <f>SUM(CH144:CH145,CH157:CH158)/SUM(CD153,CD166)</f>
        <v>5.169117647058824E-2</v>
      </c>
      <c r="CI26" s="497">
        <f>SUM(CI144:CI145,CI157:CI158)/SUM(CE153,CE166)</f>
        <v>3.5898657427457771E-2</v>
      </c>
      <c r="CJ26" s="497">
        <f>SUM(CJ144:CJ145,CJ157:CJ158)/SUM(CF153,CF166)</f>
        <v>1.3607675906183361E-2</v>
      </c>
    </row>
    <row r="27" spans="1:136" ht="11.25" customHeight="1">
      <c r="A27" s="2" t="s">
        <v>53</v>
      </c>
      <c r="B27" s="497"/>
      <c r="C27" s="497"/>
      <c r="D27" s="497"/>
      <c r="E27" s="497"/>
      <c r="F27" s="497"/>
      <c r="G27" s="497"/>
      <c r="H27" s="497"/>
      <c r="I27" s="497"/>
      <c r="J27" s="497"/>
      <c r="K27" s="497"/>
      <c r="L27" s="497"/>
      <c r="M27" s="497">
        <f>SUM(M210:M211,M223:M224)/SUM(L219,L232)</f>
        <v>3.7740844926350249E-2</v>
      </c>
      <c r="N27" s="497">
        <f>SUM(N210:N211,N223:N224)/SUM(M219,M232)</f>
        <v>2.3126456903303082E-2</v>
      </c>
      <c r="O27" s="497">
        <f>SUM(O210:O211,O223:O224)/SUM(N219,N232)</f>
        <v>1.3770511583011583E-2</v>
      </c>
      <c r="P27" s="497">
        <f>SUM(P210:P211,P223:P224)/SUM(O219,O232)</f>
        <v>-3.5751068883610477E-3</v>
      </c>
      <c r="Q27" s="497">
        <f>SUM(Q210:Q211,Q223:Q224)/SUM(P219,P232)</f>
        <v>-8.6814223920004489E-3</v>
      </c>
      <c r="R27" s="505">
        <v>5.0000000000000001E-3</v>
      </c>
      <c r="S27" s="526">
        <v>-8.0000000000000002E-3</v>
      </c>
      <c r="T27" s="497">
        <f t="shared" ref="T27:AA27" si="26">SUM(T196:T197,T223:T224)/SUM(S205,S232)</f>
        <v>7.9345447915400522E-3</v>
      </c>
      <c r="U27" s="497">
        <f t="shared" ca="1" si="26"/>
        <v>1.5000000000000003E-2</v>
      </c>
      <c r="V27" s="497">
        <f t="shared" ca="1" si="26"/>
        <v>1.6375169011059926E-2</v>
      </c>
      <c r="W27" s="497">
        <f t="shared" ca="1" si="26"/>
        <v>2.1272542754604967E-2</v>
      </c>
      <c r="X27" s="497">
        <f t="shared" ca="1" si="26"/>
        <v>2.025355872947384E-2</v>
      </c>
      <c r="Y27" s="497">
        <f t="shared" ca="1" si="26"/>
        <v>1.9338788535395227E-2</v>
      </c>
      <c r="Z27" s="497">
        <f t="shared" ca="1" si="26"/>
        <v>1.8517917432484536E-2</v>
      </c>
      <c r="AA27" s="497">
        <f t="shared" ca="1" si="26"/>
        <v>1.7781630426357501E-2</v>
      </c>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497">
        <f t="shared" ref="BI27:BX27" si="27">SUM(BI210:BI211,BI223:BI224)/SUM(BE219,BE232)</f>
        <v>5.851657235246565E-2</v>
      </c>
      <c r="BJ27" s="497">
        <f t="shared" si="27"/>
        <v>1.663064197086855E-2</v>
      </c>
      <c r="BK27" s="497">
        <f t="shared" si="27"/>
        <v>1.3679252552494702E-2</v>
      </c>
      <c r="BL27" s="497">
        <f t="shared" si="27"/>
        <v>8.1528217080073257E-3</v>
      </c>
      <c r="BM27" s="497">
        <f t="shared" si="27"/>
        <v>8.3287831513260517E-3</v>
      </c>
      <c r="BN27" s="497">
        <f t="shared" si="27"/>
        <v>9.0770000000000017E-3</v>
      </c>
      <c r="BO27" s="497">
        <f t="shared" si="27"/>
        <v>2.0794559480308564E-2</v>
      </c>
      <c r="BP27" s="497">
        <f t="shared" si="27"/>
        <v>1.6730674196964349E-2</v>
      </c>
      <c r="BQ27" s="497">
        <f t="shared" si="27"/>
        <v>1.342845973416732E-3</v>
      </c>
      <c r="BR27" s="497">
        <f t="shared" si="27"/>
        <v>-3.2507534659433398E-3</v>
      </c>
      <c r="BS27" s="497">
        <f t="shared" si="27"/>
        <v>-1.6269685039370076E-2</v>
      </c>
      <c r="BT27" s="497">
        <f t="shared" si="27"/>
        <v>2.8420963076399497E-3</v>
      </c>
      <c r="BU27" s="497">
        <f t="shared" si="27"/>
        <v>-1.2458111702127661E-2</v>
      </c>
      <c r="BV27" s="497">
        <f t="shared" si="27"/>
        <v>-1.9215445269016699E-2</v>
      </c>
      <c r="BW27" s="497">
        <f t="shared" si="27"/>
        <v>-7.0058072009291511E-3</v>
      </c>
      <c r="BX27" s="497">
        <f t="shared" si="27"/>
        <v>3.144263698630136E-3</v>
      </c>
      <c r="BY27" s="505">
        <v>1.2999999999999999E-2</v>
      </c>
      <c r="BZ27" s="505">
        <v>2E-3</v>
      </c>
      <c r="CA27" s="505">
        <v>6.0000000000000001E-3</v>
      </c>
      <c r="CB27" s="505">
        <v>1E-3</v>
      </c>
      <c r="CC27" s="505">
        <v>-0.01</v>
      </c>
      <c r="CD27" s="505">
        <v>-4.2000000000000003E-2</v>
      </c>
      <c r="CE27" s="505">
        <v>1.6E-2</v>
      </c>
      <c r="CF27" s="526">
        <v>3.0000000000000001E-3</v>
      </c>
      <c r="CG27" s="497">
        <f>SUM(CG196:CG197,CG223:CG224)/SUM(CC205,CC232)</f>
        <v>1.1382113821138207E-3</v>
      </c>
      <c r="CH27" s="497">
        <f>SUM(CH196:CH197,CH223:CH224)/SUM(CD205,CD232)</f>
        <v>2.5299459459459463E-2</v>
      </c>
      <c r="CI27" s="497">
        <f>SUM(CI196:CI197,CI223:CI224)/SUM(CE205,CE232)</f>
        <v>0</v>
      </c>
      <c r="CJ27" s="497">
        <f>SUM(CJ196:CJ197,CJ223:CJ224)/SUM(CF205,CF232)</f>
        <v>7.0351029252437702E-3</v>
      </c>
    </row>
    <row r="28" spans="1:136" ht="11.25" customHeight="1" thickBot="1">
      <c r="BQ28" s="324"/>
      <c r="BU28" s="517"/>
      <c r="BV28" s="517"/>
      <c r="BW28" s="517"/>
      <c r="BX28" s="517"/>
      <c r="CC28" s="535"/>
      <c r="CD28" s="471"/>
      <c r="CE28" s="471"/>
    </row>
    <row r="29" spans="1:136">
      <c r="A29" s="25" t="s">
        <v>54</v>
      </c>
      <c r="B29" s="518"/>
      <c r="C29" s="518"/>
      <c r="D29" s="518"/>
      <c r="E29" s="518"/>
      <c r="F29" s="518"/>
      <c r="G29" s="518"/>
      <c r="H29" s="518"/>
      <c r="I29" s="518"/>
      <c r="J29" s="518"/>
      <c r="K29" s="518"/>
      <c r="L29" s="518"/>
      <c r="M29" s="518"/>
      <c r="N29" s="518"/>
      <c r="O29" s="518"/>
      <c r="P29" s="518"/>
      <c r="Q29" s="518"/>
      <c r="R29" s="518"/>
      <c r="S29" s="518"/>
      <c r="T29" s="518"/>
      <c r="U29" s="518"/>
      <c r="V29" s="518"/>
      <c r="W29" s="518"/>
      <c r="X29" s="518"/>
      <c r="Y29" s="518"/>
      <c r="Z29" s="518"/>
      <c r="AA29" s="518"/>
      <c r="AB29" s="519"/>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18"/>
      <c r="BD29" s="518"/>
      <c r="BE29" s="518"/>
      <c r="BF29" s="518"/>
      <c r="BG29" s="518"/>
      <c r="BH29" s="518"/>
      <c r="BI29" s="518"/>
      <c r="BJ29" s="518"/>
      <c r="BK29" s="518"/>
      <c r="BL29" s="518"/>
      <c r="BM29" s="520"/>
      <c r="BN29" s="518"/>
      <c r="BO29" s="518"/>
      <c r="BP29" s="518"/>
      <c r="BQ29" s="521"/>
      <c r="BR29" s="521"/>
      <c r="BS29" s="521"/>
      <c r="BT29" s="522"/>
      <c r="BU29" s="522"/>
      <c r="BV29" s="521"/>
      <c r="BW29" s="521"/>
      <c r="BX29" s="521"/>
      <c r="BY29" s="521"/>
      <c r="BZ29" s="518"/>
      <c r="CA29" s="518"/>
      <c r="CB29" s="518"/>
      <c r="CC29" s="521"/>
      <c r="CD29" s="521"/>
      <c r="CE29" s="521"/>
      <c r="CF29" s="518"/>
      <c r="CG29" s="521"/>
      <c r="CH29" s="518"/>
      <c r="CI29" s="518"/>
      <c r="CJ29" s="518"/>
    </row>
    <row r="30" spans="1:136" s="5" customFormat="1" ht="11.25" customHeight="1">
      <c r="A30" s="5" t="s">
        <v>41</v>
      </c>
      <c r="B30" s="523"/>
      <c r="C30" s="523"/>
      <c r="D30" s="523"/>
      <c r="E30" s="523"/>
      <c r="F30" s="523"/>
      <c r="G30" s="523"/>
      <c r="H30" s="523"/>
      <c r="I30" s="523"/>
      <c r="J30" s="523"/>
      <c r="K30" s="523"/>
      <c r="L30" s="523" t="s">
        <v>48</v>
      </c>
      <c r="M30" s="524">
        <v>4.3999999999999997E-2</v>
      </c>
      <c r="N30" s="506">
        <f t="shared" ref="N30:S31" si="28">+N144/M$153</f>
        <v>-4.6411253007588374E-3</v>
      </c>
      <c r="O30" s="506">
        <f t="shared" si="28"/>
        <v>9.619718309859155E-3</v>
      </c>
      <c r="P30" s="506">
        <f t="shared" si="28"/>
        <v>-4.2745633593459682E-2</v>
      </c>
      <c r="Q30" s="506">
        <f t="shared" si="28"/>
        <v>-3.9166638222270796E-2</v>
      </c>
      <c r="R30" s="506">
        <f>+R144/Q$153</f>
        <v>-5.2959861775651249E-2</v>
      </c>
      <c r="S30" s="506">
        <f>+S144/R$153</f>
        <v>-4.1447695035460995E-2</v>
      </c>
      <c r="T30" s="524">
        <v>-0.02</v>
      </c>
      <c r="U30" s="524">
        <v>0.01</v>
      </c>
      <c r="V30" s="524">
        <v>1.4999999999999999E-2</v>
      </c>
      <c r="W30" s="524">
        <f>+V30*0.9</f>
        <v>1.35E-2</v>
      </c>
      <c r="X30" s="524">
        <f>+W30*0.9</f>
        <v>1.2149999999999999E-2</v>
      </c>
      <c r="Y30" s="524">
        <f>+X30*0.9</f>
        <v>1.0935E-2</v>
      </c>
      <c r="Z30" s="524">
        <f>+Y30*0.9</f>
        <v>9.8415000000000013E-3</v>
      </c>
      <c r="AA30" s="524">
        <f>+Z30*0.9</f>
        <v>8.8573500000000017E-3</v>
      </c>
      <c r="AB30" s="324"/>
      <c r="AC30" s="523"/>
      <c r="AD30" s="523"/>
      <c r="AE30" s="523"/>
      <c r="AF30" s="523"/>
      <c r="AG30" s="523"/>
      <c r="AH30" s="523"/>
      <c r="AI30" s="523"/>
      <c r="AJ30" s="523"/>
      <c r="AK30" s="523"/>
      <c r="AL30" s="523"/>
      <c r="AM30" s="523"/>
      <c r="AN30" s="523"/>
      <c r="AO30" s="523"/>
      <c r="AP30" s="523"/>
      <c r="AQ30" s="523"/>
      <c r="AR30" s="523"/>
      <c r="AS30" s="523"/>
      <c r="AT30" s="523"/>
      <c r="AU30" s="523"/>
      <c r="AV30" s="523"/>
      <c r="AW30" s="523"/>
      <c r="AX30" s="523"/>
      <c r="AY30" s="523"/>
      <c r="AZ30" s="523"/>
      <c r="BA30" s="523"/>
      <c r="BB30" s="523"/>
      <c r="BC30" s="523"/>
      <c r="BD30" s="523"/>
      <c r="BE30" s="523" t="s">
        <v>48</v>
      </c>
      <c r="BF30" s="523" t="s">
        <v>48</v>
      </c>
      <c r="BG30" s="523" t="s">
        <v>48</v>
      </c>
      <c r="BH30" s="523" t="s">
        <v>48</v>
      </c>
      <c r="BI30" s="524">
        <v>2.7E-2</v>
      </c>
      <c r="BJ30" s="524">
        <v>-1.6E-2</v>
      </c>
      <c r="BK30" s="524">
        <v>-4.4999999999999998E-2</v>
      </c>
      <c r="BL30" s="524">
        <v>1.9E-2</v>
      </c>
      <c r="BM30" s="524">
        <v>3.2000000000000001E-2</v>
      </c>
      <c r="BN30" s="524">
        <v>-0.02</v>
      </c>
      <c r="BO30" s="524">
        <v>3.7999999999999999E-2</v>
      </c>
      <c r="BP30" s="524">
        <v>-0.01</v>
      </c>
      <c r="BQ30" s="524">
        <v>-1.4E-2</v>
      </c>
      <c r="BR30" s="524">
        <v>-6.9000000000000006E-2</v>
      </c>
      <c r="BS30" s="524">
        <v>-3.1E-2</v>
      </c>
      <c r="BT30" s="525">
        <v>-5.8000000000000003E-2</v>
      </c>
      <c r="BU30" s="524">
        <f>+-4.32275132275132%+3.67%</f>
        <v>-6.5275132275132014E-3</v>
      </c>
      <c r="BV30" s="526">
        <f>+-5.92994923857868%+4.63%</f>
        <v>-1.29994923857868E-2</v>
      </c>
      <c r="BW30" s="527">
        <f>+-10%+3.5%</f>
        <v>-6.5000000000000002E-2</v>
      </c>
      <c r="BX30" s="526">
        <f>+-13%+5.7%</f>
        <v>-7.3000000000000009E-2</v>
      </c>
      <c r="BY30" s="524">
        <v>-8.3000000000000004E-2</v>
      </c>
      <c r="BZ30" s="524">
        <v>-1.6E-2</v>
      </c>
      <c r="CA30" s="524">
        <v>-7.0999999999999994E-2</v>
      </c>
      <c r="CB30" s="524">
        <v>-3.7999999999999999E-2</v>
      </c>
      <c r="CC30" s="524">
        <v>-2.7E-2</v>
      </c>
      <c r="CD30" s="524">
        <v>-0.08</v>
      </c>
      <c r="CE30" s="524">
        <v>-2.9000000000000001E-2</v>
      </c>
      <c r="CF30" s="524">
        <v>-0.03</v>
      </c>
      <c r="CG30" s="524">
        <v>-0.03</v>
      </c>
      <c r="CH30" s="524">
        <v>0.01</v>
      </c>
      <c r="CI30" s="524">
        <v>-0.01</v>
      </c>
      <c r="CJ30" s="506">
        <f>+CJ144/CF$153</f>
        <v>-4.8244444444444451E-2</v>
      </c>
      <c r="CK30" s="571"/>
      <c r="CL30" s="18"/>
      <c r="CM30" s="18"/>
      <c r="CN30" s="18"/>
      <c r="CO30" s="18"/>
      <c r="CP30" s="18"/>
      <c r="CQ30" s="18"/>
      <c r="CR30" s="18"/>
      <c r="CS30" s="18"/>
    </row>
    <row r="31" spans="1:136" s="5" customFormat="1" ht="11.25" customHeight="1">
      <c r="A31" s="5" t="s">
        <v>42</v>
      </c>
      <c r="B31" s="523"/>
      <c r="C31" s="523"/>
      <c r="D31" s="523"/>
      <c r="E31" s="523"/>
      <c r="F31" s="523"/>
      <c r="G31" s="523"/>
      <c r="H31" s="523"/>
      <c r="I31" s="523"/>
      <c r="J31" s="523"/>
      <c r="K31" s="523"/>
      <c r="L31" s="523" t="s">
        <v>48</v>
      </c>
      <c r="M31" s="524">
        <v>0.108</v>
      </c>
      <c r="N31" s="506">
        <f t="shared" si="28"/>
        <v>9.486340921710161E-2</v>
      </c>
      <c r="O31" s="506">
        <f t="shared" si="28"/>
        <v>0.11347034840622684</v>
      </c>
      <c r="P31" s="506">
        <f t="shared" si="28"/>
        <v>0.19325641025641024</v>
      </c>
      <c r="Q31" s="506">
        <f t="shared" si="28"/>
        <v>0.1080107585504385</v>
      </c>
      <c r="R31" s="506">
        <f t="shared" si="28"/>
        <v>0.10123923444976075</v>
      </c>
      <c r="S31" s="506">
        <f t="shared" si="28"/>
        <v>7.6945330969267145E-2</v>
      </c>
      <c r="T31" s="524">
        <v>5.5E-2</v>
      </c>
      <c r="U31" s="524">
        <v>0.04</v>
      </c>
      <c r="V31" s="524">
        <v>4.4999999999999998E-2</v>
      </c>
      <c r="W31" s="524">
        <v>0.05</v>
      </c>
      <c r="X31" s="524">
        <v>0.05</v>
      </c>
      <c r="Y31" s="524">
        <v>0.05</v>
      </c>
      <c r="Z31" s="524">
        <v>0.05</v>
      </c>
      <c r="AA31" s="524">
        <v>0.05</v>
      </c>
      <c r="AB31" s="324"/>
      <c r="AC31" s="523"/>
      <c r="AD31" s="523"/>
      <c r="AE31" s="523"/>
      <c r="AF31" s="523"/>
      <c r="AG31" s="523"/>
      <c r="AH31" s="523"/>
      <c r="AI31" s="523"/>
      <c r="AJ31" s="523"/>
      <c r="AK31" s="523"/>
      <c r="AL31" s="523"/>
      <c r="AM31" s="523"/>
      <c r="AN31" s="523"/>
      <c r="AO31" s="523"/>
      <c r="AP31" s="523"/>
      <c r="AQ31" s="523"/>
      <c r="AR31" s="523"/>
      <c r="AS31" s="523"/>
      <c r="AT31" s="523"/>
      <c r="AU31" s="523"/>
      <c r="AV31" s="523"/>
      <c r="AW31" s="523"/>
      <c r="AX31" s="523"/>
      <c r="AY31" s="523"/>
      <c r="AZ31" s="523"/>
      <c r="BA31" s="523"/>
      <c r="BB31" s="523"/>
      <c r="BC31" s="523"/>
      <c r="BD31" s="523"/>
      <c r="BE31" s="523" t="s">
        <v>48</v>
      </c>
      <c r="BF31" s="523" t="s">
        <v>48</v>
      </c>
      <c r="BG31" s="523" t="s">
        <v>48</v>
      </c>
      <c r="BH31" s="523" t="s">
        <v>48</v>
      </c>
      <c r="BI31" s="524">
        <v>0.11600000000000001</v>
      </c>
      <c r="BJ31" s="524">
        <v>0.1</v>
      </c>
      <c r="BK31" s="524">
        <v>8.1000000000000003E-2</v>
      </c>
      <c r="BL31" s="524">
        <v>8.4000000000000005E-2</v>
      </c>
      <c r="BM31" s="524">
        <v>9.4E-2</v>
      </c>
      <c r="BN31" s="524">
        <v>0.11600000000000001</v>
      </c>
      <c r="BO31" s="524">
        <v>0.13100000000000001</v>
      </c>
      <c r="BP31" s="524">
        <v>0.114</v>
      </c>
      <c r="BQ31" s="524">
        <v>0.161</v>
      </c>
      <c r="BR31" s="524">
        <v>0.187</v>
      </c>
      <c r="BS31" s="524">
        <v>0.216</v>
      </c>
      <c r="BT31" s="525">
        <v>0.21099999999999999</v>
      </c>
      <c r="BU31" s="524">
        <f>23.3227513227513%-14.67%</f>
        <v>8.6527513227513009E-2</v>
      </c>
      <c r="BV31" s="526">
        <f>25.7299492385787%-18.53%</f>
        <v>7.1999492385787012E-2</v>
      </c>
      <c r="BW31" s="527">
        <f>27.4%-14%</f>
        <v>0.13399999999999995</v>
      </c>
      <c r="BX31" s="526">
        <f>36.8%-22.8%</f>
        <v>0.13999999999999999</v>
      </c>
      <c r="BY31" s="524">
        <v>0.121</v>
      </c>
      <c r="BZ31" s="524">
        <v>0.105</v>
      </c>
      <c r="CA31" s="524">
        <v>0.1</v>
      </c>
      <c r="CB31" s="524">
        <v>7.4999999999999997E-2</v>
      </c>
      <c r="CC31" s="524">
        <v>6.4000000000000001E-2</v>
      </c>
      <c r="CD31" s="524">
        <v>7.4999999999999997E-2</v>
      </c>
      <c r="CE31" s="524">
        <v>8.3000000000000004E-2</v>
      </c>
      <c r="CF31" s="524">
        <v>8.5000000000000006E-2</v>
      </c>
      <c r="CG31" s="524">
        <v>5.5E-2</v>
      </c>
      <c r="CH31" s="524">
        <v>0.06</v>
      </c>
      <c r="CI31" s="524">
        <v>5.5E-2</v>
      </c>
      <c r="CJ31" s="506">
        <f>+CJ145/CF$153</f>
        <v>5.0288888888888876E-2</v>
      </c>
      <c r="CK31" s="571"/>
      <c r="CL31" s="571"/>
      <c r="CM31" s="571"/>
      <c r="CN31" s="571"/>
      <c r="CO31" s="571"/>
    </row>
    <row r="32" spans="1:136" s="90" customFormat="1" ht="6" customHeight="1">
      <c r="A32" s="87"/>
      <c r="B32" s="103"/>
      <c r="C32" s="103"/>
      <c r="D32" s="103"/>
      <c r="E32" s="103"/>
      <c r="F32" s="103"/>
      <c r="G32" s="103"/>
      <c r="H32" s="103"/>
      <c r="I32" s="103"/>
      <c r="J32" s="103"/>
      <c r="K32" s="103"/>
      <c r="L32" s="103"/>
      <c r="M32" s="91"/>
      <c r="N32" s="91"/>
      <c r="O32" s="91"/>
      <c r="P32" s="502"/>
      <c r="Q32" s="158"/>
      <c r="R32" s="158"/>
      <c r="S32" s="158"/>
      <c r="T32" s="158"/>
      <c r="U32" s="158"/>
      <c r="V32" s="158"/>
      <c r="W32" s="158"/>
      <c r="X32" s="158"/>
      <c r="Y32" s="158"/>
      <c r="Z32" s="158"/>
      <c r="AA32" s="158"/>
      <c r="AB32" s="158"/>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O32" s="39"/>
      <c r="DK32" s="39"/>
      <c r="DL32" s="39"/>
      <c r="DM32" s="39"/>
      <c r="DN32" s="39"/>
      <c r="DO32" s="39"/>
      <c r="DP32" s="39"/>
      <c r="DQ32" s="91"/>
      <c r="DR32" s="39"/>
      <c r="DS32" s="39"/>
      <c r="DT32" s="39"/>
      <c r="DU32" s="39"/>
      <c r="DV32" s="39"/>
      <c r="DW32" s="39"/>
      <c r="DX32" s="39"/>
      <c r="DY32" s="39"/>
      <c r="DZ32" s="39"/>
      <c r="EA32" s="92"/>
      <c r="EB32" s="92"/>
      <c r="EC32" s="92"/>
      <c r="ED32" s="92"/>
      <c r="EE32" s="92"/>
      <c r="EF32" s="92"/>
    </row>
    <row r="33" spans="1:136" s="5" customFormat="1">
      <c r="A33" s="5" t="s">
        <v>43</v>
      </c>
      <c r="B33" s="523"/>
      <c r="C33" s="523"/>
      <c r="D33" s="523"/>
      <c r="E33" s="523"/>
      <c r="F33" s="523"/>
      <c r="G33" s="523"/>
      <c r="H33" s="523"/>
      <c r="I33" s="523"/>
      <c r="J33" s="523"/>
      <c r="K33" s="523"/>
      <c r="L33" s="523" t="s">
        <v>48</v>
      </c>
      <c r="M33" s="506">
        <f t="shared" ref="M33:T37" si="29">+M147/L$153</f>
        <v>1.9378991411583352E-2</v>
      </c>
      <c r="N33" s="506">
        <f t="shared" si="29"/>
        <v>-8.6803627614288364E-2</v>
      </c>
      <c r="O33" s="506">
        <f t="shared" si="29"/>
        <v>-0.125648628613788</v>
      </c>
      <c r="P33" s="506">
        <f t="shared" si="29"/>
        <v>-0.19305091044221478</v>
      </c>
      <c r="Q33" s="506">
        <f t="shared" si="29"/>
        <v>-0.21308113035551504</v>
      </c>
      <c r="R33" s="506">
        <f t="shared" si="29"/>
        <v>-0.14859117490696439</v>
      </c>
      <c r="S33" s="506">
        <f t="shared" si="29"/>
        <v>1.8321513002364065E-2</v>
      </c>
      <c r="T33" s="506">
        <f t="shared" si="29"/>
        <v>-3.8839035333707236E-2</v>
      </c>
      <c r="U33" s="524">
        <v>0</v>
      </c>
      <c r="V33" s="524">
        <v>0</v>
      </c>
      <c r="W33" s="524">
        <v>0</v>
      </c>
      <c r="X33" s="524">
        <v>0</v>
      </c>
      <c r="Y33" s="524">
        <v>0</v>
      </c>
      <c r="Z33" s="524">
        <v>0</v>
      </c>
      <c r="AA33" s="524">
        <v>0</v>
      </c>
      <c r="AB33" s="324"/>
      <c r="AC33" s="523"/>
      <c r="AD33" s="523"/>
      <c r="AE33" s="523"/>
      <c r="AF33" s="523"/>
      <c r="AG33" s="523"/>
      <c r="AH33" s="523"/>
      <c r="AI33" s="523"/>
      <c r="AJ33" s="523"/>
      <c r="AK33" s="523"/>
      <c r="AL33" s="523"/>
      <c r="AM33" s="523"/>
      <c r="AN33" s="523"/>
      <c r="AO33" s="523"/>
      <c r="AP33" s="523"/>
      <c r="AQ33" s="523"/>
      <c r="AR33" s="523"/>
      <c r="AS33" s="523"/>
      <c r="AT33" s="523"/>
      <c r="AU33" s="523"/>
      <c r="AV33" s="523"/>
      <c r="AW33" s="523"/>
      <c r="AX33" s="523"/>
      <c r="AY33" s="523"/>
      <c r="AZ33" s="523"/>
      <c r="BA33" s="523"/>
      <c r="BB33" s="523"/>
      <c r="BC33" s="523"/>
      <c r="BD33" s="523"/>
      <c r="BE33" s="523" t="s">
        <v>48</v>
      </c>
      <c r="BF33" s="523" t="s">
        <v>48</v>
      </c>
      <c r="BG33" s="523" t="s">
        <v>48</v>
      </c>
      <c r="BH33" s="523" t="s">
        <v>48</v>
      </c>
      <c r="BI33" s="506">
        <f t="shared" ref="BI33:CA37" si="30">+BI147/BE$153</f>
        <v>-5.2547770700636945E-2</v>
      </c>
      <c r="BJ33" s="506">
        <f t="shared" si="30"/>
        <v>-0.11872791519434629</v>
      </c>
      <c r="BK33" s="506">
        <f t="shared" si="30"/>
        <v>-0.10369833212472807</v>
      </c>
      <c r="BL33" s="506">
        <f t="shared" si="30"/>
        <v>-6.7997043606799701E-2</v>
      </c>
      <c r="BM33" s="506">
        <f t="shared" si="30"/>
        <v>-0.10583941605839416</v>
      </c>
      <c r="BN33" s="506">
        <f>+BN147/BJ$153</f>
        <v>-9.6268656716417905E-2</v>
      </c>
      <c r="BO33" s="506">
        <f t="shared" si="30"/>
        <v>-0.15163297045101087</v>
      </c>
      <c r="BP33" s="506">
        <f t="shared" si="30"/>
        <v>-0.1492857142857143</v>
      </c>
      <c r="BQ33" s="506">
        <f t="shared" si="30"/>
        <v>-0.17739628040057226</v>
      </c>
      <c r="BR33" s="506">
        <f t="shared" si="30"/>
        <v>-0.19044062733383121</v>
      </c>
      <c r="BS33" s="506">
        <f t="shared" si="30"/>
        <v>-0.17966360856269112</v>
      </c>
      <c r="BT33" s="506">
        <f t="shared" si="30"/>
        <v>-0.22513089005235601</v>
      </c>
      <c r="BU33" s="506">
        <f t="shared" si="30"/>
        <v>-0.15026833631484796</v>
      </c>
      <c r="BV33" s="506">
        <f t="shared" si="30"/>
        <v>-0.19429097605893186</v>
      </c>
      <c r="BW33" s="506">
        <f t="shared" ref="BW33:CC33" si="31">+BW147/BS$153</f>
        <v>-0.25111308993766696</v>
      </c>
      <c r="BX33" s="506">
        <f t="shared" si="31"/>
        <v>-0.25824693685202638</v>
      </c>
      <c r="BY33" s="506">
        <f t="shared" si="31"/>
        <v>-0.25168756027000966</v>
      </c>
      <c r="BZ33" s="506">
        <f t="shared" si="31"/>
        <v>-0.19103521878335111</v>
      </c>
      <c r="CA33" s="506">
        <f t="shared" si="31"/>
        <v>-8.4061135371179041E-2</v>
      </c>
      <c r="CB33" s="506">
        <f t="shared" si="31"/>
        <v>-4.8165137614678902E-2</v>
      </c>
      <c r="CC33" s="506">
        <f t="shared" si="31"/>
        <v>7.9754601226993863E-2</v>
      </c>
      <c r="CD33" s="506">
        <f>+CD147/BZ$153</f>
        <v>1.3079667063020214E-2</v>
      </c>
      <c r="CE33" s="506">
        <f>+CE147/CA$153</f>
        <v>-5.7736720554272519E-3</v>
      </c>
      <c r="CF33" s="506">
        <f>+CF147/CB$153</f>
        <v>-1.0440835266821345E-2</v>
      </c>
      <c r="CG33" s="524">
        <v>-0.03</v>
      </c>
      <c r="CH33" s="524">
        <v>-0.05</v>
      </c>
      <c r="CI33" s="524">
        <v>-0.05</v>
      </c>
      <c r="CJ33" s="524">
        <v>-2.5999999999999999E-2</v>
      </c>
    </row>
    <row r="34" spans="1:136" s="5" customFormat="1">
      <c r="A34" s="5" t="s">
        <v>44</v>
      </c>
      <c r="B34" s="523"/>
      <c r="C34" s="523"/>
      <c r="D34" s="523"/>
      <c r="E34" s="523"/>
      <c r="F34" s="523"/>
      <c r="G34" s="523"/>
      <c r="H34" s="523"/>
      <c r="I34" s="523"/>
      <c r="J34" s="523"/>
      <c r="K34" s="523"/>
      <c r="L34" s="523" t="s">
        <v>48</v>
      </c>
      <c r="M34" s="506">
        <f t="shared" si="29"/>
        <v>2.2902444395507596E-2</v>
      </c>
      <c r="N34" s="506">
        <f t="shared" si="29"/>
        <v>0</v>
      </c>
      <c r="O34" s="506">
        <f t="shared" si="29"/>
        <v>0</v>
      </c>
      <c r="P34" s="506">
        <f t="shared" si="29"/>
        <v>0</v>
      </c>
      <c r="Q34" s="506">
        <f t="shared" si="29"/>
        <v>0</v>
      </c>
      <c r="R34" s="506">
        <f t="shared" si="29"/>
        <v>0</v>
      </c>
      <c r="S34" s="506">
        <f t="shared" si="29"/>
        <v>0</v>
      </c>
      <c r="T34" s="524">
        <v>0</v>
      </c>
      <c r="U34" s="524">
        <v>0</v>
      </c>
      <c r="V34" s="524">
        <v>0</v>
      </c>
      <c r="W34" s="524">
        <v>0</v>
      </c>
      <c r="X34" s="524">
        <v>0</v>
      </c>
      <c r="Y34" s="524">
        <v>0</v>
      </c>
      <c r="Z34" s="524">
        <v>0</v>
      </c>
      <c r="AA34" s="524">
        <v>0</v>
      </c>
      <c r="AB34" s="324"/>
      <c r="AC34" s="523"/>
      <c r="AD34" s="523"/>
      <c r="AE34" s="523"/>
      <c r="AF34" s="523"/>
      <c r="AG34" s="523"/>
      <c r="AH34" s="523"/>
      <c r="AI34" s="523"/>
      <c r="AJ34" s="523"/>
      <c r="AK34" s="523"/>
      <c r="AL34" s="523"/>
      <c r="AM34" s="523"/>
      <c r="AN34" s="523"/>
      <c r="AO34" s="523"/>
      <c r="AP34" s="523"/>
      <c r="AQ34" s="523"/>
      <c r="AR34" s="523"/>
      <c r="AS34" s="523"/>
      <c r="AT34" s="523"/>
      <c r="AU34" s="523"/>
      <c r="AV34" s="523"/>
      <c r="AW34" s="523"/>
      <c r="AX34" s="523"/>
      <c r="AY34" s="523"/>
      <c r="AZ34" s="523"/>
      <c r="BA34" s="523"/>
      <c r="BB34" s="523"/>
      <c r="BC34" s="523"/>
      <c r="BD34" s="523"/>
      <c r="BE34" s="523" t="s">
        <v>48</v>
      </c>
      <c r="BF34" s="523" t="s">
        <v>48</v>
      </c>
      <c r="BG34" s="523" t="s">
        <v>48</v>
      </c>
      <c r="BH34" s="523" t="s">
        <v>48</v>
      </c>
      <c r="BI34" s="506">
        <f t="shared" si="30"/>
        <v>0</v>
      </c>
      <c r="BJ34" s="506">
        <f t="shared" si="30"/>
        <v>0</v>
      </c>
      <c r="BK34" s="506">
        <f t="shared" si="30"/>
        <v>0</v>
      </c>
      <c r="BL34" s="506">
        <f t="shared" si="30"/>
        <v>0</v>
      </c>
      <c r="BM34" s="506">
        <f t="shared" si="30"/>
        <v>0</v>
      </c>
      <c r="BN34" s="506">
        <f t="shared" si="30"/>
        <v>0</v>
      </c>
      <c r="BO34" s="506">
        <f t="shared" si="30"/>
        <v>0</v>
      </c>
      <c r="BP34" s="506">
        <f t="shared" si="30"/>
        <v>0</v>
      </c>
      <c r="BQ34" s="506">
        <f t="shared" si="30"/>
        <v>0</v>
      </c>
      <c r="BR34" s="506">
        <f t="shared" si="30"/>
        <v>0</v>
      </c>
      <c r="BS34" s="506">
        <f t="shared" si="30"/>
        <v>0</v>
      </c>
      <c r="BT34" s="506">
        <f t="shared" si="30"/>
        <v>0</v>
      </c>
      <c r="BU34" s="506">
        <f t="shared" si="30"/>
        <v>0</v>
      </c>
      <c r="BV34" s="506">
        <f t="shared" si="30"/>
        <v>0</v>
      </c>
      <c r="BW34" s="506">
        <f t="shared" si="30"/>
        <v>0</v>
      </c>
      <c r="BX34" s="506">
        <f t="shared" ref="BX34:CF34" si="32">+BX148/BT$153</f>
        <v>0</v>
      </c>
      <c r="BY34" s="506">
        <f t="shared" si="32"/>
        <v>0</v>
      </c>
      <c r="BZ34" s="506">
        <f t="shared" si="32"/>
        <v>0</v>
      </c>
      <c r="CA34" s="506">
        <f t="shared" si="32"/>
        <v>0</v>
      </c>
      <c r="CB34" s="506">
        <f t="shared" si="32"/>
        <v>0</v>
      </c>
      <c r="CC34" s="506">
        <f t="shared" si="32"/>
        <v>0</v>
      </c>
      <c r="CD34" s="506">
        <f t="shared" si="32"/>
        <v>0</v>
      </c>
      <c r="CE34" s="506">
        <f t="shared" si="32"/>
        <v>0</v>
      </c>
      <c r="CF34" s="506">
        <f t="shared" si="32"/>
        <v>0</v>
      </c>
      <c r="CG34" s="524">
        <v>0</v>
      </c>
      <c r="CH34" s="524">
        <v>0</v>
      </c>
      <c r="CI34" s="524">
        <v>0</v>
      </c>
      <c r="CJ34" s="506">
        <f>+CJ148/CF$153</f>
        <v>0</v>
      </c>
    </row>
    <row r="35" spans="1:136" s="5" customFormat="1">
      <c r="A35" s="5" t="s">
        <v>45</v>
      </c>
      <c r="B35" s="523"/>
      <c r="C35" s="523"/>
      <c r="D35" s="523"/>
      <c r="E35" s="523"/>
      <c r="F35" s="523"/>
      <c r="G35" s="523"/>
      <c r="H35" s="523"/>
      <c r="I35" s="523"/>
      <c r="J35" s="523"/>
      <c r="K35" s="523"/>
      <c r="L35" s="523" t="s">
        <v>48</v>
      </c>
      <c r="M35" s="506">
        <f t="shared" si="29"/>
        <v>0</v>
      </c>
      <c r="N35" s="506">
        <f t="shared" si="29"/>
        <v>0</v>
      </c>
      <c r="O35" s="506">
        <f t="shared" si="29"/>
        <v>9.2661230541141583E-5</v>
      </c>
      <c r="P35" s="506">
        <f t="shared" si="29"/>
        <v>0</v>
      </c>
      <c r="Q35" s="506">
        <f t="shared" si="29"/>
        <v>-6.8368277119416595E-4</v>
      </c>
      <c r="R35" s="506">
        <f t="shared" si="29"/>
        <v>-2.1265284423179162E-3</v>
      </c>
      <c r="S35" s="506">
        <f t="shared" si="29"/>
        <v>0</v>
      </c>
      <c r="T35" s="524">
        <v>0</v>
      </c>
      <c r="U35" s="524">
        <v>0</v>
      </c>
      <c r="V35" s="524">
        <v>0</v>
      </c>
      <c r="W35" s="524">
        <v>0</v>
      </c>
      <c r="X35" s="524">
        <v>0</v>
      </c>
      <c r="Y35" s="524">
        <v>0</v>
      </c>
      <c r="Z35" s="524">
        <v>0</v>
      </c>
      <c r="AA35" s="524">
        <v>0</v>
      </c>
      <c r="AB35" s="324"/>
      <c r="AC35" s="523"/>
      <c r="AD35" s="523"/>
      <c r="AE35" s="523"/>
      <c r="AF35" s="523"/>
      <c r="AG35" s="523"/>
      <c r="AH35" s="523"/>
      <c r="AI35" s="523"/>
      <c r="AJ35" s="523"/>
      <c r="AK35" s="523"/>
      <c r="AL35" s="523"/>
      <c r="AM35" s="523"/>
      <c r="AN35" s="523"/>
      <c r="AO35" s="523"/>
      <c r="AP35" s="523"/>
      <c r="AQ35" s="523"/>
      <c r="AR35" s="523"/>
      <c r="AS35" s="523"/>
      <c r="AT35" s="523"/>
      <c r="AU35" s="523"/>
      <c r="AV35" s="523"/>
      <c r="AW35" s="523"/>
      <c r="AX35" s="523"/>
      <c r="AY35" s="523"/>
      <c r="AZ35" s="523"/>
      <c r="BA35" s="523"/>
      <c r="BB35" s="523"/>
      <c r="BC35" s="523"/>
      <c r="BD35" s="523"/>
      <c r="BE35" s="523" t="s">
        <v>48</v>
      </c>
      <c r="BF35" s="523" t="s">
        <v>48</v>
      </c>
      <c r="BG35" s="523" t="s">
        <v>48</v>
      </c>
      <c r="BH35" s="523" t="s">
        <v>48</v>
      </c>
      <c r="BI35" s="506">
        <f t="shared" si="30"/>
        <v>0</v>
      </c>
      <c r="BJ35" s="506">
        <f t="shared" si="30"/>
        <v>0</v>
      </c>
      <c r="BK35" s="506">
        <f t="shared" si="30"/>
        <v>0</v>
      </c>
      <c r="BL35" s="506">
        <f t="shared" si="30"/>
        <v>0</v>
      </c>
      <c r="BM35" s="506">
        <f t="shared" si="30"/>
        <v>3.6496350364963501E-4</v>
      </c>
      <c r="BN35" s="506">
        <f t="shared" si="30"/>
        <v>-3.7313432835820896E-4</v>
      </c>
      <c r="BO35" s="506">
        <f t="shared" si="30"/>
        <v>0</v>
      </c>
      <c r="BP35" s="506">
        <f t="shared" si="30"/>
        <v>3.5714285714285714E-4</v>
      </c>
      <c r="BQ35" s="506">
        <f t="shared" si="30"/>
        <v>3.5765379113018598E-4</v>
      </c>
      <c r="BR35" s="506">
        <f t="shared" si="30"/>
        <v>0</v>
      </c>
      <c r="BS35" s="506">
        <f t="shared" si="30"/>
        <v>0</v>
      </c>
      <c r="BT35" s="506">
        <f t="shared" si="30"/>
        <v>-3.7397157816005983E-4</v>
      </c>
      <c r="BU35" s="506">
        <f t="shared" si="30"/>
        <v>0</v>
      </c>
      <c r="BV35" s="506">
        <f t="shared" si="30"/>
        <v>0</v>
      </c>
      <c r="BW35" s="506">
        <f t="shared" si="30"/>
        <v>0</v>
      </c>
      <c r="BX35" s="506">
        <f t="shared" si="30"/>
        <v>-2.8275212064090482E-3</v>
      </c>
      <c r="BY35" s="506">
        <f t="shared" si="30"/>
        <v>-1.9286403085824494E-3</v>
      </c>
      <c r="BZ35" s="506">
        <f t="shared" si="30"/>
        <v>-2.1344717182497333E-3</v>
      </c>
      <c r="CA35" s="506">
        <f t="shared" si="30"/>
        <v>-2.1834061135371178E-3</v>
      </c>
      <c r="CB35" s="506">
        <f t="shared" ref="CB35:CF37" si="33">+CB149/BX$153</f>
        <v>-2.2935779816513763E-3</v>
      </c>
      <c r="CC35" s="506">
        <f t="shared" si="33"/>
        <v>0</v>
      </c>
      <c r="CD35" s="506">
        <f t="shared" si="33"/>
        <v>0</v>
      </c>
      <c r="CE35" s="506">
        <f t="shared" si="33"/>
        <v>0</v>
      </c>
      <c r="CF35" s="506">
        <f t="shared" si="33"/>
        <v>0</v>
      </c>
      <c r="CG35" s="524">
        <v>0</v>
      </c>
      <c r="CH35" s="524">
        <v>0</v>
      </c>
      <c r="CI35" s="524">
        <v>0</v>
      </c>
      <c r="CJ35" s="506">
        <f>+CJ149/CF$153</f>
        <v>0</v>
      </c>
    </row>
    <row r="36" spans="1:136" s="5" customFormat="1">
      <c r="A36" s="5" t="s">
        <v>46</v>
      </c>
      <c r="B36" s="523"/>
      <c r="C36" s="523"/>
      <c r="D36" s="523"/>
      <c r="E36" s="523"/>
      <c r="F36" s="523"/>
      <c r="G36" s="523"/>
      <c r="H36" s="523"/>
      <c r="I36" s="523"/>
      <c r="J36" s="523"/>
      <c r="K36" s="523"/>
      <c r="L36" s="523" t="s">
        <v>48</v>
      </c>
      <c r="M36" s="506">
        <f t="shared" si="29"/>
        <v>-3.0830213609337152E-3</v>
      </c>
      <c r="N36" s="506">
        <f t="shared" si="29"/>
        <v>-4.4419766796224324E-3</v>
      </c>
      <c r="O36" s="506">
        <f t="shared" si="29"/>
        <v>0</v>
      </c>
      <c r="P36" s="506">
        <f t="shared" si="29"/>
        <v>0</v>
      </c>
      <c r="Q36" s="506">
        <f t="shared" si="29"/>
        <v>0</v>
      </c>
      <c r="R36" s="506">
        <f t="shared" si="29"/>
        <v>0</v>
      </c>
      <c r="S36" s="506">
        <f t="shared" si="29"/>
        <v>0</v>
      </c>
      <c r="T36" s="524">
        <v>0</v>
      </c>
      <c r="U36" s="524">
        <v>0</v>
      </c>
      <c r="V36" s="524">
        <v>0</v>
      </c>
      <c r="W36" s="524">
        <v>0</v>
      </c>
      <c r="X36" s="524">
        <v>0</v>
      </c>
      <c r="Y36" s="524">
        <v>0</v>
      </c>
      <c r="Z36" s="524">
        <v>0</v>
      </c>
      <c r="AA36" s="524">
        <v>0</v>
      </c>
      <c r="AB36" s="324"/>
      <c r="AC36" s="523"/>
      <c r="AD36" s="523"/>
      <c r="AE36" s="523"/>
      <c r="AF36" s="523"/>
      <c r="AG36" s="523"/>
      <c r="AH36" s="523"/>
      <c r="AI36" s="523"/>
      <c r="AJ36" s="523"/>
      <c r="AK36" s="523"/>
      <c r="AL36" s="523"/>
      <c r="AM36" s="523"/>
      <c r="AN36" s="523"/>
      <c r="AO36" s="523"/>
      <c r="AP36" s="523"/>
      <c r="AQ36" s="523"/>
      <c r="AR36" s="523"/>
      <c r="AS36" s="523"/>
      <c r="AT36" s="523"/>
      <c r="AU36" s="523"/>
      <c r="AV36" s="523"/>
      <c r="AW36" s="523"/>
      <c r="AX36" s="523"/>
      <c r="AY36" s="523"/>
      <c r="AZ36" s="523"/>
      <c r="BA36" s="523"/>
      <c r="BB36" s="523"/>
      <c r="BC36" s="523"/>
      <c r="BD36" s="523"/>
      <c r="BE36" s="523" t="s">
        <v>48</v>
      </c>
      <c r="BF36" s="523" t="s">
        <v>48</v>
      </c>
      <c r="BG36" s="523" t="s">
        <v>48</v>
      </c>
      <c r="BH36" s="523" t="s">
        <v>48</v>
      </c>
      <c r="BI36" s="506">
        <f t="shared" si="30"/>
        <v>0</v>
      </c>
      <c r="BJ36" s="506">
        <f t="shared" si="30"/>
        <v>-1.6961130742049468E-2</v>
      </c>
      <c r="BK36" s="506">
        <f t="shared" si="30"/>
        <v>0</v>
      </c>
      <c r="BL36" s="506">
        <f t="shared" si="30"/>
        <v>0</v>
      </c>
      <c r="BM36" s="506">
        <f t="shared" si="30"/>
        <v>0</v>
      </c>
      <c r="BN36" s="506">
        <f t="shared" si="30"/>
        <v>0</v>
      </c>
      <c r="BO36" s="506">
        <f t="shared" si="30"/>
        <v>0</v>
      </c>
      <c r="BP36" s="506">
        <f t="shared" si="30"/>
        <v>0</v>
      </c>
      <c r="BQ36" s="506">
        <f t="shared" si="30"/>
        <v>0</v>
      </c>
      <c r="BR36" s="506">
        <f t="shared" si="30"/>
        <v>0</v>
      </c>
      <c r="BS36" s="506">
        <f t="shared" si="30"/>
        <v>0</v>
      </c>
      <c r="BT36" s="506">
        <f t="shared" si="30"/>
        <v>0</v>
      </c>
      <c r="BU36" s="506">
        <f t="shared" si="30"/>
        <v>0</v>
      </c>
      <c r="BV36" s="506">
        <f t="shared" si="30"/>
        <v>0</v>
      </c>
      <c r="BW36" s="506">
        <f t="shared" si="30"/>
        <v>0</v>
      </c>
      <c r="BX36" s="506">
        <f t="shared" si="30"/>
        <v>0</v>
      </c>
      <c r="BY36" s="506">
        <f t="shared" si="30"/>
        <v>0</v>
      </c>
      <c r="BZ36" s="506">
        <f t="shared" si="30"/>
        <v>0</v>
      </c>
      <c r="CA36" s="506">
        <f t="shared" si="30"/>
        <v>0</v>
      </c>
      <c r="CB36" s="506">
        <f t="shared" si="33"/>
        <v>0</v>
      </c>
      <c r="CC36" s="506">
        <f t="shared" si="33"/>
        <v>0</v>
      </c>
      <c r="CD36" s="506">
        <f t="shared" si="33"/>
        <v>0</v>
      </c>
      <c r="CE36" s="506">
        <f t="shared" si="33"/>
        <v>0</v>
      </c>
      <c r="CF36" s="506">
        <f t="shared" si="33"/>
        <v>0</v>
      </c>
      <c r="CG36" s="524">
        <v>0</v>
      </c>
      <c r="CH36" s="524">
        <v>0</v>
      </c>
      <c r="CI36" s="524">
        <v>0</v>
      </c>
      <c r="CJ36" s="506">
        <f>+CJ150/CF$153</f>
        <v>0</v>
      </c>
    </row>
    <row r="37" spans="1:136" s="5" customFormat="1">
      <c r="A37" s="5" t="s">
        <v>47</v>
      </c>
      <c r="B37" s="523"/>
      <c r="C37" s="523"/>
      <c r="D37" s="523"/>
      <c r="E37" s="523"/>
      <c r="F37" s="523"/>
      <c r="G37" s="523"/>
      <c r="H37" s="523"/>
      <c r="I37" s="523"/>
      <c r="J37" s="523"/>
      <c r="K37" s="523"/>
      <c r="L37" s="523" t="s">
        <v>48</v>
      </c>
      <c r="M37" s="506">
        <f t="shared" si="29"/>
        <v>0</v>
      </c>
      <c r="N37" s="506">
        <f t="shared" si="29"/>
        <v>0</v>
      </c>
      <c r="O37" s="506">
        <f t="shared" si="29"/>
        <v>0</v>
      </c>
      <c r="P37" s="506">
        <f t="shared" si="29"/>
        <v>-0.14214957264957265</v>
      </c>
      <c r="Q37" s="506">
        <f t="shared" si="29"/>
        <v>2.2588878760255353E-3</v>
      </c>
      <c r="R37" s="506">
        <f t="shared" si="29"/>
        <v>1.9598617756512466E-3</v>
      </c>
      <c r="S37" s="506">
        <f t="shared" ca="1" si="29"/>
        <v>0</v>
      </c>
      <c r="T37" s="524">
        <v>0</v>
      </c>
      <c r="U37" s="524">
        <v>0</v>
      </c>
      <c r="V37" s="524">
        <v>0</v>
      </c>
      <c r="W37" s="524">
        <v>0</v>
      </c>
      <c r="X37" s="524">
        <v>0</v>
      </c>
      <c r="Y37" s="524">
        <v>0</v>
      </c>
      <c r="Z37" s="524">
        <v>0</v>
      </c>
      <c r="AA37" s="524">
        <v>0</v>
      </c>
      <c r="AB37" s="324"/>
      <c r="AC37" s="523"/>
      <c r="AD37" s="523"/>
      <c r="AE37" s="523"/>
      <c r="AF37" s="523"/>
      <c r="AG37" s="523"/>
      <c r="AH37" s="523"/>
      <c r="AI37" s="523"/>
      <c r="AJ37" s="523"/>
      <c r="AK37" s="523"/>
      <c r="AL37" s="523"/>
      <c r="AM37" s="523"/>
      <c r="AN37" s="523"/>
      <c r="AO37" s="523"/>
      <c r="AP37" s="523"/>
      <c r="AQ37" s="523"/>
      <c r="AR37" s="523"/>
      <c r="AS37" s="523"/>
      <c r="AT37" s="523"/>
      <c r="AU37" s="523"/>
      <c r="AV37" s="523"/>
      <c r="AW37" s="523"/>
      <c r="AX37" s="523"/>
      <c r="AY37" s="523"/>
      <c r="AZ37" s="523"/>
      <c r="BA37" s="523"/>
      <c r="BB37" s="523"/>
      <c r="BC37" s="523"/>
      <c r="BD37" s="523"/>
      <c r="BE37" s="523" t="s">
        <v>48</v>
      </c>
      <c r="BF37" s="523" t="s">
        <v>48</v>
      </c>
      <c r="BG37" s="523" t="s">
        <v>48</v>
      </c>
      <c r="BH37" s="523" t="s">
        <v>48</v>
      </c>
      <c r="BI37" s="506">
        <f t="shared" si="30"/>
        <v>0</v>
      </c>
      <c r="BJ37" s="506">
        <f t="shared" si="30"/>
        <v>0</v>
      </c>
      <c r="BK37" s="506">
        <f t="shared" si="30"/>
        <v>0</v>
      </c>
      <c r="BL37" s="506">
        <f t="shared" si="30"/>
        <v>0</v>
      </c>
      <c r="BM37" s="506">
        <f t="shared" si="30"/>
        <v>0</v>
      </c>
      <c r="BN37" s="506">
        <f t="shared" si="30"/>
        <v>0</v>
      </c>
      <c r="BO37" s="506">
        <f t="shared" si="30"/>
        <v>0</v>
      </c>
      <c r="BP37" s="506">
        <f t="shared" si="30"/>
        <v>0</v>
      </c>
      <c r="BQ37" s="506">
        <f t="shared" si="30"/>
        <v>-0.1702474964234621</v>
      </c>
      <c r="BR37" s="506">
        <f t="shared" si="30"/>
        <v>-0.11650634802091113</v>
      </c>
      <c r="BS37" s="506">
        <f t="shared" si="30"/>
        <v>-0.14677370030581041</v>
      </c>
      <c r="BT37" s="506">
        <f t="shared" si="30"/>
        <v>-0.13392744951383692</v>
      </c>
      <c r="BU37" s="506">
        <f t="shared" si="30"/>
        <v>-2.1824686940964083E-3</v>
      </c>
      <c r="BV37" s="506">
        <f t="shared" si="30"/>
        <v>-1.9097605893188211E-3</v>
      </c>
      <c r="BW37" s="506">
        <f t="shared" si="30"/>
        <v>-2.2146037399821353E-3</v>
      </c>
      <c r="BX37" s="506">
        <f t="shared" si="30"/>
        <v>1.594062205466542E-2</v>
      </c>
      <c r="BY37" s="506">
        <f t="shared" si="30"/>
        <v>1.5371263259402065E-3</v>
      </c>
      <c r="BZ37" s="506">
        <f t="shared" si="30"/>
        <v>1.7150480256136751E-3</v>
      </c>
      <c r="CA37" s="506">
        <f t="shared" si="30"/>
        <v>2.6593886462881861E-3</v>
      </c>
      <c r="CB37" s="506">
        <f t="shared" si="33"/>
        <v>1.9908256880733994E-3</v>
      </c>
      <c r="CC37" s="506">
        <f t="shared" si="33"/>
        <v>0</v>
      </c>
      <c r="CD37" s="506">
        <f t="shared" si="33"/>
        <v>2.4375743162901949E-4</v>
      </c>
      <c r="CE37" s="506">
        <f t="shared" si="33"/>
        <v>2.7251732101617112E-4</v>
      </c>
      <c r="CF37" s="506">
        <f t="shared" ca="1" si="33"/>
        <v>-5.1160092807425706E-4</v>
      </c>
      <c r="CG37" s="524">
        <v>0</v>
      </c>
      <c r="CH37" s="524">
        <v>0</v>
      </c>
      <c r="CI37" s="524">
        <v>0</v>
      </c>
      <c r="CJ37" s="506">
        <f>+CJ151/CF$153</f>
        <v>0</v>
      </c>
    </row>
    <row r="38" spans="1:136" s="90" customFormat="1" ht="6" customHeight="1">
      <c r="A38" s="87"/>
      <c r="B38" s="103"/>
      <c r="C38" s="103"/>
      <c r="D38" s="103"/>
      <c r="E38" s="103"/>
      <c r="F38" s="103"/>
      <c r="G38" s="103"/>
      <c r="H38" s="103"/>
      <c r="I38" s="103"/>
      <c r="J38" s="103"/>
      <c r="K38" s="103"/>
      <c r="L38" s="103"/>
      <c r="M38" s="91"/>
      <c r="N38" s="91"/>
      <c r="O38" s="91"/>
      <c r="P38" s="502"/>
      <c r="Q38" s="158"/>
      <c r="R38" s="158"/>
      <c r="S38" s="158"/>
      <c r="T38" s="158"/>
      <c r="U38" s="158"/>
      <c r="V38" s="158"/>
      <c r="W38" s="158"/>
      <c r="X38" s="158"/>
      <c r="Y38" s="158"/>
      <c r="Z38" s="158"/>
      <c r="AA38" s="158"/>
      <c r="AB38" s="158"/>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O38" s="39"/>
      <c r="DK38" s="39"/>
      <c r="DL38" s="39"/>
      <c r="DM38" s="39"/>
      <c r="DN38" s="39"/>
      <c r="DO38" s="39"/>
      <c r="DP38" s="39"/>
      <c r="DQ38" s="91"/>
      <c r="DR38" s="39"/>
      <c r="DS38" s="39"/>
      <c r="DT38" s="39"/>
      <c r="DU38" s="39"/>
      <c r="DV38" s="39"/>
      <c r="DW38" s="39"/>
      <c r="DX38" s="39"/>
      <c r="DY38" s="39"/>
      <c r="DZ38" s="39"/>
      <c r="EA38" s="92"/>
      <c r="EB38" s="92"/>
      <c r="EC38" s="92"/>
      <c r="ED38" s="92"/>
      <c r="EE38" s="92"/>
      <c r="EF38" s="92"/>
    </row>
    <row r="39" spans="1:136" s="17" customFormat="1">
      <c r="A39" s="17" t="s">
        <v>49</v>
      </c>
      <c r="B39" s="511"/>
      <c r="C39" s="511"/>
      <c r="D39" s="511"/>
      <c r="E39" s="511"/>
      <c r="F39" s="511"/>
      <c r="G39" s="511"/>
      <c r="H39" s="511"/>
      <c r="I39" s="511"/>
      <c r="J39" s="511"/>
      <c r="K39" s="511"/>
      <c r="L39" s="511">
        <f t="shared" ref="L39:AA39" si="34">+SUM(L30:L31)</f>
        <v>0</v>
      </c>
      <c r="M39" s="511">
        <f t="shared" si="34"/>
        <v>0.152</v>
      </c>
      <c r="N39" s="511">
        <f t="shared" si="34"/>
        <v>9.0222283916342766E-2</v>
      </c>
      <c r="O39" s="511">
        <f>+SUM(O30:O31)</f>
        <v>0.12309006671608599</v>
      </c>
      <c r="P39" s="511">
        <f>+SUM(P30:P31)</f>
        <v>0.15051077666295057</v>
      </c>
      <c r="Q39" s="511">
        <f>+SUM(Q30:Q31)</f>
        <v>6.8844120328167696E-2</v>
      </c>
      <c r="R39" s="511">
        <f t="shared" si="34"/>
        <v>4.8279372674109505E-2</v>
      </c>
      <c r="S39" s="511">
        <f>+SUM(S30:S31)</f>
        <v>3.549763593380615E-2</v>
      </c>
      <c r="T39" s="511">
        <f t="shared" si="34"/>
        <v>3.5000000000000003E-2</v>
      </c>
      <c r="U39" s="511">
        <f t="shared" si="34"/>
        <v>0.05</v>
      </c>
      <c r="V39" s="511">
        <f t="shared" si="34"/>
        <v>0.06</v>
      </c>
      <c r="W39" s="511">
        <f t="shared" si="34"/>
        <v>6.3500000000000001E-2</v>
      </c>
      <c r="X39" s="511">
        <f t="shared" si="34"/>
        <v>6.2150000000000004E-2</v>
      </c>
      <c r="Y39" s="511">
        <f t="shared" si="34"/>
        <v>6.0935000000000003E-2</v>
      </c>
      <c r="Z39" s="511">
        <f t="shared" si="34"/>
        <v>5.9841500000000006E-2</v>
      </c>
      <c r="AA39" s="511">
        <f t="shared" si="34"/>
        <v>5.8857350000000003E-2</v>
      </c>
      <c r="AB39" s="473"/>
      <c r="AC39" s="523"/>
      <c r="AD39" s="523"/>
      <c r="AE39" s="523"/>
      <c r="AF39" s="523"/>
      <c r="AG39" s="523"/>
      <c r="AH39" s="523"/>
      <c r="AI39" s="523"/>
      <c r="AJ39" s="523"/>
      <c r="AK39" s="523"/>
      <c r="AL39" s="523"/>
      <c r="AM39" s="523"/>
      <c r="AN39" s="523"/>
      <c r="AO39" s="523"/>
      <c r="AP39" s="523"/>
      <c r="AQ39" s="523"/>
      <c r="AR39" s="523"/>
      <c r="AS39" s="523"/>
      <c r="AT39" s="523"/>
      <c r="AU39" s="523"/>
      <c r="AV39" s="523"/>
      <c r="AW39" s="523"/>
      <c r="AX39" s="523"/>
      <c r="AY39" s="523"/>
      <c r="AZ39" s="523"/>
      <c r="BA39" s="523"/>
      <c r="BB39" s="523"/>
      <c r="BC39" s="523"/>
      <c r="BD39" s="523"/>
      <c r="BE39" s="523" t="s">
        <v>48</v>
      </c>
      <c r="BF39" s="523" t="s">
        <v>48</v>
      </c>
      <c r="BG39" s="523" t="s">
        <v>48</v>
      </c>
      <c r="BH39" s="523" t="s">
        <v>48</v>
      </c>
      <c r="BI39" s="511">
        <f t="shared" ref="BI39:BW39" si="35">+SUM(BI30:BI31)</f>
        <v>0.14300000000000002</v>
      </c>
      <c r="BJ39" s="511">
        <f t="shared" si="35"/>
        <v>8.4000000000000005E-2</v>
      </c>
      <c r="BK39" s="511">
        <f t="shared" si="35"/>
        <v>3.6000000000000004E-2</v>
      </c>
      <c r="BL39" s="511">
        <f t="shared" si="35"/>
        <v>0.10300000000000001</v>
      </c>
      <c r="BM39" s="511">
        <f t="shared" si="35"/>
        <v>0.126</v>
      </c>
      <c r="BN39" s="511">
        <f t="shared" si="35"/>
        <v>9.6000000000000002E-2</v>
      </c>
      <c r="BO39" s="511">
        <f t="shared" si="35"/>
        <v>0.16900000000000001</v>
      </c>
      <c r="BP39" s="511">
        <f t="shared" si="35"/>
        <v>0.10400000000000001</v>
      </c>
      <c r="BQ39" s="511">
        <f t="shared" si="35"/>
        <v>0.14699999999999999</v>
      </c>
      <c r="BR39" s="511">
        <f t="shared" si="35"/>
        <v>0.11799999999999999</v>
      </c>
      <c r="BS39" s="511">
        <f t="shared" si="35"/>
        <v>0.185</v>
      </c>
      <c r="BT39" s="511">
        <f t="shared" si="35"/>
        <v>0.153</v>
      </c>
      <c r="BU39" s="511">
        <f t="shared" si="35"/>
        <v>7.9999999999999807E-2</v>
      </c>
      <c r="BV39" s="511">
        <f t="shared" si="35"/>
        <v>5.9000000000000212E-2</v>
      </c>
      <c r="BW39" s="511">
        <f t="shared" si="35"/>
        <v>6.899999999999995E-2</v>
      </c>
      <c r="BX39" s="511">
        <f t="shared" ref="BX39:CE39" si="36">+SUM(BX30:BX31)</f>
        <v>6.6999999999999976E-2</v>
      </c>
      <c r="BY39" s="511">
        <f t="shared" si="36"/>
        <v>3.7999999999999992E-2</v>
      </c>
      <c r="BZ39" s="511">
        <f>+SUM(BZ30:BZ31)</f>
        <v>8.8999999999999996E-2</v>
      </c>
      <c r="CA39" s="511">
        <f t="shared" si="36"/>
        <v>2.9000000000000012E-2</v>
      </c>
      <c r="CB39" s="511">
        <f t="shared" si="36"/>
        <v>3.6999999999999998E-2</v>
      </c>
      <c r="CC39" s="511">
        <f t="shared" si="36"/>
        <v>3.7000000000000005E-2</v>
      </c>
      <c r="CD39" s="511">
        <f t="shared" si="36"/>
        <v>-5.0000000000000044E-3</v>
      </c>
      <c r="CE39" s="511">
        <f t="shared" si="36"/>
        <v>5.4000000000000006E-2</v>
      </c>
      <c r="CF39" s="511">
        <f>+SUM(CF30:CF31)</f>
        <v>5.5000000000000007E-2</v>
      </c>
      <c r="CG39" s="511">
        <f>+SUM(CG30:CG31)</f>
        <v>2.5000000000000001E-2</v>
      </c>
      <c r="CH39" s="511">
        <f>+SUM(CH30:CH31)</f>
        <v>6.9999999999999993E-2</v>
      </c>
      <c r="CI39" s="511">
        <f>+SUM(CI30:CI31)</f>
        <v>4.4999999999999998E-2</v>
      </c>
      <c r="CJ39" s="511">
        <f>+SUM(CJ30:CJ31)</f>
        <v>2.0444444444444251E-3</v>
      </c>
      <c r="CK39" s="20"/>
      <c r="CL39" s="20"/>
    </row>
    <row r="40" spans="1:136" s="17" customFormat="1">
      <c r="A40" s="17" t="s">
        <v>50</v>
      </c>
      <c r="B40" s="511"/>
      <c r="C40" s="511"/>
      <c r="D40" s="511"/>
      <c r="E40" s="511"/>
      <c r="F40" s="511"/>
      <c r="G40" s="511"/>
      <c r="H40" s="511"/>
      <c r="I40" s="511"/>
      <c r="J40" s="511"/>
      <c r="K40" s="511"/>
      <c r="L40" s="511">
        <f t="shared" ref="L40:AA40" si="37">+SUM(L30:L31,L33:L37)</f>
        <v>0</v>
      </c>
      <c r="M40" s="511">
        <f t="shared" si="37"/>
        <v>0.19119841444615723</v>
      </c>
      <c r="N40" s="511">
        <f t="shared" si="37"/>
        <v>-1.023320377568031E-3</v>
      </c>
      <c r="O40" s="511">
        <f>+SUM(O30:O31,O33:O37)</f>
        <v>-2.4659006671608691E-3</v>
      </c>
      <c r="P40" s="511">
        <f>+SUM(P30:P31,P33:P37)</f>
        <v>-0.18468970642883686</v>
      </c>
      <c r="Q40" s="511">
        <f>+SUM(Q30:Q31,Q33:Q37)</f>
        <v>-0.14266180492251596</v>
      </c>
      <c r="R40" s="511">
        <f t="shared" si="37"/>
        <v>-0.10047846889952156</v>
      </c>
      <c r="S40" s="511">
        <f ca="1">+SUM(S30:S31,S33:S37)</f>
        <v>5.3819148936170215E-2</v>
      </c>
      <c r="T40" s="511">
        <f t="shared" si="37"/>
        <v>-3.839035333707233E-3</v>
      </c>
      <c r="U40" s="511">
        <f t="shared" si="37"/>
        <v>0.05</v>
      </c>
      <c r="V40" s="511">
        <f t="shared" si="37"/>
        <v>0.06</v>
      </c>
      <c r="W40" s="511">
        <f t="shared" si="37"/>
        <v>6.3500000000000001E-2</v>
      </c>
      <c r="X40" s="511">
        <f t="shared" si="37"/>
        <v>6.2150000000000004E-2</v>
      </c>
      <c r="Y40" s="511">
        <f t="shared" si="37"/>
        <v>6.0935000000000003E-2</v>
      </c>
      <c r="Z40" s="511">
        <f t="shared" si="37"/>
        <v>5.9841500000000006E-2</v>
      </c>
      <c r="AA40" s="511">
        <f t="shared" si="37"/>
        <v>5.8857350000000003E-2</v>
      </c>
      <c r="AB40" s="473"/>
      <c r="AC40" s="523"/>
      <c r="AD40" s="523"/>
      <c r="AE40" s="523"/>
      <c r="AF40" s="523"/>
      <c r="AG40" s="523"/>
      <c r="AH40" s="523"/>
      <c r="AI40" s="523"/>
      <c r="AJ40" s="523"/>
      <c r="AK40" s="523"/>
      <c r="AL40" s="523"/>
      <c r="AM40" s="523"/>
      <c r="AN40" s="523"/>
      <c r="AO40" s="523"/>
      <c r="AP40" s="523"/>
      <c r="AQ40" s="523"/>
      <c r="AR40" s="523"/>
      <c r="AS40" s="523"/>
      <c r="AT40" s="523"/>
      <c r="AU40" s="523"/>
      <c r="AV40" s="523"/>
      <c r="AW40" s="523"/>
      <c r="AX40" s="523"/>
      <c r="AY40" s="523"/>
      <c r="AZ40" s="523"/>
      <c r="BA40" s="523"/>
      <c r="BB40" s="523"/>
      <c r="BC40" s="523"/>
      <c r="BD40" s="523"/>
      <c r="BE40" s="523" t="s">
        <v>48</v>
      </c>
      <c r="BF40" s="523" t="s">
        <v>48</v>
      </c>
      <c r="BG40" s="523" t="s">
        <v>48</v>
      </c>
      <c r="BH40" s="523" t="s">
        <v>48</v>
      </c>
      <c r="BI40" s="511">
        <f t="shared" ref="BI40:BW40" si="38">+SUM(BI30:BI31,BI33:BI37)</f>
        <v>9.0452229299363071E-2</v>
      </c>
      <c r="BJ40" s="511">
        <f t="shared" si="38"/>
        <v>-5.1689045936395756E-2</v>
      </c>
      <c r="BK40" s="511">
        <f t="shared" si="38"/>
        <v>-6.7698332124728061E-2</v>
      </c>
      <c r="BL40" s="511">
        <f t="shared" si="38"/>
        <v>3.5002956393200307E-2</v>
      </c>
      <c r="BM40" s="511">
        <f t="shared" si="38"/>
        <v>2.052554744525548E-2</v>
      </c>
      <c r="BN40" s="511">
        <f t="shared" si="38"/>
        <v>-6.4179104477611213E-4</v>
      </c>
      <c r="BO40" s="511">
        <f t="shared" si="38"/>
        <v>1.7367029548989138E-2</v>
      </c>
      <c r="BP40" s="511">
        <f t="shared" si="38"/>
        <v>-4.4928571428571436E-2</v>
      </c>
      <c r="BQ40" s="511">
        <f t="shared" si="38"/>
        <v>-0.20028612303290419</v>
      </c>
      <c r="BR40" s="511">
        <f t="shared" si="38"/>
        <v>-0.18894697535474236</v>
      </c>
      <c r="BS40" s="511">
        <f t="shared" si="38"/>
        <v>-0.14143730886850153</v>
      </c>
      <c r="BT40" s="511">
        <f t="shared" si="38"/>
        <v>-0.20643231114435301</v>
      </c>
      <c r="BU40" s="511">
        <f t="shared" si="38"/>
        <v>-7.245080500894456E-2</v>
      </c>
      <c r="BV40" s="511">
        <f t="shared" si="38"/>
        <v>-0.13720073664825047</v>
      </c>
      <c r="BW40" s="511">
        <f t="shared" si="38"/>
        <v>-0.18432769367764915</v>
      </c>
      <c r="BX40" s="511">
        <f t="shared" ref="BX40:CE40" si="39">+SUM(BX30:BX31,BX33:BX37)</f>
        <v>-0.17813383600377003</v>
      </c>
      <c r="BY40" s="511">
        <f t="shared" si="39"/>
        <v>-0.21407907425265191</v>
      </c>
      <c r="BZ40" s="511">
        <f>+SUM(BZ30:BZ31,BZ33:BZ37)</f>
        <v>-0.10245464247598718</v>
      </c>
      <c r="CA40" s="511">
        <f t="shared" si="39"/>
        <v>-5.4585152838427957E-2</v>
      </c>
      <c r="CB40" s="511">
        <f t="shared" si="39"/>
        <v>-1.1467889908256881E-2</v>
      </c>
      <c r="CC40" s="511">
        <f t="shared" si="39"/>
        <v>0.11675460122699387</v>
      </c>
      <c r="CD40" s="511">
        <f t="shared" si="39"/>
        <v>8.323424494649229E-3</v>
      </c>
      <c r="CE40" s="511">
        <f t="shared" si="39"/>
        <v>4.8498845265588925E-2</v>
      </c>
      <c r="CF40" s="511">
        <f ca="1">+SUM(CF30:CF31,CF33:CF37)</f>
        <v>4.4047563805104405E-2</v>
      </c>
      <c r="CG40" s="511">
        <f>+SUM(CG30:CG31,CG33:CG37)</f>
        <v>-4.9999999999999975E-3</v>
      </c>
      <c r="CH40" s="511">
        <f>+SUM(CH30:CH31,CH33:CH37)</f>
        <v>1.999999999999999E-2</v>
      </c>
      <c r="CI40" s="511">
        <f>+SUM(CI30:CI31,CI33:CI37)</f>
        <v>-5.0000000000000044E-3</v>
      </c>
      <c r="CJ40" s="511">
        <f>+SUM(CJ30:CJ31,CJ33:CJ37)</f>
        <v>-2.3955555555555574E-2</v>
      </c>
    </row>
    <row r="41" spans="1:136" s="23" customFormat="1">
      <c r="A41" s="23" t="s">
        <v>51</v>
      </c>
      <c r="B41" s="528"/>
      <c r="C41" s="528"/>
      <c r="D41" s="528"/>
      <c r="E41" s="528"/>
      <c r="F41" s="528"/>
      <c r="G41" s="528"/>
      <c r="H41" s="528"/>
      <c r="I41" s="528"/>
      <c r="J41" s="528"/>
      <c r="K41" s="528"/>
      <c r="L41" s="528" t="s">
        <v>48</v>
      </c>
      <c r="M41" s="528" t="s">
        <v>48</v>
      </c>
      <c r="N41" s="514">
        <f t="shared" ref="N41:AA41" si="40">+((1+N39)*(1+M39))^(1/2)-1</f>
        <v>0.12068553621059408</v>
      </c>
      <c r="O41" s="514">
        <f t="shared" si="40"/>
        <v>0.10653414659420646</v>
      </c>
      <c r="P41" s="514">
        <f t="shared" si="40"/>
        <v>0.13671774197465969</v>
      </c>
      <c r="Q41" s="514">
        <f t="shared" si="40"/>
        <v>0.10892591231803594</v>
      </c>
      <c r="R41" s="514">
        <f t="shared" si="40"/>
        <v>5.851180623742791E-2</v>
      </c>
      <c r="S41" s="514">
        <f t="shared" si="40"/>
        <v>4.1868903558510917E-2</v>
      </c>
      <c r="T41" s="514">
        <f t="shared" si="40"/>
        <v>3.5248788065694647E-2</v>
      </c>
      <c r="U41" s="514">
        <f t="shared" si="40"/>
        <v>4.2473021233643271E-2</v>
      </c>
      <c r="V41" s="514">
        <f t="shared" si="40"/>
        <v>5.4988151592234802E-2</v>
      </c>
      <c r="W41" s="514">
        <f t="shared" si="40"/>
        <v>6.1748557804530257E-2</v>
      </c>
      <c r="X41" s="514">
        <f t="shared" si="40"/>
        <v>6.2824785653778248E-2</v>
      </c>
      <c r="Y41" s="514">
        <f t="shared" si="40"/>
        <v>6.1542326169804706E-2</v>
      </c>
      <c r="Z41" s="514">
        <f t="shared" si="40"/>
        <v>6.038810904427816E-2</v>
      </c>
      <c r="AA41" s="514">
        <f t="shared" si="40"/>
        <v>5.9349310713904702E-2</v>
      </c>
      <c r="AB41" s="513"/>
      <c r="AC41" s="528"/>
      <c r="AD41" s="528"/>
      <c r="AE41" s="528"/>
      <c r="AF41" s="528"/>
      <c r="AG41" s="528"/>
      <c r="AH41" s="528"/>
      <c r="AI41" s="528"/>
      <c r="AJ41" s="528"/>
      <c r="AK41" s="528"/>
      <c r="AL41" s="528"/>
      <c r="AM41" s="528"/>
      <c r="AN41" s="528"/>
      <c r="AO41" s="528"/>
      <c r="AP41" s="528"/>
      <c r="AQ41" s="528"/>
      <c r="AR41" s="528"/>
      <c r="AS41" s="528"/>
      <c r="AT41" s="528"/>
      <c r="AU41" s="528"/>
      <c r="AV41" s="528"/>
      <c r="AW41" s="528"/>
      <c r="AX41" s="528"/>
      <c r="AY41" s="528"/>
      <c r="AZ41" s="528"/>
      <c r="BA41" s="528"/>
      <c r="BB41" s="528"/>
      <c r="BC41" s="528"/>
      <c r="BD41" s="528"/>
      <c r="BE41" s="528" t="s">
        <v>48</v>
      </c>
      <c r="BF41" s="528" t="s">
        <v>48</v>
      </c>
      <c r="BG41" s="528" t="s">
        <v>48</v>
      </c>
      <c r="BH41" s="528" t="s">
        <v>48</v>
      </c>
      <c r="BI41" s="528" t="s">
        <v>48</v>
      </c>
      <c r="BJ41" s="528" t="s">
        <v>48</v>
      </c>
      <c r="BK41" s="528" t="s">
        <v>48</v>
      </c>
      <c r="BL41" s="528" t="s">
        <v>48</v>
      </c>
      <c r="BM41" s="514">
        <f t="shared" ref="BM41:CB41" si="41">+((1+BM39)*(1+BI39))^(1/2)-1</f>
        <v>0.13446815733188378</v>
      </c>
      <c r="BN41" s="514">
        <f t="shared" si="41"/>
        <v>8.9983486113436539E-2</v>
      </c>
      <c r="BO41" s="514">
        <f t="shared" si="41"/>
        <v>0.10049261696751066</v>
      </c>
      <c r="BP41" s="514">
        <f t="shared" si="41"/>
        <v>0.10349988672405397</v>
      </c>
      <c r="BQ41" s="514">
        <f t="shared" si="41"/>
        <v>0.13645149478541319</v>
      </c>
      <c r="BR41" s="514">
        <f t="shared" si="41"/>
        <v>0.10694534643766396</v>
      </c>
      <c r="BS41" s="514">
        <f t="shared" si="41"/>
        <v>0.17697281192047942</v>
      </c>
      <c r="BT41" s="514">
        <f t="shared" si="41"/>
        <v>0.12823401827812297</v>
      </c>
      <c r="BU41" s="514">
        <f t="shared" si="41"/>
        <v>0.11299595686597175</v>
      </c>
      <c r="BV41" s="514">
        <f t="shared" si="41"/>
        <v>8.8100179211454854E-2</v>
      </c>
      <c r="BW41" s="514">
        <f t="shared" si="41"/>
        <v>0.12550655262419497</v>
      </c>
      <c r="BX41" s="514">
        <f t="shared" si="41"/>
        <v>0.10916680440770499</v>
      </c>
      <c r="BY41" s="514">
        <f t="shared" si="41"/>
        <v>5.8791764229397359E-2</v>
      </c>
      <c r="BZ41" s="514">
        <f t="shared" si="41"/>
        <v>7.3895246288016692E-2</v>
      </c>
      <c r="CA41" s="514">
        <f t="shared" si="41"/>
        <v>4.8809324901337714E-2</v>
      </c>
      <c r="CB41" s="514">
        <f t="shared" si="41"/>
        <v>5.1893055400595189E-2</v>
      </c>
      <c r="CC41" s="514">
        <f t="shared" ref="CC41:CJ41" si="42">+((1+CC39)*(1+BY39))^(1/2)-1</f>
        <v>3.7499879518065216E-2</v>
      </c>
      <c r="CD41" s="514">
        <f t="shared" si="42"/>
        <v>4.0939479508775412E-2</v>
      </c>
      <c r="CE41" s="514">
        <f t="shared" si="42"/>
        <v>4.1424985296588668E-2</v>
      </c>
      <c r="CF41" s="514">
        <f t="shared" si="42"/>
        <v>4.5961280354105627E-2</v>
      </c>
      <c r="CG41" s="514">
        <f t="shared" si="42"/>
        <v>3.0982541074289882E-2</v>
      </c>
      <c r="CH41" s="514">
        <f t="shared" si="42"/>
        <v>3.1818782538872048E-2</v>
      </c>
      <c r="CI41" s="514">
        <f t="shared" si="42"/>
        <v>4.949035250449052E-2</v>
      </c>
      <c r="CJ41" s="514">
        <f t="shared" si="42"/>
        <v>2.8181350195036758E-2</v>
      </c>
    </row>
    <row r="42" spans="1:136" s="5" customFormat="1" ht="12" thickBot="1">
      <c r="B42" s="324"/>
      <c r="C42" s="324"/>
      <c r="D42" s="324"/>
      <c r="E42" s="324"/>
      <c r="F42" s="324"/>
      <c r="G42" s="324"/>
      <c r="H42" s="324"/>
      <c r="I42" s="324"/>
      <c r="J42" s="324"/>
      <c r="K42" s="324"/>
      <c r="L42" s="324"/>
      <c r="M42" s="324"/>
      <c r="N42" s="324"/>
      <c r="O42" s="324"/>
      <c r="P42" s="324"/>
      <c r="Q42" s="324"/>
      <c r="R42" s="324"/>
      <c r="S42" s="324"/>
      <c r="T42" s="324"/>
      <c r="U42" s="324"/>
      <c r="V42" s="324"/>
      <c r="W42" s="324"/>
      <c r="X42" s="324"/>
      <c r="Y42" s="324"/>
      <c r="Z42" s="324"/>
      <c r="AA42" s="324"/>
      <c r="AB42" s="324"/>
      <c r="AC42" s="324"/>
      <c r="AD42" s="324"/>
      <c r="AE42" s="324"/>
      <c r="AF42" s="324"/>
      <c r="AG42" s="324"/>
      <c r="AH42" s="324"/>
      <c r="AI42" s="324"/>
      <c r="AJ42" s="324"/>
      <c r="AK42" s="324"/>
      <c r="AL42" s="324"/>
      <c r="AM42" s="324"/>
      <c r="AN42" s="324"/>
      <c r="AO42" s="324"/>
      <c r="AP42" s="324"/>
      <c r="AQ42" s="324"/>
      <c r="AR42" s="324"/>
      <c r="AS42" s="324"/>
      <c r="AT42" s="324"/>
      <c r="AU42" s="324"/>
      <c r="AV42" s="324"/>
      <c r="AW42" s="324"/>
      <c r="AX42" s="324"/>
      <c r="AY42" s="324"/>
      <c r="AZ42" s="324"/>
      <c r="BA42" s="324"/>
      <c r="BB42" s="324"/>
      <c r="BC42" s="324"/>
      <c r="BD42" s="324"/>
      <c r="BE42" s="324"/>
      <c r="BF42" s="324"/>
      <c r="BG42" s="324"/>
      <c r="BH42" s="324"/>
      <c r="BI42" s="324"/>
      <c r="BJ42" s="324"/>
      <c r="BK42" s="324"/>
      <c r="BL42" s="324"/>
      <c r="BM42" s="324"/>
      <c r="BN42" s="324"/>
      <c r="BO42" s="324"/>
      <c r="BP42" s="324"/>
      <c r="BQ42" s="324"/>
      <c r="BR42" s="324"/>
      <c r="BS42" s="324"/>
      <c r="BT42" s="324"/>
      <c r="BU42" s="529"/>
      <c r="BV42" s="530"/>
      <c r="BW42" s="530"/>
      <c r="BX42" s="530"/>
      <c r="BY42" s="324"/>
      <c r="BZ42" s="324"/>
      <c r="CA42" s="324"/>
      <c r="CB42" s="324"/>
      <c r="CC42" s="535"/>
      <c r="CD42" s="727"/>
      <c r="CE42" s="727"/>
      <c r="CF42" s="727"/>
      <c r="CG42" s="324"/>
      <c r="CH42" s="324"/>
      <c r="CI42" s="324"/>
      <c r="CJ42" s="324"/>
    </row>
    <row r="43" spans="1:136">
      <c r="A43" s="25" t="s">
        <v>570</v>
      </c>
      <c r="B43" s="518"/>
      <c r="C43" s="518"/>
      <c r="D43" s="518"/>
      <c r="E43" s="518"/>
      <c r="F43" s="518"/>
      <c r="G43" s="518"/>
      <c r="H43" s="518"/>
      <c r="I43" s="518"/>
      <c r="J43" s="518"/>
      <c r="K43" s="518"/>
      <c r="L43" s="518"/>
      <c r="M43" s="518"/>
      <c r="N43" s="518"/>
      <c r="O43" s="518"/>
      <c r="P43" s="531"/>
      <c r="Q43" s="531"/>
      <c r="R43" s="695"/>
      <c r="S43" s="695"/>
      <c r="T43" s="695"/>
      <c r="U43" s="695"/>
      <c r="V43" s="518"/>
      <c r="W43" s="518"/>
      <c r="X43" s="518"/>
      <c r="Y43" s="518"/>
      <c r="Z43" s="518"/>
      <c r="AA43" s="518"/>
      <c r="AB43" s="519"/>
      <c r="AC43" s="518"/>
      <c r="AD43" s="518"/>
      <c r="AE43" s="518"/>
      <c r="AF43" s="518"/>
      <c r="AG43" s="518"/>
      <c r="AH43" s="518"/>
      <c r="AI43" s="518"/>
      <c r="AJ43" s="518"/>
      <c r="AK43" s="518"/>
      <c r="AL43" s="518"/>
      <c r="AM43" s="518"/>
      <c r="AN43" s="518"/>
      <c r="AO43" s="518"/>
      <c r="AP43" s="518"/>
      <c r="AQ43" s="518"/>
      <c r="AR43" s="518"/>
      <c r="AS43" s="518"/>
      <c r="AT43" s="518"/>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21"/>
      <c r="BV43" s="521"/>
      <c r="BW43" s="521"/>
      <c r="BX43" s="521"/>
      <c r="BY43" s="521"/>
      <c r="BZ43" s="518"/>
      <c r="CA43" s="518"/>
      <c r="CB43" s="518"/>
      <c r="CC43" s="518"/>
      <c r="CD43" s="518"/>
      <c r="CE43" s="518"/>
      <c r="CF43" s="518"/>
      <c r="CG43" s="521"/>
      <c r="CH43" s="518"/>
      <c r="CI43" s="518"/>
      <c r="CJ43" s="518"/>
    </row>
    <row r="44" spans="1:136" s="5" customFormat="1">
      <c r="A44" s="5" t="s">
        <v>41</v>
      </c>
      <c r="B44" s="324"/>
      <c r="C44" s="324"/>
      <c r="D44" s="324"/>
      <c r="E44" s="324"/>
      <c r="F44" s="324"/>
      <c r="G44" s="324"/>
      <c r="H44" s="324"/>
      <c r="I44" s="324"/>
      <c r="J44" s="324"/>
      <c r="K44" s="324"/>
      <c r="L44" s="324"/>
      <c r="M44" s="506">
        <f t="shared" ref="M44:O45" si="43">+M158/L$153</f>
        <v>4.2497888038924264E-2</v>
      </c>
      <c r="N44" s="506">
        <f t="shared" si="43"/>
        <v>3.9800923853490731E-2</v>
      </c>
      <c r="O44" s="506">
        <f t="shared" si="43"/>
        <v>-2.1856167366348312E-2</v>
      </c>
      <c r="P44" s="506">
        <f>+P157/O$166</f>
        <v>-3.6427155863179808E-2</v>
      </c>
      <c r="Q44" s="525">
        <v>-2.3E-2</v>
      </c>
      <c r="R44" s="506">
        <f>+R157/Q$166</f>
        <v>-1.0336025280898876E-2</v>
      </c>
      <c r="S44" s="506">
        <f>+S157/R$166</f>
        <v>-2.5859585958595849E-3</v>
      </c>
      <c r="T44" s="525">
        <v>0.01</v>
      </c>
      <c r="U44" s="525">
        <v>0.01</v>
      </c>
      <c r="V44" s="524">
        <v>0.02</v>
      </c>
      <c r="W44" s="527">
        <f>+V44*0.9</f>
        <v>1.8000000000000002E-2</v>
      </c>
      <c r="X44" s="527">
        <f>+W44*0.9</f>
        <v>1.6200000000000003E-2</v>
      </c>
      <c r="Y44" s="527">
        <f>+X44*0.9</f>
        <v>1.4580000000000003E-2</v>
      </c>
      <c r="Z44" s="527">
        <f>+Y44*0.9</f>
        <v>1.3122000000000003E-2</v>
      </c>
      <c r="AA44" s="527">
        <f>+Z44*0.9</f>
        <v>1.1809800000000004E-2</v>
      </c>
      <c r="AB44" s="517"/>
      <c r="AC44" s="523"/>
      <c r="AD44" s="523"/>
      <c r="AE44" s="523"/>
      <c r="AF44" s="523"/>
      <c r="AG44" s="523"/>
      <c r="AH44" s="523"/>
      <c r="AI44" s="523"/>
      <c r="AJ44" s="523"/>
      <c r="AK44" s="523"/>
      <c r="AL44" s="523"/>
      <c r="AM44" s="523"/>
      <c r="AN44" s="523"/>
      <c r="AO44" s="523"/>
      <c r="AP44" s="523"/>
      <c r="AQ44" s="523"/>
      <c r="AR44" s="523"/>
      <c r="AS44" s="523"/>
      <c r="AT44" s="523"/>
      <c r="AU44" s="523"/>
      <c r="AV44" s="523"/>
      <c r="AW44" s="523"/>
      <c r="AX44" s="523"/>
      <c r="AY44" s="523"/>
      <c r="AZ44" s="523"/>
      <c r="BA44" s="523"/>
      <c r="BB44" s="523"/>
      <c r="BC44" s="523"/>
      <c r="BD44" s="523"/>
      <c r="BE44" s="523"/>
      <c r="BF44" s="523"/>
      <c r="BG44" s="523"/>
      <c r="BH44" s="523"/>
      <c r="BI44" s="506">
        <f t="shared" ref="BI44:BX44" si="44">+BI158/BE$166</f>
        <v>3.7404045786230578E-2</v>
      </c>
      <c r="BJ44" s="506">
        <f t="shared" si="44"/>
        <v>2.6666681087784905E-2</v>
      </c>
      <c r="BK44" s="506">
        <f t="shared" si="44"/>
        <v>3.1319084134346281E-2</v>
      </c>
      <c r="BL44" s="506">
        <f t="shared" si="44"/>
        <v>2.4191190147211196E-2</v>
      </c>
      <c r="BM44" s="506">
        <f t="shared" si="44"/>
        <v>7.5035110280839345E-3</v>
      </c>
      <c r="BN44" s="506">
        <f t="shared" si="44"/>
        <v>-2.9194183343380499E-3</v>
      </c>
      <c r="BO44" s="506">
        <f t="shared" si="44"/>
        <v>-3.6823890213694387E-2</v>
      </c>
      <c r="BP44" s="506">
        <f t="shared" si="44"/>
        <v>-2.9978954684997897E-2</v>
      </c>
      <c r="BQ44" s="506">
        <f t="shared" si="44"/>
        <v>1.100949731586995E-2</v>
      </c>
      <c r="BR44" s="506">
        <f t="shared" si="44"/>
        <v>1.5450195975184124E-2</v>
      </c>
      <c r="BS44" s="506">
        <f t="shared" si="44"/>
        <v>3.6647366733230886E-2</v>
      </c>
      <c r="BT44" s="506">
        <f t="shared" si="44"/>
        <v>5.0992674343812661E-2</v>
      </c>
      <c r="BU44" s="506">
        <f t="shared" si="44"/>
        <v>2.7693208052527618E-2</v>
      </c>
      <c r="BV44" s="506">
        <f t="shared" si="44"/>
        <v>4.5357179334127307E-2</v>
      </c>
      <c r="BW44" s="506">
        <f t="shared" si="44"/>
        <v>5.9404024026306013E-2</v>
      </c>
      <c r="BX44" s="506">
        <f t="shared" si="44"/>
        <v>3.593274483490469E-2</v>
      </c>
      <c r="BY44" s="524">
        <v>1.2999999999999999E-2</v>
      </c>
      <c r="BZ44" s="524">
        <v>-8.0000000000000002E-3</v>
      </c>
      <c r="CA44" s="524">
        <v>-3.0000000000000001E-3</v>
      </c>
      <c r="CB44" s="524">
        <v>-4.3999999999999997E-2</v>
      </c>
      <c r="CC44" s="524">
        <v>-1.0999999999999999E-2</v>
      </c>
      <c r="CD44" s="524">
        <v>-2.5000000000000001E-2</v>
      </c>
      <c r="CE44" s="524">
        <v>-5.0000000000000001E-3</v>
      </c>
      <c r="CF44" s="524">
        <v>3.2000000000000001E-2</v>
      </c>
      <c r="CG44" s="524">
        <v>0.01</v>
      </c>
      <c r="CH44" s="524">
        <v>1.4999999999999999E-2</v>
      </c>
      <c r="CI44" s="524">
        <v>5.0000000000000001E-3</v>
      </c>
      <c r="CJ44" s="506">
        <f>+CJ157/CF$166</f>
        <v>1.0252595155709346E-2</v>
      </c>
      <c r="CK44" s="571"/>
      <c r="CL44" s="18"/>
      <c r="CM44" s="18"/>
      <c r="CN44" s="18"/>
      <c r="CO44" s="18"/>
      <c r="CP44" s="18"/>
      <c r="CQ44" s="18"/>
      <c r="CR44" s="18"/>
      <c r="CS44" s="18"/>
    </row>
    <row r="45" spans="1:136" s="5" customFormat="1">
      <c r="A45" s="5" t="s">
        <v>42</v>
      </c>
      <c r="B45" s="324"/>
      <c r="C45" s="324"/>
      <c r="D45" s="324"/>
      <c r="E45" s="324"/>
      <c r="F45" s="324"/>
      <c r="G45" s="324"/>
      <c r="H45" s="324"/>
      <c r="I45" s="324"/>
      <c r="J45" s="324"/>
      <c r="K45" s="324"/>
      <c r="L45" s="324"/>
      <c r="M45" s="506">
        <f t="shared" si="43"/>
        <v>0</v>
      </c>
      <c r="N45" s="506">
        <f t="shared" si="43"/>
        <v>0</v>
      </c>
      <c r="O45" s="506">
        <f t="shared" si="43"/>
        <v>0</v>
      </c>
      <c r="P45" s="506">
        <f>+P158/O$166</f>
        <v>2.826061357420204E-2</v>
      </c>
      <c r="Q45" s="525">
        <v>4.2000000000000003E-2</v>
      </c>
      <c r="R45" s="506">
        <f>+R158/Q$166</f>
        <v>1.6586025280898878E-2</v>
      </c>
      <c r="S45" s="506">
        <f>+S158/R$166</f>
        <v>2.8920072007200721E-2</v>
      </c>
      <c r="T45" s="525">
        <v>0.02</v>
      </c>
      <c r="U45" s="525">
        <v>2.5000000000000001E-2</v>
      </c>
      <c r="V45" s="525">
        <v>2.5000000000000001E-2</v>
      </c>
      <c r="W45" s="526">
        <v>2.5000000000000001E-2</v>
      </c>
      <c r="X45" s="526">
        <v>2.5000000000000001E-2</v>
      </c>
      <c r="Y45" s="526">
        <v>2.5000000000000001E-2</v>
      </c>
      <c r="Z45" s="526">
        <v>2.5000000000000001E-2</v>
      </c>
      <c r="AA45" s="526">
        <v>2.5000000000000001E-2</v>
      </c>
      <c r="AB45" s="517"/>
      <c r="AC45" s="523"/>
      <c r="AD45" s="523"/>
      <c r="AE45" s="523"/>
      <c r="AF45" s="523"/>
      <c r="AG45" s="523"/>
      <c r="AH45" s="523"/>
      <c r="AI45" s="523"/>
      <c r="AJ45" s="523"/>
      <c r="AK45" s="523"/>
      <c r="AL45" s="523"/>
      <c r="AM45" s="523"/>
      <c r="AN45" s="523"/>
      <c r="AO45" s="523"/>
      <c r="AP45" s="523"/>
      <c r="AQ45" s="523"/>
      <c r="AR45" s="523"/>
      <c r="AS45" s="523"/>
      <c r="AT45" s="523"/>
      <c r="AU45" s="523"/>
      <c r="AV45" s="523"/>
      <c r="AW45" s="523"/>
      <c r="AX45" s="523"/>
      <c r="AY45" s="523"/>
      <c r="AZ45" s="523"/>
      <c r="BA45" s="523"/>
      <c r="BB45" s="523"/>
      <c r="BC45" s="523"/>
      <c r="BD45" s="523"/>
      <c r="BE45" s="523"/>
      <c r="BF45" s="523"/>
      <c r="BG45" s="523"/>
      <c r="BH45" s="523"/>
      <c r="BI45" s="506">
        <f t="shared" ref="BI45:BW45" si="45">+BI158/BE$166</f>
        <v>3.7404045786230578E-2</v>
      </c>
      <c r="BJ45" s="506">
        <f t="shared" si="45"/>
        <v>2.6666681087784905E-2</v>
      </c>
      <c r="BK45" s="506">
        <f t="shared" si="45"/>
        <v>3.1319084134346281E-2</v>
      </c>
      <c r="BL45" s="506">
        <f t="shared" si="45"/>
        <v>2.4191190147211196E-2</v>
      </c>
      <c r="BM45" s="506">
        <f t="shared" si="45"/>
        <v>7.5035110280839345E-3</v>
      </c>
      <c r="BN45" s="506">
        <f t="shared" si="45"/>
        <v>-2.9194183343380499E-3</v>
      </c>
      <c r="BO45" s="506">
        <f t="shared" si="45"/>
        <v>-3.6823890213694387E-2</v>
      </c>
      <c r="BP45" s="506">
        <f t="shared" si="45"/>
        <v>-2.9978954684997897E-2</v>
      </c>
      <c r="BQ45" s="506">
        <f t="shared" si="45"/>
        <v>1.100949731586995E-2</v>
      </c>
      <c r="BR45" s="506">
        <f t="shared" si="45"/>
        <v>1.5450195975184124E-2</v>
      </c>
      <c r="BS45" s="506">
        <f t="shared" si="45"/>
        <v>3.6647366733230886E-2</v>
      </c>
      <c r="BT45" s="506">
        <f t="shared" si="45"/>
        <v>5.0992674343812661E-2</v>
      </c>
      <c r="BU45" s="506">
        <f t="shared" si="45"/>
        <v>2.7693208052527618E-2</v>
      </c>
      <c r="BV45" s="506">
        <f t="shared" si="45"/>
        <v>4.5357179334127307E-2</v>
      </c>
      <c r="BW45" s="506">
        <f t="shared" si="45"/>
        <v>5.9404024026306013E-2</v>
      </c>
      <c r="BX45" s="506">
        <f>+BX158/BT$166</f>
        <v>3.593274483490469E-2</v>
      </c>
      <c r="BY45" s="524">
        <v>2.9000000000000001E-2</v>
      </c>
      <c r="BZ45" s="524">
        <v>0</v>
      </c>
      <c r="CA45" s="524">
        <v>7.0000000000000001E-3</v>
      </c>
      <c r="CB45" s="524">
        <v>0.03</v>
      </c>
      <c r="CC45" s="524">
        <v>2.7E-2</v>
      </c>
      <c r="CD45" s="524">
        <v>1.7999999999999999E-2</v>
      </c>
      <c r="CE45" s="524">
        <v>3.4000000000000002E-2</v>
      </c>
      <c r="CF45" s="524">
        <v>3.6999999999999998E-2</v>
      </c>
      <c r="CG45" s="524">
        <v>0.02</v>
      </c>
      <c r="CH45" s="524">
        <v>2.5000000000000001E-2</v>
      </c>
      <c r="CI45" s="524">
        <f>+W45</f>
        <v>2.5000000000000001E-2</v>
      </c>
      <c r="CJ45" s="506">
        <f>+CJ158/CF$166</f>
        <v>1.0557093425605533E-2</v>
      </c>
      <c r="CK45" s="571"/>
      <c r="CL45" s="571"/>
      <c r="CM45" s="571"/>
      <c r="CN45" s="571"/>
      <c r="CO45" s="571"/>
    </row>
    <row r="46" spans="1:136" s="5" customFormat="1">
      <c r="A46" s="87"/>
      <c r="B46" s="324"/>
      <c r="C46" s="324"/>
      <c r="D46" s="324"/>
      <c r="E46" s="324"/>
      <c r="F46" s="324"/>
      <c r="G46" s="324"/>
      <c r="H46" s="324"/>
      <c r="I46" s="324"/>
      <c r="J46" s="324"/>
      <c r="K46" s="324"/>
      <c r="L46" s="324"/>
      <c r="M46" s="91"/>
      <c r="N46" s="91"/>
      <c r="O46" s="91"/>
      <c r="P46" s="502"/>
      <c r="Q46" s="158"/>
      <c r="R46" s="158"/>
      <c r="S46" s="158"/>
      <c r="T46" s="158"/>
      <c r="U46" s="158"/>
      <c r="V46" s="158"/>
      <c r="W46" s="700"/>
      <c r="X46" s="700"/>
      <c r="Y46" s="700"/>
      <c r="Z46" s="700"/>
      <c r="AA46" s="700"/>
      <c r="AB46" s="700"/>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701"/>
      <c r="CH46" s="701"/>
      <c r="CI46" s="701"/>
      <c r="CJ46" s="701"/>
    </row>
    <row r="47" spans="1:136" s="5" customFormat="1">
      <c r="A47" s="5" t="s">
        <v>43</v>
      </c>
      <c r="B47" s="324"/>
      <c r="C47" s="324"/>
      <c r="D47" s="324"/>
      <c r="E47" s="324"/>
      <c r="F47" s="324"/>
      <c r="G47" s="324"/>
      <c r="H47" s="324"/>
      <c r="I47" s="324"/>
      <c r="J47" s="324"/>
      <c r="K47" s="324"/>
      <c r="L47" s="324"/>
      <c r="M47" s="506">
        <f>+M166/L$166</f>
        <v>1.2245270090760612</v>
      </c>
      <c r="N47" s="506">
        <f>+N166/M$166</f>
        <v>1.032776789757978</v>
      </c>
      <c r="O47" s="506">
        <f>+O166/N$166</f>
        <v>0.98657700175140717</v>
      </c>
      <c r="P47" s="506">
        <f>+P160/O$166</f>
        <v>-4.3436135054204697E-2</v>
      </c>
      <c r="Q47" s="506">
        <f>+Q160/P$166</f>
        <v>-8.7971849008317338E-2</v>
      </c>
      <c r="R47" s="506">
        <f>+R160/Q$166</f>
        <v>-3.8448033707865169E-2</v>
      </c>
      <c r="S47" s="506">
        <f>+S160/R$166</f>
        <v>-1.782178217821782E-2</v>
      </c>
      <c r="T47" s="506">
        <f>+T160/S$166</f>
        <v>3.7240856943874745E-2</v>
      </c>
      <c r="U47" s="524">
        <v>0</v>
      </c>
      <c r="V47" s="524">
        <v>0</v>
      </c>
      <c r="W47" s="527">
        <v>0</v>
      </c>
      <c r="X47" s="527">
        <v>0</v>
      </c>
      <c r="Y47" s="527">
        <v>0</v>
      </c>
      <c r="Z47" s="527">
        <v>0</v>
      </c>
      <c r="AA47" s="527">
        <v>0</v>
      </c>
      <c r="AB47" s="517"/>
      <c r="AC47" s="523"/>
      <c r="AD47" s="523"/>
      <c r="AE47" s="523"/>
      <c r="AF47" s="523"/>
      <c r="AG47" s="523"/>
      <c r="AH47" s="523"/>
      <c r="AI47" s="523"/>
      <c r="AJ47" s="523"/>
      <c r="AK47" s="523"/>
      <c r="AL47" s="523"/>
      <c r="AM47" s="523"/>
      <c r="AN47" s="523"/>
      <c r="AO47" s="523"/>
      <c r="AP47" s="523"/>
      <c r="AQ47" s="523"/>
      <c r="AR47" s="523"/>
      <c r="AS47" s="523"/>
      <c r="AT47" s="523"/>
      <c r="AU47" s="523"/>
      <c r="AV47" s="523"/>
      <c r="AW47" s="523"/>
      <c r="AX47" s="523"/>
      <c r="AY47" s="523"/>
      <c r="AZ47" s="523"/>
      <c r="BA47" s="523"/>
      <c r="BB47" s="523"/>
      <c r="BC47" s="523"/>
      <c r="BD47" s="523"/>
      <c r="BE47" s="523" t="s">
        <v>48</v>
      </c>
      <c r="BF47" s="523" t="s">
        <v>48</v>
      </c>
      <c r="BG47" s="523" t="s">
        <v>48</v>
      </c>
      <c r="BH47" s="523" t="s">
        <v>48</v>
      </c>
      <c r="BI47" s="506">
        <f t="shared" ref="BI47:BR51" si="46">+BI160/BE$166</f>
        <v>4.8565448990790586E-3</v>
      </c>
      <c r="BJ47" s="506">
        <f t="shared" si="46"/>
        <v>-3.9612389077821823E-2</v>
      </c>
      <c r="BK47" s="506">
        <f t="shared" si="46"/>
        <v>-3.1464909330989971E-2</v>
      </c>
      <c r="BL47" s="506">
        <f t="shared" si="46"/>
        <v>7.5292275836324996E-4</v>
      </c>
      <c r="BM47" s="506">
        <f t="shared" si="46"/>
        <v>-1.9481862260241456E-2</v>
      </c>
      <c r="BN47" s="506">
        <f t="shared" si="46"/>
        <v>-1.6537599609217784E-2</v>
      </c>
      <c r="BO47" s="506">
        <f t="shared" si="46"/>
        <v>-5.8085130588331667E-2</v>
      </c>
      <c r="BP47" s="506">
        <f t="shared" si="46"/>
        <v>-5.488460701835722E-2</v>
      </c>
      <c r="BQ47" s="506">
        <f t="shared" si="46"/>
        <v>-6.6008697958409412E-2</v>
      </c>
      <c r="BR47" s="506">
        <f t="shared" si="46"/>
        <v>-3.8880829550068371E-2</v>
      </c>
      <c r="BS47" s="506">
        <f t="shared" ref="BS47:CF51" si="47">+BS160/BO$166</f>
        <v>-1.2076766774934576E-2</v>
      </c>
      <c r="BT47" s="506">
        <f t="shared" si="47"/>
        <v>-5.3977338281234404E-2</v>
      </c>
      <c r="BU47" s="506">
        <f t="shared" si="47"/>
        <v>-6.4849095954637781E-2</v>
      </c>
      <c r="BV47" s="506">
        <f t="shared" si="47"/>
        <v>-7.9936404489617433E-2</v>
      </c>
      <c r="BW47" s="506">
        <f t="shared" si="47"/>
        <v>-0.11872090942452292</v>
      </c>
      <c r="BX47" s="506">
        <f t="shared" si="47"/>
        <v>-8.9065383749074759E-2</v>
      </c>
      <c r="BY47" s="506">
        <f t="shared" si="47"/>
        <v>-6.7215363511659812E-2</v>
      </c>
      <c r="BZ47" s="506">
        <f t="shared" si="47"/>
        <v>-4.2717086834733894E-2</v>
      </c>
      <c r="CA47" s="506">
        <f t="shared" si="47"/>
        <v>-1.3610315186246419E-2</v>
      </c>
      <c r="CB47" s="506">
        <f t="shared" si="47"/>
        <v>-2.8995756718528994E-2</v>
      </c>
      <c r="CC47" s="506">
        <f t="shared" si="47"/>
        <v>-3.0970406056434963E-2</v>
      </c>
      <c r="CD47" s="506">
        <f t="shared" si="47"/>
        <v>-3.1884057971014491E-2</v>
      </c>
      <c r="CE47" s="506">
        <f t="shared" si="47"/>
        <v>-1.3062409288824383E-2</v>
      </c>
      <c r="CF47" s="506">
        <f t="shared" si="47"/>
        <v>5.9523809523809521E-3</v>
      </c>
      <c r="CG47" s="527">
        <v>5.2986203929721976E-2</v>
      </c>
      <c r="CH47" s="527">
        <v>0.04</v>
      </c>
      <c r="CI47" s="527">
        <v>2.5999999999999999E-2</v>
      </c>
      <c r="CJ47" s="527">
        <v>0.03</v>
      </c>
    </row>
    <row r="48" spans="1:136" s="5" customFormat="1">
      <c r="A48" s="5" t="s">
        <v>44</v>
      </c>
      <c r="B48" s="324"/>
      <c r="C48" s="324"/>
      <c r="D48" s="324"/>
      <c r="E48" s="324"/>
      <c r="F48" s="324"/>
      <c r="G48" s="324"/>
      <c r="H48" s="324"/>
      <c r="I48" s="324"/>
      <c r="J48" s="324"/>
      <c r="K48" s="324"/>
      <c r="L48" s="324"/>
      <c r="M48" s="506">
        <f t="shared" ref="M48:O51" si="48">+M162/L$166</f>
        <v>-1.8598732312072201E-2</v>
      </c>
      <c r="N48" s="506">
        <f t="shared" si="48"/>
        <v>0</v>
      </c>
      <c r="O48" s="506">
        <f t="shared" si="48"/>
        <v>-6.7556185408505689E-3</v>
      </c>
      <c r="P48" s="506">
        <f t="shared" ref="P48:S51" si="49">+P161/O$166</f>
        <v>1.0922445218381148E-3</v>
      </c>
      <c r="Q48" s="506">
        <f t="shared" si="49"/>
        <v>2.0473448496481125E-2</v>
      </c>
      <c r="R48" s="506">
        <f t="shared" si="49"/>
        <v>1.2464887640449437E-2</v>
      </c>
      <c r="S48" s="506">
        <f t="shared" si="49"/>
        <v>0</v>
      </c>
      <c r="T48" s="524">
        <v>0</v>
      </c>
      <c r="U48" s="524">
        <v>0</v>
      </c>
      <c r="V48" s="524">
        <v>0</v>
      </c>
      <c r="W48" s="527">
        <v>0</v>
      </c>
      <c r="X48" s="527">
        <v>0</v>
      </c>
      <c r="Y48" s="527">
        <v>0</v>
      </c>
      <c r="Z48" s="527">
        <v>0</v>
      </c>
      <c r="AA48" s="527">
        <v>0</v>
      </c>
      <c r="AB48" s="517"/>
      <c r="AC48" s="523"/>
      <c r="AD48" s="523"/>
      <c r="AE48" s="523"/>
      <c r="AF48" s="523"/>
      <c r="AG48" s="523"/>
      <c r="AH48" s="523"/>
      <c r="AI48" s="523"/>
      <c r="AJ48" s="523"/>
      <c r="AK48" s="523"/>
      <c r="AL48" s="523"/>
      <c r="AM48" s="523"/>
      <c r="AN48" s="523"/>
      <c r="AO48" s="523"/>
      <c r="AP48" s="523"/>
      <c r="AQ48" s="523"/>
      <c r="AR48" s="523"/>
      <c r="AS48" s="523"/>
      <c r="AT48" s="523"/>
      <c r="AU48" s="523"/>
      <c r="AV48" s="523"/>
      <c r="AW48" s="523"/>
      <c r="AX48" s="523"/>
      <c r="AY48" s="523"/>
      <c r="AZ48" s="523"/>
      <c r="BA48" s="523"/>
      <c r="BB48" s="523"/>
      <c r="BC48" s="523"/>
      <c r="BD48" s="523"/>
      <c r="BE48" s="523" t="s">
        <v>48</v>
      </c>
      <c r="BF48" s="523" t="s">
        <v>48</v>
      </c>
      <c r="BG48" s="523" t="s">
        <v>48</v>
      </c>
      <c r="BH48" s="523" t="s">
        <v>48</v>
      </c>
      <c r="BI48" s="506">
        <f t="shared" si="46"/>
        <v>0</v>
      </c>
      <c r="BJ48" s="506">
        <f t="shared" si="46"/>
        <v>0</v>
      </c>
      <c r="BK48" s="506">
        <f t="shared" si="46"/>
        <v>0</v>
      </c>
      <c r="BL48" s="506">
        <f t="shared" si="46"/>
        <v>0</v>
      </c>
      <c r="BM48" s="506">
        <f t="shared" si="46"/>
        <v>4.300306545781475E-3</v>
      </c>
      <c r="BN48" s="506">
        <f t="shared" si="46"/>
        <v>8.1744767346041865E-3</v>
      </c>
      <c r="BO48" s="506">
        <f t="shared" si="46"/>
        <v>8.0233160038709964E-3</v>
      </c>
      <c r="BP48" s="506">
        <f t="shared" si="46"/>
        <v>9.2302402122120143E-3</v>
      </c>
      <c r="BQ48" s="506">
        <f t="shared" si="46"/>
        <v>4.2375109092247353E-3</v>
      </c>
      <c r="BR48" s="506">
        <f t="shared" si="46"/>
        <v>0</v>
      </c>
      <c r="BS48" s="506">
        <f t="shared" si="47"/>
        <v>0</v>
      </c>
      <c r="BT48" s="506">
        <f t="shared" si="47"/>
        <v>0</v>
      </c>
      <c r="BU48" s="506">
        <f t="shared" si="47"/>
        <v>0</v>
      </c>
      <c r="BV48" s="506">
        <f t="shared" si="47"/>
        <v>0</v>
      </c>
      <c r="BW48" s="506">
        <f t="shared" si="47"/>
        <v>4.762977864768729E-2</v>
      </c>
      <c r="BX48" s="506">
        <f t="shared" si="47"/>
        <v>3.494248259620391E-2</v>
      </c>
      <c r="BY48" s="506">
        <f t="shared" si="47"/>
        <v>2.6063100137174212E-2</v>
      </c>
      <c r="BZ48" s="506">
        <f t="shared" si="47"/>
        <v>2.3109243697478993E-2</v>
      </c>
      <c r="CA48" s="506">
        <f t="shared" si="47"/>
        <v>0</v>
      </c>
      <c r="CB48" s="506">
        <f t="shared" ref="CB48:CF51" si="50">+CB161/BX$166</f>
        <v>0</v>
      </c>
      <c r="CC48" s="506">
        <f t="shared" si="50"/>
        <v>0</v>
      </c>
      <c r="CD48" s="506">
        <f t="shared" si="50"/>
        <v>0</v>
      </c>
      <c r="CE48" s="506">
        <f t="shared" si="50"/>
        <v>0</v>
      </c>
      <c r="CF48" s="506">
        <f t="shared" si="50"/>
        <v>0</v>
      </c>
      <c r="CG48" s="527">
        <v>0</v>
      </c>
      <c r="CH48" s="527">
        <v>0</v>
      </c>
      <c r="CI48" s="527">
        <v>0</v>
      </c>
      <c r="CJ48" s="533">
        <f>+CJ161/CF$153</f>
        <v>0</v>
      </c>
    </row>
    <row r="49" spans="1:97" s="5" customFormat="1">
      <c r="A49" s="5" t="s">
        <v>45</v>
      </c>
      <c r="B49" s="324"/>
      <c r="C49" s="324"/>
      <c r="D49" s="324"/>
      <c r="E49" s="324"/>
      <c r="F49" s="324"/>
      <c r="G49" s="324"/>
      <c r="H49" s="324"/>
      <c r="I49" s="324"/>
      <c r="J49" s="324"/>
      <c r="K49" s="324"/>
      <c r="L49" s="324"/>
      <c r="M49" s="506">
        <f t="shared" si="48"/>
        <v>5.3079604805996074E-3</v>
      </c>
      <c r="N49" s="506">
        <f t="shared" si="48"/>
        <v>-8.2183609672038787E-3</v>
      </c>
      <c r="O49" s="506">
        <f t="shared" si="48"/>
        <v>0</v>
      </c>
      <c r="P49" s="506">
        <f t="shared" si="49"/>
        <v>-1.6803761874432531E-3</v>
      </c>
      <c r="Q49" s="506">
        <f t="shared" si="49"/>
        <v>0</v>
      </c>
      <c r="R49" s="506">
        <f t="shared" si="49"/>
        <v>0</v>
      </c>
      <c r="S49" s="506">
        <f t="shared" si="49"/>
        <v>0</v>
      </c>
      <c r="T49" s="506">
        <f>+T162/S$166</f>
        <v>0</v>
      </c>
      <c r="U49" s="524">
        <v>0</v>
      </c>
      <c r="V49" s="524">
        <v>0</v>
      </c>
      <c r="W49" s="524">
        <v>0</v>
      </c>
      <c r="X49" s="524">
        <v>0</v>
      </c>
      <c r="Y49" s="524">
        <v>0</v>
      </c>
      <c r="Z49" s="524">
        <v>0</v>
      </c>
      <c r="AA49" s="524">
        <v>0</v>
      </c>
      <c r="AB49" s="324"/>
      <c r="AC49" s="523"/>
      <c r="AD49" s="523"/>
      <c r="AE49" s="523"/>
      <c r="AF49" s="523"/>
      <c r="AG49" s="523"/>
      <c r="AH49" s="523"/>
      <c r="AI49" s="523"/>
      <c r="AJ49" s="523"/>
      <c r="AK49" s="523"/>
      <c r="AL49" s="523"/>
      <c r="AM49" s="523"/>
      <c r="AN49" s="523"/>
      <c r="AO49" s="523"/>
      <c r="AP49" s="523"/>
      <c r="AQ49" s="523"/>
      <c r="AR49" s="523"/>
      <c r="AS49" s="523"/>
      <c r="AT49" s="523"/>
      <c r="AU49" s="523"/>
      <c r="AV49" s="523"/>
      <c r="AW49" s="523"/>
      <c r="AX49" s="523"/>
      <c r="AY49" s="523"/>
      <c r="AZ49" s="523"/>
      <c r="BA49" s="523"/>
      <c r="BB49" s="523"/>
      <c r="BC49" s="523"/>
      <c r="BD49" s="523"/>
      <c r="BE49" s="523" t="s">
        <v>48</v>
      </c>
      <c r="BF49" s="523" t="s">
        <v>48</v>
      </c>
      <c r="BG49" s="523" t="s">
        <v>48</v>
      </c>
      <c r="BH49" s="523" t="s">
        <v>48</v>
      </c>
      <c r="BI49" s="506">
        <f t="shared" si="46"/>
        <v>0</v>
      </c>
      <c r="BJ49" s="506">
        <f t="shared" si="46"/>
        <v>0</v>
      </c>
      <c r="BK49" s="506">
        <f t="shared" si="46"/>
        <v>0</v>
      </c>
      <c r="BL49" s="506">
        <f t="shared" si="46"/>
        <v>0</v>
      </c>
      <c r="BM49" s="506">
        <f t="shared" si="46"/>
        <v>-1.1752726957614359E-3</v>
      </c>
      <c r="BN49" s="506">
        <f t="shared" si="46"/>
        <v>-7.1526671427786627E-3</v>
      </c>
      <c r="BO49" s="506">
        <f t="shared" si="46"/>
        <v>-9.7675151351472988E-3</v>
      </c>
      <c r="BP49" s="506">
        <f t="shared" si="46"/>
        <v>-8.8323426831065487E-3</v>
      </c>
      <c r="BQ49" s="506">
        <f t="shared" si="46"/>
        <v>-6.1932851750207667E-3</v>
      </c>
      <c r="BR49" s="506">
        <f t="shared" si="46"/>
        <v>-3.2905561039815734E-4</v>
      </c>
      <c r="BS49" s="506">
        <f t="shared" si="47"/>
        <v>0</v>
      </c>
      <c r="BT49" s="506">
        <f t="shared" si="47"/>
        <v>0</v>
      </c>
      <c r="BU49" s="506">
        <f t="shared" si="47"/>
        <v>0</v>
      </c>
      <c r="BV49" s="506">
        <f t="shared" si="47"/>
        <v>0</v>
      </c>
      <c r="BW49" s="506">
        <f t="shared" si="47"/>
        <v>0</v>
      </c>
      <c r="BX49" s="506">
        <f t="shared" si="47"/>
        <v>0</v>
      </c>
      <c r="BY49" s="506">
        <f t="shared" si="47"/>
        <v>0</v>
      </c>
      <c r="BZ49" s="506">
        <f t="shared" si="47"/>
        <v>0</v>
      </c>
      <c r="CA49" s="506">
        <f t="shared" si="47"/>
        <v>0</v>
      </c>
      <c r="CB49" s="506">
        <f t="shared" si="50"/>
        <v>0</v>
      </c>
      <c r="CC49" s="506">
        <f t="shared" si="50"/>
        <v>0</v>
      </c>
      <c r="CD49" s="506">
        <f t="shared" si="50"/>
        <v>0</v>
      </c>
      <c r="CE49" s="506">
        <f t="shared" si="50"/>
        <v>0</v>
      </c>
      <c r="CF49" s="506">
        <f t="shared" si="50"/>
        <v>0</v>
      </c>
      <c r="CG49" s="533">
        <f>+CG162/CC$153</f>
        <v>0</v>
      </c>
      <c r="CH49" s="533">
        <f>+CH162/CD$153</f>
        <v>0</v>
      </c>
      <c r="CI49" s="533">
        <f>+CI162/CE$153</f>
        <v>0</v>
      </c>
      <c r="CJ49" s="533">
        <f>+CJ162/CF$153</f>
        <v>0</v>
      </c>
    </row>
    <row r="50" spans="1:97" s="5" customFormat="1">
      <c r="A50" s="5" t="s">
        <v>46</v>
      </c>
      <c r="B50" s="324"/>
      <c r="C50" s="324"/>
      <c r="D50" s="324"/>
      <c r="E50" s="324"/>
      <c r="F50" s="324"/>
      <c r="G50" s="324"/>
      <c r="H50" s="324"/>
      <c r="I50" s="324"/>
      <c r="J50" s="324"/>
      <c r="K50" s="324"/>
      <c r="L50" s="324"/>
      <c r="M50" s="506">
        <f t="shared" si="48"/>
        <v>0</v>
      </c>
      <c r="N50" s="506">
        <f t="shared" si="48"/>
        <v>-3.4870668076405868E-3</v>
      </c>
      <c r="O50" s="506">
        <f t="shared" si="48"/>
        <v>7.6020007809462207E-4</v>
      </c>
      <c r="P50" s="506">
        <f t="shared" si="49"/>
        <v>0</v>
      </c>
      <c r="Q50" s="506">
        <f t="shared" si="49"/>
        <v>0</v>
      </c>
      <c r="R50" s="506">
        <f t="shared" si="49"/>
        <v>0</v>
      </c>
      <c r="S50" s="506">
        <f t="shared" si="49"/>
        <v>0</v>
      </c>
      <c r="T50" s="524">
        <v>0</v>
      </c>
      <c r="U50" s="524">
        <v>0</v>
      </c>
      <c r="V50" s="524">
        <v>0</v>
      </c>
      <c r="W50" s="524">
        <v>0</v>
      </c>
      <c r="X50" s="524">
        <v>0</v>
      </c>
      <c r="Y50" s="524">
        <v>0</v>
      </c>
      <c r="Z50" s="524">
        <v>0</v>
      </c>
      <c r="AA50" s="524">
        <v>0</v>
      </c>
      <c r="AB50" s="324"/>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t="s">
        <v>48</v>
      </c>
      <c r="BF50" s="523" t="s">
        <v>48</v>
      </c>
      <c r="BG50" s="523" t="s">
        <v>48</v>
      </c>
      <c r="BH50" s="523" t="s">
        <v>48</v>
      </c>
      <c r="BI50" s="506">
        <f t="shared" si="46"/>
        <v>0</v>
      </c>
      <c r="BJ50" s="506">
        <f t="shared" si="46"/>
        <v>-1.7553988785876867E-2</v>
      </c>
      <c r="BK50" s="506">
        <f t="shared" si="46"/>
        <v>0</v>
      </c>
      <c r="BL50" s="506">
        <f t="shared" si="46"/>
        <v>-1.4577411804046144E-2</v>
      </c>
      <c r="BM50" s="506">
        <f t="shared" si="46"/>
        <v>0</v>
      </c>
      <c r="BN50" s="506">
        <f t="shared" si="46"/>
        <v>0</v>
      </c>
      <c r="BO50" s="506">
        <f t="shared" si="46"/>
        <v>0</v>
      </c>
      <c r="BP50" s="506">
        <f t="shared" si="46"/>
        <v>0</v>
      </c>
      <c r="BQ50" s="506">
        <f t="shared" si="46"/>
        <v>0</v>
      </c>
      <c r="BR50" s="506">
        <f t="shared" si="46"/>
        <v>0</v>
      </c>
      <c r="BS50" s="506">
        <f t="shared" si="47"/>
        <v>0</v>
      </c>
      <c r="BT50" s="506">
        <f t="shared" si="47"/>
        <v>0</v>
      </c>
      <c r="BU50" s="506">
        <f t="shared" si="47"/>
        <v>0</v>
      </c>
      <c r="BV50" s="506">
        <f t="shared" si="47"/>
        <v>0</v>
      </c>
      <c r="BW50" s="506">
        <f t="shared" si="47"/>
        <v>0</v>
      </c>
      <c r="BX50" s="506">
        <f t="shared" si="47"/>
        <v>0</v>
      </c>
      <c r="BY50" s="506">
        <f t="shared" si="47"/>
        <v>0</v>
      </c>
      <c r="BZ50" s="506">
        <f t="shared" si="47"/>
        <v>0</v>
      </c>
      <c r="CA50" s="506">
        <f t="shared" si="47"/>
        <v>0</v>
      </c>
      <c r="CB50" s="506">
        <f t="shared" si="50"/>
        <v>0</v>
      </c>
      <c r="CC50" s="506">
        <f t="shared" si="50"/>
        <v>0</v>
      </c>
      <c r="CD50" s="506">
        <f t="shared" si="50"/>
        <v>0</v>
      </c>
      <c r="CE50" s="506">
        <f t="shared" si="50"/>
        <v>0</v>
      </c>
      <c r="CF50" s="506">
        <f t="shared" si="50"/>
        <v>0</v>
      </c>
      <c r="CG50" s="527">
        <v>0</v>
      </c>
      <c r="CH50" s="527">
        <v>0</v>
      </c>
      <c r="CI50" s="527">
        <v>0</v>
      </c>
      <c r="CJ50" s="533">
        <f>+CJ163/CF$153</f>
        <v>0</v>
      </c>
    </row>
    <row r="51" spans="1:97" s="5" customFormat="1">
      <c r="A51" s="5" t="s">
        <v>47</v>
      </c>
      <c r="B51" s="324"/>
      <c r="C51" s="324"/>
      <c r="D51" s="324"/>
      <c r="E51" s="324"/>
      <c r="F51" s="324"/>
      <c r="G51" s="324"/>
      <c r="H51" s="324"/>
      <c r="I51" s="324"/>
      <c r="J51" s="324"/>
      <c r="K51" s="324"/>
      <c r="L51" s="324"/>
      <c r="M51" s="506">
        <f t="shared" si="48"/>
        <v>0</v>
      </c>
      <c r="N51" s="506">
        <f t="shared" si="48"/>
        <v>0</v>
      </c>
      <c r="O51" s="506">
        <f t="shared" si="48"/>
        <v>0</v>
      </c>
      <c r="P51" s="506">
        <f t="shared" si="49"/>
        <v>-0.10057435841901716</v>
      </c>
      <c r="Q51" s="506">
        <f t="shared" si="49"/>
        <v>0</v>
      </c>
      <c r="R51" s="506">
        <f t="shared" si="49"/>
        <v>0</v>
      </c>
      <c r="S51" s="506">
        <f t="shared" ca="1" si="49"/>
        <v>0</v>
      </c>
      <c r="T51" s="524">
        <v>0</v>
      </c>
      <c r="U51" s="524">
        <v>0</v>
      </c>
      <c r="V51" s="524">
        <v>0</v>
      </c>
      <c r="W51" s="524">
        <v>0</v>
      </c>
      <c r="X51" s="524">
        <v>0</v>
      </c>
      <c r="Y51" s="524">
        <v>0</v>
      </c>
      <c r="Z51" s="524">
        <v>0</v>
      </c>
      <c r="AA51" s="524">
        <v>0</v>
      </c>
      <c r="AB51" s="324"/>
      <c r="AC51" s="523"/>
      <c r="AD51" s="523"/>
      <c r="AE51" s="523"/>
      <c r="AF51" s="523"/>
      <c r="AG51" s="523"/>
      <c r="AH51" s="523"/>
      <c r="AI51" s="523"/>
      <c r="AJ51" s="523"/>
      <c r="AK51" s="523"/>
      <c r="AL51" s="523"/>
      <c r="AM51" s="523"/>
      <c r="AN51" s="523"/>
      <c r="AO51" s="523"/>
      <c r="AP51" s="523"/>
      <c r="AQ51" s="523"/>
      <c r="AR51" s="523"/>
      <c r="AS51" s="523"/>
      <c r="AT51" s="523"/>
      <c r="AU51" s="523"/>
      <c r="AV51" s="523"/>
      <c r="AW51" s="523"/>
      <c r="AX51" s="523"/>
      <c r="AY51" s="523"/>
      <c r="AZ51" s="523"/>
      <c r="BA51" s="523"/>
      <c r="BB51" s="523"/>
      <c r="BC51" s="523"/>
      <c r="BD51" s="523"/>
      <c r="BE51" s="523" t="s">
        <v>48</v>
      </c>
      <c r="BF51" s="523" t="s">
        <v>48</v>
      </c>
      <c r="BG51" s="523" t="s">
        <v>48</v>
      </c>
      <c r="BH51" s="523" t="s">
        <v>48</v>
      </c>
      <c r="BI51" s="506">
        <f t="shared" si="46"/>
        <v>7.19660231558715E-3</v>
      </c>
      <c r="BJ51" s="506">
        <f t="shared" si="46"/>
        <v>-5.710872061023043E-3</v>
      </c>
      <c r="BK51" s="506">
        <f t="shared" si="46"/>
        <v>-1.4725152906140562E-2</v>
      </c>
      <c r="BL51" s="506">
        <f t="shared" si="46"/>
        <v>3.3394094619718242E-5</v>
      </c>
      <c r="BM51" s="506">
        <f t="shared" si="46"/>
        <v>-3.2807555692022502E-3</v>
      </c>
      <c r="BN51" s="506">
        <f t="shared" si="46"/>
        <v>5.1601615415507816E-3</v>
      </c>
      <c r="BO51" s="506">
        <f t="shared" si="46"/>
        <v>2.8602039909255486E-3</v>
      </c>
      <c r="BP51" s="506">
        <f t="shared" si="46"/>
        <v>-1.3425110867262798E-3</v>
      </c>
      <c r="BQ51" s="506">
        <f t="shared" si="46"/>
        <v>-8.464617437785181E-2</v>
      </c>
      <c r="BR51" s="506">
        <f t="shared" si="46"/>
        <v>-9.3404874804125487E-2</v>
      </c>
      <c r="BS51" s="506">
        <f t="shared" si="47"/>
        <v>-0.10327371579863931</v>
      </c>
      <c r="BT51" s="506">
        <f t="shared" si="47"/>
        <v>-0.12151905167218578</v>
      </c>
      <c r="BU51" s="506">
        <f t="shared" si="47"/>
        <v>-3.1156265520931186E-2</v>
      </c>
      <c r="BV51" s="506">
        <f t="shared" si="47"/>
        <v>-2.8211948133773909E-2</v>
      </c>
      <c r="BW51" s="506">
        <f t="shared" si="47"/>
        <v>-5.8870160565104676E-2</v>
      </c>
      <c r="BX51" s="506">
        <f t="shared" si="47"/>
        <v>-4.3784763091569923E-2</v>
      </c>
      <c r="BY51" s="506">
        <f t="shared" si="47"/>
        <v>0</v>
      </c>
      <c r="BZ51" s="506">
        <f t="shared" si="47"/>
        <v>0</v>
      </c>
      <c r="CA51" s="506">
        <f t="shared" si="47"/>
        <v>0</v>
      </c>
      <c r="CB51" s="506">
        <f t="shared" si="50"/>
        <v>0</v>
      </c>
      <c r="CC51" s="506">
        <f t="shared" si="50"/>
        <v>0</v>
      </c>
      <c r="CD51" s="506">
        <f t="shared" ca="1" si="50"/>
        <v>0</v>
      </c>
      <c r="CE51" s="506">
        <f t="shared" si="50"/>
        <v>0</v>
      </c>
      <c r="CF51" s="506">
        <f t="shared" si="50"/>
        <v>0</v>
      </c>
      <c r="CG51" s="524">
        <v>0</v>
      </c>
      <c r="CH51" s="524">
        <v>0</v>
      </c>
      <c r="CI51" s="524">
        <v>0</v>
      </c>
      <c r="CJ51" s="506">
        <f>+CJ164/CF$153</f>
        <v>0</v>
      </c>
    </row>
    <row r="52" spans="1:97" s="5" customFormat="1">
      <c r="A52" s="87"/>
      <c r="B52" s="324"/>
      <c r="C52" s="324"/>
      <c r="D52" s="324"/>
      <c r="E52" s="324"/>
      <c r="F52" s="324"/>
      <c r="G52" s="324"/>
      <c r="H52" s="324"/>
      <c r="I52" s="324"/>
      <c r="J52" s="324"/>
      <c r="K52" s="324"/>
      <c r="L52" s="324"/>
      <c r="M52" s="91"/>
      <c r="N52" s="91"/>
      <c r="O52" s="91"/>
      <c r="P52" s="502"/>
      <c r="Q52" s="158"/>
      <c r="R52" s="158"/>
      <c r="S52" s="158"/>
      <c r="T52" s="158"/>
      <c r="U52" s="158"/>
      <c r="V52" s="158"/>
      <c r="W52" s="158"/>
      <c r="X52" s="158"/>
      <c r="Y52" s="158"/>
      <c r="Z52" s="158"/>
      <c r="AA52" s="158"/>
      <c r="AB52" s="158"/>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row>
    <row r="53" spans="1:97" s="5" customFormat="1">
      <c r="A53" s="17" t="s">
        <v>49</v>
      </c>
      <c r="B53" s="324"/>
      <c r="C53" s="324"/>
      <c r="D53" s="324"/>
      <c r="E53" s="324"/>
      <c r="F53" s="324"/>
      <c r="G53" s="324"/>
      <c r="H53" s="324"/>
      <c r="I53" s="324"/>
      <c r="J53" s="324"/>
      <c r="K53" s="324"/>
      <c r="L53" s="324"/>
      <c r="M53" s="511">
        <f>+SUM(M44:M45)</f>
        <v>4.2497888038924264E-2</v>
      </c>
      <c r="N53" s="511">
        <f>+SUM(N44:N45)</f>
        <v>3.9800923853490731E-2</v>
      </c>
      <c r="O53" s="511">
        <f>+SUM(O44:O45)</f>
        <v>-2.1856167366348312E-2</v>
      </c>
      <c r="P53" s="511">
        <f>+SUM(P44:P45)</f>
        <v>-8.1665422889777677E-3</v>
      </c>
      <c r="Q53" s="511">
        <f>+SUM(Q44:Q45)</f>
        <v>1.9000000000000003E-2</v>
      </c>
      <c r="R53" s="511">
        <f t="shared" ref="R53:AA53" si="51">+SUM(R44:R45)</f>
        <v>6.2500000000000021E-3</v>
      </c>
      <c r="S53" s="511">
        <f>+SUM(S44:S45)</f>
        <v>2.6334113411341134E-2</v>
      </c>
      <c r="T53" s="511">
        <f t="shared" si="51"/>
        <v>0.03</v>
      </c>
      <c r="U53" s="511">
        <f t="shared" si="51"/>
        <v>3.5000000000000003E-2</v>
      </c>
      <c r="V53" s="511">
        <f t="shared" si="51"/>
        <v>4.4999999999999998E-2</v>
      </c>
      <c r="W53" s="511">
        <f t="shared" si="51"/>
        <v>4.3000000000000003E-2</v>
      </c>
      <c r="X53" s="511">
        <f t="shared" si="51"/>
        <v>4.1200000000000001E-2</v>
      </c>
      <c r="Y53" s="511">
        <f t="shared" si="51"/>
        <v>3.9580000000000004E-2</v>
      </c>
      <c r="Z53" s="511">
        <f t="shared" si="51"/>
        <v>3.8122000000000003E-2</v>
      </c>
      <c r="AA53" s="511">
        <f t="shared" si="51"/>
        <v>3.6809800000000004E-2</v>
      </c>
      <c r="AB53" s="473"/>
      <c r="AC53" s="523"/>
      <c r="AD53" s="523"/>
      <c r="AE53" s="523"/>
      <c r="AF53" s="523"/>
      <c r="AG53" s="523"/>
      <c r="AH53" s="523"/>
      <c r="AI53" s="523"/>
      <c r="AJ53" s="523"/>
      <c r="AK53" s="523"/>
      <c r="AL53" s="523"/>
      <c r="AM53" s="523"/>
      <c r="AN53" s="523"/>
      <c r="AO53" s="523"/>
      <c r="AP53" s="523"/>
      <c r="AQ53" s="523"/>
      <c r="AR53" s="523"/>
      <c r="AS53" s="523"/>
      <c r="AT53" s="523"/>
      <c r="AU53" s="523"/>
      <c r="AV53" s="523"/>
      <c r="AW53" s="523"/>
      <c r="AX53" s="523"/>
      <c r="AY53" s="523"/>
      <c r="AZ53" s="523"/>
      <c r="BA53" s="523"/>
      <c r="BB53" s="523"/>
      <c r="BC53" s="523"/>
      <c r="BD53" s="523"/>
      <c r="BE53" s="523" t="s">
        <v>48</v>
      </c>
      <c r="BF53" s="523" t="s">
        <v>48</v>
      </c>
      <c r="BG53" s="523" t="s">
        <v>48</v>
      </c>
      <c r="BH53" s="523" t="s">
        <v>48</v>
      </c>
      <c r="BI53" s="511">
        <f t="shared" ref="BI53:BY53" si="52">+SUM(BI44:BI45)</f>
        <v>7.4808091572461155E-2</v>
      </c>
      <c r="BJ53" s="511">
        <f t="shared" si="52"/>
        <v>5.3333362175569811E-2</v>
      </c>
      <c r="BK53" s="511">
        <f t="shared" si="52"/>
        <v>6.2638168268692562E-2</v>
      </c>
      <c r="BL53" s="511">
        <f t="shared" si="52"/>
        <v>4.8382380294422392E-2</v>
      </c>
      <c r="BM53" s="511">
        <f t="shared" si="52"/>
        <v>1.5007022056167869E-2</v>
      </c>
      <c r="BN53" s="511">
        <f t="shared" si="52"/>
        <v>-5.8388366686760998E-3</v>
      </c>
      <c r="BO53" s="511">
        <f t="shared" si="52"/>
        <v>-7.3647780427388773E-2</v>
      </c>
      <c r="BP53" s="511">
        <f t="shared" si="52"/>
        <v>-5.9957909369995795E-2</v>
      </c>
      <c r="BQ53" s="511">
        <f t="shared" si="52"/>
        <v>2.20189946317399E-2</v>
      </c>
      <c r="BR53" s="511">
        <f t="shared" si="52"/>
        <v>3.0900391950368249E-2</v>
      </c>
      <c r="BS53" s="511">
        <f t="shared" si="52"/>
        <v>7.3294733466461773E-2</v>
      </c>
      <c r="BT53" s="511">
        <f t="shared" si="52"/>
        <v>0.10198534868762532</v>
      </c>
      <c r="BU53" s="511">
        <f t="shared" si="52"/>
        <v>5.5386416105055236E-2</v>
      </c>
      <c r="BV53" s="511">
        <f t="shared" si="52"/>
        <v>9.0714358668254613E-2</v>
      </c>
      <c r="BW53" s="511">
        <f t="shared" si="52"/>
        <v>0.11880804805261203</v>
      </c>
      <c r="BX53" s="511">
        <f t="shared" si="52"/>
        <v>7.1865489669809379E-2</v>
      </c>
      <c r="BY53" s="511">
        <f t="shared" si="52"/>
        <v>4.2000000000000003E-2</v>
      </c>
      <c r="BZ53" s="511">
        <f>+SUM(BZ44:BZ45)</f>
        <v>-8.0000000000000002E-3</v>
      </c>
      <c r="CA53" s="511">
        <f t="shared" ref="CA53:CF53" si="53">+SUM(CA44:CA45)</f>
        <v>4.0000000000000001E-3</v>
      </c>
      <c r="CB53" s="511">
        <f t="shared" si="53"/>
        <v>-1.3999999999999999E-2</v>
      </c>
      <c r="CC53" s="511">
        <f t="shared" si="53"/>
        <v>1.6E-2</v>
      </c>
      <c r="CD53" s="511">
        <f t="shared" si="53"/>
        <v>-7.0000000000000027E-3</v>
      </c>
      <c r="CE53" s="511">
        <f t="shared" si="53"/>
        <v>2.9000000000000001E-2</v>
      </c>
      <c r="CF53" s="511">
        <f t="shared" si="53"/>
        <v>6.9000000000000006E-2</v>
      </c>
      <c r="CG53" s="511">
        <f>+SUM(CG44:CG45)</f>
        <v>0.03</v>
      </c>
      <c r="CH53" s="511">
        <f>+SUM(CH44:CH45)</f>
        <v>0.04</v>
      </c>
      <c r="CI53" s="511">
        <f>+SUM(CI44:CI45)</f>
        <v>3.0000000000000002E-2</v>
      </c>
      <c r="CJ53" s="511">
        <f>+SUM(CJ44:CJ45)</f>
        <v>2.0809688581314878E-2</v>
      </c>
    </row>
    <row r="54" spans="1:97" s="5" customFormat="1">
      <c r="A54" s="17" t="s">
        <v>50</v>
      </c>
      <c r="B54" s="324"/>
      <c r="C54" s="324"/>
      <c r="D54" s="324"/>
      <c r="E54" s="324"/>
      <c r="F54" s="324"/>
      <c r="G54" s="324"/>
      <c r="H54" s="324"/>
      <c r="I54" s="324"/>
      <c r="J54" s="324"/>
      <c r="K54" s="324"/>
      <c r="L54" s="324"/>
      <c r="M54" s="511">
        <f>+SUM(M44:M45,M47:M51)</f>
        <v>1.2537341252835128</v>
      </c>
      <c r="N54" s="511">
        <f>+SUM(N44:N45,N47:N51)</f>
        <v>1.0608722858366242</v>
      </c>
      <c r="O54" s="511">
        <f>+SUM(O44:O45,O47:O51)</f>
        <v>0.95872541592230287</v>
      </c>
      <c r="P54" s="511">
        <f>+SUM(P44:P45,P47:P51)</f>
        <v>-0.15276516742780477</v>
      </c>
      <c r="Q54" s="511">
        <f>+SUM(Q44:Q45,Q47:Q51)</f>
        <v>-4.8498400511836209E-2</v>
      </c>
      <c r="R54" s="511">
        <f t="shared" ref="R54:AA54" si="54">+SUM(R44:R45,R47:R51)</f>
        <v>-1.9733146067415733E-2</v>
      </c>
      <c r="S54" s="511">
        <f ca="1">+SUM(S44:S45,S47:S51)</f>
        <v>8.5123312331233138E-3</v>
      </c>
      <c r="T54" s="511">
        <f t="shared" si="54"/>
        <v>6.7240856943874744E-2</v>
      </c>
      <c r="U54" s="511">
        <f t="shared" si="54"/>
        <v>3.5000000000000003E-2</v>
      </c>
      <c r="V54" s="511">
        <f t="shared" si="54"/>
        <v>4.4999999999999998E-2</v>
      </c>
      <c r="W54" s="511">
        <f t="shared" si="54"/>
        <v>4.3000000000000003E-2</v>
      </c>
      <c r="X54" s="511">
        <f t="shared" si="54"/>
        <v>4.1200000000000001E-2</v>
      </c>
      <c r="Y54" s="511">
        <f t="shared" si="54"/>
        <v>3.9580000000000004E-2</v>
      </c>
      <c r="Z54" s="511">
        <f t="shared" si="54"/>
        <v>3.8122000000000003E-2</v>
      </c>
      <c r="AA54" s="511">
        <f t="shared" si="54"/>
        <v>3.6809800000000004E-2</v>
      </c>
      <c r="AB54" s="473"/>
      <c r="AC54" s="523"/>
      <c r="AD54" s="523"/>
      <c r="AE54" s="523"/>
      <c r="AF54" s="523"/>
      <c r="AG54" s="523"/>
      <c r="AH54" s="523"/>
      <c r="AI54" s="523"/>
      <c r="AJ54" s="523"/>
      <c r="AK54" s="523"/>
      <c r="AL54" s="523"/>
      <c r="AM54" s="523"/>
      <c r="AN54" s="523"/>
      <c r="AO54" s="523"/>
      <c r="AP54" s="523"/>
      <c r="AQ54" s="523"/>
      <c r="AR54" s="523"/>
      <c r="AS54" s="523"/>
      <c r="AT54" s="523"/>
      <c r="AU54" s="523"/>
      <c r="AV54" s="523"/>
      <c r="AW54" s="523"/>
      <c r="AX54" s="523"/>
      <c r="AY54" s="523"/>
      <c r="AZ54" s="523"/>
      <c r="BA54" s="523"/>
      <c r="BB54" s="523"/>
      <c r="BC54" s="523"/>
      <c r="BD54" s="523"/>
      <c r="BE54" s="523" t="s">
        <v>48</v>
      </c>
      <c r="BF54" s="523" t="s">
        <v>48</v>
      </c>
      <c r="BG54" s="523" t="s">
        <v>48</v>
      </c>
      <c r="BH54" s="523" t="s">
        <v>48</v>
      </c>
      <c r="BI54" s="511">
        <f t="shared" ref="BI54:BY54" si="55">+SUM(BI44:BI45,BI47:BI51)</f>
        <v>8.6861238787127357E-2</v>
      </c>
      <c r="BJ54" s="511">
        <f t="shared" si="55"/>
        <v>-9.543887749151922E-3</v>
      </c>
      <c r="BK54" s="511">
        <f t="shared" si="55"/>
        <v>1.6448106031562028E-2</v>
      </c>
      <c r="BL54" s="511">
        <f t="shared" si="55"/>
        <v>3.4591285343359215E-2</v>
      </c>
      <c r="BM54" s="511">
        <f t="shared" si="55"/>
        <v>-4.6305619232557983E-3</v>
      </c>
      <c r="BN54" s="511">
        <f t="shared" si="55"/>
        <v>-1.6194465144517577E-2</v>
      </c>
      <c r="BO54" s="511">
        <f t="shared" si="55"/>
        <v>-0.13061690615607119</v>
      </c>
      <c r="BP54" s="511">
        <f t="shared" si="55"/>
        <v>-0.11578712994597384</v>
      </c>
      <c r="BQ54" s="511">
        <f t="shared" si="55"/>
        <v>-0.13059165197031736</v>
      </c>
      <c r="BR54" s="511">
        <f t="shared" si="55"/>
        <v>-0.10171436801422376</v>
      </c>
      <c r="BS54" s="511">
        <f t="shared" si="55"/>
        <v>-4.2055749107112114E-2</v>
      </c>
      <c r="BT54" s="511">
        <f t="shared" si="55"/>
        <v>-7.3511041265794858E-2</v>
      </c>
      <c r="BU54" s="511">
        <f t="shared" si="55"/>
        <v>-4.0618945370513734E-2</v>
      </c>
      <c r="BV54" s="511">
        <f t="shared" si="55"/>
        <v>-1.7433993955136728E-2</v>
      </c>
      <c r="BW54" s="511">
        <f t="shared" si="55"/>
        <v>-1.1153243289328277E-2</v>
      </c>
      <c r="BX54" s="511">
        <f t="shared" si="55"/>
        <v>-2.6042174574631392E-2</v>
      </c>
      <c r="BY54" s="511">
        <f t="shared" si="55"/>
        <v>8.477366255144024E-4</v>
      </c>
      <c r="BZ54" s="511">
        <f>+SUM(BZ44:BZ45,BZ47:BZ51)</f>
        <v>-2.7607843137254902E-2</v>
      </c>
      <c r="CA54" s="511">
        <f t="shared" ref="CA54:CF54" si="56">+SUM(CA44:CA45,CA47:CA51)</f>
        <v>-9.6103151862464188E-3</v>
      </c>
      <c r="CB54" s="511">
        <f t="shared" si="56"/>
        <v>-4.2995756718528996E-2</v>
      </c>
      <c r="CC54" s="511">
        <f t="shared" si="56"/>
        <v>-1.4970406056434963E-2</v>
      </c>
      <c r="CD54" s="511">
        <f t="shared" ca="1" si="56"/>
        <v>-3.8884057971014491E-2</v>
      </c>
      <c r="CE54" s="511">
        <f t="shared" si="56"/>
        <v>1.593759071117562E-2</v>
      </c>
      <c r="CF54" s="511">
        <f t="shared" si="56"/>
        <v>7.4952380952380965E-2</v>
      </c>
      <c r="CG54" s="511">
        <f>+SUM(CG44:CG45,CG47:CG51)</f>
        <v>8.2986203929721974E-2</v>
      </c>
      <c r="CH54" s="511">
        <f>+SUM(CH44:CH45,CH47:CH51)</f>
        <v>0.08</v>
      </c>
      <c r="CI54" s="511">
        <f>+SUM(CI44:CI45,CI47:CI51)</f>
        <v>5.6000000000000001E-2</v>
      </c>
      <c r="CJ54" s="511">
        <f>+SUM(CJ44:CJ45,CJ47:CJ51)</f>
        <v>5.0809688581314877E-2</v>
      </c>
    </row>
    <row r="55" spans="1:97" s="5" customFormat="1">
      <c r="A55" s="23" t="s">
        <v>51</v>
      </c>
      <c r="B55" s="324"/>
      <c r="C55" s="324"/>
      <c r="D55" s="324"/>
      <c r="E55" s="324"/>
      <c r="F55" s="324"/>
      <c r="G55" s="324"/>
      <c r="H55" s="324"/>
      <c r="I55" s="324"/>
      <c r="J55" s="324"/>
      <c r="K55" s="324"/>
      <c r="L55" s="324"/>
      <c r="M55" s="514">
        <f t="shared" ref="M55:AA55" si="57">+((1+M53)*(1+L53))^(1/2)-1</f>
        <v>2.1027858600794591E-2</v>
      </c>
      <c r="N55" s="514">
        <f t="shared" si="57"/>
        <v>4.1148532678304317E-2</v>
      </c>
      <c r="O55" s="514">
        <f t="shared" si="57"/>
        <v>8.5012944136786395E-3</v>
      </c>
      <c r="P55" s="514">
        <f t="shared" si="57"/>
        <v>-1.5035137855290648E-2</v>
      </c>
      <c r="Q55" s="514">
        <f t="shared" si="57"/>
        <v>5.3249690560419616E-3</v>
      </c>
      <c r="R55" s="514">
        <f t="shared" si="57"/>
        <v>1.2604932834123561E-2</v>
      </c>
      <c r="S55" s="514">
        <f t="shared" si="57"/>
        <v>1.6242442343441077E-2</v>
      </c>
      <c r="T55" s="514">
        <f t="shared" si="57"/>
        <v>2.8165422883730917E-2</v>
      </c>
      <c r="U55" s="514">
        <f t="shared" si="57"/>
        <v>3.2496973361181292E-2</v>
      </c>
      <c r="V55" s="514">
        <f t="shared" si="57"/>
        <v>3.9987980699777159E-2</v>
      </c>
      <c r="W55" s="514">
        <f t="shared" si="57"/>
        <v>4.399952107268712E-2</v>
      </c>
      <c r="X55" s="514">
        <f t="shared" si="57"/>
        <v>4.2099611361601008E-2</v>
      </c>
      <c r="Y55" s="514">
        <f t="shared" si="57"/>
        <v>4.0389684685502747E-2</v>
      </c>
      <c r="Z55" s="514">
        <f t="shared" si="57"/>
        <v>3.8850744216896604E-2</v>
      </c>
      <c r="AA55" s="514">
        <f t="shared" si="57"/>
        <v>3.7465692539083495E-2</v>
      </c>
      <c r="AB55" s="513"/>
      <c r="AC55" s="528"/>
      <c r="AD55" s="528"/>
      <c r="AE55" s="528"/>
      <c r="AF55" s="528"/>
      <c r="AG55" s="528"/>
      <c r="AH55" s="528"/>
      <c r="AI55" s="528"/>
      <c r="AJ55" s="528"/>
      <c r="AK55" s="528"/>
      <c r="AL55" s="528"/>
      <c r="AM55" s="528"/>
      <c r="AN55" s="528"/>
      <c r="AO55" s="528"/>
      <c r="AP55" s="528"/>
      <c r="AQ55" s="528"/>
      <c r="AR55" s="528"/>
      <c r="AS55" s="528"/>
      <c r="AT55" s="528"/>
      <c r="AU55" s="528"/>
      <c r="AV55" s="528"/>
      <c r="AW55" s="528"/>
      <c r="AX55" s="528"/>
      <c r="AY55" s="528"/>
      <c r="AZ55" s="528"/>
      <c r="BA55" s="528"/>
      <c r="BB55" s="528"/>
      <c r="BC55" s="528"/>
      <c r="BD55" s="528"/>
      <c r="BE55" s="528" t="s">
        <v>48</v>
      </c>
      <c r="BF55" s="528" t="s">
        <v>48</v>
      </c>
      <c r="BG55" s="528" t="s">
        <v>48</v>
      </c>
      <c r="BH55" s="528" t="s">
        <v>48</v>
      </c>
      <c r="BI55" s="528" t="s">
        <v>48</v>
      </c>
      <c r="BJ55" s="528" t="s">
        <v>48</v>
      </c>
      <c r="BK55" s="528" t="s">
        <v>48</v>
      </c>
      <c r="BL55" s="528" t="s">
        <v>48</v>
      </c>
      <c r="BM55" s="514">
        <f t="shared" ref="BM55:CF55" si="58">+((1+BM53)*(1+BI53))^(1/2)-1</f>
        <v>4.4479660074257632E-2</v>
      </c>
      <c r="BN55" s="514">
        <f t="shared" si="58"/>
        <v>2.331965715320794E-2</v>
      </c>
      <c r="BO55" s="514">
        <f t="shared" si="58"/>
        <v>-7.8421366645944346E-3</v>
      </c>
      <c r="BP55" s="514">
        <f t="shared" si="58"/>
        <v>-7.2646049668476653E-3</v>
      </c>
      <c r="BQ55" s="514">
        <f t="shared" si="58"/>
        <v>1.850697406841606E-2</v>
      </c>
      <c r="BR55" s="514">
        <f t="shared" si="58"/>
        <v>1.2364130607211976E-2</v>
      </c>
      <c r="BS55" s="514">
        <f t="shared" si="58"/>
        <v>-2.8796669397163077E-3</v>
      </c>
      <c r="BT55" s="514">
        <f t="shared" si="58"/>
        <v>1.7797922489503515E-2</v>
      </c>
      <c r="BU55" s="514">
        <f t="shared" si="58"/>
        <v>3.8568709299333648E-2</v>
      </c>
      <c r="BV55" s="514">
        <f t="shared" si="58"/>
        <v>6.038571277483662E-2</v>
      </c>
      <c r="BW55" s="514">
        <f t="shared" si="58"/>
        <v>9.5815123884846143E-2</v>
      </c>
      <c r="BX55" s="514">
        <f t="shared" si="58"/>
        <v>8.6821082506231662E-2</v>
      </c>
      <c r="BY55" s="514">
        <f t="shared" si="58"/>
        <v>4.8671848378446514E-2</v>
      </c>
      <c r="BZ55" s="514">
        <f t="shared" si="58"/>
        <v>4.0186831198563366E-2</v>
      </c>
      <c r="CA55" s="514">
        <f t="shared" si="58"/>
        <v>5.9850593359659587E-2</v>
      </c>
      <c r="CB55" s="514">
        <f t="shared" si="58"/>
        <v>2.8036659275549436E-2</v>
      </c>
      <c r="CC55" s="514">
        <f t="shared" si="58"/>
        <v>2.8917878161323518E-2</v>
      </c>
      <c r="CD55" s="514">
        <f t="shared" si="58"/>
        <v>-7.5001259445923729E-3</v>
      </c>
      <c r="CE55" s="514">
        <f t="shared" si="58"/>
        <v>1.6423140232452615E-2</v>
      </c>
      <c r="CF55" s="514">
        <f t="shared" si="58"/>
        <v>2.6661580073979341E-2</v>
      </c>
      <c r="CG55" s="514">
        <f>+((1+CG53)*(1+CC53))^(1/2)-1</f>
        <v>2.2976050550549409E-2</v>
      </c>
      <c r="CH55" s="514">
        <f>+((1+CH53)*(1+CD53))^(1/2)-1</f>
        <v>1.6228320801974228E-2</v>
      </c>
      <c r="CI55" s="514">
        <f>+((1+CI53)*(1+CE53))^(1/2)-1</f>
        <v>2.9499878581828565E-2</v>
      </c>
      <c r="CJ55" s="514">
        <f>+((1+CJ53)*(1+CF53))^(1/2)-1</f>
        <v>4.4626994239295836E-2</v>
      </c>
    </row>
    <row r="56" spans="1:97" s="5" customFormat="1" ht="12" thickBot="1">
      <c r="B56" s="324"/>
      <c r="C56" s="324"/>
      <c r="D56" s="324"/>
      <c r="E56" s="324"/>
      <c r="F56" s="324"/>
      <c r="G56" s="324"/>
      <c r="H56" s="324"/>
      <c r="I56" s="324"/>
      <c r="J56" s="324"/>
      <c r="K56" s="324"/>
      <c r="L56" s="324"/>
      <c r="M56" s="324"/>
      <c r="N56" s="324"/>
      <c r="O56" s="324"/>
      <c r="P56" s="324"/>
      <c r="Q56" s="324"/>
      <c r="R56" s="324"/>
      <c r="S56" s="324"/>
      <c r="T56" s="324"/>
      <c r="U56" s="324"/>
      <c r="V56" s="324"/>
      <c r="W56" s="324"/>
      <c r="X56" s="324"/>
      <c r="Y56" s="324"/>
      <c r="Z56" s="324"/>
      <c r="AA56" s="324"/>
      <c r="AB56" s="324"/>
      <c r="AC56" s="324"/>
      <c r="AD56" s="324"/>
      <c r="AE56" s="324"/>
      <c r="AF56" s="324"/>
      <c r="AG56" s="324"/>
      <c r="AH56" s="324"/>
      <c r="AI56" s="324"/>
      <c r="AJ56" s="324"/>
      <c r="AK56" s="324"/>
      <c r="AL56" s="324"/>
      <c r="AM56" s="324"/>
      <c r="AN56" s="324"/>
      <c r="AO56" s="324"/>
      <c r="AP56" s="324"/>
      <c r="AQ56" s="324"/>
      <c r="AR56" s="324"/>
      <c r="AS56" s="324"/>
      <c r="AT56" s="324"/>
      <c r="AU56" s="324"/>
      <c r="AV56" s="324"/>
      <c r="AW56" s="324"/>
      <c r="AX56" s="324"/>
      <c r="AY56" s="324"/>
      <c r="AZ56" s="324"/>
      <c r="BA56" s="324"/>
      <c r="BB56" s="324"/>
      <c r="BC56" s="324"/>
      <c r="BD56" s="324"/>
      <c r="BE56" s="324"/>
      <c r="BF56" s="324"/>
      <c r="BG56" s="324"/>
      <c r="BH56" s="324"/>
      <c r="BI56" s="324"/>
      <c r="BJ56" s="324"/>
      <c r="BK56" s="324"/>
      <c r="BL56" s="324"/>
      <c r="BM56" s="324"/>
      <c r="BN56" s="324"/>
      <c r="BO56" s="324"/>
      <c r="BP56" s="324"/>
      <c r="BQ56" s="324"/>
      <c r="BR56" s="324"/>
      <c r="BS56" s="324"/>
      <c r="BT56" s="324"/>
      <c r="BU56" s="529"/>
      <c r="BV56" s="530"/>
      <c r="BW56" s="530"/>
      <c r="BX56" s="530"/>
      <c r="BY56" s="324"/>
      <c r="BZ56" s="324"/>
      <c r="CA56" s="324"/>
      <c r="CB56" s="324"/>
      <c r="CC56" s="535"/>
      <c r="CD56" s="727"/>
      <c r="CE56" s="727"/>
      <c r="CF56" s="727"/>
      <c r="CG56" s="324"/>
      <c r="CH56" s="324"/>
      <c r="CI56" s="324"/>
      <c r="CJ56" s="324"/>
    </row>
    <row r="57" spans="1:97">
      <c r="A57" s="25" t="s">
        <v>57</v>
      </c>
      <c r="B57" s="518"/>
      <c r="C57" s="518"/>
      <c r="D57" s="518"/>
      <c r="E57" s="518"/>
      <c r="F57" s="518"/>
      <c r="G57" s="518"/>
      <c r="H57" s="518"/>
      <c r="I57" s="518"/>
      <c r="J57" s="518"/>
      <c r="K57" s="518"/>
      <c r="L57" s="518"/>
      <c r="M57" s="518"/>
      <c r="N57" s="518"/>
      <c r="O57" s="518"/>
      <c r="P57" s="531"/>
      <c r="Q57" s="531"/>
      <c r="R57" s="518"/>
      <c r="S57" s="518"/>
      <c r="T57" s="518"/>
      <c r="U57" s="518"/>
      <c r="V57" s="518"/>
      <c r="W57" s="518"/>
      <c r="X57" s="518"/>
      <c r="Y57" s="518"/>
      <c r="Z57" s="518"/>
      <c r="AA57" s="518"/>
      <c r="AB57" s="519"/>
      <c r="AC57" s="518"/>
      <c r="AD57" s="518"/>
      <c r="AE57" s="518"/>
      <c r="AF57" s="518"/>
      <c r="AG57" s="518"/>
      <c r="AH57" s="518"/>
      <c r="AI57" s="518"/>
      <c r="AJ57" s="518"/>
      <c r="AK57" s="518"/>
      <c r="AL57" s="518"/>
      <c r="AM57" s="518"/>
      <c r="AN57" s="518"/>
      <c r="AO57" s="518"/>
      <c r="AP57" s="518"/>
      <c r="AQ57" s="518"/>
      <c r="AR57" s="518"/>
      <c r="AS57" s="518"/>
      <c r="AT57" s="518"/>
      <c r="AU57" s="518"/>
      <c r="AV57" s="518"/>
      <c r="AW57" s="518"/>
      <c r="AX57" s="518"/>
      <c r="AY57" s="518"/>
      <c r="AZ57" s="518"/>
      <c r="BA57" s="518"/>
      <c r="BB57" s="518"/>
      <c r="BC57" s="518"/>
      <c r="BD57" s="518"/>
      <c r="BE57" s="518"/>
      <c r="BF57" s="518"/>
      <c r="BG57" s="518"/>
      <c r="BH57" s="518"/>
      <c r="BI57" s="518"/>
      <c r="BJ57" s="518"/>
      <c r="BK57" s="518"/>
      <c r="BL57" s="518"/>
      <c r="BM57" s="518"/>
      <c r="BN57" s="518"/>
      <c r="BO57" s="518"/>
      <c r="BP57" s="518"/>
      <c r="BQ57" s="518"/>
      <c r="BR57" s="518"/>
      <c r="BS57" s="518"/>
      <c r="BT57" s="518"/>
      <c r="BU57" s="521"/>
      <c r="BV57" s="521"/>
      <c r="BW57" s="521"/>
      <c r="BX57" s="521"/>
      <c r="BY57" s="521"/>
      <c r="BZ57" s="518"/>
      <c r="CA57" s="518"/>
      <c r="CB57" s="518"/>
      <c r="CC57" s="518"/>
      <c r="CD57" s="518"/>
      <c r="CE57" s="518"/>
      <c r="CF57" s="518"/>
      <c r="CG57" s="521"/>
      <c r="CH57" s="518"/>
      <c r="CI57" s="518"/>
      <c r="CJ57" s="518"/>
    </row>
    <row r="58" spans="1:97" s="5" customFormat="1">
      <c r="A58" s="5" t="s">
        <v>41</v>
      </c>
      <c r="B58" s="324"/>
      <c r="C58" s="324"/>
      <c r="D58" s="324"/>
      <c r="E58" s="324"/>
      <c r="F58" s="324"/>
      <c r="G58" s="324"/>
      <c r="H58" s="324"/>
      <c r="I58" s="324"/>
      <c r="J58" s="324"/>
      <c r="K58" s="324"/>
      <c r="L58" s="324"/>
      <c r="M58" s="506">
        <f t="shared" ref="M58:P59" si="59">+M196/L$205</f>
        <v>-1.3630625893993483E-4</v>
      </c>
      <c r="N58" s="506">
        <f t="shared" si="59"/>
        <v>1.7173566240703694E-2</v>
      </c>
      <c r="O58" s="506">
        <f t="shared" si="59"/>
        <v>4.5243098206392773E-2</v>
      </c>
      <c r="P58" s="506">
        <f t="shared" si="59"/>
        <v>-1.8794476560224177E-2</v>
      </c>
      <c r="Q58" s="525">
        <v>-3.3000000000000002E-2</v>
      </c>
      <c r="R58" s="506">
        <f>+R196/Q$205</f>
        <v>1.2147145920555501E-2</v>
      </c>
      <c r="S58" s="506">
        <f>+S196/R$205</f>
        <v>1.2936381074168796E-2</v>
      </c>
      <c r="T58" s="524">
        <v>0.01</v>
      </c>
      <c r="U58" s="524">
        <v>0.01</v>
      </c>
      <c r="V58" s="524">
        <f t="shared" ref="V58:AA58" si="60">+U58*0.9</f>
        <v>9.0000000000000011E-3</v>
      </c>
      <c r="W58" s="524">
        <f t="shared" si="60"/>
        <v>8.1000000000000013E-3</v>
      </c>
      <c r="X58" s="524">
        <f t="shared" si="60"/>
        <v>7.2900000000000013E-3</v>
      </c>
      <c r="Y58" s="524">
        <f t="shared" si="60"/>
        <v>6.5610000000000017E-3</v>
      </c>
      <c r="Z58" s="524">
        <f t="shared" si="60"/>
        <v>5.904900000000002E-3</v>
      </c>
      <c r="AA58" s="524">
        <f t="shared" si="60"/>
        <v>5.314410000000002E-3</v>
      </c>
      <c r="AB58" s="324"/>
      <c r="AC58" s="523"/>
      <c r="AD58" s="523"/>
      <c r="AE58" s="523"/>
      <c r="AF58" s="523"/>
      <c r="AG58" s="523"/>
      <c r="AH58" s="523"/>
      <c r="AI58" s="523"/>
      <c r="AJ58" s="523"/>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524"/>
      <c r="BJ58" s="506">
        <f t="shared" ref="BJ58:BX59" si="61">+BJ196/BF$205</f>
        <v>-8.9022489696825337E-3</v>
      </c>
      <c r="BK58" s="506">
        <f t="shared" si="61"/>
        <v>1.3204611584398774E-2</v>
      </c>
      <c r="BL58" s="506">
        <f t="shared" si="61"/>
        <v>2.141460057619754E-2</v>
      </c>
      <c r="BM58" s="506">
        <f t="shared" si="61"/>
        <v>2.2083385399674447E-2</v>
      </c>
      <c r="BN58" s="506">
        <f t="shared" si="61"/>
        <v>5.4157164432580153E-2</v>
      </c>
      <c r="BO58" s="506">
        <f t="shared" si="61"/>
        <v>6.8191020896132132E-2</v>
      </c>
      <c r="BP58" s="506">
        <f t="shared" si="61"/>
        <v>3.9440364249812974E-2</v>
      </c>
      <c r="BQ58" s="506">
        <f t="shared" si="61"/>
        <v>1.6116460419672709E-2</v>
      </c>
      <c r="BR58" s="506">
        <f t="shared" si="61"/>
        <v>-8.4953193987435428E-3</v>
      </c>
      <c r="BS58" s="506">
        <f t="shared" si="61"/>
        <v>-5.3269324441585053E-2</v>
      </c>
      <c r="BT58" s="506">
        <f t="shared" si="61"/>
        <v>-2.8694272490509501E-2</v>
      </c>
      <c r="BU58" s="506">
        <f t="shared" si="61"/>
        <v>-4.0819194885513006E-2</v>
      </c>
      <c r="BV58" s="506">
        <f t="shared" si="61"/>
        <v>-3.9219947017562963E-2</v>
      </c>
      <c r="BW58" s="506">
        <f t="shared" si="61"/>
        <v>-3.3194106458853963E-2</v>
      </c>
      <c r="BX58" s="506">
        <f t="shared" si="61"/>
        <v>-2.409553731206519E-2</v>
      </c>
      <c r="BY58" s="524">
        <v>-4.0000000000000001E-3</v>
      </c>
      <c r="BZ58" s="524">
        <v>6.0000000000000001E-3</v>
      </c>
      <c r="CA58" s="524">
        <v>2.5000000000000001E-2</v>
      </c>
      <c r="CB58" s="524">
        <v>2.1000000000000001E-2</v>
      </c>
      <c r="CC58" s="524">
        <v>1.2999999999999999E-2</v>
      </c>
      <c r="CD58" s="524">
        <v>-8.0000000000000002E-3</v>
      </c>
      <c r="CE58" s="524">
        <v>4.5999999999999999E-2</v>
      </c>
      <c r="CF58" s="524">
        <v>2E-3</v>
      </c>
      <c r="CG58" s="694">
        <v>2E-3</v>
      </c>
      <c r="CH58" s="694">
        <v>0.02</v>
      </c>
      <c r="CI58" s="694">
        <v>5.0000000000000001E-3</v>
      </c>
      <c r="CJ58" s="506">
        <f>+CJ196/CF$205</f>
        <v>1.3260127931769726E-2</v>
      </c>
      <c r="CK58" s="571"/>
      <c r="CL58" s="18"/>
      <c r="CM58" s="18"/>
      <c r="CN58" s="18"/>
      <c r="CO58" s="18"/>
      <c r="CP58" s="18"/>
      <c r="CQ58" s="18"/>
      <c r="CR58" s="18"/>
      <c r="CS58" s="18"/>
    </row>
    <row r="59" spans="1:97" s="5" customFormat="1">
      <c r="A59" s="5" t="s">
        <v>42</v>
      </c>
      <c r="B59" s="324"/>
      <c r="C59" s="324"/>
      <c r="D59" s="324"/>
      <c r="E59" s="324"/>
      <c r="F59" s="324"/>
      <c r="G59" s="324"/>
      <c r="H59" s="324"/>
      <c r="I59" s="324"/>
      <c r="J59" s="324"/>
      <c r="K59" s="324"/>
      <c r="L59" s="324"/>
      <c r="M59" s="506">
        <f t="shared" si="59"/>
        <v>5.514638071476214E-2</v>
      </c>
      <c r="N59" s="506">
        <f t="shared" si="59"/>
        <v>1.0537899862083365E-2</v>
      </c>
      <c r="O59" s="506">
        <f t="shared" si="59"/>
        <v>-2.4559054422083088E-2</v>
      </c>
      <c r="P59" s="506">
        <f t="shared" si="59"/>
        <v>2.1639862752345567E-2</v>
      </c>
      <c r="Q59" s="525">
        <v>2.8000000000000001E-2</v>
      </c>
      <c r="R59" s="506">
        <f>+R197/Q$205</f>
        <v>-3.8294700296129893E-3</v>
      </c>
      <c r="S59" s="506">
        <f>+S197/R$205</f>
        <v>-5.8322676896845722E-4</v>
      </c>
      <c r="T59" s="524">
        <v>0</v>
      </c>
      <c r="U59" s="524">
        <v>5.0000000000000001E-3</v>
      </c>
      <c r="V59" s="524">
        <v>5.0000000000000001E-3</v>
      </c>
      <c r="W59" s="527">
        <v>1.4999999999999999E-2</v>
      </c>
      <c r="X59" s="527">
        <v>1.4999999999999999E-2</v>
      </c>
      <c r="Y59" s="527">
        <v>1.4999999999999999E-2</v>
      </c>
      <c r="Z59" s="527">
        <v>1.4999999999999999E-2</v>
      </c>
      <c r="AA59" s="527">
        <v>1.4999999999999999E-2</v>
      </c>
      <c r="AB59" s="324"/>
      <c r="AC59" s="523"/>
      <c r="AD59" s="523"/>
      <c r="AE59" s="523"/>
      <c r="AF59" s="523"/>
      <c r="AG59" s="523"/>
      <c r="AH59" s="523"/>
      <c r="AI59" s="523"/>
      <c r="AJ59" s="523"/>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524"/>
      <c r="BJ59" s="506">
        <f t="shared" si="61"/>
        <v>3.0630262022605222E-2</v>
      </c>
      <c r="BK59" s="506">
        <f t="shared" si="61"/>
        <v>-7.0605423300051052E-3</v>
      </c>
      <c r="BL59" s="506">
        <f t="shared" si="61"/>
        <v>-1.6294193494976086E-2</v>
      </c>
      <c r="BM59" s="506">
        <f t="shared" si="61"/>
        <v>-1.6299325762594553E-2</v>
      </c>
      <c r="BN59" s="506">
        <f t="shared" si="61"/>
        <v>-3.425585539452005E-2</v>
      </c>
      <c r="BO59" s="506">
        <f t="shared" si="61"/>
        <v>-3.1358568866218559E-2</v>
      </c>
      <c r="BP59" s="506">
        <f t="shared" si="61"/>
        <v>-1.7974887928675739E-2</v>
      </c>
      <c r="BQ59" s="506">
        <f t="shared" si="61"/>
        <v>-1.3670772506860541E-2</v>
      </c>
      <c r="BR59" s="506">
        <f t="shared" si="61"/>
        <v>3.2935230593315852E-3</v>
      </c>
      <c r="BS59" s="506">
        <f t="shared" si="61"/>
        <v>4.2339691817753669E-2</v>
      </c>
      <c r="BT59" s="506">
        <f t="shared" si="61"/>
        <v>4.987795341035018E-2</v>
      </c>
      <c r="BU59" s="506">
        <f t="shared" si="61"/>
        <v>3.4244728942438456E-2</v>
      </c>
      <c r="BV59" s="506">
        <f t="shared" si="61"/>
        <v>2.2271970978982873E-2</v>
      </c>
      <c r="BW59" s="506">
        <f t="shared" si="61"/>
        <v>3.1770354607105457E-2</v>
      </c>
      <c r="BX59" s="506">
        <f t="shared" si="61"/>
        <v>2.4567802399901004E-2</v>
      </c>
      <c r="BY59" s="524">
        <v>8.0000000000000002E-3</v>
      </c>
      <c r="BZ59" s="524">
        <v>5.0000000000000001E-3</v>
      </c>
      <c r="CA59" s="524">
        <v>-1.2E-2</v>
      </c>
      <c r="CB59" s="524">
        <v>-1.4999999999999999E-2</v>
      </c>
      <c r="CC59" s="524">
        <v>-3.0000000000000001E-3</v>
      </c>
      <c r="CD59" s="524">
        <v>1E-3</v>
      </c>
      <c r="CE59" s="524">
        <v>-1.4E-2</v>
      </c>
      <c r="CF59" s="524">
        <v>1.2E-2</v>
      </c>
      <c r="CG59" s="524">
        <v>5.0000000000000001E-3</v>
      </c>
      <c r="CH59" s="524">
        <v>7.0000000000000001E-3</v>
      </c>
      <c r="CI59" s="524">
        <v>-5.0000000000000001E-3</v>
      </c>
      <c r="CJ59" s="506">
        <f>+CJ197/CF$205</f>
        <v>-5.0422885572139302E-3</v>
      </c>
      <c r="CK59" s="571"/>
      <c r="CL59" s="571"/>
      <c r="CM59" s="571"/>
      <c r="CN59" s="571"/>
      <c r="CO59" s="571"/>
    </row>
    <row r="60" spans="1:97" s="5" customFormat="1">
      <c r="A60" s="87"/>
      <c r="B60" s="324"/>
      <c r="C60" s="324"/>
      <c r="D60" s="324"/>
      <c r="E60" s="324"/>
      <c r="F60" s="324"/>
      <c r="G60" s="324"/>
      <c r="H60" s="324"/>
      <c r="I60" s="324"/>
      <c r="J60" s="324"/>
      <c r="K60" s="324"/>
      <c r="L60" s="324"/>
      <c r="M60" s="502"/>
      <c r="N60" s="502"/>
      <c r="O60" s="502"/>
      <c r="P60" s="502"/>
      <c r="Q60" s="158"/>
      <c r="R60" s="158"/>
      <c r="S60" s="158"/>
      <c r="T60" s="158"/>
      <c r="U60" s="158"/>
      <c r="V60" s="158"/>
      <c r="W60" s="158"/>
      <c r="X60" s="158"/>
      <c r="Y60" s="158"/>
      <c r="Z60" s="158"/>
      <c r="AA60" s="158"/>
      <c r="AB60" s="158"/>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c r="BG60" s="91"/>
      <c r="BH60" s="91"/>
      <c r="BI60" s="91"/>
      <c r="BJ60" s="91"/>
      <c r="BK60" s="91"/>
      <c r="BL60" s="91"/>
      <c r="BM60" s="91"/>
      <c r="BN60" s="91"/>
      <c r="BO60" s="91"/>
      <c r="BP60" s="91"/>
      <c r="BQ60" s="91"/>
      <c r="BR60" s="91"/>
      <c r="BS60" s="91"/>
      <c r="BT60" s="91"/>
      <c r="BU60" s="91"/>
      <c r="BV60" s="91"/>
      <c r="BW60" s="91"/>
      <c r="BX60" s="91"/>
      <c r="BY60" s="91"/>
      <c r="BZ60" s="91"/>
      <c r="CA60" s="91"/>
      <c r="CB60" s="91"/>
      <c r="CC60" s="91"/>
      <c r="CD60" s="91"/>
      <c r="CE60" s="91"/>
      <c r="CF60" s="91"/>
      <c r="CG60" s="701"/>
      <c r="CH60" s="701"/>
      <c r="CI60" s="701"/>
      <c r="CJ60" s="701"/>
    </row>
    <row r="61" spans="1:97" s="5" customFormat="1">
      <c r="A61" s="5" t="s">
        <v>43</v>
      </c>
      <c r="B61" s="324"/>
      <c r="C61" s="324"/>
      <c r="D61" s="324"/>
      <c r="E61" s="324"/>
      <c r="F61" s="324"/>
      <c r="G61" s="324"/>
      <c r="H61" s="324"/>
      <c r="I61" s="324"/>
      <c r="J61" s="324"/>
      <c r="K61" s="324"/>
      <c r="L61" s="324"/>
      <c r="M61" s="506">
        <f t="shared" ref="M61:T61" si="62">+M199/L$205</f>
        <v>4.5368944607639183E-2</v>
      </c>
      <c r="N61" s="506">
        <f t="shared" si="62"/>
        <v>-5.9838011178511778E-2</v>
      </c>
      <c r="O61" s="506">
        <f t="shared" si="62"/>
        <v>1.0306883706230986E-2</v>
      </c>
      <c r="P61" s="506">
        <f t="shared" si="62"/>
        <v>-2.4151217209729865E-2</v>
      </c>
      <c r="Q61" s="506">
        <f t="shared" si="62"/>
        <v>-0.16163864160896801</v>
      </c>
      <c r="R61" s="506">
        <f t="shared" si="62"/>
        <v>-4.3806800776064539E-2</v>
      </c>
      <c r="S61" s="506">
        <f t="shared" si="62"/>
        <v>1.0123614663256607E-2</v>
      </c>
      <c r="T61" s="506">
        <f t="shared" si="62"/>
        <v>7.7252770011390692E-2</v>
      </c>
      <c r="U61" s="524">
        <v>0</v>
      </c>
      <c r="V61" s="524">
        <v>0</v>
      </c>
      <c r="W61" s="524">
        <v>0</v>
      </c>
      <c r="X61" s="524">
        <v>0</v>
      </c>
      <c r="Y61" s="524">
        <v>0</v>
      </c>
      <c r="Z61" s="524">
        <v>0</v>
      </c>
      <c r="AA61" s="524">
        <v>0</v>
      </c>
      <c r="AB61" s="324"/>
      <c r="AC61" s="523"/>
      <c r="AD61" s="523"/>
      <c r="AE61" s="523"/>
      <c r="AF61" s="523"/>
      <c r="AG61" s="523"/>
      <c r="AH61" s="523"/>
      <c r="AI61" s="523"/>
      <c r="AJ61" s="523"/>
      <c r="AK61" s="523"/>
      <c r="AL61" s="523"/>
      <c r="AM61" s="523"/>
      <c r="AN61" s="523"/>
      <c r="AO61" s="523"/>
      <c r="AP61" s="523"/>
      <c r="AQ61" s="523"/>
      <c r="AR61" s="523"/>
      <c r="AS61" s="523"/>
      <c r="AT61" s="523"/>
      <c r="AU61" s="523"/>
      <c r="AV61" s="523"/>
      <c r="AW61" s="523"/>
      <c r="AX61" s="523"/>
      <c r="AY61" s="523"/>
      <c r="AZ61" s="523"/>
      <c r="BA61" s="523"/>
      <c r="BB61" s="523"/>
      <c r="BC61" s="523"/>
      <c r="BD61" s="523"/>
      <c r="BE61" s="523"/>
      <c r="BF61" s="523"/>
      <c r="BG61" s="523"/>
      <c r="BH61" s="523"/>
      <c r="BI61" s="506">
        <f t="shared" ref="BI61:BX65" si="63">+BI199/BE$205</f>
        <v>-3.6227714135337895E-2</v>
      </c>
      <c r="BJ61" s="506">
        <f t="shared" si="63"/>
        <v>-9.2503827565105626E-2</v>
      </c>
      <c r="BK61" s="506">
        <f t="shared" si="63"/>
        <v>-9.5798870924027599E-2</v>
      </c>
      <c r="BL61" s="506">
        <f t="shared" si="63"/>
        <v>-1.7843910256982041E-2</v>
      </c>
      <c r="BM61" s="506">
        <f t="shared" si="63"/>
        <v>-3.6757862087227386E-3</v>
      </c>
      <c r="BN61" s="506">
        <f t="shared" si="63"/>
        <v>-2.4353082308196537E-4</v>
      </c>
      <c r="BO61" s="506">
        <f t="shared" si="63"/>
        <v>2.2959430991465208E-2</v>
      </c>
      <c r="BP61" s="506">
        <f t="shared" si="63"/>
        <v>2.161727771010058E-2</v>
      </c>
      <c r="BQ61" s="506">
        <f t="shared" si="63"/>
        <v>1.8371264214111213E-2</v>
      </c>
      <c r="BR61" s="506">
        <f t="shared" si="63"/>
        <v>2.6516699680368128E-2</v>
      </c>
      <c r="BS61" s="506">
        <f t="shared" si="63"/>
        <v>-1.7285473048018401E-2</v>
      </c>
      <c r="BT61" s="506">
        <f t="shared" si="63"/>
        <v>-0.1079613677244718</v>
      </c>
      <c r="BU61" s="506">
        <f t="shared" si="63"/>
        <v>-0.17559987702654886</v>
      </c>
      <c r="BV61" s="506">
        <f t="shared" si="63"/>
        <v>-0.18185751655449239</v>
      </c>
      <c r="BW61" s="506">
        <f t="shared" si="63"/>
        <v>-0.16701394970777672</v>
      </c>
      <c r="BX61" s="506">
        <f t="shared" si="63"/>
        <v>-0.12454143738840202</v>
      </c>
      <c r="BY61" s="506">
        <f t="shared" ref="BY61:BZ65" si="64">+BY199/BU$205</f>
        <v>-4.2741935483870966E-2</v>
      </c>
      <c r="BZ61" s="506">
        <f t="shared" si="64"/>
        <v>-2.7777777777777776E-2</v>
      </c>
      <c r="CA61" s="506">
        <f t="shared" ref="CA61:CF64" si="65">+CA199/BW$205</f>
        <v>-4.2471042471042469E-2</v>
      </c>
      <c r="CB61" s="506">
        <f t="shared" si="65"/>
        <v>-5.9322033898305086E-2</v>
      </c>
      <c r="CC61" s="506">
        <f t="shared" si="65"/>
        <v>-4.9471458773784352E-2</v>
      </c>
      <c r="CD61" s="506">
        <f t="shared" si="65"/>
        <v>-3.7590579710144928E-2</v>
      </c>
      <c r="CE61" s="506">
        <f t="shared" si="65"/>
        <v>4.1462327240303166E-2</v>
      </c>
      <c r="CF61" s="506">
        <f t="shared" si="65"/>
        <v>7.8660436137071646E-2</v>
      </c>
      <c r="CG61" s="524">
        <v>0.13</v>
      </c>
      <c r="CH61" s="524">
        <v>0.1</v>
      </c>
      <c r="CI61" s="524">
        <v>4.4999999999999998E-2</v>
      </c>
      <c r="CJ61" s="524">
        <v>4.4999999999999998E-2</v>
      </c>
    </row>
    <row r="62" spans="1:97" s="5" customFormat="1">
      <c r="A62" s="5" t="s">
        <v>44</v>
      </c>
      <c r="B62" s="324"/>
      <c r="C62" s="324"/>
      <c r="D62" s="324"/>
      <c r="E62" s="324"/>
      <c r="F62" s="324"/>
      <c r="G62" s="324"/>
      <c r="H62" s="324"/>
      <c r="I62" s="324"/>
      <c r="J62" s="324"/>
      <c r="K62" s="324"/>
      <c r="L62" s="324"/>
      <c r="M62" s="506">
        <f t="shared" ref="M62:O65" si="66">+M200/L$205</f>
        <v>1.723295808836869E-2</v>
      </c>
      <c r="N62" s="506">
        <f t="shared" si="66"/>
        <v>0</v>
      </c>
      <c r="O62" s="506">
        <f t="shared" si="66"/>
        <v>2.3713106200324227E-3</v>
      </c>
      <c r="P62" s="506">
        <f t="shared" ref="P62:S65" si="67">+P200/O$205</f>
        <v>3.1775232042812937E-4</v>
      </c>
      <c r="Q62" s="506">
        <f t="shared" si="67"/>
        <v>0</v>
      </c>
      <c r="R62" s="506">
        <f t="shared" si="67"/>
        <v>1.6338200755641784E-3</v>
      </c>
      <c r="S62" s="506">
        <f t="shared" si="67"/>
        <v>6.2872975277067349E-3</v>
      </c>
      <c r="T62" s="506">
        <f ca="1">+T200/S$205</f>
        <v>0</v>
      </c>
      <c r="U62" s="524">
        <v>0</v>
      </c>
      <c r="V62" s="524">
        <v>0</v>
      </c>
      <c r="W62" s="524">
        <v>0</v>
      </c>
      <c r="X62" s="524">
        <v>0</v>
      </c>
      <c r="Y62" s="524">
        <v>0</v>
      </c>
      <c r="Z62" s="524">
        <v>0</v>
      </c>
      <c r="AA62" s="524">
        <v>0</v>
      </c>
      <c r="AB62" s="324"/>
      <c r="AC62" s="523"/>
      <c r="AD62" s="523"/>
      <c r="AE62" s="523"/>
      <c r="AF62" s="523"/>
      <c r="AG62" s="523"/>
      <c r="AH62" s="523"/>
      <c r="AI62" s="523"/>
      <c r="AJ62" s="523"/>
      <c r="AK62" s="523"/>
      <c r="AL62" s="523"/>
      <c r="AM62" s="523"/>
      <c r="AN62" s="523"/>
      <c r="AO62" s="523"/>
      <c r="AP62" s="523"/>
      <c r="AQ62" s="523"/>
      <c r="AR62" s="523"/>
      <c r="AS62" s="523"/>
      <c r="AT62" s="523"/>
      <c r="AU62" s="523"/>
      <c r="AV62" s="523"/>
      <c r="AW62" s="523"/>
      <c r="AX62" s="523"/>
      <c r="AY62" s="523"/>
      <c r="AZ62" s="523"/>
      <c r="BA62" s="523"/>
      <c r="BB62" s="523"/>
      <c r="BC62" s="523"/>
      <c r="BD62" s="523"/>
      <c r="BE62" s="523" t="s">
        <v>48</v>
      </c>
      <c r="BF62" s="523" t="s">
        <v>48</v>
      </c>
      <c r="BG62" s="523" t="s">
        <v>48</v>
      </c>
      <c r="BH62" s="523" t="s">
        <v>48</v>
      </c>
      <c r="BI62" s="506">
        <f t="shared" si="63"/>
        <v>0</v>
      </c>
      <c r="BJ62" s="506">
        <f t="shared" si="63"/>
        <v>0</v>
      </c>
      <c r="BK62" s="506">
        <f t="shared" si="63"/>
        <v>0</v>
      </c>
      <c r="BL62" s="506">
        <f t="shared" si="63"/>
        <v>0</v>
      </c>
      <c r="BM62" s="506">
        <f t="shared" si="63"/>
        <v>1.7187983084509333E-3</v>
      </c>
      <c r="BN62" s="506">
        <f t="shared" si="63"/>
        <v>2.6129233777874355E-3</v>
      </c>
      <c r="BO62" s="506">
        <f t="shared" si="63"/>
        <v>2.5009442924674077E-3</v>
      </c>
      <c r="BP62" s="506">
        <f t="shared" si="63"/>
        <v>2.6418117974218178E-3</v>
      </c>
      <c r="BQ62" s="506">
        <f t="shared" si="63"/>
        <v>1.3048278630934454E-3</v>
      </c>
      <c r="BR62" s="506">
        <f t="shared" si="63"/>
        <v>0</v>
      </c>
      <c r="BS62" s="506">
        <f t="shared" si="63"/>
        <v>0</v>
      </c>
      <c r="BT62" s="506">
        <f t="shared" si="63"/>
        <v>0</v>
      </c>
      <c r="BU62" s="506">
        <f t="shared" si="63"/>
        <v>0</v>
      </c>
      <c r="BV62" s="506">
        <f t="shared" si="63"/>
        <v>0</v>
      </c>
      <c r="BW62" s="506">
        <f t="shared" si="63"/>
        <v>0</v>
      </c>
      <c r="BX62" s="506">
        <f t="shared" si="63"/>
        <v>0</v>
      </c>
      <c r="BY62" s="506">
        <f t="shared" si="64"/>
        <v>0</v>
      </c>
      <c r="BZ62" s="506">
        <f t="shared" si="64"/>
        <v>0</v>
      </c>
      <c r="CA62" s="506">
        <f t="shared" si="65"/>
        <v>0</v>
      </c>
      <c r="CB62" s="506">
        <f t="shared" si="65"/>
        <v>5.8953574060427415E-3</v>
      </c>
      <c r="CC62" s="506">
        <f t="shared" si="65"/>
        <v>5.9196617336152221E-3</v>
      </c>
      <c r="CD62" s="506">
        <f t="shared" si="65"/>
        <v>7.246376811594203E-3</v>
      </c>
      <c r="CE62" s="506">
        <f t="shared" si="65"/>
        <v>8.9166295140436919E-3</v>
      </c>
      <c r="CF62" s="506">
        <f t="shared" si="65"/>
        <v>3.5046728971962616E-3</v>
      </c>
      <c r="CG62" s="506">
        <f t="shared" ref="CG62:CJ63" si="68">+CG200/CC$205</f>
        <v>0</v>
      </c>
      <c r="CH62" s="506">
        <f t="shared" si="68"/>
        <v>0</v>
      </c>
      <c r="CI62" s="506">
        <f t="shared" si="68"/>
        <v>0</v>
      </c>
      <c r="CJ62" s="533">
        <f t="shared" si="68"/>
        <v>0</v>
      </c>
    </row>
    <row r="63" spans="1:97" s="5" customFormat="1">
      <c r="A63" s="5" t="s">
        <v>45</v>
      </c>
      <c r="B63" s="324"/>
      <c r="C63" s="324"/>
      <c r="D63" s="324"/>
      <c r="E63" s="324"/>
      <c r="F63" s="324"/>
      <c r="G63" s="324"/>
      <c r="H63" s="324"/>
      <c r="I63" s="324"/>
      <c r="J63" s="324"/>
      <c r="K63" s="324"/>
      <c r="L63" s="324"/>
      <c r="M63" s="506">
        <f t="shared" si="66"/>
        <v>-7.1954187422793693E-3</v>
      </c>
      <c r="N63" s="506">
        <f t="shared" si="66"/>
        <v>-3.5513798947811866E-3</v>
      </c>
      <c r="O63" s="506">
        <f t="shared" si="66"/>
        <v>-1.4929477629083176E-2</v>
      </c>
      <c r="P63" s="506">
        <f t="shared" si="67"/>
        <v>-1.2607177085812422E-3</v>
      </c>
      <c r="Q63" s="506">
        <f t="shared" si="67"/>
        <v>0</v>
      </c>
      <c r="R63" s="506">
        <f t="shared" si="67"/>
        <v>0</v>
      </c>
      <c r="S63" s="506">
        <f t="shared" si="67"/>
        <v>0</v>
      </c>
      <c r="T63" s="506">
        <f>+T201/S$205</f>
        <v>0</v>
      </c>
      <c r="U63" s="524">
        <v>0</v>
      </c>
      <c r="V63" s="524">
        <v>0</v>
      </c>
      <c r="W63" s="524">
        <v>0</v>
      </c>
      <c r="X63" s="524">
        <v>0</v>
      </c>
      <c r="Y63" s="524">
        <v>0</v>
      </c>
      <c r="Z63" s="524">
        <v>0</v>
      </c>
      <c r="AA63" s="524">
        <v>0</v>
      </c>
      <c r="AB63" s="324"/>
      <c r="AC63" s="523"/>
      <c r="AD63" s="523"/>
      <c r="AE63" s="523"/>
      <c r="AF63" s="523"/>
      <c r="AG63" s="523"/>
      <c r="AH63" s="523"/>
      <c r="AI63" s="523"/>
      <c r="AJ63" s="523"/>
      <c r="AK63" s="523"/>
      <c r="AL63" s="523"/>
      <c r="AM63" s="523"/>
      <c r="AN63" s="523"/>
      <c r="AO63" s="523"/>
      <c r="AP63" s="523"/>
      <c r="AQ63" s="523"/>
      <c r="AR63" s="523"/>
      <c r="AS63" s="523"/>
      <c r="AT63" s="523"/>
      <c r="AU63" s="523"/>
      <c r="AV63" s="523"/>
      <c r="AW63" s="523"/>
      <c r="AX63" s="523"/>
      <c r="AY63" s="523"/>
      <c r="AZ63" s="523"/>
      <c r="BA63" s="523"/>
      <c r="BB63" s="523"/>
      <c r="BC63" s="523"/>
      <c r="BD63" s="523"/>
      <c r="BE63" s="523" t="s">
        <v>48</v>
      </c>
      <c r="BF63" s="523" t="s">
        <v>48</v>
      </c>
      <c r="BG63" s="523" t="s">
        <v>48</v>
      </c>
      <c r="BH63" s="523" t="s">
        <v>48</v>
      </c>
      <c r="BI63" s="506">
        <f t="shared" si="63"/>
        <v>8.2226022891724779E-4</v>
      </c>
      <c r="BJ63" s="506">
        <f t="shared" si="63"/>
        <v>-4.8851978505129456E-3</v>
      </c>
      <c r="BK63" s="506">
        <f t="shared" si="63"/>
        <v>-3.1410159092455803E-3</v>
      </c>
      <c r="BL63" s="506">
        <f t="shared" si="63"/>
        <v>-6.1348617903279525E-3</v>
      </c>
      <c r="BM63" s="506">
        <f t="shared" si="63"/>
        <v>-1.3187060802490162E-2</v>
      </c>
      <c r="BN63" s="506">
        <f t="shared" si="63"/>
        <v>-2.3353342206046124E-2</v>
      </c>
      <c r="BO63" s="506">
        <f t="shared" si="63"/>
        <v>-2.0213581787173647E-2</v>
      </c>
      <c r="BP63" s="506">
        <f t="shared" si="63"/>
        <v>-4.8358588834162084E-3</v>
      </c>
      <c r="BQ63" s="506">
        <f t="shared" si="63"/>
        <v>-2.9635968874308625E-3</v>
      </c>
      <c r="BR63" s="506">
        <f t="shared" si="63"/>
        <v>-9.2152831927411931E-4</v>
      </c>
      <c r="BS63" s="506">
        <f t="shared" si="63"/>
        <v>-8.2073954104244871E-4</v>
      </c>
      <c r="BT63" s="506">
        <f t="shared" si="63"/>
        <v>-4.506839128377313E-4</v>
      </c>
      <c r="BU63" s="506">
        <f t="shared" si="63"/>
        <v>0</v>
      </c>
      <c r="BV63" s="506">
        <f t="shared" si="63"/>
        <v>0</v>
      </c>
      <c r="BW63" s="506">
        <f t="shared" si="63"/>
        <v>0</v>
      </c>
      <c r="BX63" s="506">
        <f t="shared" si="63"/>
        <v>0</v>
      </c>
      <c r="BY63" s="506">
        <f t="shared" si="64"/>
        <v>0</v>
      </c>
      <c r="BZ63" s="506">
        <f t="shared" si="64"/>
        <v>0</v>
      </c>
      <c r="CA63" s="506">
        <f t="shared" si="65"/>
        <v>0</v>
      </c>
      <c r="CB63" s="506">
        <f t="shared" si="65"/>
        <v>0</v>
      </c>
      <c r="CC63" s="506">
        <f t="shared" si="65"/>
        <v>0</v>
      </c>
      <c r="CD63" s="506">
        <f t="shared" si="65"/>
        <v>0</v>
      </c>
      <c r="CE63" s="506">
        <f>+CE201/CA$205</f>
        <v>0</v>
      </c>
      <c r="CF63" s="506">
        <f>+CF201/CB$205</f>
        <v>0</v>
      </c>
      <c r="CG63" s="506">
        <f t="shared" si="68"/>
        <v>0</v>
      </c>
      <c r="CH63" s="506">
        <f t="shared" si="68"/>
        <v>0</v>
      </c>
      <c r="CI63" s="506">
        <f t="shared" ca="1" si="68"/>
        <v>0</v>
      </c>
      <c r="CJ63" s="506">
        <f t="shared" si="68"/>
        <v>0</v>
      </c>
    </row>
    <row r="64" spans="1:97" s="5" customFormat="1">
      <c r="A64" s="5" t="s">
        <v>46</v>
      </c>
      <c r="B64" s="324"/>
      <c r="C64" s="324"/>
      <c r="D64" s="324"/>
      <c r="E64" s="324"/>
      <c r="F64" s="324"/>
      <c r="G64" s="324"/>
      <c r="H64" s="324"/>
      <c r="I64" s="324"/>
      <c r="J64" s="324"/>
      <c r="K64" s="324"/>
      <c r="L64" s="324"/>
      <c r="M64" s="506">
        <f t="shared" si="66"/>
        <v>3.32775573672641E-2</v>
      </c>
      <c r="N64" s="506">
        <f t="shared" si="66"/>
        <v>-3.229796322239966E-2</v>
      </c>
      <c r="O64" s="506">
        <f t="shared" si="66"/>
        <v>2.4940438295386678E-3</v>
      </c>
      <c r="P64" s="506">
        <f t="shared" si="67"/>
        <v>-2.4442486186779188E-3</v>
      </c>
      <c r="Q64" s="506">
        <f t="shared" si="67"/>
        <v>0</v>
      </c>
      <c r="R64" s="506">
        <f t="shared" si="67"/>
        <v>0</v>
      </c>
      <c r="S64" s="506">
        <f t="shared" si="67"/>
        <v>0</v>
      </c>
      <c r="T64" s="524">
        <v>0</v>
      </c>
      <c r="U64" s="524">
        <v>0</v>
      </c>
      <c r="V64" s="524">
        <v>0</v>
      </c>
      <c r="W64" s="524">
        <v>0</v>
      </c>
      <c r="X64" s="524">
        <v>0</v>
      </c>
      <c r="Y64" s="524">
        <v>0</v>
      </c>
      <c r="Z64" s="524">
        <v>0</v>
      </c>
      <c r="AA64" s="524">
        <v>0</v>
      </c>
      <c r="AB64" s="324"/>
      <c r="AC64" s="523"/>
      <c r="AD64" s="523"/>
      <c r="AE64" s="523"/>
      <c r="AF64" s="523"/>
      <c r="AG64" s="523"/>
      <c r="AH64" s="523"/>
      <c r="AI64" s="523"/>
      <c r="AJ64" s="523"/>
      <c r="AK64" s="523"/>
      <c r="AL64" s="523"/>
      <c r="AM64" s="523"/>
      <c r="AN64" s="523"/>
      <c r="AO64" s="523"/>
      <c r="AP64" s="523"/>
      <c r="AQ64" s="523"/>
      <c r="AR64" s="523"/>
      <c r="AS64" s="523"/>
      <c r="AT64" s="523"/>
      <c r="AU64" s="523"/>
      <c r="AV64" s="523"/>
      <c r="AW64" s="523"/>
      <c r="AX64" s="523"/>
      <c r="AY64" s="523"/>
      <c r="AZ64" s="523"/>
      <c r="BA64" s="523"/>
      <c r="BB64" s="523"/>
      <c r="BC64" s="523"/>
      <c r="BD64" s="523"/>
      <c r="BE64" s="523" t="s">
        <v>48</v>
      </c>
      <c r="BF64" s="523" t="s">
        <v>48</v>
      </c>
      <c r="BG64" s="523" t="s">
        <v>48</v>
      </c>
      <c r="BH64" s="523" t="s">
        <v>48</v>
      </c>
      <c r="BI64" s="506">
        <f t="shared" si="63"/>
        <v>0</v>
      </c>
      <c r="BJ64" s="506">
        <f t="shared" si="63"/>
        <v>-6.8248540256356571E-2</v>
      </c>
      <c r="BK64" s="506">
        <f t="shared" si="63"/>
        <v>0</v>
      </c>
      <c r="BL64" s="506">
        <f t="shared" si="63"/>
        <v>-5.1291826611277631E-2</v>
      </c>
      <c r="BM64" s="506">
        <f t="shared" si="63"/>
        <v>0</v>
      </c>
      <c r="BN64" s="506">
        <f t="shared" si="63"/>
        <v>0</v>
      </c>
      <c r="BO64" s="506">
        <f t="shared" si="63"/>
        <v>5.4368354184074078E-3</v>
      </c>
      <c r="BP64" s="506">
        <f t="shared" si="63"/>
        <v>4.4776471142742675E-3</v>
      </c>
      <c r="BQ64" s="506">
        <f t="shared" si="63"/>
        <v>0</v>
      </c>
      <c r="BR64" s="506">
        <f t="shared" si="63"/>
        <v>0</v>
      </c>
      <c r="BS64" s="506">
        <f t="shared" si="63"/>
        <v>-5.1980170932688415E-3</v>
      </c>
      <c r="BT64" s="506">
        <f t="shared" si="63"/>
        <v>-4.281497171958447E-3</v>
      </c>
      <c r="BU64" s="506">
        <f t="shared" si="63"/>
        <v>0</v>
      </c>
      <c r="BV64" s="506">
        <f t="shared" si="63"/>
        <v>0</v>
      </c>
      <c r="BW64" s="506">
        <f t="shared" si="63"/>
        <v>0</v>
      </c>
      <c r="BX64" s="506">
        <f t="shared" si="63"/>
        <v>0</v>
      </c>
      <c r="BY64" s="506">
        <f t="shared" si="64"/>
        <v>0</v>
      </c>
      <c r="BZ64" s="506">
        <f t="shared" si="64"/>
        <v>0</v>
      </c>
      <c r="CA64" s="506">
        <f t="shared" si="65"/>
        <v>0</v>
      </c>
      <c r="CB64" s="506">
        <f t="shared" si="65"/>
        <v>0</v>
      </c>
      <c r="CC64" s="506">
        <f t="shared" si="65"/>
        <v>0</v>
      </c>
      <c r="CD64" s="506">
        <f t="shared" si="65"/>
        <v>0</v>
      </c>
      <c r="CE64" s="506">
        <f t="shared" si="65"/>
        <v>0</v>
      </c>
      <c r="CF64" s="506">
        <f t="shared" si="65"/>
        <v>0</v>
      </c>
      <c r="CG64" s="524">
        <v>0</v>
      </c>
      <c r="CH64" s="524">
        <v>0</v>
      </c>
      <c r="CI64" s="524">
        <v>0</v>
      </c>
      <c r="CJ64" s="506">
        <f>+CJ202/CF$205</f>
        <v>0</v>
      </c>
    </row>
    <row r="65" spans="1:136" s="5" customFormat="1">
      <c r="A65" s="5" t="s">
        <v>47</v>
      </c>
      <c r="B65" s="324"/>
      <c r="C65" s="324"/>
      <c r="D65" s="324"/>
      <c r="E65" s="324"/>
      <c r="F65" s="324"/>
      <c r="G65" s="324"/>
      <c r="H65" s="324"/>
      <c r="I65" s="324"/>
      <c r="J65" s="324"/>
      <c r="K65" s="324"/>
      <c r="L65" s="324"/>
      <c r="M65" s="506">
        <f t="shared" si="66"/>
        <v>-6.8527797545517804E-5</v>
      </c>
      <c r="N65" s="506">
        <f t="shared" si="66"/>
        <v>1.6075782578590554E-3</v>
      </c>
      <c r="O65" s="506">
        <f t="shared" si="66"/>
        <v>-3.7319221360332524E-4</v>
      </c>
      <c r="P65" s="506">
        <f t="shared" si="67"/>
        <v>-0.19494842229659967</v>
      </c>
      <c r="Q65" s="506">
        <f t="shared" si="67"/>
        <v>0</v>
      </c>
      <c r="R65" s="506">
        <f t="shared" si="67"/>
        <v>0</v>
      </c>
      <c r="S65" s="506">
        <f t="shared" si="67"/>
        <v>0</v>
      </c>
      <c r="T65" s="524">
        <v>0</v>
      </c>
      <c r="U65" s="524">
        <v>0</v>
      </c>
      <c r="V65" s="524">
        <v>0</v>
      </c>
      <c r="W65" s="524">
        <v>0</v>
      </c>
      <c r="X65" s="524">
        <v>0</v>
      </c>
      <c r="Y65" s="524">
        <v>0</v>
      </c>
      <c r="Z65" s="524">
        <v>0</v>
      </c>
      <c r="AA65" s="524">
        <v>0</v>
      </c>
      <c r="AB65" s="324"/>
      <c r="AC65" s="523"/>
      <c r="AD65" s="523"/>
      <c r="AE65" s="523"/>
      <c r="AF65" s="523"/>
      <c r="AG65" s="523"/>
      <c r="AH65" s="523"/>
      <c r="AI65" s="523"/>
      <c r="AJ65" s="523"/>
      <c r="AK65" s="523"/>
      <c r="AL65" s="523"/>
      <c r="AM65" s="523"/>
      <c r="AN65" s="523"/>
      <c r="AO65" s="523"/>
      <c r="AP65" s="523"/>
      <c r="AQ65" s="523"/>
      <c r="AR65" s="523"/>
      <c r="AS65" s="523"/>
      <c r="AT65" s="523"/>
      <c r="AU65" s="523"/>
      <c r="AV65" s="523"/>
      <c r="AW65" s="523"/>
      <c r="AX65" s="523"/>
      <c r="AY65" s="523"/>
      <c r="AZ65" s="523"/>
      <c r="BA65" s="523"/>
      <c r="BB65" s="523"/>
      <c r="BC65" s="523"/>
      <c r="BD65" s="523"/>
      <c r="BE65" s="523" t="s">
        <v>48</v>
      </c>
      <c r="BF65" s="523" t="s">
        <v>48</v>
      </c>
      <c r="BG65" s="523" t="s">
        <v>48</v>
      </c>
      <c r="BH65" s="523" t="s">
        <v>48</v>
      </c>
      <c r="BI65" s="506">
        <f t="shared" si="63"/>
        <v>-3.3207319021448054E-3</v>
      </c>
      <c r="BJ65" s="506">
        <f t="shared" si="63"/>
        <v>2.3930476291717981E-3</v>
      </c>
      <c r="BK65" s="506">
        <f t="shared" si="63"/>
        <v>7.1057625587507695E-3</v>
      </c>
      <c r="BL65" s="506">
        <f t="shared" si="63"/>
        <v>2.0509859038961387E-4</v>
      </c>
      <c r="BM65" s="506">
        <f t="shared" si="63"/>
        <v>1.5871429348123867E-3</v>
      </c>
      <c r="BN65" s="506">
        <f t="shared" si="63"/>
        <v>-2.551278500172444E-3</v>
      </c>
      <c r="BO65" s="506">
        <f t="shared" si="63"/>
        <v>-1.4546389818672371E-3</v>
      </c>
      <c r="BP65" s="506">
        <f t="shared" si="63"/>
        <v>6.4406236166396152E-4</v>
      </c>
      <c r="BQ65" s="506">
        <f t="shared" si="63"/>
        <v>-0.19141505083621585</v>
      </c>
      <c r="BR65" s="506">
        <f t="shared" si="63"/>
        <v>-0.21712036113864991</v>
      </c>
      <c r="BS65" s="506">
        <f t="shared" si="63"/>
        <v>-0.18514704907336796</v>
      </c>
      <c r="BT65" s="506">
        <f t="shared" si="63"/>
        <v>-0.18771062413168607</v>
      </c>
      <c r="BU65" s="506">
        <f t="shared" si="63"/>
        <v>1.5990097545573335E-2</v>
      </c>
      <c r="BV65" s="506">
        <f t="shared" si="63"/>
        <v>1.509438967770739E-2</v>
      </c>
      <c r="BW65" s="506">
        <f t="shared" si="63"/>
        <v>3.187012259308588E-2</v>
      </c>
      <c r="BX65" s="506">
        <f t="shared" si="63"/>
        <v>2.1467130183113751E-2</v>
      </c>
      <c r="BY65" s="506">
        <f t="shared" si="64"/>
        <v>0</v>
      </c>
      <c r="BZ65" s="506">
        <f t="shared" si="64"/>
        <v>0</v>
      </c>
      <c r="CA65" s="506">
        <f t="shared" ref="CA65:CF65" si="69">+CA203/BW$205</f>
        <v>0</v>
      </c>
      <c r="CB65" s="506">
        <f t="shared" si="69"/>
        <v>0</v>
      </c>
      <c r="CC65" s="506">
        <f t="shared" si="69"/>
        <v>0</v>
      </c>
      <c r="CD65" s="506">
        <f t="shared" si="69"/>
        <v>0</v>
      </c>
      <c r="CE65" s="506">
        <f t="shared" si="69"/>
        <v>0</v>
      </c>
      <c r="CF65" s="506">
        <f t="shared" si="69"/>
        <v>0</v>
      </c>
      <c r="CG65" s="524">
        <v>0</v>
      </c>
      <c r="CH65" s="524">
        <v>0</v>
      </c>
      <c r="CI65" s="524">
        <v>0</v>
      </c>
      <c r="CJ65" s="506">
        <f>+CJ203/CF$205</f>
        <v>0</v>
      </c>
    </row>
    <row r="66" spans="1:136" s="5" customFormat="1">
      <c r="A66" s="87"/>
      <c r="B66" s="324"/>
      <c r="C66" s="324"/>
      <c r="D66" s="324"/>
      <c r="E66" s="324"/>
      <c r="F66" s="324"/>
      <c r="G66" s="324"/>
      <c r="H66" s="324"/>
      <c r="I66" s="324"/>
      <c r="J66" s="324"/>
      <c r="K66" s="324"/>
      <c r="L66" s="324"/>
      <c r="M66" s="324"/>
      <c r="N66" s="324"/>
      <c r="O66" s="91"/>
      <c r="P66" s="502"/>
      <c r="Q66" s="158"/>
      <c r="R66" s="158"/>
      <c r="S66" s="158"/>
      <c r="T66" s="158"/>
      <c r="U66" s="158"/>
      <c r="V66" s="158"/>
      <c r="W66" s="158"/>
      <c r="X66" s="158"/>
      <c r="Y66" s="158"/>
      <c r="Z66" s="158"/>
      <c r="AA66" s="158"/>
      <c r="AB66" s="158"/>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row>
    <row r="67" spans="1:136" s="5" customFormat="1">
      <c r="A67" s="17" t="s">
        <v>49</v>
      </c>
      <c r="B67" s="324"/>
      <c r="C67" s="324"/>
      <c r="D67" s="324"/>
      <c r="E67" s="324"/>
      <c r="F67" s="324"/>
      <c r="G67" s="324"/>
      <c r="H67" s="324"/>
      <c r="I67" s="324"/>
      <c r="J67" s="324"/>
      <c r="K67" s="324"/>
      <c r="L67" s="324"/>
      <c r="M67" s="511">
        <f>+SUM(M58:M59)</f>
        <v>5.5010074455822205E-2</v>
      </c>
      <c r="N67" s="511">
        <f>+SUM(N58:N59)</f>
        <v>2.7711466102787061E-2</v>
      </c>
      <c r="O67" s="511">
        <f>+SUM(O58:O59)</f>
        <v>2.0684043784309686E-2</v>
      </c>
      <c r="P67" s="511">
        <f>+SUM(P58:P59)</f>
        <v>2.8453861921213901E-3</v>
      </c>
      <c r="Q67" s="511">
        <f>+SUM(Q58:Q59)</f>
        <v>-5.000000000000001E-3</v>
      </c>
      <c r="R67" s="511">
        <f t="shared" ref="R67:AA67" si="70">+SUM(R58:R59)</f>
        <v>8.3176758909425125E-3</v>
      </c>
      <c r="S67" s="511">
        <f>+SUM(S58:S59)</f>
        <v>1.2353154305200339E-2</v>
      </c>
      <c r="T67" s="511">
        <f t="shared" si="70"/>
        <v>0.01</v>
      </c>
      <c r="U67" s="511">
        <f t="shared" si="70"/>
        <v>1.4999999999999999E-2</v>
      </c>
      <c r="V67" s="511">
        <f t="shared" si="70"/>
        <v>1.4000000000000002E-2</v>
      </c>
      <c r="W67" s="511">
        <f t="shared" si="70"/>
        <v>2.3100000000000002E-2</v>
      </c>
      <c r="X67" s="511">
        <f t="shared" si="70"/>
        <v>2.2290000000000001E-2</v>
      </c>
      <c r="Y67" s="511">
        <f t="shared" si="70"/>
        <v>2.1561E-2</v>
      </c>
      <c r="Z67" s="511">
        <f t="shared" si="70"/>
        <v>2.0904900000000001E-2</v>
      </c>
      <c r="AA67" s="511">
        <f t="shared" si="70"/>
        <v>2.0314410000000001E-2</v>
      </c>
      <c r="AB67" s="473"/>
      <c r="AC67" s="523"/>
      <c r="AD67" s="523"/>
      <c r="AE67" s="523"/>
      <c r="AF67" s="523"/>
      <c r="AG67" s="523"/>
      <c r="AH67" s="523"/>
      <c r="AI67" s="523"/>
      <c r="AJ67" s="523"/>
      <c r="AK67" s="523"/>
      <c r="AL67" s="523"/>
      <c r="AM67" s="523"/>
      <c r="AN67" s="523"/>
      <c r="AO67" s="523"/>
      <c r="AP67" s="523"/>
      <c r="AQ67" s="523"/>
      <c r="AR67" s="523"/>
      <c r="AS67" s="523"/>
      <c r="AT67" s="523"/>
      <c r="AU67" s="523"/>
      <c r="AV67" s="523"/>
      <c r="AW67" s="523"/>
      <c r="AX67" s="523"/>
      <c r="AY67" s="523"/>
      <c r="AZ67" s="523"/>
      <c r="BA67" s="523"/>
      <c r="BB67" s="523"/>
      <c r="BC67" s="523"/>
      <c r="BD67" s="523"/>
      <c r="BE67" s="523" t="s">
        <v>48</v>
      </c>
      <c r="BF67" s="523" t="s">
        <v>48</v>
      </c>
      <c r="BG67" s="523" t="s">
        <v>48</v>
      </c>
      <c r="BH67" s="523" t="s">
        <v>48</v>
      </c>
      <c r="BI67" s="511">
        <f t="shared" ref="BI67:BX67" si="71">+SUM(BI58:BI59)</f>
        <v>0</v>
      </c>
      <c r="BJ67" s="511">
        <f t="shared" si="71"/>
        <v>2.1728013052922688E-2</v>
      </c>
      <c r="BK67" s="511">
        <f t="shared" si="71"/>
        <v>6.1440692543936687E-3</v>
      </c>
      <c r="BL67" s="511">
        <f t="shared" si="71"/>
        <v>5.1204070812214536E-3</v>
      </c>
      <c r="BM67" s="511">
        <f t="shared" si="71"/>
        <v>5.7840596370798934E-3</v>
      </c>
      <c r="BN67" s="511">
        <f t="shared" si="71"/>
        <v>1.9901309038060103E-2</v>
      </c>
      <c r="BO67" s="511">
        <f t="shared" si="71"/>
        <v>3.6832452029913573E-2</v>
      </c>
      <c r="BP67" s="511">
        <f t="shared" si="71"/>
        <v>2.1465476321137236E-2</v>
      </c>
      <c r="BQ67" s="511">
        <f t="shared" si="71"/>
        <v>2.4456879128121681E-3</v>
      </c>
      <c r="BR67" s="511">
        <f t="shared" si="71"/>
        <v>-5.2017963394119576E-3</v>
      </c>
      <c r="BS67" s="511">
        <f t="shared" si="71"/>
        <v>-1.0929632623831384E-2</v>
      </c>
      <c r="BT67" s="511">
        <f t="shared" si="71"/>
        <v>2.1183680919840679E-2</v>
      </c>
      <c r="BU67" s="511">
        <f t="shared" si="71"/>
        <v>-6.5744659430745506E-3</v>
      </c>
      <c r="BV67" s="511">
        <f t="shared" si="71"/>
        <v>-1.6947976038580091E-2</v>
      </c>
      <c r="BW67" s="511">
        <f t="shared" si="71"/>
        <v>-1.4237518517485059E-3</v>
      </c>
      <c r="BX67" s="511">
        <f t="shared" si="71"/>
        <v>4.722650878358145E-4</v>
      </c>
      <c r="BY67" s="511">
        <f>+SUM(BY58:BY59)</f>
        <v>4.0000000000000001E-3</v>
      </c>
      <c r="BZ67" s="511">
        <f>+SUM(BZ58:BZ59)</f>
        <v>1.0999999999999999E-2</v>
      </c>
      <c r="CA67" s="511">
        <f t="shared" ref="CA67:CF67" si="72">+SUM(CA58:CA59)</f>
        <v>1.3000000000000001E-2</v>
      </c>
      <c r="CB67" s="511">
        <f t="shared" si="72"/>
        <v>6.0000000000000019E-3</v>
      </c>
      <c r="CC67" s="511">
        <f t="shared" si="72"/>
        <v>9.9999999999999985E-3</v>
      </c>
      <c r="CD67" s="511">
        <f t="shared" si="72"/>
        <v>-7.0000000000000001E-3</v>
      </c>
      <c r="CE67" s="511">
        <f t="shared" si="72"/>
        <v>3.2000000000000001E-2</v>
      </c>
      <c r="CF67" s="511">
        <f t="shared" si="72"/>
        <v>1.4E-2</v>
      </c>
      <c r="CG67" s="511">
        <f>+SUM(CG58:CG59)</f>
        <v>7.0000000000000001E-3</v>
      </c>
      <c r="CH67" s="511">
        <f>+SUM(CH58:CH59)</f>
        <v>2.7E-2</v>
      </c>
      <c r="CI67" s="511">
        <f>+SUM(CI58:CI59)</f>
        <v>0</v>
      </c>
      <c r="CJ67" s="511">
        <f>+SUM(CJ58:CJ59)</f>
        <v>8.2178393745557955E-3</v>
      </c>
    </row>
    <row r="68" spans="1:136" s="5" customFormat="1">
      <c r="A68" s="17" t="s">
        <v>50</v>
      </c>
      <c r="B68" s="324"/>
      <c r="C68" s="324"/>
      <c r="D68" s="324"/>
      <c r="E68" s="324"/>
      <c r="F68" s="324"/>
      <c r="G68" s="324"/>
      <c r="H68" s="324"/>
      <c r="I68" s="324"/>
      <c r="J68" s="324"/>
      <c r="K68" s="324"/>
      <c r="L68" s="324"/>
      <c r="M68" s="511">
        <f>+SUM(M58:M59,M61:M65)</f>
        <v>0.1436255879792693</v>
      </c>
      <c r="N68" s="511">
        <f>+SUM(N58:N59,N61:N65)</f>
        <v>-6.6368309935046513E-2</v>
      </c>
      <c r="O68" s="511">
        <f>+SUM(O58:O59,O61:O65)</f>
        <v>2.0553612097425261E-2</v>
      </c>
      <c r="P68" s="511">
        <f>+SUM(P58:P59,P61:P65)</f>
        <v>-0.21964146732103917</v>
      </c>
      <c r="Q68" s="511">
        <f>+SUM(Q58:Q59,Q61:Q65)</f>
        <v>-0.16663864160896802</v>
      </c>
      <c r="R68" s="511">
        <f t="shared" ref="R68:AA68" si="73">+SUM(R58:R59,R61:R65)</f>
        <v>-3.3855304809557847E-2</v>
      </c>
      <c r="S68" s="511">
        <f>+SUM(S58:S59,S61:S65)</f>
        <v>2.8764066496163684E-2</v>
      </c>
      <c r="T68" s="511">
        <f t="shared" ca="1" si="73"/>
        <v>8.7252770011390687E-2</v>
      </c>
      <c r="U68" s="511">
        <f t="shared" si="73"/>
        <v>1.4999999999999999E-2</v>
      </c>
      <c r="V68" s="511">
        <f t="shared" si="73"/>
        <v>1.4000000000000002E-2</v>
      </c>
      <c r="W68" s="511">
        <f t="shared" si="73"/>
        <v>2.3100000000000002E-2</v>
      </c>
      <c r="X68" s="511">
        <f t="shared" si="73"/>
        <v>2.2290000000000001E-2</v>
      </c>
      <c r="Y68" s="511">
        <f t="shared" si="73"/>
        <v>2.1561E-2</v>
      </c>
      <c r="Z68" s="511">
        <f t="shared" si="73"/>
        <v>2.0904900000000001E-2</v>
      </c>
      <c r="AA68" s="511">
        <f t="shared" si="73"/>
        <v>2.0314410000000001E-2</v>
      </c>
      <c r="AB68" s="473"/>
      <c r="AC68" s="523"/>
      <c r="AD68" s="523"/>
      <c r="AE68" s="523"/>
      <c r="AF68" s="523"/>
      <c r="AG68" s="523"/>
      <c r="AH68" s="523"/>
      <c r="AI68" s="523"/>
      <c r="AJ68" s="523"/>
      <c r="AK68" s="523"/>
      <c r="AL68" s="523"/>
      <c r="AM68" s="523"/>
      <c r="AN68" s="523"/>
      <c r="AO68" s="523"/>
      <c r="AP68" s="523"/>
      <c r="AQ68" s="523"/>
      <c r="AR68" s="523"/>
      <c r="AS68" s="523"/>
      <c r="AT68" s="523"/>
      <c r="AU68" s="523"/>
      <c r="AV68" s="523"/>
      <c r="AW68" s="523"/>
      <c r="AX68" s="523"/>
      <c r="AY68" s="523"/>
      <c r="AZ68" s="523"/>
      <c r="BA68" s="523"/>
      <c r="BB68" s="523"/>
      <c r="BC68" s="523"/>
      <c r="BD68" s="523"/>
      <c r="BE68" s="523" t="s">
        <v>48</v>
      </c>
      <c r="BF68" s="523" t="s">
        <v>48</v>
      </c>
      <c r="BG68" s="523" t="s">
        <v>48</v>
      </c>
      <c r="BH68" s="523" t="s">
        <v>48</v>
      </c>
      <c r="BI68" s="511">
        <f t="shared" ref="BI68:BX68" si="74">+SUM(BI58:BI59,BI61:BI65)</f>
        <v>-3.8726185808565454E-2</v>
      </c>
      <c r="BJ68" s="511">
        <f t="shared" si="74"/>
        <v>-0.14151650498988066</v>
      </c>
      <c r="BK68" s="511">
        <f t="shared" si="74"/>
        <v>-8.5690055020128733E-2</v>
      </c>
      <c r="BL68" s="511">
        <f t="shared" si="74"/>
        <v>-6.9945092986976556E-2</v>
      </c>
      <c r="BM68" s="511">
        <f t="shared" si="74"/>
        <v>-7.7728461308696865E-3</v>
      </c>
      <c r="BN68" s="511">
        <f t="shared" si="74"/>
        <v>-3.6339191134529946E-3</v>
      </c>
      <c r="BO68" s="511">
        <f t="shared" si="74"/>
        <v>4.6061441963212713E-2</v>
      </c>
      <c r="BP68" s="511">
        <f t="shared" si="74"/>
        <v>4.6010416421181657E-2</v>
      </c>
      <c r="BQ68" s="511">
        <f t="shared" si="74"/>
        <v>-0.17225686773362989</v>
      </c>
      <c r="BR68" s="511">
        <f t="shared" si="74"/>
        <v>-0.19672698611696787</v>
      </c>
      <c r="BS68" s="511">
        <f t="shared" si="74"/>
        <v>-0.21938091137952903</v>
      </c>
      <c r="BT68" s="511">
        <f t="shared" si="74"/>
        <v>-0.27922049202111338</v>
      </c>
      <c r="BU68" s="511">
        <f t="shared" si="74"/>
        <v>-0.16618424542405008</v>
      </c>
      <c r="BV68" s="511">
        <f t="shared" si="74"/>
        <v>-0.18371110291536508</v>
      </c>
      <c r="BW68" s="511">
        <f t="shared" si="74"/>
        <v>-0.13656757896643934</v>
      </c>
      <c r="BX68" s="511">
        <f t="shared" si="74"/>
        <v>-0.10260204211745247</v>
      </c>
      <c r="BY68" s="511">
        <f>+SUM(BY58:BY59,BY61:BY65)</f>
        <v>-3.8741935483870962E-2</v>
      </c>
      <c r="BZ68" s="511">
        <f>+SUM(BZ58:BZ59,BZ61:BZ65)</f>
        <v>-1.6777777777777777E-2</v>
      </c>
      <c r="CA68" s="511">
        <f t="shared" ref="CA68:CF68" si="75">+SUM(CA58:CA59,CA61:CA65)</f>
        <v>-2.9471042471042468E-2</v>
      </c>
      <c r="CB68" s="511">
        <f t="shared" si="75"/>
        <v>-4.7426676492262343E-2</v>
      </c>
      <c r="CC68" s="511">
        <f t="shared" si="75"/>
        <v>-3.3551797040169133E-2</v>
      </c>
      <c r="CD68" s="511">
        <f t="shared" si="75"/>
        <v>-3.7344202898550727E-2</v>
      </c>
      <c r="CE68" s="511">
        <f>+SUM(CE58:CE59,CE61:CE65)</f>
        <v>8.2378956754346852E-2</v>
      </c>
      <c r="CF68" s="511">
        <f t="shared" si="75"/>
        <v>9.6165109034267907E-2</v>
      </c>
      <c r="CG68" s="511">
        <f>+SUM(CG58:CG59,CG61:CG65)</f>
        <v>0.13700000000000001</v>
      </c>
      <c r="CH68" s="511">
        <f>+SUM(CH58:CH59,CH61:CH65)</f>
        <v>0.127</v>
      </c>
      <c r="CI68" s="511">
        <f ca="1">+SUM(CI58:CI59,CI61:CI65)</f>
        <v>4.4999999999999998E-2</v>
      </c>
      <c r="CJ68" s="511">
        <f>+SUM(CJ58:CJ59,CJ61:CJ65)</f>
        <v>5.3217839374555792E-2</v>
      </c>
    </row>
    <row r="69" spans="1:136" s="5" customFormat="1">
      <c r="A69" s="23" t="s">
        <v>51</v>
      </c>
      <c r="B69" s="324"/>
      <c r="C69" s="324"/>
      <c r="D69" s="324"/>
      <c r="E69" s="324"/>
      <c r="F69" s="324"/>
      <c r="G69" s="324"/>
      <c r="H69" s="324"/>
      <c r="I69" s="324"/>
      <c r="J69" s="324"/>
      <c r="K69" s="324"/>
      <c r="L69" s="324"/>
      <c r="M69" s="514">
        <f t="shared" ref="M69:AA69" si="76">+((1+M67)*(1+L67))^(1/2)-1</f>
        <v>2.7136833365361435E-2</v>
      </c>
      <c r="N69" s="514">
        <f t="shared" si="76"/>
        <v>4.1271314486384769E-2</v>
      </c>
      <c r="O69" s="514">
        <f t="shared" si="76"/>
        <v>2.4191727688372966E-2</v>
      </c>
      <c r="P69" s="514">
        <f t="shared" si="76"/>
        <v>1.1725399537350967E-2</v>
      </c>
      <c r="Q69" s="514">
        <f t="shared" si="76"/>
        <v>-1.0850089916756289E-3</v>
      </c>
      <c r="R69" s="514">
        <f t="shared" si="76"/>
        <v>1.636704355170826E-3</v>
      </c>
      <c r="S69" s="514">
        <f t="shared" si="76"/>
        <v>1.0333400284225025E-2</v>
      </c>
      <c r="T69" s="514">
        <f t="shared" si="76"/>
        <v>1.1175892636020146E-2</v>
      </c>
      <c r="U69" s="514">
        <f t="shared" si="76"/>
        <v>1.2496913575542612E-2</v>
      </c>
      <c r="V69" s="514">
        <f t="shared" si="76"/>
        <v>1.4499876786586929E-2</v>
      </c>
      <c r="W69" s="514">
        <f t="shared" si="76"/>
        <v>1.8539837217965704E-2</v>
      </c>
      <c r="X69" s="514">
        <f t="shared" si="76"/>
        <v>2.2694919807466185E-2</v>
      </c>
      <c r="Y69" s="514">
        <f t="shared" si="76"/>
        <v>2.1925434995136994E-2</v>
      </c>
      <c r="Z69" s="514">
        <f t="shared" si="76"/>
        <v>2.1232897310353938E-2</v>
      </c>
      <c r="AA69" s="514">
        <f t="shared" si="76"/>
        <v>2.0609612295322544E-2</v>
      </c>
      <c r="AB69" s="513"/>
      <c r="AC69" s="528"/>
      <c r="AD69" s="528"/>
      <c r="AE69" s="528"/>
      <c r="AF69" s="528"/>
      <c r="AG69" s="528"/>
      <c r="AH69" s="528"/>
      <c r="AI69" s="528"/>
      <c r="AJ69" s="528"/>
      <c r="AK69" s="528"/>
      <c r="AL69" s="528"/>
      <c r="AM69" s="528"/>
      <c r="AN69" s="528"/>
      <c r="AO69" s="528"/>
      <c r="AP69" s="528"/>
      <c r="AQ69" s="528"/>
      <c r="AR69" s="528"/>
      <c r="AS69" s="528"/>
      <c r="AT69" s="528"/>
      <c r="AU69" s="528"/>
      <c r="AV69" s="528"/>
      <c r="AW69" s="528"/>
      <c r="AX69" s="528"/>
      <c r="AY69" s="528"/>
      <c r="AZ69" s="528"/>
      <c r="BA69" s="528"/>
      <c r="BB69" s="528"/>
      <c r="BC69" s="528"/>
      <c r="BD69" s="528"/>
      <c r="BE69" s="528" t="s">
        <v>48</v>
      </c>
      <c r="BF69" s="528" t="s">
        <v>48</v>
      </c>
      <c r="BG69" s="528" t="s">
        <v>48</v>
      </c>
      <c r="BH69" s="528" t="s">
        <v>48</v>
      </c>
      <c r="BI69" s="514"/>
      <c r="BJ69" s="514"/>
      <c r="BK69" s="514"/>
      <c r="BL69" s="514"/>
      <c r="BM69" s="514">
        <f t="shared" ref="BM69:CF69" si="77">+((1+BM67)*(1+BI67))^(1/2)-1</f>
        <v>2.8878599509916114E-3</v>
      </c>
      <c r="BN69" s="514">
        <f t="shared" si="77"/>
        <v>2.0814252444357306E-2</v>
      </c>
      <c r="BO69" s="514">
        <f t="shared" si="77"/>
        <v>2.13730084647763E-2</v>
      </c>
      <c r="BP69" s="514">
        <f t="shared" si="77"/>
        <v>1.3259984100485012E-2</v>
      </c>
      <c r="BQ69" s="514">
        <f t="shared" si="77"/>
        <v>4.1134863921674647E-3</v>
      </c>
      <c r="BR69" s="514">
        <f t="shared" si="77"/>
        <v>7.2715572983010901E-3</v>
      </c>
      <c r="BS69" s="514">
        <f t="shared" si="77"/>
        <v>1.2669864386592788E-2</v>
      </c>
      <c r="BT69" s="514">
        <f t="shared" si="77"/>
        <v>2.1324568901657903E-2</v>
      </c>
      <c r="BU69" s="514">
        <f t="shared" si="77"/>
        <v>-2.0745805032084119E-3</v>
      </c>
      <c r="BV69" s="514">
        <f t="shared" si="77"/>
        <v>-1.1092326078047998E-2</v>
      </c>
      <c r="BW69" s="514">
        <f t="shared" si="77"/>
        <v>-6.1880577246481439E-3</v>
      </c>
      <c r="BX69" s="514">
        <f t="shared" si="77"/>
        <v>1.0774925648933342E-2</v>
      </c>
      <c r="BY69" s="514">
        <f t="shared" si="77"/>
        <v>-1.301228501229601E-3</v>
      </c>
      <c r="BZ69" s="514">
        <f t="shared" si="77"/>
        <v>-3.0719202344657859E-3</v>
      </c>
      <c r="CA69" s="514">
        <f t="shared" si="77"/>
        <v>5.7622678218638423E-3</v>
      </c>
      <c r="CB69" s="514">
        <f t="shared" si="77"/>
        <v>3.2323253755148773E-3</v>
      </c>
      <c r="CC69" s="514">
        <f t="shared" si="77"/>
        <v>6.9955312711174056E-3</v>
      </c>
      <c r="CD69" s="514">
        <f t="shared" si="77"/>
        <v>1.9595800230665095E-3</v>
      </c>
      <c r="CE69" s="514">
        <f t="shared" si="77"/>
        <v>2.2455867018229769E-2</v>
      </c>
      <c r="CF69" s="514">
        <f t="shared" si="77"/>
        <v>9.9920791768617345E-3</v>
      </c>
      <c r="CG69" s="514">
        <f>+((1+CG67)*(1+CC67))^(1/2)-1</f>
        <v>8.4988844812867725E-3</v>
      </c>
      <c r="CH69" s="514">
        <f>+((1+CH67)*(1+CD67))^(1/2)-1</f>
        <v>9.85692055855103E-3</v>
      </c>
      <c r="CI69" s="514">
        <f>+((1+CI67)*(1+CE67))^(1/2)-1</f>
        <v>1.587400793602356E-2</v>
      </c>
      <c r="CJ69" s="514">
        <f>+((1+CJ67)*(1+CF67))^(1/2)-1</f>
        <v>1.1104786422158952E-2</v>
      </c>
    </row>
    <row r="70" spans="1:136" s="5" customFormat="1" hidden="1">
      <c r="A70" s="23"/>
      <c r="B70" s="324"/>
      <c r="C70" s="324"/>
      <c r="D70" s="324"/>
      <c r="E70" s="324"/>
      <c r="F70" s="324"/>
      <c r="G70" s="324"/>
      <c r="H70" s="324"/>
      <c r="I70" s="324"/>
      <c r="J70" s="324"/>
      <c r="K70" s="324"/>
      <c r="L70" s="324"/>
      <c r="M70" s="324"/>
      <c r="N70" s="324"/>
      <c r="O70" s="324"/>
      <c r="P70" s="324"/>
      <c r="Q70" s="324"/>
      <c r="R70" s="324"/>
      <c r="S70" s="324"/>
      <c r="T70" s="324"/>
      <c r="U70" s="324"/>
      <c r="V70" s="324"/>
      <c r="W70" s="324"/>
      <c r="X70" s="324"/>
      <c r="Y70" s="324"/>
      <c r="Z70" s="324"/>
      <c r="AA70" s="324"/>
      <c r="AB70" s="324"/>
      <c r="AC70" s="324"/>
      <c r="AD70" s="324"/>
      <c r="AE70" s="324"/>
      <c r="AF70" s="324"/>
      <c r="AG70" s="324"/>
      <c r="AH70" s="324"/>
      <c r="AI70" s="324"/>
      <c r="AJ70" s="324"/>
      <c r="AK70" s="324"/>
      <c r="AL70" s="324"/>
      <c r="AM70" s="324"/>
      <c r="AN70" s="324"/>
      <c r="AO70" s="324"/>
      <c r="AP70" s="324"/>
      <c r="AQ70" s="324"/>
      <c r="AR70" s="324"/>
      <c r="AS70" s="324"/>
      <c r="AT70" s="324"/>
      <c r="AU70" s="324"/>
      <c r="AV70" s="324"/>
      <c r="AW70" s="324"/>
      <c r="AX70" s="324"/>
      <c r="AY70" s="324"/>
      <c r="AZ70" s="324"/>
      <c r="BA70" s="324"/>
      <c r="BB70" s="324"/>
      <c r="BC70" s="324"/>
      <c r="BD70" s="324"/>
      <c r="BE70" s="324"/>
      <c r="BF70" s="324"/>
      <c r="BG70" s="324"/>
      <c r="BH70" s="324"/>
      <c r="BI70" s="324"/>
      <c r="BJ70" s="324"/>
      <c r="BK70" s="324"/>
      <c r="BL70" s="324"/>
      <c r="BM70" s="324"/>
      <c r="BN70" s="324"/>
      <c r="BO70" s="324"/>
      <c r="BP70" s="324"/>
      <c r="BQ70" s="324"/>
      <c r="BR70" s="324"/>
      <c r="BS70" s="324"/>
      <c r="BT70" s="324"/>
      <c r="BU70" s="529"/>
      <c r="BV70" s="530"/>
      <c r="BW70" s="530"/>
      <c r="BX70" s="530"/>
      <c r="BY70" s="324"/>
      <c r="BZ70" s="324"/>
      <c r="CA70" s="324"/>
      <c r="CB70" s="324"/>
      <c r="CC70" s="324"/>
      <c r="CD70" s="324"/>
      <c r="CE70" s="324"/>
      <c r="CF70" s="324"/>
      <c r="CG70" s="324"/>
      <c r="CH70" s="324"/>
      <c r="CI70" s="324"/>
      <c r="CJ70" s="324"/>
    </row>
    <row r="71" spans="1:136" hidden="1" outlineLevel="1">
      <c r="A71" s="25" t="s">
        <v>576</v>
      </c>
      <c r="B71" s="518"/>
      <c r="C71" s="518"/>
      <c r="D71" s="518"/>
      <c r="E71" s="518"/>
      <c r="F71" s="518"/>
      <c r="G71" s="518"/>
      <c r="H71" s="518"/>
      <c r="I71" s="518"/>
      <c r="J71" s="518"/>
      <c r="K71" s="518"/>
      <c r="L71" s="518"/>
      <c r="M71" s="518"/>
      <c r="N71" s="518"/>
      <c r="O71" s="518"/>
      <c r="P71" s="531"/>
      <c r="Q71" s="518"/>
      <c r="R71" s="519"/>
      <c r="S71" s="519"/>
      <c r="T71" s="519"/>
      <c r="U71" s="519"/>
      <c r="V71" s="519"/>
      <c r="W71" s="518"/>
      <c r="X71" s="518"/>
      <c r="Y71" s="518"/>
      <c r="Z71" s="518"/>
      <c r="AA71" s="518"/>
      <c r="AB71" s="519"/>
      <c r="AC71" s="518"/>
      <c r="AD71" s="518"/>
      <c r="AE71" s="518"/>
      <c r="AF71" s="518"/>
      <c r="AG71" s="518"/>
      <c r="AH71" s="518"/>
      <c r="AI71" s="518"/>
      <c r="AJ71" s="518"/>
      <c r="AK71" s="518"/>
      <c r="AL71" s="518"/>
      <c r="AM71" s="518"/>
      <c r="AN71" s="518"/>
      <c r="AO71" s="518"/>
      <c r="AP71" s="518"/>
      <c r="AQ71" s="518"/>
      <c r="AR71" s="518"/>
      <c r="AS71" s="518"/>
      <c r="AT71" s="518"/>
      <c r="AU71" s="518"/>
      <c r="AV71" s="518"/>
      <c r="AW71" s="518"/>
      <c r="AX71" s="518"/>
      <c r="AY71" s="518"/>
      <c r="AZ71" s="518"/>
      <c r="BA71" s="518"/>
      <c r="BB71" s="518"/>
      <c r="BC71" s="518"/>
      <c r="BD71" s="518"/>
      <c r="BE71" s="518"/>
      <c r="BF71" s="518"/>
      <c r="BG71" s="518"/>
      <c r="BH71" s="518"/>
      <c r="BI71" s="518"/>
      <c r="BJ71" s="518"/>
      <c r="BK71" s="518"/>
      <c r="BL71" s="518"/>
      <c r="BM71" s="518"/>
      <c r="BN71" s="518"/>
      <c r="BO71" s="518"/>
      <c r="BP71" s="518"/>
      <c r="BQ71" s="518"/>
      <c r="BR71" s="518"/>
      <c r="BS71" s="518"/>
      <c r="BT71" s="521"/>
      <c r="BU71" s="521"/>
      <c r="BV71" s="521"/>
      <c r="BW71" s="521"/>
      <c r="BX71" s="521"/>
      <c r="BY71" s="521"/>
      <c r="BZ71" s="521"/>
      <c r="CA71" s="518"/>
      <c r="CB71" s="518"/>
      <c r="CC71" s="518"/>
      <c r="CD71" s="518"/>
      <c r="CE71" s="518"/>
      <c r="CF71" s="518"/>
      <c r="CG71" s="521"/>
      <c r="CH71" s="521"/>
      <c r="CI71" s="518"/>
      <c r="CJ71" s="518"/>
    </row>
    <row r="72" spans="1:136" s="5" customFormat="1" hidden="1" outlineLevel="1">
      <c r="A72" s="5" t="s">
        <v>41</v>
      </c>
      <c r="B72" s="523"/>
      <c r="C72" s="523"/>
      <c r="D72" s="523"/>
      <c r="E72" s="523"/>
      <c r="F72" s="523"/>
      <c r="G72" s="523"/>
      <c r="H72" s="523"/>
      <c r="I72" s="523"/>
      <c r="J72" s="523"/>
      <c r="K72" s="523"/>
      <c r="L72" s="523" t="s">
        <v>48</v>
      </c>
      <c r="M72" s="524">
        <v>8.5999999999999993E-2</v>
      </c>
      <c r="N72" s="506">
        <f t="shared" ref="N72:Q73" si="78">+N170/M$179</f>
        <v>3.8997738486842105E-2</v>
      </c>
      <c r="O72" s="506">
        <f t="shared" si="78"/>
        <v>2.5350116189000779E-2</v>
      </c>
      <c r="P72" s="506">
        <f t="shared" si="78"/>
        <v>-5.6669628432956379E-2</v>
      </c>
      <c r="Q72" s="506">
        <f t="shared" si="78"/>
        <v>-1.944933225133318E-2</v>
      </c>
      <c r="R72" s="524">
        <v>1.9E-2</v>
      </c>
      <c r="S72" s="524">
        <v>0.01</v>
      </c>
      <c r="T72" s="524">
        <v>0.01</v>
      </c>
      <c r="U72" s="524">
        <v>0.02</v>
      </c>
      <c r="V72" s="524">
        <f t="shared" ref="V72:AA72" si="79">+U72*0.9</f>
        <v>1.8000000000000002E-2</v>
      </c>
      <c r="W72" s="524">
        <f t="shared" si="79"/>
        <v>1.6200000000000003E-2</v>
      </c>
      <c r="X72" s="524">
        <f t="shared" si="79"/>
        <v>1.4580000000000003E-2</v>
      </c>
      <c r="Y72" s="524">
        <f t="shared" si="79"/>
        <v>1.3122000000000003E-2</v>
      </c>
      <c r="Z72" s="524">
        <f t="shared" si="79"/>
        <v>1.1809800000000004E-2</v>
      </c>
      <c r="AA72" s="524">
        <f t="shared" si="79"/>
        <v>1.0628820000000004E-2</v>
      </c>
      <c r="AB72" s="324"/>
      <c r="AC72" s="523"/>
      <c r="AD72" s="523"/>
      <c r="AE72" s="523"/>
      <c r="AF72" s="523"/>
      <c r="AG72" s="523"/>
      <c r="AH72" s="523"/>
      <c r="AI72" s="523"/>
      <c r="AJ72" s="523"/>
      <c r="AK72" s="523"/>
      <c r="AL72" s="523"/>
      <c r="AM72" s="523"/>
      <c r="AN72" s="523"/>
      <c r="AO72" s="523"/>
      <c r="AP72" s="523"/>
      <c r="AQ72" s="523"/>
      <c r="AR72" s="523"/>
      <c r="AS72" s="523"/>
      <c r="AT72" s="523"/>
      <c r="AU72" s="523"/>
      <c r="AV72" s="523"/>
      <c r="AW72" s="523"/>
      <c r="AX72" s="523"/>
      <c r="AY72" s="523"/>
      <c r="AZ72" s="523"/>
      <c r="BA72" s="523"/>
      <c r="BB72" s="523"/>
      <c r="BC72" s="523"/>
      <c r="BD72" s="523"/>
      <c r="BE72" s="523" t="s">
        <v>48</v>
      </c>
      <c r="BF72" s="523" t="s">
        <v>48</v>
      </c>
      <c r="BG72" s="523" t="s">
        <v>48</v>
      </c>
      <c r="BH72" s="523" t="s">
        <v>48</v>
      </c>
      <c r="BI72" s="524">
        <v>0.06</v>
      </c>
      <c r="BJ72" s="524">
        <v>5.7000000000000002E-2</v>
      </c>
      <c r="BK72" s="524">
        <v>-2.7E-2</v>
      </c>
      <c r="BL72" s="524">
        <v>6.8000000000000005E-2</v>
      </c>
      <c r="BM72" s="524">
        <v>4.1000000000000002E-2</v>
      </c>
      <c r="BN72" s="524">
        <v>3.5000000000000003E-2</v>
      </c>
      <c r="BO72" s="524">
        <v>4.7E-2</v>
      </c>
      <c r="BP72" s="524">
        <v>-1.7000000000000001E-2</v>
      </c>
      <c r="BQ72" s="524">
        <v>-3.7999999999999999E-2</v>
      </c>
      <c r="BR72" s="524">
        <v>-9.9000000000000005E-2</v>
      </c>
      <c r="BS72" s="524">
        <v>-2.3E-2</v>
      </c>
      <c r="BT72" s="525">
        <v>-6.6000000000000003E-2</v>
      </c>
      <c r="BU72" s="527">
        <v>-2.794736842105263E-2</v>
      </c>
      <c r="BV72" s="527">
        <v>-1.4933333333333333E-2</v>
      </c>
      <c r="BW72" s="527">
        <v>-2.4E-2</v>
      </c>
      <c r="BX72" s="526">
        <v>-0.01</v>
      </c>
      <c r="BY72" s="524">
        <v>1.0999999999999999E-2</v>
      </c>
      <c r="BZ72" s="524">
        <v>1.2999999999999999E-2</v>
      </c>
      <c r="CA72" s="524">
        <v>0.02</v>
      </c>
      <c r="CB72" s="524">
        <f>+CB170/BX$179</f>
        <v>0</v>
      </c>
      <c r="CC72" s="524">
        <f>+S72</f>
        <v>0.01</v>
      </c>
      <c r="CD72" s="524">
        <f>+S72</f>
        <v>0.01</v>
      </c>
      <c r="CE72" s="524">
        <f>+S72</f>
        <v>0.01</v>
      </c>
      <c r="CF72" s="524" t="e">
        <f>+CF170/CB$179</f>
        <v>#DIV/0!</v>
      </c>
      <c r="CG72" s="524">
        <f>+W72</f>
        <v>1.6200000000000003E-2</v>
      </c>
      <c r="CH72" s="524">
        <f>+W72</f>
        <v>1.6200000000000003E-2</v>
      </c>
      <c r="CI72" s="524">
        <f>+W72</f>
        <v>1.6200000000000003E-2</v>
      </c>
      <c r="CJ72" s="506" t="e">
        <f>+CJ170/CF$179</f>
        <v>#DIV/0!</v>
      </c>
      <c r="CK72" s="20"/>
      <c r="CL72" s="20"/>
    </row>
    <row r="73" spans="1:136" s="5" customFormat="1" hidden="1" outlineLevel="1">
      <c r="A73" s="5" t="s">
        <v>42</v>
      </c>
      <c r="B73" s="523"/>
      <c r="C73" s="523"/>
      <c r="D73" s="523"/>
      <c r="E73" s="523"/>
      <c r="F73" s="523"/>
      <c r="G73" s="523"/>
      <c r="H73" s="523"/>
      <c r="I73" s="523"/>
      <c r="J73" s="523"/>
      <c r="K73" s="523"/>
      <c r="L73" s="523" t="s">
        <v>48</v>
      </c>
      <c r="M73" s="524">
        <v>2.8000000000000001E-2</v>
      </c>
      <c r="N73" s="506">
        <f t="shared" si="78"/>
        <v>3.9377672697368422E-2</v>
      </c>
      <c r="O73" s="506">
        <f t="shared" si="78"/>
        <v>-1.8944229279628196E-2</v>
      </c>
      <c r="P73" s="506">
        <f t="shared" si="78"/>
        <v>2.8729402261712441E-2</v>
      </c>
      <c r="Q73" s="506">
        <f t="shared" si="78"/>
        <v>3.6520257361465337E-2</v>
      </c>
      <c r="R73" s="524">
        <v>5.0000000000000001E-3</v>
      </c>
      <c r="S73" s="524">
        <v>1.4999999999999999E-2</v>
      </c>
      <c r="T73" s="524">
        <v>3.5000000000000003E-2</v>
      </c>
      <c r="U73" s="524">
        <v>0.03</v>
      </c>
      <c r="V73" s="524">
        <v>0.03</v>
      </c>
      <c r="W73" s="524">
        <v>0.03</v>
      </c>
      <c r="X73" s="524">
        <v>0.03</v>
      </c>
      <c r="Y73" s="524">
        <v>0.03</v>
      </c>
      <c r="Z73" s="524">
        <v>0.03</v>
      </c>
      <c r="AA73" s="524">
        <v>0.03</v>
      </c>
      <c r="AB73" s="324"/>
      <c r="AC73" s="523"/>
      <c r="AD73" s="523"/>
      <c r="AE73" s="523"/>
      <c r="AF73" s="523"/>
      <c r="AG73" s="523"/>
      <c r="AH73" s="523"/>
      <c r="AI73" s="523"/>
      <c r="AJ73" s="523"/>
      <c r="AK73" s="523"/>
      <c r="AL73" s="523"/>
      <c r="AM73" s="523"/>
      <c r="AN73" s="523"/>
      <c r="AO73" s="523"/>
      <c r="AP73" s="523"/>
      <c r="AQ73" s="523"/>
      <c r="AR73" s="523"/>
      <c r="AS73" s="523"/>
      <c r="AT73" s="523"/>
      <c r="AU73" s="523"/>
      <c r="AV73" s="523"/>
      <c r="AW73" s="523"/>
      <c r="AX73" s="523"/>
      <c r="AY73" s="523"/>
      <c r="AZ73" s="523"/>
      <c r="BA73" s="523"/>
      <c r="BB73" s="523"/>
      <c r="BC73" s="523"/>
      <c r="BD73" s="523"/>
      <c r="BE73" s="523" t="s">
        <v>48</v>
      </c>
      <c r="BF73" s="523" t="s">
        <v>48</v>
      </c>
      <c r="BG73" s="523" t="s">
        <v>48</v>
      </c>
      <c r="BH73" s="523" t="s">
        <v>48</v>
      </c>
      <c r="BI73" s="524">
        <v>3.6999999999999998E-2</v>
      </c>
      <c r="BJ73" s="524">
        <v>3.3000000000000002E-2</v>
      </c>
      <c r="BK73" s="524">
        <v>4.5999999999999999E-2</v>
      </c>
      <c r="BL73" s="524">
        <v>4.1000000000000002E-2</v>
      </c>
      <c r="BM73" s="524">
        <v>1.7000000000000001E-2</v>
      </c>
      <c r="BN73" s="524">
        <v>-2E-3</v>
      </c>
      <c r="BO73" s="524">
        <v>-4.5999999999999999E-2</v>
      </c>
      <c r="BP73" s="524">
        <v>-4.3999999999999997E-2</v>
      </c>
      <c r="BQ73" s="524">
        <v>1.0999999999999999E-2</v>
      </c>
      <c r="BR73" s="524">
        <v>1.6E-2</v>
      </c>
      <c r="BS73" s="524">
        <v>3.5999999999999997E-2</v>
      </c>
      <c r="BT73" s="525">
        <v>5.5E-2</v>
      </c>
      <c r="BU73" s="527">
        <f>+BU81-BU72</f>
        <v>2.694736842105263E-2</v>
      </c>
      <c r="BV73" s="527">
        <v>4.2933333333333337E-2</v>
      </c>
      <c r="BW73" s="527">
        <v>5.5E-2</v>
      </c>
      <c r="BX73" s="526">
        <v>2.1999999999999999E-2</v>
      </c>
      <c r="BY73" s="524">
        <v>1.7999999999999999E-2</v>
      </c>
      <c r="BZ73" s="524">
        <v>7.0000000000000001E-3</v>
      </c>
      <c r="CA73" s="524">
        <v>-5.0000000000000001E-3</v>
      </c>
      <c r="CB73" s="524">
        <f>+CB171/BX$179</f>
        <v>0</v>
      </c>
      <c r="CC73" s="524">
        <f>+S73</f>
        <v>1.4999999999999999E-2</v>
      </c>
      <c r="CD73" s="524">
        <f>+S73</f>
        <v>1.4999999999999999E-2</v>
      </c>
      <c r="CE73" s="524">
        <f>+S73</f>
        <v>1.4999999999999999E-2</v>
      </c>
      <c r="CF73" s="524" t="e">
        <f>+CF171/CB$179</f>
        <v>#DIV/0!</v>
      </c>
      <c r="CG73" s="524">
        <f>+W73</f>
        <v>0.03</v>
      </c>
      <c r="CH73" s="524">
        <f>+W73</f>
        <v>0.03</v>
      </c>
      <c r="CI73" s="524">
        <f>+W73</f>
        <v>0.03</v>
      </c>
      <c r="CJ73" s="506" t="e">
        <f>+CJ171/CF$179</f>
        <v>#DIV/0!</v>
      </c>
      <c r="CK73" s="20"/>
      <c r="CL73" s="20"/>
    </row>
    <row r="74" spans="1:136" s="90" customFormat="1" ht="6" hidden="1" customHeight="1" outlineLevel="1">
      <c r="A74" s="87"/>
      <c r="B74" s="103"/>
      <c r="C74" s="103"/>
      <c r="D74" s="103"/>
      <c r="E74" s="103"/>
      <c r="F74" s="103"/>
      <c r="G74" s="103"/>
      <c r="H74" s="103"/>
      <c r="I74" s="103"/>
      <c r="J74" s="103"/>
      <c r="K74" s="103"/>
      <c r="L74" s="103"/>
      <c r="M74" s="91"/>
      <c r="N74" s="91"/>
      <c r="O74" s="91"/>
      <c r="P74" s="502"/>
      <c r="Q74" s="158"/>
      <c r="R74" s="158"/>
      <c r="S74" s="158"/>
      <c r="T74" s="158"/>
      <c r="U74" s="158"/>
      <c r="V74" s="158"/>
      <c r="W74" s="158"/>
      <c r="X74" s="158"/>
      <c r="Y74" s="158"/>
      <c r="Z74" s="158"/>
      <c r="AA74" s="158"/>
      <c r="AB74" s="158"/>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91"/>
      <c r="BH74" s="91"/>
      <c r="BI74" s="91"/>
      <c r="BJ74" s="91"/>
      <c r="BK74" s="91"/>
      <c r="BL74" s="91"/>
      <c r="BM74" s="91"/>
      <c r="BN74" s="91"/>
      <c r="BO74" s="91"/>
      <c r="BP74" s="91"/>
      <c r="BQ74" s="91"/>
      <c r="BR74" s="91"/>
      <c r="BS74" s="91"/>
      <c r="BT74" s="91"/>
      <c r="BU74" s="91"/>
      <c r="BV74" s="91"/>
      <c r="BW74" s="91"/>
      <c r="BX74" s="91"/>
      <c r="BY74" s="91"/>
      <c r="BZ74" s="91"/>
      <c r="CA74" s="91"/>
      <c r="CB74" s="91"/>
      <c r="CC74" s="91"/>
      <c r="CD74" s="91"/>
      <c r="CE74" s="91"/>
      <c r="CF74" s="91"/>
      <c r="CG74" s="91"/>
      <c r="CH74" s="91"/>
      <c r="CI74" s="91"/>
      <c r="CJ74" s="91"/>
      <c r="CO74" s="39"/>
      <c r="DK74" s="39"/>
      <c r="DL74" s="39"/>
      <c r="DM74" s="39"/>
      <c r="DN74" s="39"/>
      <c r="DO74" s="39"/>
      <c r="DP74" s="39"/>
      <c r="DQ74" s="91"/>
      <c r="DR74" s="39"/>
      <c r="DS74" s="39"/>
      <c r="DT74" s="39"/>
      <c r="DU74" s="39"/>
      <c r="DV74" s="39"/>
      <c r="DW74" s="39"/>
      <c r="DX74" s="39"/>
      <c r="DY74" s="39"/>
      <c r="DZ74" s="39"/>
      <c r="EA74" s="92"/>
      <c r="EB74" s="92"/>
      <c r="EC74" s="92"/>
      <c r="ED74" s="92"/>
      <c r="EE74" s="92"/>
      <c r="EF74" s="92"/>
    </row>
    <row r="75" spans="1:136" s="5" customFormat="1" hidden="1" outlineLevel="1">
      <c r="A75" s="5" t="s">
        <v>43</v>
      </c>
      <c r="B75" s="523"/>
      <c r="C75" s="523"/>
      <c r="D75" s="523"/>
      <c r="E75" s="523"/>
      <c r="F75" s="523"/>
      <c r="G75" s="523"/>
      <c r="H75" s="523"/>
      <c r="I75" s="523"/>
      <c r="J75" s="523"/>
      <c r="K75" s="523"/>
      <c r="L75" s="523" t="s">
        <v>48</v>
      </c>
      <c r="M75" s="506">
        <f t="shared" ref="M75:S75" si="80">+M173/L$179</f>
        <v>7.0014844136566057E-2</v>
      </c>
      <c r="N75" s="506">
        <f t="shared" si="80"/>
        <v>-1.6858552631578948E-2</v>
      </c>
      <c r="O75" s="506">
        <f t="shared" si="80"/>
        <v>-4.7443841982958944E-2</v>
      </c>
      <c r="P75" s="506">
        <f t="shared" si="80"/>
        <v>-4.2205169628432959E-2</v>
      </c>
      <c r="Q75" s="506">
        <f t="shared" si="80"/>
        <v>-9.2070484581497802E-2</v>
      </c>
      <c r="R75" s="506">
        <f t="shared" si="80"/>
        <v>-2.4959556274555119E-2</v>
      </c>
      <c r="S75" s="506">
        <f t="shared" si="80"/>
        <v>-6.7085402956569371E-3</v>
      </c>
      <c r="T75" s="524">
        <v>0</v>
      </c>
      <c r="U75" s="524">
        <v>0</v>
      </c>
      <c r="V75" s="524">
        <v>0</v>
      </c>
      <c r="W75" s="524">
        <v>0</v>
      </c>
      <c r="X75" s="524">
        <v>0</v>
      </c>
      <c r="Y75" s="524">
        <v>0</v>
      </c>
      <c r="Z75" s="524">
        <v>0</v>
      </c>
      <c r="AA75" s="524">
        <v>0</v>
      </c>
      <c r="AB75" s="324"/>
      <c r="AC75" s="523"/>
      <c r="AD75" s="523"/>
      <c r="AE75" s="523"/>
      <c r="AF75" s="523"/>
      <c r="AG75" s="523"/>
      <c r="AH75" s="523"/>
      <c r="AI75" s="523"/>
      <c r="AJ75" s="523"/>
      <c r="AK75" s="523"/>
      <c r="AL75" s="523"/>
      <c r="AM75" s="523"/>
      <c r="AN75" s="523"/>
      <c r="AO75" s="523"/>
      <c r="AP75" s="523"/>
      <c r="AQ75" s="523"/>
      <c r="AR75" s="523"/>
      <c r="AS75" s="523"/>
      <c r="AT75" s="523"/>
      <c r="AU75" s="523"/>
      <c r="AV75" s="523"/>
      <c r="AW75" s="523"/>
      <c r="AX75" s="523"/>
      <c r="AY75" s="523"/>
      <c r="AZ75" s="523"/>
      <c r="BA75" s="523"/>
      <c r="BB75" s="523"/>
      <c r="BC75" s="523"/>
      <c r="BD75" s="523"/>
      <c r="BE75" s="523" t="s">
        <v>48</v>
      </c>
      <c r="BF75" s="523" t="s">
        <v>48</v>
      </c>
      <c r="BG75" s="523" t="s">
        <v>48</v>
      </c>
      <c r="BH75" s="523" t="s">
        <v>48</v>
      </c>
      <c r="BI75" s="506">
        <f t="shared" ref="BI75:BR79" si="81">+BI173/BE$179</f>
        <v>1.2605042016806723E-2</v>
      </c>
      <c r="BJ75" s="506">
        <f t="shared" si="81"/>
        <v>-4.778156996587031E-2</v>
      </c>
      <c r="BK75" s="506">
        <f t="shared" si="81"/>
        <v>-3.6028823058446756E-2</v>
      </c>
      <c r="BL75" s="506">
        <f t="shared" si="81"/>
        <v>3.1923383878691143E-3</v>
      </c>
      <c r="BM75" s="506">
        <f t="shared" si="81"/>
        <v>-2.2727272727272728E-2</v>
      </c>
      <c r="BN75" s="506">
        <f t="shared" si="81"/>
        <v>-1.8003273322422259E-2</v>
      </c>
      <c r="BO75" s="506">
        <f t="shared" si="81"/>
        <v>-7.5732899022801309E-2</v>
      </c>
      <c r="BP75" s="506">
        <f t="shared" si="81"/>
        <v>-7.1736011477761832E-2</v>
      </c>
      <c r="BQ75" s="506">
        <f t="shared" si="81"/>
        <v>-7.8273591806876375E-2</v>
      </c>
      <c r="BR75" s="506">
        <f t="shared" si="81"/>
        <v>-4.2741935483870966E-2</v>
      </c>
      <c r="BS75" s="506">
        <f t="shared" ref="BS75:CA79" si="82">+BS173/BO$179</f>
        <v>1.7605633802816902E-3</v>
      </c>
      <c r="BT75" s="506">
        <f t="shared" si="82"/>
        <v>-4.2183622828784122E-2</v>
      </c>
      <c r="BU75" s="506">
        <f t="shared" si="82"/>
        <v>-6.0380479735318446E-2</v>
      </c>
      <c r="BV75" s="506">
        <f t="shared" si="82"/>
        <v>-8.5901027077497666E-2</v>
      </c>
      <c r="BW75" s="506">
        <f t="shared" si="82"/>
        <v>-0.12752858399296393</v>
      </c>
      <c r="BX75" s="506">
        <f t="shared" si="82"/>
        <v>-9.6170970614425644E-2</v>
      </c>
      <c r="BY75" s="506">
        <f t="shared" si="82"/>
        <v>-6.9603524229074884E-2</v>
      </c>
      <c r="BZ75" s="506">
        <f t="shared" si="82"/>
        <v>-3.865213082259663E-2</v>
      </c>
      <c r="CA75" s="506">
        <f t="shared" si="82"/>
        <v>9.0826521344232521E-3</v>
      </c>
      <c r="CB75" s="506">
        <v>3.2347577969918891E-2</v>
      </c>
      <c r="CC75" s="506">
        <v>-3.6554553100447977E-3</v>
      </c>
      <c r="CD75" s="506">
        <v>-3.1307693209804227E-2</v>
      </c>
      <c r="CE75" s="506">
        <v>-4.5722823426172635E-2</v>
      </c>
      <c r="CF75" s="506">
        <v>-1.9211004692041019E-2</v>
      </c>
      <c r="CG75" s="524">
        <v>-3.6554553100447977E-3</v>
      </c>
      <c r="CH75" s="524">
        <v>-3.1307693209804227E-2</v>
      </c>
      <c r="CI75" s="524">
        <v>-4.5722823426172635E-2</v>
      </c>
      <c r="CJ75" s="524">
        <v>-1.9211004692041019E-2</v>
      </c>
    </row>
    <row r="76" spans="1:136" s="5" customFormat="1" hidden="1" outlineLevel="1">
      <c r="A76" s="5" t="s">
        <v>44</v>
      </c>
      <c r="B76" s="523"/>
      <c r="C76" s="523"/>
      <c r="D76" s="523"/>
      <c r="E76" s="523"/>
      <c r="F76" s="523"/>
      <c r="G76" s="523"/>
      <c r="H76" s="523"/>
      <c r="I76" s="523"/>
      <c r="J76" s="523"/>
      <c r="K76" s="523"/>
      <c r="L76" s="523" t="s">
        <v>48</v>
      </c>
      <c r="M76" s="506">
        <f t="shared" ref="M76:Q79" si="83">+M174/L$179</f>
        <v>4.9480455220188027E-2</v>
      </c>
      <c r="N76" s="506">
        <f t="shared" si="83"/>
        <v>0</v>
      </c>
      <c r="O76" s="506">
        <f t="shared" si="83"/>
        <v>1.9364833462432224E-4</v>
      </c>
      <c r="P76" s="506">
        <f t="shared" si="83"/>
        <v>0</v>
      </c>
      <c r="Q76" s="506">
        <f t="shared" si="83"/>
        <v>2.8193832599118944E-2</v>
      </c>
      <c r="R76" s="524">
        <v>0</v>
      </c>
      <c r="S76" s="524">
        <v>0</v>
      </c>
      <c r="T76" s="524">
        <v>0</v>
      </c>
      <c r="U76" s="524">
        <v>0</v>
      </c>
      <c r="V76" s="524">
        <v>0</v>
      </c>
      <c r="W76" s="524">
        <v>0</v>
      </c>
      <c r="X76" s="524">
        <v>0</v>
      </c>
      <c r="Y76" s="524">
        <v>0</v>
      </c>
      <c r="Z76" s="524">
        <v>0</v>
      </c>
      <c r="AA76" s="524">
        <v>0</v>
      </c>
      <c r="AB76" s="324"/>
      <c r="AC76" s="523"/>
      <c r="AD76" s="523"/>
      <c r="AE76" s="523"/>
      <c r="AF76" s="523"/>
      <c r="AG76" s="523"/>
      <c r="AH76" s="523"/>
      <c r="AI76" s="523"/>
      <c r="AJ76" s="523"/>
      <c r="AK76" s="523"/>
      <c r="AL76" s="523"/>
      <c r="AM76" s="523"/>
      <c r="AN76" s="523"/>
      <c r="AO76" s="523"/>
      <c r="AP76" s="523"/>
      <c r="AQ76" s="523"/>
      <c r="AR76" s="523"/>
      <c r="AS76" s="523"/>
      <c r="AT76" s="523"/>
      <c r="AU76" s="523"/>
      <c r="AV76" s="523"/>
      <c r="AW76" s="523"/>
      <c r="AX76" s="523"/>
      <c r="AY76" s="523"/>
      <c r="AZ76" s="523"/>
      <c r="BA76" s="523"/>
      <c r="BB76" s="523"/>
      <c r="BC76" s="523"/>
      <c r="BD76" s="523"/>
      <c r="BE76" s="523" t="s">
        <v>48</v>
      </c>
      <c r="BF76" s="523" t="s">
        <v>48</v>
      </c>
      <c r="BG76" s="523" t="s">
        <v>48</v>
      </c>
      <c r="BH76" s="523" t="s">
        <v>48</v>
      </c>
      <c r="BI76" s="506">
        <f t="shared" si="81"/>
        <v>0</v>
      </c>
      <c r="BJ76" s="506">
        <f t="shared" si="81"/>
        <v>0</v>
      </c>
      <c r="BK76" s="506">
        <f t="shared" si="81"/>
        <v>0</v>
      </c>
      <c r="BL76" s="506">
        <f t="shared" si="81"/>
        <v>0</v>
      </c>
      <c r="BM76" s="506">
        <f t="shared" si="81"/>
        <v>3.7878787878787879E-4</v>
      </c>
      <c r="BN76" s="506">
        <f t="shared" si="81"/>
        <v>0</v>
      </c>
      <c r="BO76" s="506">
        <f t="shared" si="81"/>
        <v>0</v>
      </c>
      <c r="BP76" s="506">
        <f t="shared" si="81"/>
        <v>3.586800573888092E-4</v>
      </c>
      <c r="BQ76" s="506">
        <f t="shared" si="81"/>
        <v>0</v>
      </c>
      <c r="BR76" s="506">
        <f t="shared" si="81"/>
        <v>0</v>
      </c>
      <c r="BS76" s="506">
        <f t="shared" si="82"/>
        <v>0</v>
      </c>
      <c r="BT76" s="506">
        <f t="shared" si="82"/>
        <v>0</v>
      </c>
      <c r="BU76" s="506">
        <f t="shared" si="82"/>
        <v>0</v>
      </c>
      <c r="BV76" s="506">
        <f t="shared" si="82"/>
        <v>0</v>
      </c>
      <c r="BW76" s="506">
        <f t="shared" si="82"/>
        <v>6.5083553210202288E-2</v>
      </c>
      <c r="BX76" s="506">
        <f t="shared" si="82"/>
        <v>4.8085485307212822E-2</v>
      </c>
      <c r="BY76" s="506">
        <f t="shared" si="82"/>
        <v>3.3480176211453744E-2</v>
      </c>
      <c r="BZ76" s="506">
        <f t="shared" si="82"/>
        <v>3.2705649157581763E-2</v>
      </c>
      <c r="CA76" s="506">
        <f t="shared" si="82"/>
        <v>0</v>
      </c>
      <c r="CB76" s="506">
        <f>+CB174/BX$179</f>
        <v>0</v>
      </c>
      <c r="CC76" s="506">
        <v>0</v>
      </c>
      <c r="CD76" s="506">
        <v>0</v>
      </c>
      <c r="CE76" s="506">
        <v>0</v>
      </c>
      <c r="CF76" s="506" t="e">
        <f>+CF174/CB$179</f>
        <v>#DIV/0!</v>
      </c>
      <c r="CG76" s="524">
        <v>0</v>
      </c>
      <c r="CH76" s="524">
        <v>0</v>
      </c>
      <c r="CI76" s="524">
        <v>0</v>
      </c>
      <c r="CJ76" s="506" t="e">
        <f>+CJ174/CF$179</f>
        <v>#DIV/0!</v>
      </c>
    </row>
    <row r="77" spans="1:136" s="5" customFormat="1" hidden="1" outlineLevel="1">
      <c r="A77" s="5" t="s">
        <v>45</v>
      </c>
      <c r="B77" s="523"/>
      <c r="C77" s="523"/>
      <c r="D77" s="523"/>
      <c r="E77" s="523"/>
      <c r="F77" s="523"/>
      <c r="G77" s="523"/>
      <c r="H77" s="523"/>
      <c r="I77" s="523"/>
      <c r="J77" s="523"/>
      <c r="K77" s="523"/>
      <c r="L77" s="523" t="s">
        <v>48</v>
      </c>
      <c r="M77" s="506">
        <f t="shared" si="83"/>
        <v>-2.7214250371103414E-2</v>
      </c>
      <c r="N77" s="506">
        <f t="shared" si="83"/>
        <v>0</v>
      </c>
      <c r="O77" s="506">
        <f t="shared" si="83"/>
        <v>0</v>
      </c>
      <c r="P77" s="506">
        <f t="shared" si="83"/>
        <v>0</v>
      </c>
      <c r="Q77" s="506">
        <f t="shared" si="83"/>
        <v>0</v>
      </c>
      <c r="R77" s="524">
        <v>0</v>
      </c>
      <c r="S77" s="524">
        <v>0</v>
      </c>
      <c r="T77" s="524">
        <v>0</v>
      </c>
      <c r="U77" s="524">
        <v>0</v>
      </c>
      <c r="V77" s="524">
        <v>0</v>
      </c>
      <c r="W77" s="524">
        <v>0</v>
      </c>
      <c r="X77" s="524">
        <v>0</v>
      </c>
      <c r="Y77" s="524">
        <v>0</v>
      </c>
      <c r="Z77" s="524">
        <v>0</v>
      </c>
      <c r="AA77" s="524">
        <v>0</v>
      </c>
      <c r="AB77" s="324"/>
      <c r="AC77" s="523"/>
      <c r="AD77" s="523"/>
      <c r="AE77" s="523"/>
      <c r="AF77" s="523"/>
      <c r="AG77" s="523"/>
      <c r="AH77" s="523"/>
      <c r="AI77" s="523"/>
      <c r="AJ77" s="523"/>
      <c r="AK77" s="523"/>
      <c r="AL77" s="523"/>
      <c r="AM77" s="523"/>
      <c r="AN77" s="523"/>
      <c r="AO77" s="523"/>
      <c r="AP77" s="523"/>
      <c r="AQ77" s="523"/>
      <c r="AR77" s="523"/>
      <c r="AS77" s="523"/>
      <c r="AT77" s="523"/>
      <c r="AU77" s="523"/>
      <c r="AV77" s="523"/>
      <c r="AW77" s="523"/>
      <c r="AX77" s="523"/>
      <c r="AY77" s="523"/>
      <c r="AZ77" s="523"/>
      <c r="BA77" s="523"/>
      <c r="BB77" s="523"/>
      <c r="BC77" s="523"/>
      <c r="BD77" s="523"/>
      <c r="BE77" s="523" t="s">
        <v>48</v>
      </c>
      <c r="BF77" s="523" t="s">
        <v>48</v>
      </c>
      <c r="BG77" s="523" t="s">
        <v>48</v>
      </c>
      <c r="BH77" s="523" t="s">
        <v>48</v>
      </c>
      <c r="BI77" s="506">
        <f t="shared" si="81"/>
        <v>0</v>
      </c>
      <c r="BJ77" s="506">
        <f t="shared" si="81"/>
        <v>0</v>
      </c>
      <c r="BK77" s="506">
        <f t="shared" si="81"/>
        <v>0</v>
      </c>
      <c r="BL77" s="506">
        <f t="shared" si="81"/>
        <v>0</v>
      </c>
      <c r="BM77" s="506">
        <f t="shared" si="81"/>
        <v>0</v>
      </c>
      <c r="BN77" s="506">
        <f t="shared" si="81"/>
        <v>0</v>
      </c>
      <c r="BO77" s="506">
        <f t="shared" si="81"/>
        <v>0</v>
      </c>
      <c r="BP77" s="506">
        <f t="shared" si="81"/>
        <v>0</v>
      </c>
      <c r="BQ77" s="506">
        <f t="shared" si="81"/>
        <v>0</v>
      </c>
      <c r="BR77" s="506">
        <f t="shared" si="81"/>
        <v>0</v>
      </c>
      <c r="BS77" s="506">
        <f t="shared" si="82"/>
        <v>0</v>
      </c>
      <c r="BT77" s="506">
        <f t="shared" si="82"/>
        <v>0</v>
      </c>
      <c r="BU77" s="506">
        <f t="shared" si="82"/>
        <v>0</v>
      </c>
      <c r="BV77" s="506">
        <f t="shared" si="82"/>
        <v>0</v>
      </c>
      <c r="BW77" s="506">
        <f t="shared" si="82"/>
        <v>0</v>
      </c>
      <c r="BX77" s="506">
        <f t="shared" si="82"/>
        <v>0</v>
      </c>
      <c r="BY77" s="506">
        <f t="shared" si="82"/>
        <v>0</v>
      </c>
      <c r="BZ77" s="506">
        <f t="shared" si="82"/>
        <v>0</v>
      </c>
      <c r="CA77" s="506">
        <f t="shared" si="82"/>
        <v>0</v>
      </c>
      <c r="CB77" s="506">
        <f>+CB175/BX$179</f>
        <v>0</v>
      </c>
      <c r="CC77" s="506">
        <v>0</v>
      </c>
      <c r="CD77" s="506">
        <v>0</v>
      </c>
      <c r="CE77" s="506">
        <v>0</v>
      </c>
      <c r="CF77" s="506" t="e">
        <f>+CF175/CB$179</f>
        <v>#DIV/0!</v>
      </c>
      <c r="CG77" s="524">
        <v>0</v>
      </c>
      <c r="CH77" s="524">
        <v>0</v>
      </c>
      <c r="CI77" s="524">
        <v>0</v>
      </c>
      <c r="CJ77" s="506" t="e">
        <f>+CJ175/CF$179</f>
        <v>#DIV/0!</v>
      </c>
    </row>
    <row r="78" spans="1:136" s="5" customFormat="1" hidden="1" outlineLevel="1">
      <c r="A78" s="5" t="s">
        <v>46</v>
      </c>
      <c r="B78" s="523"/>
      <c r="C78" s="523"/>
      <c r="D78" s="523"/>
      <c r="E78" s="523"/>
      <c r="F78" s="523"/>
      <c r="G78" s="523"/>
      <c r="H78" s="523"/>
      <c r="I78" s="523"/>
      <c r="J78" s="523"/>
      <c r="K78" s="523"/>
      <c r="L78" s="523" t="s">
        <v>48</v>
      </c>
      <c r="M78" s="506">
        <f t="shared" si="83"/>
        <v>0</v>
      </c>
      <c r="N78" s="506">
        <f t="shared" si="83"/>
        <v>0</v>
      </c>
      <c r="O78" s="506">
        <f t="shared" si="83"/>
        <v>0</v>
      </c>
      <c r="P78" s="506">
        <f t="shared" si="83"/>
        <v>0</v>
      </c>
      <c r="Q78" s="506">
        <f t="shared" si="83"/>
        <v>0</v>
      </c>
      <c r="R78" s="524">
        <v>0</v>
      </c>
      <c r="S78" s="524">
        <v>0</v>
      </c>
      <c r="T78" s="524">
        <v>0</v>
      </c>
      <c r="U78" s="524">
        <v>0</v>
      </c>
      <c r="V78" s="524">
        <v>0</v>
      </c>
      <c r="W78" s="524">
        <v>0</v>
      </c>
      <c r="X78" s="524">
        <v>0</v>
      </c>
      <c r="Y78" s="524">
        <v>0</v>
      </c>
      <c r="Z78" s="524">
        <v>0</v>
      </c>
      <c r="AA78" s="524">
        <v>0</v>
      </c>
      <c r="AB78" s="324"/>
      <c r="AC78" s="523"/>
      <c r="AD78" s="523"/>
      <c r="AE78" s="523"/>
      <c r="AF78" s="523"/>
      <c r="AG78" s="523"/>
      <c r="AH78" s="523"/>
      <c r="AI78" s="523"/>
      <c r="AJ78" s="523"/>
      <c r="AK78" s="523"/>
      <c r="AL78" s="523"/>
      <c r="AM78" s="523"/>
      <c r="AN78" s="523"/>
      <c r="AO78" s="523"/>
      <c r="AP78" s="523"/>
      <c r="AQ78" s="523"/>
      <c r="AR78" s="523"/>
      <c r="AS78" s="523"/>
      <c r="AT78" s="523"/>
      <c r="AU78" s="523"/>
      <c r="AV78" s="523"/>
      <c r="AW78" s="523"/>
      <c r="AX78" s="523"/>
      <c r="AY78" s="523"/>
      <c r="AZ78" s="523"/>
      <c r="BA78" s="523"/>
      <c r="BB78" s="523"/>
      <c r="BC78" s="523"/>
      <c r="BD78" s="523"/>
      <c r="BE78" s="523" t="s">
        <v>48</v>
      </c>
      <c r="BF78" s="523" t="s">
        <v>48</v>
      </c>
      <c r="BG78" s="523" t="s">
        <v>48</v>
      </c>
      <c r="BH78" s="523" t="s">
        <v>48</v>
      </c>
      <c r="BI78" s="506">
        <f t="shared" si="81"/>
        <v>0</v>
      </c>
      <c r="BJ78" s="506">
        <f t="shared" si="81"/>
        <v>0</v>
      </c>
      <c r="BK78" s="506">
        <f t="shared" si="81"/>
        <v>0</v>
      </c>
      <c r="BL78" s="506">
        <f t="shared" si="81"/>
        <v>0</v>
      </c>
      <c r="BM78" s="506">
        <f t="shared" si="81"/>
        <v>0</v>
      </c>
      <c r="BN78" s="506">
        <f t="shared" si="81"/>
        <v>0</v>
      </c>
      <c r="BO78" s="506">
        <f t="shared" si="81"/>
        <v>0</v>
      </c>
      <c r="BP78" s="506">
        <f t="shared" si="81"/>
        <v>0</v>
      </c>
      <c r="BQ78" s="506">
        <f t="shared" si="81"/>
        <v>0</v>
      </c>
      <c r="BR78" s="506">
        <f t="shared" si="81"/>
        <v>0</v>
      </c>
      <c r="BS78" s="506">
        <f t="shared" si="82"/>
        <v>0</v>
      </c>
      <c r="BT78" s="506">
        <f t="shared" si="82"/>
        <v>0</v>
      </c>
      <c r="BU78" s="506">
        <f t="shared" si="82"/>
        <v>0</v>
      </c>
      <c r="BV78" s="506">
        <f t="shared" si="82"/>
        <v>0</v>
      </c>
      <c r="BW78" s="506">
        <f t="shared" si="82"/>
        <v>0</v>
      </c>
      <c r="BX78" s="506">
        <f t="shared" si="82"/>
        <v>0</v>
      </c>
      <c r="BY78" s="506">
        <f t="shared" si="82"/>
        <v>0</v>
      </c>
      <c r="BZ78" s="506">
        <f t="shared" si="82"/>
        <v>0</v>
      </c>
      <c r="CA78" s="506">
        <f t="shared" si="82"/>
        <v>0</v>
      </c>
      <c r="CB78" s="506">
        <f>+CB176/BX$179</f>
        <v>0</v>
      </c>
      <c r="CC78" s="506">
        <v>0</v>
      </c>
      <c r="CD78" s="506">
        <v>0</v>
      </c>
      <c r="CE78" s="506">
        <v>0</v>
      </c>
      <c r="CF78" s="506" t="e">
        <f>+CF176/CB$179</f>
        <v>#DIV/0!</v>
      </c>
      <c r="CG78" s="524">
        <v>0</v>
      </c>
      <c r="CH78" s="524">
        <v>0</v>
      </c>
      <c r="CI78" s="524">
        <v>0</v>
      </c>
      <c r="CJ78" s="506" t="e">
        <f>+CJ176/CF$179</f>
        <v>#DIV/0!</v>
      </c>
    </row>
    <row r="79" spans="1:136" s="5" customFormat="1" hidden="1" outlineLevel="1">
      <c r="A79" s="5" t="s">
        <v>47</v>
      </c>
      <c r="B79" s="523"/>
      <c r="C79" s="523"/>
      <c r="D79" s="523"/>
      <c r="E79" s="523"/>
      <c r="F79" s="523"/>
      <c r="G79" s="523"/>
      <c r="H79" s="523"/>
      <c r="I79" s="523"/>
      <c r="J79" s="523"/>
      <c r="K79" s="523"/>
      <c r="L79" s="523" t="s">
        <v>48</v>
      </c>
      <c r="M79" s="506">
        <f t="shared" si="83"/>
        <v>0</v>
      </c>
      <c r="N79" s="506">
        <f t="shared" si="83"/>
        <v>0</v>
      </c>
      <c r="O79" s="506">
        <f t="shared" si="83"/>
        <v>0</v>
      </c>
      <c r="P79" s="506">
        <f t="shared" si="83"/>
        <v>-1.305331179321486E-2</v>
      </c>
      <c r="Q79" s="506">
        <f t="shared" si="83"/>
        <v>-5.726872246696774E-6</v>
      </c>
      <c r="R79" s="524">
        <v>0</v>
      </c>
      <c r="S79" s="524">
        <v>0</v>
      </c>
      <c r="T79" s="524">
        <v>0</v>
      </c>
      <c r="U79" s="524">
        <v>0</v>
      </c>
      <c r="V79" s="524">
        <v>0</v>
      </c>
      <c r="W79" s="524">
        <v>0</v>
      </c>
      <c r="X79" s="524">
        <v>0</v>
      </c>
      <c r="Y79" s="524">
        <v>0</v>
      </c>
      <c r="Z79" s="524">
        <v>0</v>
      </c>
      <c r="AA79" s="524">
        <v>0</v>
      </c>
      <c r="AB79" s="324"/>
      <c r="AC79" s="523"/>
      <c r="AD79" s="523"/>
      <c r="AE79" s="523"/>
      <c r="AF79" s="523"/>
      <c r="AG79" s="523"/>
      <c r="AH79" s="523"/>
      <c r="AI79" s="523"/>
      <c r="AJ79" s="523"/>
      <c r="AK79" s="523"/>
      <c r="AL79" s="523"/>
      <c r="AM79" s="523"/>
      <c r="AN79" s="523"/>
      <c r="AO79" s="523"/>
      <c r="AP79" s="523"/>
      <c r="AQ79" s="523"/>
      <c r="AR79" s="523"/>
      <c r="AS79" s="523"/>
      <c r="AT79" s="523"/>
      <c r="AU79" s="523"/>
      <c r="AV79" s="523"/>
      <c r="AW79" s="523"/>
      <c r="AX79" s="523"/>
      <c r="AY79" s="523"/>
      <c r="AZ79" s="523"/>
      <c r="BA79" s="523"/>
      <c r="BB79" s="523"/>
      <c r="BC79" s="523"/>
      <c r="BD79" s="523"/>
      <c r="BE79" s="523" t="s">
        <v>48</v>
      </c>
      <c r="BF79" s="523" t="s">
        <v>48</v>
      </c>
      <c r="BG79" s="523" t="s">
        <v>48</v>
      </c>
      <c r="BH79" s="523" t="s">
        <v>48</v>
      </c>
      <c r="BI79" s="506">
        <f t="shared" si="81"/>
        <v>0</v>
      </c>
      <c r="BJ79" s="506">
        <f t="shared" si="81"/>
        <v>0</v>
      </c>
      <c r="BK79" s="506">
        <f t="shared" si="81"/>
        <v>0</v>
      </c>
      <c r="BL79" s="506">
        <f t="shared" si="81"/>
        <v>0</v>
      </c>
      <c r="BM79" s="506">
        <f t="shared" si="81"/>
        <v>0</v>
      </c>
      <c r="BN79" s="506">
        <f t="shared" si="81"/>
        <v>0</v>
      </c>
      <c r="BO79" s="506">
        <f t="shared" si="81"/>
        <v>0</v>
      </c>
      <c r="BP79" s="506">
        <f t="shared" si="81"/>
        <v>0</v>
      </c>
      <c r="BQ79" s="506">
        <f t="shared" si="81"/>
        <v>-1.0307973664959771E-2</v>
      </c>
      <c r="BR79" s="506">
        <f t="shared" si="81"/>
        <v>-1.054838709677418E-2</v>
      </c>
      <c r="BS79" s="506">
        <f t="shared" si="82"/>
        <v>-1.388028169014084E-2</v>
      </c>
      <c r="BT79" s="506">
        <f t="shared" si="82"/>
        <v>-1.7949545078577343E-2</v>
      </c>
      <c r="BU79" s="506">
        <f t="shared" si="82"/>
        <v>1.7287014061207872E-4</v>
      </c>
      <c r="BV79" s="506">
        <f t="shared" si="82"/>
        <v>1.1204481792710877E-5</v>
      </c>
      <c r="BW79" s="506">
        <f t="shared" si="82"/>
        <v>-2.1723834652594536E-4</v>
      </c>
      <c r="BX79" s="506">
        <f t="shared" si="82"/>
        <v>0</v>
      </c>
      <c r="BY79" s="506">
        <f t="shared" si="82"/>
        <v>0</v>
      </c>
      <c r="BZ79" s="506">
        <f t="shared" si="82"/>
        <v>0</v>
      </c>
      <c r="CA79" s="506">
        <f t="shared" si="82"/>
        <v>0</v>
      </c>
      <c r="CB79" s="506">
        <f>+CB177/BX$179</f>
        <v>0</v>
      </c>
      <c r="CC79" s="506">
        <v>0</v>
      </c>
      <c r="CD79" s="506">
        <v>0</v>
      </c>
      <c r="CE79" s="506">
        <v>0</v>
      </c>
      <c r="CF79" s="506" t="e">
        <f>+CF177/CB$179</f>
        <v>#DIV/0!</v>
      </c>
      <c r="CG79" s="524">
        <v>0</v>
      </c>
      <c r="CH79" s="524">
        <v>0</v>
      </c>
      <c r="CI79" s="524">
        <v>0</v>
      </c>
      <c r="CJ79" s="506" t="e">
        <f>+CJ177/CF$179</f>
        <v>#DIV/0!</v>
      </c>
    </row>
    <row r="80" spans="1:136" s="90" customFormat="1" ht="6" hidden="1" customHeight="1" outlineLevel="1">
      <c r="A80" s="87"/>
      <c r="B80" s="103"/>
      <c r="C80" s="103"/>
      <c r="D80" s="103"/>
      <c r="E80" s="103"/>
      <c r="F80" s="103"/>
      <c r="G80" s="103"/>
      <c r="H80" s="103"/>
      <c r="I80" s="103"/>
      <c r="J80" s="103"/>
      <c r="K80" s="103"/>
      <c r="L80" s="103"/>
      <c r="M80" s="91"/>
      <c r="N80" s="91"/>
      <c r="O80" s="91"/>
      <c r="P80" s="502"/>
      <c r="Q80" s="158"/>
      <c r="R80" s="158"/>
      <c r="S80" s="158"/>
      <c r="T80" s="158"/>
      <c r="U80" s="158"/>
      <c r="V80" s="158"/>
      <c r="W80" s="158"/>
      <c r="X80" s="158"/>
      <c r="Y80" s="158"/>
      <c r="Z80" s="158"/>
      <c r="AA80" s="158"/>
      <c r="AB80" s="158"/>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91"/>
      <c r="BH80" s="91"/>
      <c r="BI80" s="91"/>
      <c r="BJ80" s="91"/>
      <c r="BK80" s="91"/>
      <c r="BL80" s="91"/>
      <c r="BM80" s="91"/>
      <c r="BN80" s="91"/>
      <c r="BO80" s="91"/>
      <c r="BP80" s="91"/>
      <c r="BQ80" s="91"/>
      <c r="BR80" s="91"/>
      <c r="BS80" s="91"/>
      <c r="BT80" s="91"/>
      <c r="BU80" s="91"/>
      <c r="BV80" s="91"/>
      <c r="BW80" s="91"/>
      <c r="BX80" s="91"/>
      <c r="BY80" s="91"/>
      <c r="BZ80" s="91"/>
      <c r="CA80" s="91"/>
      <c r="CB80" s="91"/>
      <c r="CC80" s="91"/>
      <c r="CD80" s="91"/>
      <c r="CE80" s="91"/>
      <c r="CF80" s="91"/>
      <c r="CG80" s="91"/>
      <c r="CH80" s="91"/>
      <c r="CI80" s="91"/>
      <c r="CJ80" s="91"/>
      <c r="CO80" s="39"/>
      <c r="DK80" s="39"/>
      <c r="DL80" s="39"/>
      <c r="DM80" s="39"/>
      <c r="DN80" s="39"/>
      <c r="DO80" s="39"/>
      <c r="DP80" s="39"/>
      <c r="DQ80" s="91"/>
      <c r="DR80" s="39"/>
      <c r="DS80" s="39"/>
      <c r="DT80" s="39"/>
      <c r="DU80" s="39"/>
      <c r="DV80" s="39"/>
      <c r="DW80" s="39"/>
      <c r="DX80" s="39"/>
      <c r="DY80" s="39"/>
      <c r="DZ80" s="39"/>
      <c r="EA80" s="92"/>
      <c r="EB80" s="92"/>
      <c r="EC80" s="92"/>
      <c r="ED80" s="92"/>
      <c r="EE80" s="92"/>
      <c r="EF80" s="92"/>
    </row>
    <row r="81" spans="1:136" s="17" customFormat="1" hidden="1" outlineLevel="1">
      <c r="A81" s="17" t="s">
        <v>49</v>
      </c>
      <c r="B81" s="511"/>
      <c r="C81" s="511"/>
      <c r="D81" s="511"/>
      <c r="E81" s="511"/>
      <c r="F81" s="511"/>
      <c r="G81" s="511"/>
      <c r="H81" s="511"/>
      <c r="I81" s="511"/>
      <c r="J81" s="511"/>
      <c r="K81" s="511"/>
      <c r="L81" s="511">
        <f t="shared" ref="L81:AA81" si="84">+SUM(L72:L73)</f>
        <v>0</v>
      </c>
      <c r="M81" s="511">
        <f t="shared" si="84"/>
        <v>0.11399999999999999</v>
      </c>
      <c r="N81" s="511">
        <f t="shared" si="84"/>
        <v>7.8375411184210528E-2</v>
      </c>
      <c r="O81" s="511">
        <f>+SUM(O72:O73)</f>
        <v>6.4058869093725837E-3</v>
      </c>
      <c r="P81" s="511">
        <f>+SUM(P72:P73)</f>
        <v>-2.7940226171243938E-2</v>
      </c>
      <c r="Q81" s="511">
        <f>+SUM(Q72:Q73)</f>
        <v>1.7070925110132158E-2</v>
      </c>
      <c r="R81" s="511">
        <f t="shared" si="84"/>
        <v>2.4E-2</v>
      </c>
      <c r="S81" s="511">
        <f t="shared" si="84"/>
        <v>2.5000000000000001E-2</v>
      </c>
      <c r="T81" s="511">
        <f t="shared" si="84"/>
        <v>4.5000000000000005E-2</v>
      </c>
      <c r="U81" s="511">
        <f t="shared" si="84"/>
        <v>0.05</v>
      </c>
      <c r="V81" s="511">
        <f t="shared" si="84"/>
        <v>4.8000000000000001E-2</v>
      </c>
      <c r="W81" s="511">
        <f t="shared" si="84"/>
        <v>4.6200000000000005E-2</v>
      </c>
      <c r="X81" s="511">
        <f t="shared" si="84"/>
        <v>4.4580000000000002E-2</v>
      </c>
      <c r="Y81" s="511">
        <f t="shared" si="84"/>
        <v>4.3122000000000001E-2</v>
      </c>
      <c r="Z81" s="511">
        <f t="shared" si="84"/>
        <v>4.1809800000000001E-2</v>
      </c>
      <c r="AA81" s="511">
        <f t="shared" si="84"/>
        <v>4.0628820000000003E-2</v>
      </c>
      <c r="AB81" s="473"/>
      <c r="AC81" s="523"/>
      <c r="AD81" s="523"/>
      <c r="AE81" s="523"/>
      <c r="AF81" s="523"/>
      <c r="AG81" s="523"/>
      <c r="AH81" s="523"/>
      <c r="AI81" s="523"/>
      <c r="AJ81" s="523"/>
      <c r="AK81" s="523"/>
      <c r="AL81" s="523"/>
      <c r="AM81" s="523"/>
      <c r="AN81" s="523"/>
      <c r="AO81" s="523"/>
      <c r="AP81" s="523"/>
      <c r="AQ81" s="523"/>
      <c r="AR81" s="523"/>
      <c r="AS81" s="523"/>
      <c r="AT81" s="523"/>
      <c r="AU81" s="523"/>
      <c r="AV81" s="523"/>
      <c r="AW81" s="523"/>
      <c r="AX81" s="523"/>
      <c r="AY81" s="523"/>
      <c r="AZ81" s="523"/>
      <c r="BA81" s="523"/>
      <c r="BB81" s="523"/>
      <c r="BC81" s="523"/>
      <c r="BD81" s="523"/>
      <c r="BE81" s="523" t="s">
        <v>48</v>
      </c>
      <c r="BF81" s="523" t="s">
        <v>48</v>
      </c>
      <c r="BG81" s="523" t="s">
        <v>48</v>
      </c>
      <c r="BH81" s="523" t="s">
        <v>48</v>
      </c>
      <c r="BI81" s="511">
        <f t="shared" ref="BI81:BW81" si="85">+SUM(BI72:BI73)</f>
        <v>9.7000000000000003E-2</v>
      </c>
      <c r="BJ81" s="511">
        <f t="shared" si="85"/>
        <v>0.09</v>
      </c>
      <c r="BK81" s="511">
        <f t="shared" si="85"/>
        <v>1.9E-2</v>
      </c>
      <c r="BL81" s="511">
        <f t="shared" si="85"/>
        <v>0.10900000000000001</v>
      </c>
      <c r="BM81" s="511">
        <f t="shared" si="85"/>
        <v>5.8000000000000003E-2</v>
      </c>
      <c r="BN81" s="511">
        <f t="shared" si="85"/>
        <v>3.3000000000000002E-2</v>
      </c>
      <c r="BO81" s="511">
        <f t="shared" si="85"/>
        <v>1.0000000000000009E-3</v>
      </c>
      <c r="BP81" s="511">
        <f t="shared" si="85"/>
        <v>-6.0999999999999999E-2</v>
      </c>
      <c r="BQ81" s="511">
        <f t="shared" si="85"/>
        <v>-2.7E-2</v>
      </c>
      <c r="BR81" s="511">
        <f t="shared" si="85"/>
        <v>-8.3000000000000004E-2</v>
      </c>
      <c r="BS81" s="511">
        <f t="shared" si="85"/>
        <v>1.2999999999999998E-2</v>
      </c>
      <c r="BT81" s="511">
        <f t="shared" si="85"/>
        <v>-1.1000000000000003E-2</v>
      </c>
      <c r="BU81" s="532">
        <v>-1E-3</v>
      </c>
      <c r="BV81" s="532">
        <v>2.8000000000000001E-2</v>
      </c>
      <c r="BW81" s="511">
        <f t="shared" si="85"/>
        <v>3.1E-2</v>
      </c>
      <c r="BX81" s="511">
        <f t="shared" ref="BX81:CF81" si="86">+SUM(BX72:BX73)</f>
        <v>1.1999999999999999E-2</v>
      </c>
      <c r="BY81" s="511">
        <f t="shared" si="86"/>
        <v>2.8999999999999998E-2</v>
      </c>
      <c r="BZ81" s="511">
        <f>+SUM(BZ72:BZ73)</f>
        <v>0.02</v>
      </c>
      <c r="CA81" s="511">
        <f t="shared" si="86"/>
        <v>1.4999999999999999E-2</v>
      </c>
      <c r="CB81" s="511">
        <f t="shared" si="86"/>
        <v>0</v>
      </c>
      <c r="CC81" s="511">
        <f t="shared" si="86"/>
        <v>2.5000000000000001E-2</v>
      </c>
      <c r="CD81" s="511">
        <f t="shared" si="86"/>
        <v>2.5000000000000001E-2</v>
      </c>
      <c r="CE81" s="511">
        <f t="shared" si="86"/>
        <v>2.5000000000000001E-2</v>
      </c>
      <c r="CF81" s="511" t="e">
        <f t="shared" si="86"/>
        <v>#DIV/0!</v>
      </c>
      <c r="CG81" s="511">
        <f>+SUM(CG72:CG73)</f>
        <v>4.6200000000000005E-2</v>
      </c>
      <c r="CH81" s="511">
        <f>+SUM(CH72:CH73)</f>
        <v>4.6200000000000005E-2</v>
      </c>
      <c r="CI81" s="511">
        <f>+SUM(CI72:CI73)</f>
        <v>4.6200000000000005E-2</v>
      </c>
      <c r="CJ81" s="511" t="e">
        <f>+SUM(CJ72:CJ73)</f>
        <v>#DIV/0!</v>
      </c>
      <c r="CK81" s="20"/>
      <c r="CL81" s="20"/>
    </row>
    <row r="82" spans="1:136" s="17" customFormat="1" hidden="1" outlineLevel="1">
      <c r="A82" s="17" t="s">
        <v>50</v>
      </c>
      <c r="B82" s="511"/>
      <c r="C82" s="511"/>
      <c r="D82" s="511"/>
      <c r="E82" s="511"/>
      <c r="F82" s="511"/>
      <c r="G82" s="511"/>
      <c r="H82" s="511"/>
      <c r="I82" s="511"/>
      <c r="J82" s="511"/>
      <c r="K82" s="511"/>
      <c r="L82" s="511">
        <f t="shared" ref="L82:V82" si="87">+SUM(L72:L73,L75:L79)</f>
        <v>0</v>
      </c>
      <c r="M82" s="511">
        <f t="shared" si="87"/>
        <v>0.20628104898565064</v>
      </c>
      <c r="N82" s="511">
        <f t="shared" si="87"/>
        <v>6.151685855263158E-2</v>
      </c>
      <c r="O82" s="511">
        <f t="shared" si="87"/>
        <v>-4.0844306738962041E-2</v>
      </c>
      <c r="P82" s="511">
        <f>+SUM(P72:P73,P75:P79)</f>
        <v>-8.3198707592891746E-2</v>
      </c>
      <c r="Q82" s="511">
        <f>+SUM(Q72:Q73,Q75:Q79)</f>
        <v>-4.68114537444934E-2</v>
      </c>
      <c r="R82" s="511">
        <f t="shared" si="87"/>
        <v>-9.5955627455511852E-4</v>
      </c>
      <c r="S82" s="511">
        <f t="shared" si="87"/>
        <v>1.8291459704343066E-2</v>
      </c>
      <c r="T82" s="511">
        <f t="shared" si="87"/>
        <v>4.5000000000000005E-2</v>
      </c>
      <c r="U82" s="511">
        <f t="shared" si="87"/>
        <v>0.05</v>
      </c>
      <c r="V82" s="511">
        <f t="shared" si="87"/>
        <v>4.8000000000000001E-2</v>
      </c>
      <c r="W82" s="511">
        <f>+SUM(W72:W73,W75:W79)</f>
        <v>4.6200000000000005E-2</v>
      </c>
      <c r="X82" s="511">
        <f>+SUM(X72:X73,X75:X79)</f>
        <v>4.4580000000000002E-2</v>
      </c>
      <c r="Y82" s="511">
        <f>+SUM(Y72:Y73,Y75:Y79)</f>
        <v>4.3122000000000001E-2</v>
      </c>
      <c r="Z82" s="511">
        <f>+SUM(Z72:Z73,Z75:Z79)</f>
        <v>4.1809800000000001E-2</v>
      </c>
      <c r="AA82" s="511">
        <f>+SUM(AA72:AA73,AA75:AA79)</f>
        <v>4.0628820000000003E-2</v>
      </c>
      <c r="AB82" s="473"/>
      <c r="AC82" s="523"/>
      <c r="AD82" s="523"/>
      <c r="AE82" s="523"/>
      <c r="AF82" s="523"/>
      <c r="AG82" s="523"/>
      <c r="AH82" s="523"/>
      <c r="AI82" s="523"/>
      <c r="AJ82" s="523"/>
      <c r="AK82" s="523"/>
      <c r="AL82" s="523"/>
      <c r="AM82" s="523"/>
      <c r="AN82" s="523"/>
      <c r="AO82" s="523"/>
      <c r="AP82" s="523"/>
      <c r="AQ82" s="523"/>
      <c r="AR82" s="523"/>
      <c r="AS82" s="523"/>
      <c r="AT82" s="523"/>
      <c r="AU82" s="523"/>
      <c r="AV82" s="523"/>
      <c r="AW82" s="523"/>
      <c r="AX82" s="523"/>
      <c r="AY82" s="523"/>
      <c r="AZ82" s="523"/>
      <c r="BA82" s="523"/>
      <c r="BB82" s="523"/>
      <c r="BC82" s="523"/>
      <c r="BD82" s="523"/>
      <c r="BE82" s="523" t="s">
        <v>48</v>
      </c>
      <c r="BF82" s="523" t="s">
        <v>48</v>
      </c>
      <c r="BG82" s="523" t="s">
        <v>48</v>
      </c>
      <c r="BH82" s="523" t="s">
        <v>48</v>
      </c>
      <c r="BI82" s="511">
        <f t="shared" ref="BI82:BW82" si="88">+SUM(BI72:BI73,BI75:BI79)</f>
        <v>0.10960504201680672</v>
      </c>
      <c r="BJ82" s="511">
        <f t="shared" si="88"/>
        <v>4.2218430034129686E-2</v>
      </c>
      <c r="BK82" s="511">
        <f t="shared" si="88"/>
        <v>-1.7028823058446756E-2</v>
      </c>
      <c r="BL82" s="511">
        <f t="shared" si="88"/>
        <v>0.11219233838786913</v>
      </c>
      <c r="BM82" s="511">
        <f t="shared" si="88"/>
        <v>3.5651515151515156E-2</v>
      </c>
      <c r="BN82" s="511">
        <f t="shared" si="88"/>
        <v>1.4996726677577742E-2</v>
      </c>
      <c r="BO82" s="511">
        <f t="shared" si="88"/>
        <v>-7.4732899022801308E-2</v>
      </c>
      <c r="BP82" s="511">
        <f t="shared" si="88"/>
        <v>-0.132377331420373</v>
      </c>
      <c r="BQ82" s="511">
        <f t="shared" si="88"/>
        <v>-0.11558156547183614</v>
      </c>
      <c r="BR82" s="511">
        <f t="shared" si="88"/>
        <v>-0.13629032258064516</v>
      </c>
      <c r="BS82" s="511">
        <f t="shared" si="88"/>
        <v>8.8028169014084737E-4</v>
      </c>
      <c r="BT82" s="511">
        <f t="shared" si="88"/>
        <v>-7.1133167907361461E-2</v>
      </c>
      <c r="BU82" s="511">
        <f t="shared" si="88"/>
        <v>-6.1207609594706371E-2</v>
      </c>
      <c r="BV82" s="511">
        <f t="shared" si="88"/>
        <v>-5.7889822595704951E-2</v>
      </c>
      <c r="BW82" s="511">
        <f t="shared" si="88"/>
        <v>-3.1662269129287594E-2</v>
      </c>
      <c r="BX82" s="511">
        <f t="shared" ref="BX82:CF82" si="89">+SUM(BX72:BX73,BX75:BX79)</f>
        <v>-3.6085485307212825E-2</v>
      </c>
      <c r="BY82" s="511">
        <f t="shared" si="89"/>
        <v>-7.1233480176211422E-3</v>
      </c>
      <c r="BZ82" s="511">
        <f>+SUM(BZ72:BZ73,BZ75:BZ79)</f>
        <v>1.4053518334985134E-2</v>
      </c>
      <c r="CA82" s="511">
        <f t="shared" si="89"/>
        <v>2.4082652134423253E-2</v>
      </c>
      <c r="CB82" s="511">
        <f t="shared" si="89"/>
        <v>3.2347577969918891E-2</v>
      </c>
      <c r="CC82" s="511">
        <f t="shared" si="89"/>
        <v>2.1344544689955204E-2</v>
      </c>
      <c r="CD82" s="511">
        <f t="shared" si="89"/>
        <v>-6.3076932098042257E-3</v>
      </c>
      <c r="CE82" s="511">
        <f t="shared" si="89"/>
        <v>-2.0722823426172633E-2</v>
      </c>
      <c r="CF82" s="511" t="e">
        <f t="shared" si="89"/>
        <v>#DIV/0!</v>
      </c>
      <c r="CG82" s="511">
        <f>+SUM(CG72:CG73,CG75:CG79)</f>
        <v>4.2544544689955208E-2</v>
      </c>
      <c r="CH82" s="511">
        <f>+SUM(CH72:CH73,CH75:CH79)</f>
        <v>1.4892306790195778E-2</v>
      </c>
      <c r="CI82" s="511">
        <f>+SUM(CI72:CI73,CI75:CI79)</f>
        <v>4.7717657382737033E-4</v>
      </c>
      <c r="CJ82" s="511" t="e">
        <f>+SUM(CJ72:CJ73,CJ75:CJ79)</f>
        <v>#DIV/0!</v>
      </c>
    </row>
    <row r="83" spans="1:136" s="23" customFormat="1" hidden="1" outlineLevel="1">
      <c r="A83" s="23" t="s">
        <v>51</v>
      </c>
      <c r="B83" s="528"/>
      <c r="C83" s="528"/>
      <c r="D83" s="528"/>
      <c r="E83" s="528"/>
      <c r="F83" s="528"/>
      <c r="G83" s="528"/>
      <c r="H83" s="528"/>
      <c r="I83" s="528"/>
      <c r="J83" s="528"/>
      <c r="K83" s="528"/>
      <c r="L83" s="528" t="s">
        <v>48</v>
      </c>
      <c r="M83" s="528" t="s">
        <v>48</v>
      </c>
      <c r="N83" s="514">
        <f t="shared" ref="N83:AA83" si="90">+((1+N81)*(1+M81))^(1/2)-1</f>
        <v>9.6042977286570741E-2</v>
      </c>
      <c r="O83" s="514">
        <f t="shared" si="90"/>
        <v>4.1769342087827344E-2</v>
      </c>
      <c r="P83" s="514">
        <f t="shared" si="90"/>
        <v>-1.0916242773619578E-2</v>
      </c>
      <c r="Q83" s="514">
        <f t="shared" si="90"/>
        <v>-5.6893174513517053E-3</v>
      </c>
      <c r="R83" s="514">
        <f t="shared" si="90"/>
        <v>2.0529581792108287E-2</v>
      </c>
      <c r="S83" s="514">
        <f t="shared" si="90"/>
        <v>2.4499877989255792E-2</v>
      </c>
      <c r="T83" s="514">
        <f t="shared" si="90"/>
        <v>3.4951689693774934E-2</v>
      </c>
      <c r="U83" s="514">
        <f t="shared" si="90"/>
        <v>4.7497016702195749E-2</v>
      </c>
      <c r="V83" s="514">
        <f t="shared" si="90"/>
        <v>4.8999523355468533E-2</v>
      </c>
      <c r="W83" s="514">
        <f t="shared" si="90"/>
        <v>4.7099613217386427E-2</v>
      </c>
      <c r="X83" s="514">
        <f t="shared" si="90"/>
        <v>4.538968619362227E-2</v>
      </c>
      <c r="Y83" s="514">
        <f t="shared" si="90"/>
        <v>4.3850745442086669E-2</v>
      </c>
      <c r="Z83" s="514">
        <f t="shared" si="90"/>
        <v>4.2465693534132543E-2</v>
      </c>
      <c r="AA83" s="514">
        <f t="shared" si="90"/>
        <v>4.1219142562427091E-2</v>
      </c>
      <c r="AB83" s="513"/>
      <c r="AC83" s="528"/>
      <c r="AD83" s="528"/>
      <c r="AE83" s="528"/>
      <c r="AF83" s="528"/>
      <c r="AG83" s="528"/>
      <c r="AH83" s="528"/>
      <c r="AI83" s="528"/>
      <c r="AJ83" s="528"/>
      <c r="AK83" s="528"/>
      <c r="AL83" s="528"/>
      <c r="AM83" s="528"/>
      <c r="AN83" s="528"/>
      <c r="AO83" s="528"/>
      <c r="AP83" s="528"/>
      <c r="AQ83" s="528"/>
      <c r="AR83" s="528"/>
      <c r="AS83" s="528"/>
      <c r="AT83" s="528"/>
      <c r="AU83" s="528"/>
      <c r="AV83" s="528"/>
      <c r="AW83" s="528"/>
      <c r="AX83" s="528"/>
      <c r="AY83" s="528"/>
      <c r="AZ83" s="528"/>
      <c r="BA83" s="528"/>
      <c r="BB83" s="528"/>
      <c r="BC83" s="528"/>
      <c r="BD83" s="528"/>
      <c r="BE83" s="528" t="s">
        <v>48</v>
      </c>
      <c r="BF83" s="528" t="s">
        <v>48</v>
      </c>
      <c r="BG83" s="528" t="s">
        <v>48</v>
      </c>
      <c r="BH83" s="528" t="s">
        <v>48</v>
      </c>
      <c r="BI83" s="528" t="s">
        <v>48</v>
      </c>
      <c r="BJ83" s="528" t="s">
        <v>48</v>
      </c>
      <c r="BK83" s="528" t="s">
        <v>48</v>
      </c>
      <c r="BL83" s="528" t="s">
        <v>48</v>
      </c>
      <c r="BM83" s="514">
        <f t="shared" ref="BM83:CB83" si="91">+((1+BM81)*(1+BI81))^(1/2)-1</f>
        <v>7.732353543399384E-2</v>
      </c>
      <c r="BN83" s="514">
        <f t="shared" si="91"/>
        <v>6.1117335642010939E-2</v>
      </c>
      <c r="BO83" s="514">
        <f t="shared" si="91"/>
        <v>9.9599001940620102E-3</v>
      </c>
      <c r="BP83" s="514">
        <f t="shared" si="91"/>
        <v>2.0466069989590663E-2</v>
      </c>
      <c r="BQ83" s="514">
        <f t="shared" si="91"/>
        <v>1.4610270005187775E-2</v>
      </c>
      <c r="BR83" s="514">
        <f t="shared" si="91"/>
        <v>-2.6726657099866991E-2</v>
      </c>
      <c r="BS83" s="514">
        <f t="shared" si="91"/>
        <v>6.9821249654831163E-3</v>
      </c>
      <c r="BT83" s="514">
        <f t="shared" si="91"/>
        <v>-3.6324224648144443E-2</v>
      </c>
      <c r="BU83" s="514">
        <f t="shared" si="91"/>
        <v>-1.4085703521852788E-2</v>
      </c>
      <c r="BV83" s="514">
        <f t="shared" si="91"/>
        <v>-2.9084967672247775E-2</v>
      </c>
      <c r="BW83" s="514">
        <f t="shared" si="91"/>
        <v>2.1960371051637173E-2</v>
      </c>
      <c r="BX83" s="514">
        <f t="shared" si="91"/>
        <v>4.3390586285108057E-4</v>
      </c>
      <c r="BY83" s="514">
        <f t="shared" si="91"/>
        <v>1.3889047184158176E-2</v>
      </c>
      <c r="BZ83" s="514">
        <f t="shared" si="91"/>
        <v>2.3992187470197379E-2</v>
      </c>
      <c r="CA83" s="514">
        <f t="shared" si="91"/>
        <v>2.2968718974338831E-2</v>
      </c>
      <c r="CB83" s="514">
        <f t="shared" si="91"/>
        <v>5.9821071967434136E-3</v>
      </c>
      <c r="CC83" s="514">
        <f t="shared" ref="CC83:CJ83" si="92">+((1+CC81)*(1+BY81))^(1/2)-1</f>
        <v>2.6998052578484755E-2</v>
      </c>
      <c r="CD83" s="514">
        <f t="shared" si="92"/>
        <v>2.249694376071365E-2</v>
      </c>
      <c r="CE83" s="514">
        <f t="shared" si="92"/>
        <v>1.9987745024419246E-2</v>
      </c>
      <c r="CF83" s="514" t="e">
        <f t="shared" si="92"/>
        <v>#DIV/0!</v>
      </c>
      <c r="CG83" s="514">
        <f t="shared" si="92"/>
        <v>3.5545749834356544E-2</v>
      </c>
      <c r="CH83" s="514">
        <f t="shared" si="92"/>
        <v>3.5545749834356544E-2</v>
      </c>
      <c r="CI83" s="514">
        <f t="shared" si="92"/>
        <v>3.5545749834356544E-2</v>
      </c>
      <c r="CJ83" s="514" t="e">
        <f t="shared" si="92"/>
        <v>#DIV/0!</v>
      </c>
    </row>
    <row r="84" spans="1:136" s="5" customFormat="1" hidden="1" outlineLevel="1">
      <c r="B84" s="324"/>
      <c r="C84" s="324"/>
      <c r="D84" s="324"/>
      <c r="E84" s="324"/>
      <c r="F84" s="324"/>
      <c r="G84" s="324"/>
      <c r="H84" s="324"/>
      <c r="I84" s="324"/>
      <c r="J84" s="324"/>
      <c r="K84" s="324"/>
      <c r="L84" s="324"/>
      <c r="M84" s="324"/>
      <c r="N84" s="324"/>
      <c r="O84" s="324"/>
      <c r="P84" s="324"/>
      <c r="Q84" s="324"/>
      <c r="R84" s="324"/>
      <c r="S84" s="324"/>
      <c r="T84" s="324"/>
      <c r="U84" s="324"/>
      <c r="V84" s="324"/>
      <c r="W84" s="324"/>
      <c r="X84" s="324"/>
      <c r="Y84" s="324"/>
      <c r="Z84" s="324"/>
      <c r="AA84" s="324"/>
      <c r="AB84" s="324"/>
      <c r="AC84" s="324"/>
      <c r="AD84" s="324"/>
      <c r="AE84" s="324"/>
      <c r="AF84" s="324"/>
      <c r="AG84" s="324"/>
      <c r="AH84" s="324"/>
      <c r="AI84" s="324"/>
      <c r="AJ84" s="324"/>
      <c r="AK84" s="324"/>
      <c r="AL84" s="324"/>
      <c r="AM84" s="324"/>
      <c r="AN84" s="324"/>
      <c r="AO84" s="324"/>
      <c r="AP84" s="324"/>
      <c r="AQ84" s="324"/>
      <c r="AR84" s="324"/>
      <c r="AS84" s="324"/>
      <c r="AT84" s="324"/>
      <c r="AU84" s="324"/>
      <c r="AV84" s="324"/>
      <c r="AW84" s="324"/>
      <c r="AX84" s="324"/>
      <c r="AY84" s="324"/>
      <c r="AZ84" s="324"/>
      <c r="BA84" s="324"/>
      <c r="BB84" s="324"/>
      <c r="BC84" s="324"/>
      <c r="BD84" s="324"/>
      <c r="BE84" s="324"/>
      <c r="BF84" s="324"/>
      <c r="BG84" s="324"/>
      <c r="BH84" s="324"/>
      <c r="BI84" s="324"/>
      <c r="BJ84" s="324"/>
      <c r="BK84" s="324"/>
      <c r="BL84" s="324"/>
      <c r="BM84" s="324"/>
      <c r="BN84" s="324"/>
      <c r="BO84" s="324"/>
      <c r="BP84" s="324"/>
      <c r="BQ84" s="324"/>
      <c r="BR84" s="324"/>
      <c r="BS84" s="324"/>
      <c r="BT84" s="324"/>
      <c r="BU84" s="324"/>
      <c r="BV84" s="324"/>
      <c r="BW84" s="324"/>
      <c r="BX84" s="324"/>
      <c r="BY84" s="324"/>
      <c r="BZ84" s="324"/>
      <c r="CA84" s="324"/>
      <c r="CB84" s="324"/>
      <c r="CC84" s="324"/>
      <c r="CD84" s="324"/>
      <c r="CE84" s="324"/>
      <c r="CF84" s="324"/>
      <c r="CG84" s="324"/>
      <c r="CH84" s="324"/>
      <c r="CI84" s="324"/>
      <c r="CJ84" s="324"/>
    </row>
    <row r="85" spans="1:136" hidden="1" outlineLevel="1">
      <c r="A85" s="25" t="s">
        <v>575</v>
      </c>
      <c r="B85" s="518"/>
      <c r="C85" s="518"/>
      <c r="D85" s="518"/>
      <c r="E85" s="518"/>
      <c r="F85" s="518"/>
      <c r="G85" s="518"/>
      <c r="H85" s="518"/>
      <c r="I85" s="518"/>
      <c r="J85" s="518"/>
      <c r="K85" s="518"/>
      <c r="L85" s="518"/>
      <c r="M85" s="518"/>
      <c r="N85" s="518"/>
      <c r="O85" s="518"/>
      <c r="P85" s="531"/>
      <c r="Q85" s="531"/>
      <c r="R85" s="519"/>
      <c r="S85" s="519"/>
      <c r="T85" s="519"/>
      <c r="U85" s="519"/>
      <c r="V85" s="519"/>
      <c r="W85" s="518"/>
      <c r="X85" s="518"/>
      <c r="Y85" s="518"/>
      <c r="Z85" s="518"/>
      <c r="AA85" s="518"/>
      <c r="AB85" s="519"/>
      <c r="AC85" s="518"/>
      <c r="AD85" s="518"/>
      <c r="AE85" s="518"/>
      <c r="AF85" s="518"/>
      <c r="AG85" s="518"/>
      <c r="AH85" s="518"/>
      <c r="AI85" s="518"/>
      <c r="AJ85" s="518"/>
      <c r="AK85" s="518"/>
      <c r="AL85" s="518"/>
      <c r="AM85" s="518"/>
      <c r="AN85" s="518"/>
      <c r="AO85" s="518"/>
      <c r="AP85" s="518"/>
      <c r="AQ85" s="518"/>
      <c r="AR85" s="518"/>
      <c r="AS85" s="518"/>
      <c r="AT85" s="518"/>
      <c r="AU85" s="518"/>
      <c r="AV85" s="518"/>
      <c r="AW85" s="518"/>
      <c r="AX85" s="518"/>
      <c r="AY85" s="518"/>
      <c r="AZ85" s="518"/>
      <c r="BA85" s="518"/>
      <c r="BB85" s="518"/>
      <c r="BC85" s="518"/>
      <c r="BD85" s="518"/>
      <c r="BE85" s="518"/>
      <c r="BF85" s="518"/>
      <c r="BG85" s="518"/>
      <c r="BH85" s="518"/>
      <c r="BI85" s="518"/>
      <c r="BJ85" s="518"/>
      <c r="BK85" s="518"/>
      <c r="BL85" s="518"/>
      <c r="BM85" s="518"/>
      <c r="BN85" s="518"/>
      <c r="BO85" s="518"/>
      <c r="BP85" s="518"/>
      <c r="BQ85" s="518"/>
      <c r="BR85" s="518"/>
      <c r="BS85" s="518"/>
      <c r="BT85" s="518"/>
      <c r="BU85" s="521"/>
      <c r="BV85" s="521"/>
      <c r="BW85" s="521"/>
      <c r="BX85" s="521"/>
      <c r="BY85" s="521"/>
      <c r="BZ85" s="521"/>
      <c r="CA85" s="518"/>
      <c r="CB85" s="518"/>
      <c r="CC85" s="518"/>
      <c r="CD85" s="518"/>
      <c r="CE85" s="518"/>
      <c r="CF85" s="518"/>
      <c r="CG85" s="521"/>
      <c r="CH85" s="521"/>
      <c r="CI85" s="518"/>
      <c r="CJ85" s="518"/>
    </row>
    <row r="86" spans="1:136" s="5" customFormat="1" hidden="1" outlineLevel="1">
      <c r="A86" s="5" t="s">
        <v>41</v>
      </c>
      <c r="B86" s="523"/>
      <c r="C86" s="523"/>
      <c r="D86" s="523"/>
      <c r="E86" s="523"/>
      <c r="F86" s="523"/>
      <c r="G86" s="523"/>
      <c r="H86" s="523"/>
      <c r="I86" s="523"/>
      <c r="J86" s="523"/>
      <c r="K86" s="523"/>
      <c r="L86" s="523" t="s">
        <v>48</v>
      </c>
      <c r="M86" s="524">
        <v>1.7999999999999999E-2</v>
      </c>
      <c r="N86" s="506">
        <f t="shared" ref="N86:Q87" si="93">+N183/M$192</f>
        <v>2.5403284671532848E-2</v>
      </c>
      <c r="O86" s="506">
        <f t="shared" si="93"/>
        <v>0.1099491298527443</v>
      </c>
      <c r="P86" s="506">
        <f t="shared" si="93"/>
        <v>7.9159642401021735E-3</v>
      </c>
      <c r="Q86" s="506">
        <f t="shared" si="93"/>
        <v>-4.8839312057898501E-2</v>
      </c>
      <c r="R86" s="524">
        <v>-5.5E-2</v>
      </c>
      <c r="S86" s="524">
        <v>-2.5000000000000001E-2</v>
      </c>
      <c r="T86" s="524">
        <v>0.01</v>
      </c>
      <c r="U86" s="524">
        <v>0.02</v>
      </c>
      <c r="V86" s="524">
        <f t="shared" ref="V86:AA86" si="94">+U86*0.9</f>
        <v>1.8000000000000002E-2</v>
      </c>
      <c r="W86" s="524">
        <f t="shared" si="94"/>
        <v>1.6200000000000003E-2</v>
      </c>
      <c r="X86" s="524">
        <f t="shared" si="94"/>
        <v>1.4580000000000003E-2</v>
      </c>
      <c r="Y86" s="524">
        <f t="shared" si="94"/>
        <v>1.3122000000000003E-2</v>
      </c>
      <c r="Z86" s="524">
        <f t="shared" si="94"/>
        <v>1.1809800000000004E-2</v>
      </c>
      <c r="AA86" s="524">
        <f t="shared" si="94"/>
        <v>1.0628820000000004E-2</v>
      </c>
      <c r="AB86" s="324"/>
      <c r="AC86" s="523"/>
      <c r="AD86" s="523"/>
      <c r="AE86" s="523"/>
      <c r="AF86" s="523"/>
      <c r="AG86" s="523"/>
      <c r="AH86" s="523"/>
      <c r="AI86" s="523"/>
      <c r="AJ86" s="523"/>
      <c r="AK86" s="523"/>
      <c r="AL86" s="523"/>
      <c r="AM86" s="523"/>
      <c r="AN86" s="523"/>
      <c r="AO86" s="523"/>
      <c r="AP86" s="523"/>
      <c r="AQ86" s="523"/>
      <c r="AR86" s="523"/>
      <c r="AS86" s="523"/>
      <c r="AT86" s="523"/>
      <c r="AU86" s="523"/>
      <c r="AV86" s="523"/>
      <c r="AW86" s="523"/>
      <c r="AX86" s="523"/>
      <c r="AY86" s="523"/>
      <c r="AZ86" s="523"/>
      <c r="BA86" s="523"/>
      <c r="BB86" s="523"/>
      <c r="BC86" s="523"/>
      <c r="BD86" s="523"/>
      <c r="BE86" s="523" t="s">
        <v>48</v>
      </c>
      <c r="BF86" s="523" t="s">
        <v>48</v>
      </c>
      <c r="BG86" s="523" t="s">
        <v>48</v>
      </c>
      <c r="BH86" s="523" t="s">
        <v>48</v>
      </c>
      <c r="BI86" s="524">
        <v>2.7E-2</v>
      </c>
      <c r="BJ86" s="524">
        <v>4.4999999999999998E-2</v>
      </c>
      <c r="BK86" s="524">
        <v>-1.4E-2</v>
      </c>
      <c r="BL86" s="524">
        <v>4.1000000000000002E-2</v>
      </c>
      <c r="BM86" s="524">
        <v>7.3999999999999996E-2</v>
      </c>
      <c r="BN86" s="524">
        <v>0.123</v>
      </c>
      <c r="BO86" s="524">
        <v>0.16400000000000001</v>
      </c>
      <c r="BP86" s="524">
        <v>8.1000000000000003E-2</v>
      </c>
      <c r="BQ86" s="524">
        <v>5.6000000000000001E-2</v>
      </c>
      <c r="BR86" s="524">
        <v>3.3000000000000002E-2</v>
      </c>
      <c r="BS86" s="524">
        <v>-2.3E-2</v>
      </c>
      <c r="BT86" s="525">
        <v>-2.8000000000000001E-2</v>
      </c>
      <c r="BU86" s="524">
        <v>7.0270270270270272E-3</v>
      </c>
      <c r="BV86" s="527">
        <v>-3.8028169014084505E-2</v>
      </c>
      <c r="BW86" s="527">
        <v>-7.4999999999999997E-2</v>
      </c>
      <c r="BX86" s="526">
        <v>-8.6999999999999994E-2</v>
      </c>
      <c r="BY86" s="524">
        <v>-0.05</v>
      </c>
      <c r="BZ86" s="524">
        <v>-5.2999999999999999E-2</v>
      </c>
      <c r="CA86" s="524">
        <v>-6.7000000000000004E-2</v>
      </c>
      <c r="CB86" s="524">
        <f>+CB183/BX$192</f>
        <v>0</v>
      </c>
      <c r="CC86" s="524">
        <f>+S86</f>
        <v>-2.5000000000000001E-2</v>
      </c>
      <c r="CD86" s="524">
        <f>+S86</f>
        <v>-2.5000000000000001E-2</v>
      </c>
      <c r="CE86" s="524">
        <f>+S86</f>
        <v>-2.5000000000000001E-2</v>
      </c>
      <c r="CF86" s="524" t="e">
        <f>+CF183/CB$192</f>
        <v>#DIV/0!</v>
      </c>
      <c r="CG86" s="524">
        <f>+W86</f>
        <v>1.6200000000000003E-2</v>
      </c>
      <c r="CH86" s="524">
        <f>+W86</f>
        <v>1.6200000000000003E-2</v>
      </c>
      <c r="CI86" s="524">
        <f>+W86</f>
        <v>1.6200000000000003E-2</v>
      </c>
      <c r="CJ86" s="506" t="e">
        <f>+CJ183/CF$192</f>
        <v>#DIV/0!</v>
      </c>
      <c r="CK86" s="20"/>
      <c r="CL86" s="20"/>
    </row>
    <row r="87" spans="1:136" s="5" customFormat="1" hidden="1" outlineLevel="1">
      <c r="A87" s="5" t="s">
        <v>42</v>
      </c>
      <c r="B87" s="523"/>
      <c r="C87" s="523"/>
      <c r="D87" s="523"/>
      <c r="E87" s="523"/>
      <c r="F87" s="523"/>
      <c r="G87" s="523"/>
      <c r="H87" s="523"/>
      <c r="I87" s="523"/>
      <c r="J87" s="523"/>
      <c r="K87" s="523"/>
      <c r="L87" s="523" t="s">
        <v>48</v>
      </c>
      <c r="M87" s="524">
        <v>0.08</v>
      </c>
      <c r="N87" s="506">
        <f t="shared" si="93"/>
        <v>2.0606882168925963E-2</v>
      </c>
      <c r="O87" s="506">
        <f t="shared" si="93"/>
        <v>-1.8100401606425707E-2</v>
      </c>
      <c r="P87" s="506">
        <f t="shared" si="93"/>
        <v>5.6915964240102167E-2</v>
      </c>
      <c r="Q87" s="506">
        <f t="shared" si="93"/>
        <v>0.1092287044714601</v>
      </c>
      <c r="R87" s="524">
        <v>5.5E-2</v>
      </c>
      <c r="S87" s="524">
        <v>4.4999999999999998E-2</v>
      </c>
      <c r="T87" s="524">
        <v>0.04</v>
      </c>
      <c r="U87" s="524">
        <v>4.4999999999999998E-2</v>
      </c>
      <c r="V87" s="524">
        <v>4.4999999999999998E-2</v>
      </c>
      <c r="W87" s="524">
        <v>4.4999999999999998E-2</v>
      </c>
      <c r="X87" s="524">
        <v>4.4999999999999998E-2</v>
      </c>
      <c r="Y87" s="524">
        <v>4.4999999999999998E-2</v>
      </c>
      <c r="Z87" s="524">
        <v>4.4999999999999998E-2</v>
      </c>
      <c r="AA87" s="524">
        <v>4.4999999999999998E-2</v>
      </c>
      <c r="AB87" s="324"/>
      <c r="AC87" s="523"/>
      <c r="AD87" s="523"/>
      <c r="AE87" s="523"/>
      <c r="AF87" s="523"/>
      <c r="AG87" s="523"/>
      <c r="AH87" s="523"/>
      <c r="AI87" s="523"/>
      <c r="AJ87" s="523"/>
      <c r="AK87" s="523"/>
      <c r="AL87" s="523"/>
      <c r="AM87" s="523"/>
      <c r="AN87" s="523"/>
      <c r="AO87" s="523"/>
      <c r="AP87" s="523"/>
      <c r="AQ87" s="523"/>
      <c r="AR87" s="523"/>
      <c r="AS87" s="523"/>
      <c r="AT87" s="523"/>
      <c r="AU87" s="523"/>
      <c r="AV87" s="523"/>
      <c r="AW87" s="523"/>
      <c r="AX87" s="523"/>
      <c r="AY87" s="523"/>
      <c r="AZ87" s="523"/>
      <c r="BA87" s="523"/>
      <c r="BB87" s="523"/>
      <c r="BC87" s="523"/>
      <c r="BD87" s="523"/>
      <c r="BE87" s="523" t="s">
        <v>48</v>
      </c>
      <c r="BF87" s="523" t="s">
        <v>48</v>
      </c>
      <c r="BG87" s="523" t="s">
        <v>48</v>
      </c>
      <c r="BH87" s="523" t="s">
        <v>48</v>
      </c>
      <c r="BI87" s="524">
        <v>0.08</v>
      </c>
      <c r="BJ87" s="524">
        <v>3.1E-2</v>
      </c>
      <c r="BK87" s="524">
        <v>1E-3</v>
      </c>
      <c r="BL87" s="524">
        <v>-1.6E-2</v>
      </c>
      <c r="BM87" s="524">
        <v>-3.4000000000000002E-2</v>
      </c>
      <c r="BN87" s="524">
        <v>-0.01</v>
      </c>
      <c r="BO87" s="524">
        <v>-3.4000000000000002E-2</v>
      </c>
      <c r="BP87" s="524">
        <v>1E-3</v>
      </c>
      <c r="BQ87" s="524">
        <v>2.3E-2</v>
      </c>
      <c r="BR87" s="524">
        <v>0.03</v>
      </c>
      <c r="BS87" s="524">
        <v>7.9000000000000001E-2</v>
      </c>
      <c r="BT87" s="525">
        <v>9.0999999999999998E-2</v>
      </c>
      <c r="BU87" s="524">
        <v>5.7972972972972978E-2</v>
      </c>
      <c r="BV87" s="527">
        <v>9.8028169014084496E-2</v>
      </c>
      <c r="BW87" s="527">
        <v>0.13800000000000001</v>
      </c>
      <c r="BX87" s="526">
        <v>0.14099999999999999</v>
      </c>
      <c r="BY87" s="524">
        <v>9.5000000000000001E-2</v>
      </c>
      <c r="BZ87" s="524">
        <v>0.03</v>
      </c>
      <c r="CA87" s="524">
        <v>5.5E-2</v>
      </c>
      <c r="CB87" s="524">
        <f>+CB184/BX$192</f>
        <v>0</v>
      </c>
      <c r="CC87" s="524">
        <f>+S87</f>
        <v>4.4999999999999998E-2</v>
      </c>
      <c r="CD87" s="524">
        <f>+S87</f>
        <v>4.4999999999999998E-2</v>
      </c>
      <c r="CE87" s="524">
        <f>+S87</f>
        <v>4.4999999999999998E-2</v>
      </c>
      <c r="CF87" s="524" t="e">
        <f>+CF184/CB$192</f>
        <v>#DIV/0!</v>
      </c>
      <c r="CG87" s="524">
        <f>+W87</f>
        <v>4.4999999999999998E-2</v>
      </c>
      <c r="CH87" s="524">
        <f>+W87</f>
        <v>4.4999999999999998E-2</v>
      </c>
      <c r="CI87" s="524">
        <f>+W87</f>
        <v>4.4999999999999998E-2</v>
      </c>
      <c r="CJ87" s="506" t="e">
        <f>+CJ184/CF$192</f>
        <v>#DIV/0!</v>
      </c>
      <c r="CK87" s="20"/>
      <c r="CL87" s="20"/>
    </row>
    <row r="88" spans="1:136" s="90" customFormat="1" ht="6" hidden="1" customHeight="1" outlineLevel="1">
      <c r="A88" s="87"/>
      <c r="B88" s="103"/>
      <c r="C88" s="103"/>
      <c r="D88" s="103"/>
      <c r="E88" s="103"/>
      <c r="F88" s="103"/>
      <c r="G88" s="103"/>
      <c r="H88" s="103"/>
      <c r="I88" s="103"/>
      <c r="J88" s="103"/>
      <c r="K88" s="103"/>
      <c r="L88" s="103"/>
      <c r="M88" s="91"/>
      <c r="N88" s="91"/>
      <c r="O88" s="91"/>
      <c r="P88" s="502"/>
      <c r="Q88" s="158"/>
      <c r="R88" s="158"/>
      <c r="S88" s="158"/>
      <c r="T88" s="158"/>
      <c r="U88" s="158"/>
      <c r="V88" s="158"/>
      <c r="W88" s="158"/>
      <c r="X88" s="158"/>
      <c r="Y88" s="158"/>
      <c r="Z88" s="158"/>
      <c r="AA88" s="158"/>
      <c r="AB88" s="158"/>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O88" s="39"/>
      <c r="DK88" s="39"/>
      <c r="DL88" s="39"/>
      <c r="DM88" s="39"/>
      <c r="DN88" s="39"/>
      <c r="DO88" s="39"/>
      <c r="DP88" s="39"/>
      <c r="DQ88" s="91"/>
      <c r="DR88" s="39"/>
      <c r="DS88" s="39"/>
      <c r="DT88" s="39"/>
      <c r="DU88" s="39"/>
      <c r="DV88" s="39"/>
      <c r="DW88" s="39"/>
      <c r="DX88" s="39"/>
      <c r="DY88" s="39"/>
      <c r="DZ88" s="39"/>
      <c r="EA88" s="92"/>
      <c r="EB88" s="92"/>
      <c r="EC88" s="92"/>
      <c r="ED88" s="92"/>
      <c r="EE88" s="92"/>
      <c r="EF88" s="92"/>
    </row>
    <row r="89" spans="1:136" s="5" customFormat="1" hidden="1" outlineLevel="1">
      <c r="A89" s="5" t="s">
        <v>43</v>
      </c>
      <c r="B89" s="523"/>
      <c r="C89" s="523"/>
      <c r="D89" s="523"/>
      <c r="E89" s="523"/>
      <c r="F89" s="523"/>
      <c r="G89" s="523"/>
      <c r="H89" s="523"/>
      <c r="I89" s="523"/>
      <c r="J89" s="523"/>
      <c r="K89" s="523"/>
      <c r="L89" s="523" t="s">
        <v>48</v>
      </c>
      <c r="M89" s="506">
        <f t="shared" ref="M89:S89" si="95">+M186/L$192</f>
        <v>-5.6648777579010141E-3</v>
      </c>
      <c r="N89" s="506">
        <f t="shared" si="95"/>
        <v>-4.6141814389989572E-2</v>
      </c>
      <c r="O89" s="506">
        <f t="shared" si="95"/>
        <v>-4.524765729585007E-2</v>
      </c>
      <c r="P89" s="506">
        <f t="shared" si="95"/>
        <v>-0.13358876117496807</v>
      </c>
      <c r="Q89" s="506">
        <f t="shared" si="95"/>
        <v>-0.20778784827123195</v>
      </c>
      <c r="R89" s="506">
        <f t="shared" si="95"/>
        <v>-6.6141732283464566E-2</v>
      </c>
      <c r="S89" s="506">
        <f t="shared" si="95"/>
        <v>-4.6374367622259695E-2</v>
      </c>
      <c r="T89" s="524">
        <v>0</v>
      </c>
      <c r="U89" s="524">
        <v>0</v>
      </c>
      <c r="V89" s="524">
        <v>0</v>
      </c>
      <c r="W89" s="524">
        <v>0</v>
      </c>
      <c r="X89" s="524">
        <v>0</v>
      </c>
      <c r="Y89" s="524">
        <v>0</v>
      </c>
      <c r="Z89" s="524">
        <v>0</v>
      </c>
      <c r="AA89" s="524">
        <v>0</v>
      </c>
      <c r="AB89" s="324"/>
      <c r="AC89" s="523"/>
      <c r="AD89" s="523"/>
      <c r="AE89" s="523"/>
      <c r="AF89" s="523"/>
      <c r="AG89" s="523"/>
      <c r="AH89" s="523"/>
      <c r="AI89" s="523"/>
      <c r="AJ89" s="523"/>
      <c r="AK89" s="523"/>
      <c r="AL89" s="523"/>
      <c r="AM89" s="523"/>
      <c r="AN89" s="523"/>
      <c r="AO89" s="523"/>
      <c r="AP89" s="523"/>
      <c r="AQ89" s="523"/>
      <c r="AR89" s="523"/>
      <c r="AS89" s="523"/>
      <c r="AT89" s="523"/>
      <c r="AU89" s="523"/>
      <c r="AV89" s="523"/>
      <c r="AW89" s="523"/>
      <c r="AX89" s="523"/>
      <c r="AY89" s="523"/>
      <c r="AZ89" s="523"/>
      <c r="BA89" s="523"/>
      <c r="BB89" s="523"/>
      <c r="BC89" s="523"/>
      <c r="BD89" s="523"/>
      <c r="BE89" s="523" t="s">
        <v>48</v>
      </c>
      <c r="BF89" s="523" t="s">
        <v>48</v>
      </c>
      <c r="BG89" s="523" t="s">
        <v>48</v>
      </c>
      <c r="BH89" s="523" t="s">
        <v>48</v>
      </c>
      <c r="BI89" s="506">
        <f t="shared" ref="BI89:BR93" si="96">+BI186/BE$192</f>
        <v>-4.0201005025125629E-2</v>
      </c>
      <c r="BJ89" s="506">
        <f t="shared" si="96"/>
        <v>-7.093596059113301E-2</v>
      </c>
      <c r="BK89" s="506">
        <f t="shared" si="96"/>
        <v>-6.3607924921793541E-2</v>
      </c>
      <c r="BL89" s="506">
        <f t="shared" si="96"/>
        <v>-1.125703564727955E-2</v>
      </c>
      <c r="BM89" s="506">
        <f t="shared" si="96"/>
        <v>-3.2979976442873968E-2</v>
      </c>
      <c r="BN89" s="506">
        <f t="shared" si="96"/>
        <v>-3.9378238341968914E-2</v>
      </c>
      <c r="BO89" s="506">
        <f t="shared" si="96"/>
        <v>-5.4176072234762979E-2</v>
      </c>
      <c r="BP89" s="506">
        <f t="shared" si="96"/>
        <v>-5.3140096618357488E-2</v>
      </c>
      <c r="BQ89" s="506">
        <f t="shared" si="96"/>
        <v>-0.10081112398609501</v>
      </c>
      <c r="BR89" s="506">
        <f t="shared" si="96"/>
        <v>-9.1434071222329161E-2</v>
      </c>
      <c r="BS89" s="506">
        <f t="shared" ref="BS89:CA93" si="97">+BS186/BO$192</f>
        <v>-0.11286919831223628</v>
      </c>
      <c r="BT89" s="506">
        <f t="shared" si="97"/>
        <v>-0.21971830985915494</v>
      </c>
      <c r="BU89" s="506">
        <f t="shared" si="97"/>
        <v>-0.21207658321060383</v>
      </c>
      <c r="BV89" s="506">
        <f t="shared" si="97"/>
        <v>-0.17976190476190476</v>
      </c>
      <c r="BW89" s="533">
        <f t="shared" si="97"/>
        <v>-0.25517241379310346</v>
      </c>
      <c r="BX89" s="533">
        <f t="shared" si="97"/>
        <v>-0.18911564625850341</v>
      </c>
      <c r="BY89" s="533">
        <f t="shared" si="97"/>
        <v>-0.1001727115716753</v>
      </c>
      <c r="BZ89" s="533">
        <f t="shared" si="97"/>
        <v>-0.10013531799729364</v>
      </c>
      <c r="CA89" s="533">
        <f t="shared" si="97"/>
        <v>-6.1433447098976107E-2</v>
      </c>
      <c r="CB89" s="533">
        <v>-0.05</v>
      </c>
      <c r="CC89" s="533">
        <v>-4.2622243122350356E-2</v>
      </c>
      <c r="CD89" s="533">
        <v>-7.7581904796673137E-2</v>
      </c>
      <c r="CE89" s="533">
        <v>-8.8410642258945252E-2</v>
      </c>
      <c r="CF89" s="533">
        <v>-4.8619621745326025E-2</v>
      </c>
      <c r="CG89" s="524">
        <v>-4.2622243122350356E-2</v>
      </c>
      <c r="CH89" s="524">
        <v>-7.7581904796673137E-2</v>
      </c>
      <c r="CI89" s="524">
        <v>-8.8410642258945252E-2</v>
      </c>
      <c r="CJ89" s="524">
        <v>-4.8619621745326025E-2</v>
      </c>
    </row>
    <row r="90" spans="1:136" s="5" customFormat="1" hidden="1" outlineLevel="1">
      <c r="A90" s="5" t="s">
        <v>44</v>
      </c>
      <c r="B90" s="523"/>
      <c r="C90" s="523"/>
      <c r="D90" s="523"/>
      <c r="E90" s="523"/>
      <c r="F90" s="523"/>
      <c r="G90" s="523"/>
      <c r="H90" s="523"/>
      <c r="I90" s="523"/>
      <c r="J90" s="523"/>
      <c r="K90" s="523"/>
      <c r="L90" s="523" t="s">
        <v>48</v>
      </c>
      <c r="M90" s="506">
        <f t="shared" ref="M90:Q93" si="98">+M187/L$192</f>
        <v>2.2361359570661897E-2</v>
      </c>
      <c r="N90" s="506">
        <f t="shared" si="98"/>
        <v>0</v>
      </c>
      <c r="O90" s="506">
        <f t="shared" si="98"/>
        <v>2.3694779116465864E-2</v>
      </c>
      <c r="P90" s="506">
        <f t="shared" si="98"/>
        <v>3.3205619412515963E-3</v>
      </c>
      <c r="Q90" s="506">
        <f t="shared" si="98"/>
        <v>0</v>
      </c>
      <c r="R90" s="524">
        <v>0</v>
      </c>
      <c r="S90" s="524">
        <v>0</v>
      </c>
      <c r="T90" s="524">
        <v>0</v>
      </c>
      <c r="U90" s="524">
        <v>0</v>
      </c>
      <c r="V90" s="524">
        <v>0</v>
      </c>
      <c r="W90" s="524">
        <v>0</v>
      </c>
      <c r="X90" s="524">
        <v>0</v>
      </c>
      <c r="Y90" s="524">
        <v>0</v>
      </c>
      <c r="Z90" s="524">
        <v>0</v>
      </c>
      <c r="AA90" s="524">
        <v>0</v>
      </c>
      <c r="AB90" s="324"/>
      <c r="AC90" s="523"/>
      <c r="AD90" s="523"/>
      <c r="AE90" s="523"/>
      <c r="AF90" s="523"/>
      <c r="AG90" s="523"/>
      <c r="AH90" s="523"/>
      <c r="AI90" s="523"/>
      <c r="AJ90" s="523"/>
      <c r="AK90" s="523"/>
      <c r="AL90" s="523"/>
      <c r="AM90" s="523"/>
      <c r="AN90" s="523"/>
      <c r="AO90" s="523"/>
      <c r="AP90" s="523"/>
      <c r="AQ90" s="523"/>
      <c r="AR90" s="523"/>
      <c r="AS90" s="523"/>
      <c r="AT90" s="523"/>
      <c r="AU90" s="523"/>
      <c r="AV90" s="523"/>
      <c r="AW90" s="523"/>
      <c r="AX90" s="523"/>
      <c r="AY90" s="523"/>
      <c r="AZ90" s="523"/>
      <c r="BA90" s="523"/>
      <c r="BB90" s="523"/>
      <c r="BC90" s="523"/>
      <c r="BD90" s="523"/>
      <c r="BE90" s="523" t="s">
        <v>48</v>
      </c>
      <c r="BF90" s="523" t="s">
        <v>48</v>
      </c>
      <c r="BG90" s="523" t="s">
        <v>48</v>
      </c>
      <c r="BH90" s="523" t="s">
        <v>48</v>
      </c>
      <c r="BI90" s="506">
        <f t="shared" si="96"/>
        <v>0</v>
      </c>
      <c r="BJ90" s="506">
        <f t="shared" si="96"/>
        <v>0</v>
      </c>
      <c r="BK90" s="506">
        <f t="shared" si="96"/>
        <v>0</v>
      </c>
      <c r="BL90" s="506">
        <f t="shared" si="96"/>
        <v>0</v>
      </c>
      <c r="BM90" s="506">
        <f t="shared" si="96"/>
        <v>1.4134275618374558E-2</v>
      </c>
      <c r="BN90" s="506">
        <f t="shared" si="96"/>
        <v>2.4870466321243522E-2</v>
      </c>
      <c r="BO90" s="506">
        <f t="shared" si="96"/>
        <v>2.5959367945823927E-2</v>
      </c>
      <c r="BP90" s="506">
        <f t="shared" si="96"/>
        <v>2.8502415458937197E-2</v>
      </c>
      <c r="BQ90" s="506">
        <f t="shared" si="96"/>
        <v>1.5063731170336037E-2</v>
      </c>
      <c r="BR90" s="506">
        <f t="shared" si="96"/>
        <v>0</v>
      </c>
      <c r="BS90" s="506">
        <f t="shared" si="97"/>
        <v>0</v>
      </c>
      <c r="BT90" s="506">
        <f t="shared" si="97"/>
        <v>0</v>
      </c>
      <c r="BU90" s="506">
        <f t="shared" si="97"/>
        <v>0</v>
      </c>
      <c r="BV90" s="506">
        <f t="shared" si="97"/>
        <v>0</v>
      </c>
      <c r="BW90" s="506">
        <f t="shared" si="97"/>
        <v>0</v>
      </c>
      <c r="BX90" s="506">
        <f t="shared" si="97"/>
        <v>0</v>
      </c>
      <c r="BY90" s="506">
        <f t="shared" si="97"/>
        <v>0</v>
      </c>
      <c r="BZ90" s="506">
        <f t="shared" si="97"/>
        <v>0</v>
      </c>
      <c r="CA90" s="506">
        <f t="shared" si="97"/>
        <v>0</v>
      </c>
      <c r="CB90" s="506">
        <f>+CB187/BX$192</f>
        <v>0</v>
      </c>
      <c r="CC90" s="506">
        <v>0</v>
      </c>
      <c r="CD90" s="506">
        <v>0</v>
      </c>
      <c r="CE90" s="506">
        <v>0</v>
      </c>
      <c r="CF90" s="506" t="e">
        <f>+CF187/CB$192</f>
        <v>#DIV/0!</v>
      </c>
      <c r="CG90" s="524">
        <v>0</v>
      </c>
      <c r="CH90" s="524">
        <v>0</v>
      </c>
      <c r="CI90" s="524">
        <v>0</v>
      </c>
      <c r="CJ90" s="506" t="e">
        <f>+CJ187/CF$192</f>
        <v>#DIV/0!</v>
      </c>
    </row>
    <row r="91" spans="1:136" s="5" customFormat="1" hidden="1" outlineLevel="1">
      <c r="A91" s="5" t="s">
        <v>45</v>
      </c>
      <c r="B91" s="523"/>
      <c r="C91" s="523"/>
      <c r="D91" s="523"/>
      <c r="E91" s="523"/>
      <c r="F91" s="523"/>
      <c r="G91" s="523"/>
      <c r="H91" s="523"/>
      <c r="I91" s="523"/>
      <c r="J91" s="523"/>
      <c r="K91" s="523"/>
      <c r="L91" s="523" t="s">
        <v>48</v>
      </c>
      <c r="M91" s="506">
        <f t="shared" si="98"/>
        <v>0</v>
      </c>
      <c r="N91" s="506">
        <f t="shared" si="98"/>
        <v>0</v>
      </c>
      <c r="O91" s="506">
        <f t="shared" si="98"/>
        <v>-2.1820615796519411E-2</v>
      </c>
      <c r="P91" s="506">
        <f t="shared" si="98"/>
        <v>-5.108556832694764E-3</v>
      </c>
      <c r="Q91" s="506">
        <f t="shared" si="98"/>
        <v>0</v>
      </c>
      <c r="R91" s="524">
        <v>0</v>
      </c>
      <c r="S91" s="524">
        <v>0</v>
      </c>
      <c r="T91" s="524">
        <v>0</v>
      </c>
      <c r="U91" s="524">
        <v>0</v>
      </c>
      <c r="V91" s="524">
        <v>0</v>
      </c>
      <c r="W91" s="524">
        <v>0</v>
      </c>
      <c r="X91" s="524">
        <v>0</v>
      </c>
      <c r="Y91" s="524">
        <v>0</v>
      </c>
      <c r="Z91" s="524">
        <v>0</v>
      </c>
      <c r="AA91" s="524">
        <v>0</v>
      </c>
      <c r="AB91" s="324"/>
      <c r="AC91" s="523"/>
      <c r="AD91" s="523"/>
      <c r="AE91" s="523"/>
      <c r="AF91" s="523"/>
      <c r="AG91" s="523"/>
      <c r="AH91" s="523"/>
      <c r="AI91" s="523"/>
      <c r="AJ91" s="523"/>
      <c r="AK91" s="523"/>
      <c r="AL91" s="523"/>
      <c r="AM91" s="523"/>
      <c r="AN91" s="523"/>
      <c r="AO91" s="523"/>
      <c r="AP91" s="523"/>
      <c r="AQ91" s="523"/>
      <c r="AR91" s="523"/>
      <c r="AS91" s="523"/>
      <c r="AT91" s="523"/>
      <c r="AU91" s="523"/>
      <c r="AV91" s="523"/>
      <c r="AW91" s="523"/>
      <c r="AX91" s="523"/>
      <c r="AY91" s="523"/>
      <c r="AZ91" s="523"/>
      <c r="BA91" s="523"/>
      <c r="BB91" s="523"/>
      <c r="BC91" s="523"/>
      <c r="BD91" s="523"/>
      <c r="BE91" s="523" t="s">
        <v>48</v>
      </c>
      <c r="BF91" s="523" t="s">
        <v>48</v>
      </c>
      <c r="BG91" s="523" t="s">
        <v>48</v>
      </c>
      <c r="BH91" s="523" t="s">
        <v>48</v>
      </c>
      <c r="BI91" s="506">
        <f t="shared" si="96"/>
        <v>0</v>
      </c>
      <c r="BJ91" s="506">
        <f t="shared" si="96"/>
        <v>0</v>
      </c>
      <c r="BK91" s="506">
        <f t="shared" si="96"/>
        <v>0</v>
      </c>
      <c r="BL91" s="506">
        <f t="shared" si="96"/>
        <v>0</v>
      </c>
      <c r="BM91" s="506">
        <f t="shared" si="96"/>
        <v>-4.122497055359246E-3</v>
      </c>
      <c r="BN91" s="506">
        <f t="shared" si="96"/>
        <v>-2.1761658031088083E-2</v>
      </c>
      <c r="BO91" s="506">
        <f t="shared" si="96"/>
        <v>-3.160270880361174E-2</v>
      </c>
      <c r="BP91" s="506">
        <f t="shared" si="96"/>
        <v>-2.8019323671497585E-2</v>
      </c>
      <c r="BQ91" s="506">
        <f t="shared" si="96"/>
        <v>-2.20162224797219E-2</v>
      </c>
      <c r="BR91" s="506">
        <f t="shared" si="96"/>
        <v>-9.6246390760346492E-4</v>
      </c>
      <c r="BS91" s="506">
        <f t="shared" si="97"/>
        <v>0</v>
      </c>
      <c r="BT91" s="506">
        <f t="shared" si="97"/>
        <v>0</v>
      </c>
      <c r="BU91" s="506">
        <f t="shared" si="97"/>
        <v>0</v>
      </c>
      <c r="BV91" s="506">
        <f t="shared" si="97"/>
        <v>0</v>
      </c>
      <c r="BW91" s="506">
        <f t="shared" si="97"/>
        <v>0</v>
      </c>
      <c r="BX91" s="506">
        <f t="shared" si="97"/>
        <v>0</v>
      </c>
      <c r="BY91" s="506">
        <f t="shared" si="97"/>
        <v>0</v>
      </c>
      <c r="BZ91" s="506">
        <f t="shared" si="97"/>
        <v>0</v>
      </c>
      <c r="CA91" s="506">
        <f t="shared" si="97"/>
        <v>0</v>
      </c>
      <c r="CB91" s="506">
        <f>+CB188/BX$192</f>
        <v>0</v>
      </c>
      <c r="CC91" s="506">
        <v>0</v>
      </c>
      <c r="CD91" s="506">
        <v>0</v>
      </c>
      <c r="CE91" s="506">
        <v>0</v>
      </c>
      <c r="CF91" s="506" t="e">
        <f>+CF188/CB$192</f>
        <v>#DIV/0!</v>
      </c>
      <c r="CG91" s="524">
        <v>0</v>
      </c>
      <c r="CH91" s="524">
        <v>0</v>
      </c>
      <c r="CI91" s="524">
        <v>0</v>
      </c>
      <c r="CJ91" s="506" t="e">
        <f>+CJ188/CF$192</f>
        <v>#DIV/0!</v>
      </c>
    </row>
    <row r="92" spans="1:136" s="5" customFormat="1" hidden="1" outlineLevel="1">
      <c r="A92" s="5" t="s">
        <v>46</v>
      </c>
      <c r="B92" s="523"/>
      <c r="C92" s="523"/>
      <c r="D92" s="523"/>
      <c r="E92" s="523"/>
      <c r="F92" s="523"/>
      <c r="G92" s="523"/>
      <c r="H92" s="523"/>
      <c r="I92" s="523"/>
      <c r="J92" s="523"/>
      <c r="K92" s="523"/>
      <c r="L92" s="523" t="s">
        <v>48</v>
      </c>
      <c r="M92" s="506">
        <f t="shared" si="98"/>
        <v>2.8622540250447227E-2</v>
      </c>
      <c r="N92" s="506">
        <f t="shared" si="98"/>
        <v>-2.502606882168926E-2</v>
      </c>
      <c r="O92" s="506">
        <f t="shared" si="98"/>
        <v>0</v>
      </c>
      <c r="P92" s="506">
        <f t="shared" si="98"/>
        <v>0</v>
      </c>
      <c r="Q92" s="506">
        <f t="shared" si="98"/>
        <v>0</v>
      </c>
      <c r="R92" s="524">
        <v>0</v>
      </c>
      <c r="S92" s="524">
        <v>0</v>
      </c>
      <c r="T92" s="524">
        <v>0</v>
      </c>
      <c r="U92" s="524">
        <v>0</v>
      </c>
      <c r="V92" s="524">
        <v>0</v>
      </c>
      <c r="W92" s="524">
        <v>0</v>
      </c>
      <c r="X92" s="524">
        <v>0</v>
      </c>
      <c r="Y92" s="524">
        <v>0</v>
      </c>
      <c r="Z92" s="524">
        <v>0</v>
      </c>
      <c r="AA92" s="524">
        <v>0</v>
      </c>
      <c r="AB92" s="324"/>
      <c r="AC92" s="523"/>
      <c r="AD92" s="523"/>
      <c r="AE92" s="523"/>
      <c r="AF92" s="523"/>
      <c r="AG92" s="523"/>
      <c r="AH92" s="523"/>
      <c r="AI92" s="523"/>
      <c r="AJ92" s="523"/>
      <c r="AK92" s="523"/>
      <c r="AL92" s="523"/>
      <c r="AM92" s="523"/>
      <c r="AN92" s="523"/>
      <c r="AO92" s="523"/>
      <c r="AP92" s="523"/>
      <c r="AQ92" s="523"/>
      <c r="AR92" s="523"/>
      <c r="AS92" s="523"/>
      <c r="AT92" s="523"/>
      <c r="AU92" s="523"/>
      <c r="AV92" s="523"/>
      <c r="AW92" s="523"/>
      <c r="AX92" s="523"/>
      <c r="AY92" s="523"/>
      <c r="AZ92" s="523"/>
      <c r="BA92" s="523"/>
      <c r="BB92" s="523"/>
      <c r="BC92" s="523"/>
      <c r="BD92" s="523"/>
      <c r="BE92" s="523" t="s">
        <v>48</v>
      </c>
      <c r="BF92" s="523" t="s">
        <v>48</v>
      </c>
      <c r="BG92" s="523" t="s">
        <v>48</v>
      </c>
      <c r="BH92" s="523" t="s">
        <v>48</v>
      </c>
      <c r="BI92" s="506">
        <f t="shared" si="96"/>
        <v>0</v>
      </c>
      <c r="BJ92" s="506">
        <f t="shared" si="96"/>
        <v>-5.024630541871921E-2</v>
      </c>
      <c r="BK92" s="506">
        <f t="shared" si="96"/>
        <v>0</v>
      </c>
      <c r="BL92" s="506">
        <f t="shared" si="96"/>
        <v>-4.2213883677298308E-2</v>
      </c>
      <c r="BM92" s="506">
        <f t="shared" si="96"/>
        <v>0</v>
      </c>
      <c r="BN92" s="506">
        <f t="shared" si="96"/>
        <v>0</v>
      </c>
      <c r="BO92" s="506">
        <f t="shared" si="96"/>
        <v>0</v>
      </c>
      <c r="BP92" s="506">
        <f t="shared" si="96"/>
        <v>0</v>
      </c>
      <c r="BQ92" s="506">
        <f t="shared" si="96"/>
        <v>0</v>
      </c>
      <c r="BR92" s="506">
        <f t="shared" si="96"/>
        <v>0</v>
      </c>
      <c r="BS92" s="506">
        <f t="shared" si="97"/>
        <v>0</v>
      </c>
      <c r="BT92" s="506">
        <f t="shared" si="97"/>
        <v>0</v>
      </c>
      <c r="BU92" s="506">
        <f t="shared" si="97"/>
        <v>0</v>
      </c>
      <c r="BV92" s="506">
        <f t="shared" si="97"/>
        <v>0</v>
      </c>
      <c r="BW92" s="506">
        <f t="shared" si="97"/>
        <v>0</v>
      </c>
      <c r="BX92" s="506">
        <f t="shared" si="97"/>
        <v>0</v>
      </c>
      <c r="BY92" s="506">
        <f t="shared" si="97"/>
        <v>0</v>
      </c>
      <c r="BZ92" s="506">
        <f t="shared" si="97"/>
        <v>0</v>
      </c>
      <c r="CA92" s="506">
        <f t="shared" si="97"/>
        <v>0</v>
      </c>
      <c r="CB92" s="506">
        <f>+CB189/BX$192</f>
        <v>0</v>
      </c>
      <c r="CC92" s="506">
        <v>0</v>
      </c>
      <c r="CD92" s="506">
        <v>0</v>
      </c>
      <c r="CE92" s="506">
        <v>0</v>
      </c>
      <c r="CF92" s="506" t="e">
        <f>+CF189/CB$192</f>
        <v>#DIV/0!</v>
      </c>
      <c r="CG92" s="524">
        <v>0</v>
      </c>
      <c r="CH92" s="524">
        <v>0</v>
      </c>
      <c r="CI92" s="524">
        <v>0</v>
      </c>
      <c r="CJ92" s="506" t="e">
        <f>+CJ189/CF$192</f>
        <v>#DIV/0!</v>
      </c>
    </row>
    <row r="93" spans="1:136" s="5" customFormat="1" hidden="1" outlineLevel="1">
      <c r="A93" s="5" t="s">
        <v>47</v>
      </c>
      <c r="B93" s="523"/>
      <c r="C93" s="523"/>
      <c r="D93" s="523"/>
      <c r="E93" s="523"/>
      <c r="F93" s="523"/>
      <c r="G93" s="523"/>
      <c r="H93" s="523"/>
      <c r="I93" s="523"/>
      <c r="J93" s="523"/>
      <c r="K93" s="523"/>
      <c r="L93" s="523" t="s">
        <v>48</v>
      </c>
      <c r="M93" s="506">
        <f t="shared" si="98"/>
        <v>0</v>
      </c>
      <c r="N93" s="506">
        <f t="shared" si="98"/>
        <v>0</v>
      </c>
      <c r="O93" s="506">
        <f t="shared" si="98"/>
        <v>0</v>
      </c>
      <c r="P93" s="506">
        <f t="shared" si="98"/>
        <v>-0.16853563218390805</v>
      </c>
      <c r="Q93" s="506">
        <f t="shared" si="98"/>
        <v>1.5609264853977959E-4</v>
      </c>
      <c r="R93" s="524">
        <v>0</v>
      </c>
      <c r="S93" s="524">
        <v>0</v>
      </c>
      <c r="T93" s="524">
        <v>0</v>
      </c>
      <c r="U93" s="524">
        <v>0</v>
      </c>
      <c r="V93" s="524">
        <v>0</v>
      </c>
      <c r="W93" s="524">
        <v>0</v>
      </c>
      <c r="X93" s="524">
        <v>0</v>
      </c>
      <c r="Y93" s="524">
        <v>0</v>
      </c>
      <c r="Z93" s="524">
        <v>0</v>
      </c>
      <c r="AA93" s="524">
        <v>0</v>
      </c>
      <c r="AB93" s="324"/>
      <c r="AC93" s="523"/>
      <c r="AD93" s="523"/>
      <c r="AE93" s="523"/>
      <c r="AF93" s="523"/>
      <c r="AG93" s="523"/>
      <c r="AH93" s="523"/>
      <c r="AI93" s="523"/>
      <c r="AJ93" s="523"/>
      <c r="AK93" s="523"/>
      <c r="AL93" s="523"/>
      <c r="AM93" s="523"/>
      <c r="AN93" s="523"/>
      <c r="AO93" s="523"/>
      <c r="AP93" s="523"/>
      <c r="AQ93" s="523"/>
      <c r="AR93" s="523"/>
      <c r="AS93" s="523"/>
      <c r="AT93" s="523"/>
      <c r="AU93" s="523"/>
      <c r="AV93" s="523"/>
      <c r="AW93" s="523"/>
      <c r="AX93" s="523"/>
      <c r="AY93" s="523"/>
      <c r="AZ93" s="523"/>
      <c r="BA93" s="523"/>
      <c r="BB93" s="523"/>
      <c r="BC93" s="523"/>
      <c r="BD93" s="523"/>
      <c r="BE93" s="523" t="s">
        <v>48</v>
      </c>
      <c r="BF93" s="523" t="s">
        <v>48</v>
      </c>
      <c r="BG93" s="523" t="s">
        <v>48</v>
      </c>
      <c r="BH93" s="523" t="s">
        <v>48</v>
      </c>
      <c r="BI93" s="506">
        <f t="shared" si="96"/>
        <v>0</v>
      </c>
      <c r="BJ93" s="506">
        <f t="shared" si="96"/>
        <v>0</v>
      </c>
      <c r="BK93" s="506">
        <f t="shared" si="96"/>
        <v>0</v>
      </c>
      <c r="BL93" s="506">
        <f t="shared" si="96"/>
        <v>0</v>
      </c>
      <c r="BM93" s="506">
        <f t="shared" si="96"/>
        <v>0</v>
      </c>
      <c r="BN93" s="506">
        <f t="shared" si="96"/>
        <v>0</v>
      </c>
      <c r="BO93" s="506">
        <f t="shared" si="96"/>
        <v>0</v>
      </c>
      <c r="BP93" s="506">
        <f t="shared" si="96"/>
        <v>0</v>
      </c>
      <c r="BQ93" s="506">
        <f t="shared" si="96"/>
        <v>-0.18444611819235229</v>
      </c>
      <c r="BR93" s="506">
        <f t="shared" si="96"/>
        <v>-0.16213378248315688</v>
      </c>
      <c r="BS93" s="506">
        <f t="shared" si="97"/>
        <v>-0.17836286919831223</v>
      </c>
      <c r="BT93" s="506">
        <f t="shared" si="97"/>
        <v>-0.15314084507042253</v>
      </c>
      <c r="BU93" s="506">
        <f t="shared" si="97"/>
        <v>-1.9882179675992769E-4</v>
      </c>
      <c r="BV93" s="506">
        <f t="shared" si="97"/>
        <v>-4.7619047619048297E-4</v>
      </c>
      <c r="BW93" s="506">
        <f t="shared" si="97"/>
        <v>0</v>
      </c>
      <c r="BX93" s="506">
        <f t="shared" si="97"/>
        <v>1.3605442176870747E-3</v>
      </c>
      <c r="BY93" s="506">
        <f t="shared" si="97"/>
        <v>0</v>
      </c>
      <c r="BZ93" s="506">
        <f t="shared" si="97"/>
        <v>0</v>
      </c>
      <c r="CA93" s="506">
        <f t="shared" si="97"/>
        <v>0</v>
      </c>
      <c r="CB93" s="506">
        <f>+CB190/BX$192</f>
        <v>0</v>
      </c>
      <c r="CC93" s="506">
        <v>0</v>
      </c>
      <c r="CD93" s="506">
        <v>0</v>
      </c>
      <c r="CE93" s="506">
        <v>0</v>
      </c>
      <c r="CF93" s="506" t="e">
        <f>+CF190/CB$192</f>
        <v>#DIV/0!</v>
      </c>
      <c r="CG93" s="524">
        <v>0</v>
      </c>
      <c r="CH93" s="524">
        <v>0</v>
      </c>
      <c r="CI93" s="524">
        <v>0</v>
      </c>
      <c r="CJ93" s="506" t="e">
        <f>+CJ190/CF$192</f>
        <v>#DIV/0!</v>
      </c>
    </row>
    <row r="94" spans="1:136" s="90" customFormat="1" ht="6" hidden="1" customHeight="1" outlineLevel="1">
      <c r="A94" s="87"/>
      <c r="B94" s="103"/>
      <c r="C94" s="103"/>
      <c r="D94" s="103"/>
      <c r="E94" s="103"/>
      <c r="F94" s="103"/>
      <c r="G94" s="103"/>
      <c r="H94" s="103"/>
      <c r="I94" s="103"/>
      <c r="J94" s="103"/>
      <c r="K94" s="103"/>
      <c r="L94" s="103"/>
      <c r="M94" s="91"/>
      <c r="N94" s="91"/>
      <c r="O94" s="91"/>
      <c r="P94" s="502"/>
      <c r="Q94" s="158"/>
      <c r="R94" s="158"/>
      <c r="S94" s="158"/>
      <c r="T94" s="158"/>
      <c r="U94" s="158"/>
      <c r="V94" s="158"/>
      <c r="W94" s="158"/>
      <c r="X94" s="158"/>
      <c r="Y94" s="158"/>
      <c r="Z94" s="158"/>
      <c r="AA94" s="158"/>
      <c r="AB94" s="158"/>
      <c r="AC94" s="103"/>
      <c r="AD94" s="103"/>
      <c r="AE94" s="103"/>
      <c r="AF94" s="103"/>
      <c r="AG94" s="103"/>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91"/>
      <c r="BH94" s="91"/>
      <c r="BI94" s="91"/>
      <c r="BJ94" s="91"/>
      <c r="BK94" s="91"/>
      <c r="BL94" s="91"/>
      <c r="BM94" s="91"/>
      <c r="BN94" s="91"/>
      <c r="BO94" s="91"/>
      <c r="BP94" s="91"/>
      <c r="BQ94" s="91"/>
      <c r="BR94" s="91"/>
      <c r="BS94" s="91"/>
      <c r="BT94" s="91"/>
      <c r="BU94" s="91"/>
      <c r="BV94" s="91"/>
      <c r="BW94" s="91"/>
      <c r="BX94" s="91"/>
      <c r="BY94" s="91"/>
      <c r="BZ94" s="91"/>
      <c r="CA94" s="91"/>
      <c r="CB94" s="91"/>
      <c r="CC94" s="91"/>
      <c r="CD94" s="91"/>
      <c r="CE94" s="91"/>
      <c r="CF94" s="91"/>
      <c r="CG94" s="91"/>
      <c r="CH94" s="91"/>
      <c r="CI94" s="91"/>
      <c r="CJ94" s="91"/>
      <c r="CO94" s="39"/>
      <c r="DK94" s="39"/>
      <c r="DL94" s="39"/>
      <c r="DM94" s="39"/>
      <c r="DN94" s="39"/>
      <c r="DO94" s="39"/>
      <c r="DP94" s="39"/>
      <c r="DQ94" s="91"/>
      <c r="DR94" s="39"/>
      <c r="DS94" s="39"/>
      <c r="DT94" s="39"/>
      <c r="DU94" s="39"/>
      <c r="DV94" s="39"/>
      <c r="DW94" s="39"/>
      <c r="DX94" s="39"/>
      <c r="DY94" s="39"/>
      <c r="DZ94" s="39"/>
      <c r="EA94" s="92"/>
      <c r="EB94" s="92"/>
      <c r="EC94" s="92"/>
      <c r="ED94" s="92"/>
      <c r="EE94" s="92"/>
      <c r="EF94" s="92"/>
    </row>
    <row r="95" spans="1:136" s="17" customFormat="1" hidden="1" outlineLevel="1">
      <c r="A95" s="17" t="s">
        <v>49</v>
      </c>
      <c r="B95" s="511"/>
      <c r="C95" s="511"/>
      <c r="D95" s="511"/>
      <c r="E95" s="511"/>
      <c r="F95" s="511"/>
      <c r="G95" s="511"/>
      <c r="H95" s="511"/>
      <c r="I95" s="511"/>
      <c r="J95" s="511"/>
      <c r="K95" s="511"/>
      <c r="L95" s="511">
        <f t="shared" ref="L95:AA95" si="99">+SUM(L86:L87)</f>
        <v>0</v>
      </c>
      <c r="M95" s="511">
        <f t="shared" si="99"/>
        <v>9.8000000000000004E-2</v>
      </c>
      <c r="N95" s="511">
        <f t="shared" si="99"/>
        <v>4.6010166840458812E-2</v>
      </c>
      <c r="O95" s="511">
        <f>+SUM(O86:O87)</f>
        <v>9.1848728246318595E-2</v>
      </c>
      <c r="P95" s="511">
        <f>+SUM(P86:P87)</f>
        <v>6.4831928480204346E-2</v>
      </c>
      <c r="Q95" s="511">
        <f>+SUM(Q86:Q87)</f>
        <v>6.0389392413561602E-2</v>
      </c>
      <c r="R95" s="511">
        <f t="shared" si="99"/>
        <v>0</v>
      </c>
      <c r="S95" s="511">
        <f t="shared" si="99"/>
        <v>1.9999999999999997E-2</v>
      </c>
      <c r="T95" s="511">
        <f t="shared" si="99"/>
        <v>0.05</v>
      </c>
      <c r="U95" s="511">
        <f t="shared" si="99"/>
        <v>6.5000000000000002E-2</v>
      </c>
      <c r="V95" s="511">
        <f t="shared" si="99"/>
        <v>6.3E-2</v>
      </c>
      <c r="W95" s="511">
        <f t="shared" si="99"/>
        <v>6.1200000000000004E-2</v>
      </c>
      <c r="X95" s="511">
        <f t="shared" si="99"/>
        <v>5.9580000000000001E-2</v>
      </c>
      <c r="Y95" s="511">
        <f t="shared" si="99"/>
        <v>5.8122E-2</v>
      </c>
      <c r="Z95" s="511">
        <f t="shared" si="99"/>
        <v>5.6809800000000001E-2</v>
      </c>
      <c r="AA95" s="511">
        <f t="shared" si="99"/>
        <v>5.5628820000000002E-2</v>
      </c>
      <c r="AB95" s="473"/>
      <c r="AC95" s="523"/>
      <c r="AD95" s="523"/>
      <c r="AE95" s="523"/>
      <c r="AF95" s="523"/>
      <c r="AG95" s="523"/>
      <c r="AH95" s="523"/>
      <c r="AI95" s="523"/>
      <c r="AJ95" s="523"/>
      <c r="AK95" s="523"/>
      <c r="AL95" s="523"/>
      <c r="AM95" s="523"/>
      <c r="AN95" s="523"/>
      <c r="AO95" s="523"/>
      <c r="AP95" s="523"/>
      <c r="AQ95" s="523"/>
      <c r="AR95" s="523"/>
      <c r="AS95" s="523"/>
      <c r="AT95" s="523"/>
      <c r="AU95" s="523"/>
      <c r="AV95" s="523"/>
      <c r="AW95" s="523"/>
      <c r="AX95" s="523"/>
      <c r="AY95" s="523"/>
      <c r="AZ95" s="523"/>
      <c r="BA95" s="523"/>
      <c r="BB95" s="523"/>
      <c r="BC95" s="523"/>
      <c r="BD95" s="523"/>
      <c r="BE95" s="523" t="s">
        <v>48</v>
      </c>
      <c r="BF95" s="523" t="s">
        <v>48</v>
      </c>
      <c r="BG95" s="523" t="s">
        <v>48</v>
      </c>
      <c r="BH95" s="523" t="s">
        <v>48</v>
      </c>
      <c r="BI95" s="511">
        <f t="shared" ref="BI95:BW95" si="100">+SUM(BI86:BI87)</f>
        <v>0.107</v>
      </c>
      <c r="BJ95" s="511">
        <f t="shared" si="100"/>
        <v>7.5999999999999998E-2</v>
      </c>
      <c r="BK95" s="511">
        <f t="shared" si="100"/>
        <v>-1.3000000000000001E-2</v>
      </c>
      <c r="BL95" s="511">
        <f t="shared" si="100"/>
        <v>2.5000000000000001E-2</v>
      </c>
      <c r="BM95" s="511">
        <f t="shared" si="100"/>
        <v>3.9999999999999994E-2</v>
      </c>
      <c r="BN95" s="511">
        <f t="shared" si="100"/>
        <v>0.113</v>
      </c>
      <c r="BO95" s="511">
        <f t="shared" si="100"/>
        <v>0.13</v>
      </c>
      <c r="BP95" s="511">
        <f t="shared" si="100"/>
        <v>8.2000000000000003E-2</v>
      </c>
      <c r="BQ95" s="511">
        <f t="shared" si="100"/>
        <v>7.9000000000000001E-2</v>
      </c>
      <c r="BR95" s="511">
        <f t="shared" si="100"/>
        <v>6.3E-2</v>
      </c>
      <c r="BS95" s="511">
        <f t="shared" si="100"/>
        <v>5.6000000000000001E-2</v>
      </c>
      <c r="BT95" s="511">
        <f t="shared" si="100"/>
        <v>6.3E-2</v>
      </c>
      <c r="BU95" s="532">
        <v>6.5000000000000002E-2</v>
      </c>
      <c r="BV95" s="532">
        <v>0.06</v>
      </c>
      <c r="BW95" s="511">
        <f t="shared" si="100"/>
        <v>6.3000000000000014E-2</v>
      </c>
      <c r="BX95" s="511">
        <f t="shared" ref="BX95:CF95" si="101">+SUM(BX86:BX87)</f>
        <v>5.3999999999999992E-2</v>
      </c>
      <c r="BY95" s="511">
        <f t="shared" si="101"/>
        <v>4.4999999999999998E-2</v>
      </c>
      <c r="BZ95" s="511">
        <f>+SUM(BZ86:BZ87)</f>
        <v>-2.3E-2</v>
      </c>
      <c r="CA95" s="511">
        <f t="shared" si="101"/>
        <v>-1.2000000000000004E-2</v>
      </c>
      <c r="CB95" s="511">
        <f t="shared" si="101"/>
        <v>0</v>
      </c>
      <c r="CC95" s="511">
        <f t="shared" si="101"/>
        <v>1.9999999999999997E-2</v>
      </c>
      <c r="CD95" s="511">
        <f t="shared" si="101"/>
        <v>1.9999999999999997E-2</v>
      </c>
      <c r="CE95" s="511">
        <f t="shared" si="101"/>
        <v>1.9999999999999997E-2</v>
      </c>
      <c r="CF95" s="511" t="e">
        <f t="shared" si="101"/>
        <v>#DIV/0!</v>
      </c>
      <c r="CG95" s="511">
        <f>+SUM(CG86:CG87)</f>
        <v>6.1200000000000004E-2</v>
      </c>
      <c r="CH95" s="511">
        <f>+SUM(CH86:CH87)</f>
        <v>6.1200000000000004E-2</v>
      </c>
      <c r="CI95" s="511">
        <f>+SUM(CI86:CI87)</f>
        <v>6.1200000000000004E-2</v>
      </c>
      <c r="CJ95" s="511" t="e">
        <f>+SUM(CJ86:CJ87)</f>
        <v>#DIV/0!</v>
      </c>
      <c r="CK95" s="20"/>
      <c r="CL95" s="20"/>
    </row>
    <row r="96" spans="1:136" s="17" customFormat="1" hidden="1" outlineLevel="1">
      <c r="A96" s="17" t="s">
        <v>50</v>
      </c>
      <c r="B96" s="511"/>
      <c r="C96" s="511"/>
      <c r="D96" s="511"/>
      <c r="E96" s="511"/>
      <c r="F96" s="511"/>
      <c r="G96" s="511"/>
      <c r="H96" s="511"/>
      <c r="I96" s="511"/>
      <c r="J96" s="511"/>
      <c r="K96" s="511"/>
      <c r="L96" s="511">
        <f t="shared" ref="L96:V96" si="102">+SUM(L86:L87,L89:L93)</f>
        <v>0</v>
      </c>
      <c r="M96" s="511">
        <f t="shared" si="102"/>
        <v>0.1433190220632081</v>
      </c>
      <c r="N96" s="511">
        <f t="shared" si="102"/>
        <v>-2.515771637122002E-2</v>
      </c>
      <c r="O96" s="511">
        <f t="shared" si="102"/>
        <v>4.8475234270414988E-2</v>
      </c>
      <c r="P96" s="511">
        <f>+SUM(P86:P87,P89:P93)</f>
        <v>-0.23908045977011494</v>
      </c>
      <c r="Q96" s="511">
        <f>+SUM(Q86:Q87,Q89:Q93)</f>
        <v>-0.14724236320913059</v>
      </c>
      <c r="R96" s="511">
        <f t="shared" si="102"/>
        <v>-6.6141732283464566E-2</v>
      </c>
      <c r="S96" s="511">
        <f t="shared" si="102"/>
        <v>-2.6374367622259698E-2</v>
      </c>
      <c r="T96" s="511">
        <f t="shared" si="102"/>
        <v>0.05</v>
      </c>
      <c r="U96" s="511">
        <f t="shared" si="102"/>
        <v>6.5000000000000002E-2</v>
      </c>
      <c r="V96" s="511">
        <f t="shared" si="102"/>
        <v>6.3E-2</v>
      </c>
      <c r="W96" s="511">
        <f>+SUM(W86:W87,W89:W93)</f>
        <v>6.1200000000000004E-2</v>
      </c>
      <c r="X96" s="511">
        <f>+SUM(X86:X87,X89:X93)</f>
        <v>5.9580000000000001E-2</v>
      </c>
      <c r="Y96" s="511">
        <f>+SUM(Y86:Y87,Y89:Y93)</f>
        <v>5.8122E-2</v>
      </c>
      <c r="Z96" s="511">
        <f>+SUM(Z86:Z87,Z89:Z93)</f>
        <v>5.6809800000000001E-2</v>
      </c>
      <c r="AA96" s="511">
        <f>+SUM(AA86:AA87,AA89:AA93)</f>
        <v>5.5628820000000002E-2</v>
      </c>
      <c r="AB96" s="473"/>
      <c r="AC96" s="523"/>
      <c r="AD96" s="523"/>
      <c r="AE96" s="523"/>
      <c r="AF96" s="523"/>
      <c r="AG96" s="523"/>
      <c r="AH96" s="523"/>
      <c r="AI96" s="523"/>
      <c r="AJ96" s="523"/>
      <c r="AK96" s="523"/>
      <c r="AL96" s="523"/>
      <c r="AM96" s="523"/>
      <c r="AN96" s="523"/>
      <c r="AO96" s="523"/>
      <c r="AP96" s="523"/>
      <c r="AQ96" s="523"/>
      <c r="AR96" s="523"/>
      <c r="AS96" s="523"/>
      <c r="AT96" s="523"/>
      <c r="AU96" s="523"/>
      <c r="AV96" s="523"/>
      <c r="AW96" s="523"/>
      <c r="AX96" s="523"/>
      <c r="AY96" s="523"/>
      <c r="AZ96" s="523"/>
      <c r="BA96" s="523"/>
      <c r="BB96" s="523"/>
      <c r="BC96" s="523"/>
      <c r="BD96" s="523"/>
      <c r="BE96" s="523" t="s">
        <v>48</v>
      </c>
      <c r="BF96" s="523" t="s">
        <v>48</v>
      </c>
      <c r="BG96" s="523" t="s">
        <v>48</v>
      </c>
      <c r="BH96" s="523" t="s">
        <v>48</v>
      </c>
      <c r="BI96" s="511">
        <f t="shared" ref="BI96:CB96" si="103">+SUM(BI86:BI87,BI89:BI93)</f>
        <v>6.6798994974874376E-2</v>
      </c>
      <c r="BJ96" s="511">
        <f t="shared" si="103"/>
        <v>-4.5182266009852222E-2</v>
      </c>
      <c r="BK96" s="511">
        <f t="shared" si="103"/>
        <v>-7.6607924921793538E-2</v>
      </c>
      <c r="BL96" s="511">
        <f t="shared" si="103"/>
        <v>-2.8470919324577855E-2</v>
      </c>
      <c r="BM96" s="511">
        <f t="shared" si="103"/>
        <v>1.703180212014134E-2</v>
      </c>
      <c r="BN96" s="511">
        <f t="shared" si="103"/>
        <v>7.6730569948186528E-2</v>
      </c>
      <c r="BO96" s="511">
        <f t="shared" si="103"/>
        <v>7.0180586907449216E-2</v>
      </c>
      <c r="BP96" s="511">
        <f t="shared" si="103"/>
        <v>2.9342995169082127E-2</v>
      </c>
      <c r="BQ96" s="511">
        <f t="shared" si="103"/>
        <v>-0.21320973348783318</v>
      </c>
      <c r="BR96" s="511">
        <f t="shared" si="103"/>
        <v>-0.1915303176130895</v>
      </c>
      <c r="BS96" s="511">
        <f t="shared" si="103"/>
        <v>-0.23523206751054851</v>
      </c>
      <c r="BT96" s="511">
        <f t="shared" si="103"/>
        <v>-0.3098591549295775</v>
      </c>
      <c r="BU96" s="511">
        <f t="shared" si="103"/>
        <v>-0.14727540500736375</v>
      </c>
      <c r="BV96" s="511">
        <f t="shared" si="103"/>
        <v>-0.12023809523809524</v>
      </c>
      <c r="BW96" s="511">
        <f t="shared" si="103"/>
        <v>-0.19217241379310346</v>
      </c>
      <c r="BX96" s="511">
        <f>+SUM(BX86:BX87,BX89:BX93)</f>
        <v>-0.13375510204081634</v>
      </c>
      <c r="BY96" s="511">
        <f>+SUM(BY86:BY87,BY89:BY93)</f>
        <v>-5.5172711571675304E-2</v>
      </c>
      <c r="BZ96" s="511">
        <f>+SUM(BZ86:BZ87,BZ89:BZ93)</f>
        <v>-0.12313531799729363</v>
      </c>
      <c r="CA96" s="511">
        <f t="shared" si="103"/>
        <v>-7.3433447098976118E-2</v>
      </c>
      <c r="CB96" s="511">
        <f t="shared" si="103"/>
        <v>-0.05</v>
      </c>
      <c r="CC96" s="511">
        <f t="shared" ref="CC96:CJ96" si="104">+SUM(CC86:CC87,CC89:CC93)</f>
        <v>-2.2622243122350359E-2</v>
      </c>
      <c r="CD96" s="511">
        <f t="shared" si="104"/>
        <v>-5.758190479667314E-2</v>
      </c>
      <c r="CE96" s="511">
        <f t="shared" si="104"/>
        <v>-6.8410642258945248E-2</v>
      </c>
      <c r="CF96" s="511" t="e">
        <f t="shared" si="104"/>
        <v>#DIV/0!</v>
      </c>
      <c r="CG96" s="511">
        <f t="shared" si="104"/>
        <v>1.8577756877649648E-2</v>
      </c>
      <c r="CH96" s="511">
        <f t="shared" si="104"/>
        <v>-1.6381904796673133E-2</v>
      </c>
      <c r="CI96" s="511">
        <f t="shared" si="104"/>
        <v>-2.7210642258945247E-2</v>
      </c>
      <c r="CJ96" s="511" t="e">
        <f t="shared" si="104"/>
        <v>#DIV/0!</v>
      </c>
    </row>
    <row r="97" spans="1:136" s="5" customFormat="1" hidden="1" outlineLevel="1">
      <c r="A97" s="23" t="s">
        <v>51</v>
      </c>
      <c r="B97" s="523"/>
      <c r="C97" s="523"/>
      <c r="D97" s="523"/>
      <c r="E97" s="523"/>
      <c r="F97" s="523"/>
      <c r="G97" s="523"/>
      <c r="H97" s="523"/>
      <c r="I97" s="523"/>
      <c r="J97" s="523"/>
      <c r="K97" s="523"/>
      <c r="L97" s="523" t="s">
        <v>48</v>
      </c>
      <c r="M97" s="523" t="s">
        <v>48</v>
      </c>
      <c r="N97" s="514">
        <f t="shared" ref="N97:AA97" si="105">+((1+N95)*(1+M95))^(1/2)-1</f>
        <v>7.1689863342387028E-2</v>
      </c>
      <c r="O97" s="514">
        <f t="shared" si="105"/>
        <v>6.8683709241174062E-2</v>
      </c>
      <c r="P97" s="514">
        <f t="shared" si="105"/>
        <v>7.8255714989346137E-2</v>
      </c>
      <c r="Q97" s="514">
        <f t="shared" si="105"/>
        <v>6.2608338788890272E-2</v>
      </c>
      <c r="R97" s="514">
        <f t="shared" si="105"/>
        <v>2.97521024079348E-2</v>
      </c>
      <c r="S97" s="514">
        <f t="shared" si="105"/>
        <v>9.9504938362078299E-3</v>
      </c>
      <c r="T97" s="514">
        <f t="shared" si="105"/>
        <v>3.4891298639620594E-2</v>
      </c>
      <c r="U97" s="514">
        <f t="shared" si="105"/>
        <v>5.7473403920873967E-2</v>
      </c>
      <c r="V97" s="514">
        <f t="shared" si="105"/>
        <v>6.3999530075084188E-2</v>
      </c>
      <c r="W97" s="514">
        <f t="shared" si="105"/>
        <v>6.2099618679905211E-2</v>
      </c>
      <c r="X97" s="514">
        <f t="shared" si="105"/>
        <v>6.0389690632646431E-2</v>
      </c>
      <c r="Y97" s="514">
        <f t="shared" si="105"/>
        <v>5.8850749048231066E-2</v>
      </c>
      <c r="Z97" s="514">
        <f t="shared" si="105"/>
        <v>5.7465696462821292E-2</v>
      </c>
      <c r="AA97" s="514">
        <f t="shared" si="105"/>
        <v>5.6219144940308219E-2</v>
      </c>
      <c r="AB97" s="513"/>
      <c r="AC97" s="523"/>
      <c r="AD97" s="523"/>
      <c r="AE97" s="523"/>
      <c r="AF97" s="523"/>
      <c r="AG97" s="523"/>
      <c r="AH97" s="523"/>
      <c r="AI97" s="523"/>
      <c r="AJ97" s="523"/>
      <c r="AK97" s="523"/>
      <c r="AL97" s="523"/>
      <c r="AM97" s="523"/>
      <c r="AN97" s="523"/>
      <c r="AO97" s="523"/>
      <c r="AP97" s="523"/>
      <c r="AQ97" s="523"/>
      <c r="AR97" s="523"/>
      <c r="AS97" s="523"/>
      <c r="AT97" s="523"/>
      <c r="AU97" s="523"/>
      <c r="AV97" s="523"/>
      <c r="AW97" s="523"/>
      <c r="AX97" s="523"/>
      <c r="AY97" s="523"/>
      <c r="AZ97" s="523"/>
      <c r="BA97" s="523"/>
      <c r="BB97" s="523"/>
      <c r="BC97" s="523"/>
      <c r="BD97" s="523"/>
      <c r="BE97" s="523" t="s">
        <v>48</v>
      </c>
      <c r="BF97" s="523" t="s">
        <v>48</v>
      </c>
      <c r="BG97" s="523" t="s">
        <v>48</v>
      </c>
      <c r="BH97" s="523" t="s">
        <v>48</v>
      </c>
      <c r="BI97" s="523" t="s">
        <v>48</v>
      </c>
      <c r="BJ97" s="523" t="s">
        <v>48</v>
      </c>
      <c r="BK97" s="523" t="s">
        <v>48</v>
      </c>
      <c r="BL97" s="523" t="s">
        <v>48</v>
      </c>
      <c r="BM97" s="514">
        <f t="shared" ref="BM97:CB97" si="106">+((1+BM95)*(1+BI95))^(1/2)-1</f>
        <v>7.297716657904707E-2</v>
      </c>
      <c r="BN97" s="514">
        <f t="shared" si="106"/>
        <v>9.4343638899591742E-2</v>
      </c>
      <c r="BO97" s="514">
        <f t="shared" si="106"/>
        <v>5.6082383150102499E-2</v>
      </c>
      <c r="BP97" s="514">
        <f t="shared" si="106"/>
        <v>5.3114428730325569E-2</v>
      </c>
      <c r="BQ97" s="514">
        <f t="shared" si="106"/>
        <v>5.9320536948094915E-2</v>
      </c>
      <c r="BR97" s="514">
        <f t="shared" si="106"/>
        <v>8.7712737812700281E-2</v>
      </c>
      <c r="BS97" s="514">
        <f t="shared" si="106"/>
        <v>9.2373562477598536E-2</v>
      </c>
      <c r="BT97" s="514">
        <f t="shared" si="106"/>
        <v>7.2457924582591815E-2</v>
      </c>
      <c r="BU97" s="514">
        <f t="shared" si="106"/>
        <v>7.1977145278760091E-2</v>
      </c>
      <c r="BV97" s="514">
        <f t="shared" si="106"/>
        <v>6.1498940178462913E-2</v>
      </c>
      <c r="BW97" s="514">
        <f t="shared" si="106"/>
        <v>5.9494218955441047E-2</v>
      </c>
      <c r="BX97" s="514">
        <f t="shared" si="106"/>
        <v>5.8490434534011149E-2</v>
      </c>
      <c r="BY97" s="514">
        <f t="shared" si="106"/>
        <v>5.4952605570506075E-2</v>
      </c>
      <c r="BZ97" s="514">
        <f t="shared" si="106"/>
        <v>1.7654165225102325E-2</v>
      </c>
      <c r="CA97" s="514">
        <f t="shared" si="106"/>
        <v>2.4814129488855086E-2</v>
      </c>
      <c r="CB97" s="514">
        <f t="shared" si="106"/>
        <v>2.6645021416847881E-2</v>
      </c>
      <c r="CC97" s="514">
        <f t="shared" ref="CC97:CJ97" si="107">+((1+CC95)*(1+BY95))^(1/2)-1</f>
        <v>3.2424331367679304E-2</v>
      </c>
      <c r="CD97" s="514">
        <f t="shared" si="107"/>
        <v>-1.7314990444705636E-3</v>
      </c>
      <c r="CE97" s="514">
        <f t="shared" si="107"/>
        <v>3.8725018646541542E-3</v>
      </c>
      <c r="CF97" s="514" t="e">
        <f t="shared" si="107"/>
        <v>#DIV/0!</v>
      </c>
      <c r="CG97" s="514">
        <f t="shared" si="107"/>
        <v>4.039607842398163E-2</v>
      </c>
      <c r="CH97" s="514">
        <f t="shared" si="107"/>
        <v>4.039607842398163E-2</v>
      </c>
      <c r="CI97" s="514">
        <f t="shared" si="107"/>
        <v>4.039607842398163E-2</v>
      </c>
      <c r="CJ97" s="514" t="e">
        <f t="shared" si="107"/>
        <v>#DIV/0!</v>
      </c>
    </row>
    <row r="98" spans="1:136" s="5" customFormat="1" hidden="1" outlineLevel="1">
      <c r="B98" s="324"/>
      <c r="C98" s="324"/>
      <c r="D98" s="324"/>
      <c r="E98" s="324"/>
      <c r="F98" s="324"/>
      <c r="G98" s="324"/>
      <c r="H98" s="324"/>
      <c r="I98" s="324"/>
      <c r="J98" s="324"/>
      <c r="K98" s="324"/>
      <c r="L98" s="324"/>
      <c r="M98" s="324"/>
      <c r="N98" s="324"/>
      <c r="O98" s="324"/>
      <c r="P98" s="324"/>
      <c r="Q98" s="324"/>
      <c r="R98" s="324"/>
      <c r="S98" s="324"/>
      <c r="T98" s="324"/>
      <c r="U98" s="324"/>
      <c r="V98" s="324"/>
      <c r="W98" s="324"/>
      <c r="X98" s="324"/>
      <c r="Y98" s="324"/>
      <c r="Z98" s="324"/>
      <c r="AA98" s="324"/>
      <c r="AB98" s="324"/>
      <c r="AC98" s="324"/>
      <c r="AD98" s="324"/>
      <c r="AE98" s="324"/>
      <c r="AF98" s="324"/>
      <c r="AG98" s="324"/>
      <c r="AH98" s="324"/>
      <c r="AI98" s="324"/>
      <c r="AJ98" s="324"/>
      <c r="AK98" s="324"/>
      <c r="AL98" s="324"/>
      <c r="AM98" s="324"/>
      <c r="AN98" s="324"/>
      <c r="AO98" s="324"/>
      <c r="AP98" s="324"/>
      <c r="AQ98" s="324"/>
      <c r="AR98" s="324"/>
      <c r="AS98" s="324"/>
      <c r="AT98" s="324"/>
      <c r="AU98" s="324"/>
      <c r="AV98" s="324"/>
      <c r="AW98" s="324"/>
      <c r="AX98" s="324"/>
      <c r="AY98" s="324"/>
      <c r="AZ98" s="324"/>
      <c r="BA98" s="324"/>
      <c r="BB98" s="324"/>
      <c r="BC98" s="324"/>
      <c r="BD98" s="324"/>
      <c r="BE98" s="324"/>
      <c r="BF98" s="324"/>
      <c r="BG98" s="324"/>
      <c r="BH98" s="324"/>
      <c r="BI98" s="324"/>
      <c r="BJ98" s="324"/>
      <c r="BK98" s="324"/>
      <c r="BL98" s="324"/>
      <c r="BM98" s="324"/>
      <c r="BN98" s="324"/>
      <c r="BO98" s="324"/>
      <c r="BP98" s="324"/>
      <c r="BQ98" s="324"/>
      <c r="BR98" s="324"/>
      <c r="BS98" s="324"/>
      <c r="BT98" s="324"/>
      <c r="BU98" s="324"/>
      <c r="BV98" s="324"/>
      <c r="BW98" s="324"/>
      <c r="BX98" s="324"/>
      <c r="BY98" s="324"/>
      <c r="BZ98" s="324"/>
      <c r="CA98" s="324"/>
      <c r="CB98" s="324"/>
      <c r="CC98" s="324"/>
      <c r="CD98" s="324"/>
      <c r="CE98" s="324"/>
      <c r="CF98" s="324"/>
      <c r="CG98" s="324"/>
      <c r="CH98" s="324"/>
      <c r="CI98" s="324"/>
      <c r="CJ98" s="324"/>
    </row>
    <row r="99" spans="1:136" hidden="1" outlineLevel="1">
      <c r="A99" s="25" t="s">
        <v>574</v>
      </c>
      <c r="B99" s="518"/>
      <c r="C99" s="518"/>
      <c r="D99" s="518"/>
      <c r="E99" s="518"/>
      <c r="F99" s="518"/>
      <c r="G99" s="518"/>
      <c r="H99" s="518"/>
      <c r="I99" s="518"/>
      <c r="J99" s="518"/>
      <c r="K99" s="518"/>
      <c r="L99" s="518"/>
      <c r="M99" s="518"/>
      <c r="N99" s="518"/>
      <c r="O99" s="518"/>
      <c r="P99" s="531"/>
      <c r="Q99" s="531"/>
      <c r="R99" s="519"/>
      <c r="S99" s="519"/>
      <c r="T99" s="519"/>
      <c r="U99" s="519"/>
      <c r="V99" s="519"/>
      <c r="W99" s="518"/>
      <c r="X99" s="518"/>
      <c r="Y99" s="518"/>
      <c r="Z99" s="518"/>
      <c r="AA99" s="518"/>
      <c r="AB99" s="519"/>
      <c r="AC99" s="518"/>
      <c r="AD99" s="518"/>
      <c r="AE99" s="518"/>
      <c r="AF99" s="518"/>
      <c r="AG99" s="518"/>
      <c r="AH99" s="518"/>
      <c r="AI99" s="518"/>
      <c r="AJ99" s="518"/>
      <c r="AK99" s="518"/>
      <c r="AL99" s="518"/>
      <c r="AM99" s="518"/>
      <c r="AN99" s="518"/>
      <c r="AO99" s="518"/>
      <c r="AP99" s="518"/>
      <c r="AQ99" s="518"/>
      <c r="AR99" s="518"/>
      <c r="AS99" s="518"/>
      <c r="AT99" s="518"/>
      <c r="AU99" s="518"/>
      <c r="AV99" s="518"/>
      <c r="AW99" s="518"/>
      <c r="AX99" s="518"/>
      <c r="AY99" s="518"/>
      <c r="AZ99" s="518"/>
      <c r="BA99" s="518"/>
      <c r="BB99" s="518"/>
      <c r="BC99" s="518"/>
      <c r="BD99" s="518"/>
      <c r="BE99" s="518"/>
      <c r="BF99" s="518"/>
      <c r="BG99" s="518"/>
      <c r="BH99" s="518"/>
      <c r="BI99" s="518"/>
      <c r="BJ99" s="518"/>
      <c r="BK99" s="518"/>
      <c r="BL99" s="518"/>
      <c r="BM99" s="518"/>
      <c r="BN99" s="518"/>
      <c r="BO99" s="518"/>
      <c r="BP99" s="518"/>
      <c r="BQ99" s="518"/>
      <c r="BR99" s="518"/>
      <c r="BS99" s="518"/>
      <c r="BT99" s="518"/>
      <c r="BU99" s="521"/>
      <c r="BV99" s="534"/>
      <c r="BW99" s="521"/>
      <c r="BX99" s="521"/>
      <c r="BY99" s="521"/>
      <c r="BZ99" s="521"/>
      <c r="CA99" s="518"/>
      <c r="CB99" s="518"/>
      <c r="CC99" s="518"/>
      <c r="CD99" s="518"/>
      <c r="CE99" s="518"/>
      <c r="CF99" s="518"/>
      <c r="CG99" s="521"/>
      <c r="CH99" s="521"/>
      <c r="CI99" s="518"/>
      <c r="CJ99" s="518"/>
    </row>
    <row r="100" spans="1:136" s="5" customFormat="1" hidden="1" outlineLevel="1">
      <c r="A100" s="5" t="s">
        <v>41</v>
      </c>
      <c r="B100" s="523"/>
      <c r="C100" s="523"/>
      <c r="D100" s="523"/>
      <c r="E100" s="523"/>
      <c r="F100" s="523"/>
      <c r="G100" s="523"/>
      <c r="H100" s="523"/>
      <c r="I100" s="523"/>
      <c r="J100" s="523"/>
      <c r="K100" s="523"/>
      <c r="L100" s="523" t="s">
        <v>48</v>
      </c>
      <c r="M100" s="524">
        <v>-3.0000000000000001E-3</v>
      </c>
      <c r="N100" s="506">
        <f t="shared" ref="N100:Q101" si="108">+N210/M$219</f>
        <v>1.4804087669759311E-2</v>
      </c>
      <c r="O100" s="506">
        <f t="shared" si="108"/>
        <v>3.1505970905406383E-2</v>
      </c>
      <c r="P100" s="506">
        <f t="shared" si="108"/>
        <v>-2.2146809872679425E-2</v>
      </c>
      <c r="Q100" s="506">
        <f t="shared" si="108"/>
        <v>-2.9936585365853655E-2</v>
      </c>
      <c r="R100" s="524">
        <v>0.02</v>
      </c>
      <c r="S100" s="524">
        <v>1.4999999999999999E-2</v>
      </c>
      <c r="T100" s="524">
        <v>5.0000000000000001E-3</v>
      </c>
      <c r="U100" s="524">
        <v>0.01</v>
      </c>
      <c r="V100" s="524">
        <f t="shared" ref="V100:AA100" si="109">+U100*0.9</f>
        <v>9.0000000000000011E-3</v>
      </c>
      <c r="W100" s="524">
        <f t="shared" si="109"/>
        <v>8.1000000000000013E-3</v>
      </c>
      <c r="X100" s="524">
        <f t="shared" si="109"/>
        <v>7.2900000000000013E-3</v>
      </c>
      <c r="Y100" s="524">
        <f t="shared" si="109"/>
        <v>6.5610000000000017E-3</v>
      </c>
      <c r="Z100" s="524">
        <f t="shared" si="109"/>
        <v>5.904900000000002E-3</v>
      </c>
      <c r="AA100" s="524">
        <f t="shared" si="109"/>
        <v>5.314410000000002E-3</v>
      </c>
      <c r="AB100" s="324"/>
      <c r="AC100" s="523"/>
      <c r="AD100" s="523"/>
      <c r="AE100" s="523"/>
      <c r="AF100" s="523"/>
      <c r="AG100" s="523"/>
      <c r="AH100" s="523"/>
      <c r="AI100" s="523"/>
      <c r="AJ100" s="523"/>
      <c r="AK100" s="523"/>
      <c r="AL100" s="523"/>
      <c r="AM100" s="523"/>
      <c r="AN100" s="523"/>
      <c r="AO100" s="523"/>
      <c r="AP100" s="523"/>
      <c r="AQ100" s="523"/>
      <c r="AR100" s="523"/>
      <c r="AS100" s="523"/>
      <c r="AT100" s="523"/>
      <c r="AU100" s="523"/>
      <c r="AV100" s="523"/>
      <c r="AW100" s="523"/>
      <c r="AX100" s="523"/>
      <c r="AY100" s="523"/>
      <c r="AZ100" s="523"/>
      <c r="BA100" s="523"/>
      <c r="BB100" s="523"/>
      <c r="BC100" s="523"/>
      <c r="BD100" s="523"/>
      <c r="BE100" s="523" t="s">
        <v>48</v>
      </c>
      <c r="BF100" s="523" t="s">
        <v>48</v>
      </c>
      <c r="BG100" s="523" t="s">
        <v>48</v>
      </c>
      <c r="BH100" s="523" t="s">
        <v>48</v>
      </c>
      <c r="BI100" s="524">
        <v>4.7E-2</v>
      </c>
      <c r="BJ100" s="524">
        <v>-1.7000000000000001E-2</v>
      </c>
      <c r="BK100" s="524">
        <v>1.7000000000000001E-2</v>
      </c>
      <c r="BL100" s="524">
        <v>1.7000000000000001E-2</v>
      </c>
      <c r="BM100" s="524">
        <v>1.2999999999999999E-2</v>
      </c>
      <c r="BN100" s="524">
        <v>3.7999999999999999E-2</v>
      </c>
      <c r="BO100" s="524">
        <v>4.7E-2</v>
      </c>
      <c r="BP100" s="524">
        <v>0.03</v>
      </c>
      <c r="BQ100" s="524">
        <v>8.9999999999999993E-3</v>
      </c>
      <c r="BR100" s="524">
        <v>-1.6E-2</v>
      </c>
      <c r="BS100" s="524">
        <v>-5.5E-2</v>
      </c>
      <c r="BT100" s="525">
        <v>-2.7E-2</v>
      </c>
      <c r="BU100" s="524">
        <v>-4.5999999999999999E-2</v>
      </c>
      <c r="BV100" s="527">
        <v>-3.6999999999999998E-2</v>
      </c>
      <c r="BW100" s="527">
        <v>-2.4E-2</v>
      </c>
      <c r="BX100" s="526">
        <v>-1.2999999999999999E-2</v>
      </c>
      <c r="BY100" s="524">
        <v>8.9999999999999993E-3</v>
      </c>
      <c r="BZ100" s="524">
        <v>7.0000000000000001E-3</v>
      </c>
      <c r="CA100" s="524">
        <v>3.3000000000000002E-2</v>
      </c>
      <c r="CB100" s="524">
        <f>+CB210/BX$219</f>
        <v>2.9661988304093567E-2</v>
      </c>
      <c r="CC100" s="524">
        <f>+S100</f>
        <v>1.4999999999999999E-2</v>
      </c>
      <c r="CD100" s="524">
        <f>+S100</f>
        <v>1.4999999999999999E-2</v>
      </c>
      <c r="CE100" s="524">
        <f>+S100</f>
        <v>1.4999999999999999E-2</v>
      </c>
      <c r="CF100" s="524">
        <f>+CF210/CB$219</f>
        <v>1.4996103297667934E-2</v>
      </c>
      <c r="CG100" s="524">
        <f>+W100</f>
        <v>8.1000000000000013E-3</v>
      </c>
      <c r="CH100" s="524">
        <f>+W100</f>
        <v>8.1000000000000013E-3</v>
      </c>
      <c r="CI100" s="524">
        <f>+W100</f>
        <v>8.1000000000000013E-3</v>
      </c>
      <c r="CJ100" s="506">
        <f>+CJ210/CF$219</f>
        <v>-2.8029199028035828E-3</v>
      </c>
      <c r="CK100" s="20"/>
      <c r="CL100" s="20"/>
    </row>
    <row r="101" spans="1:136" s="5" customFormat="1" hidden="1" outlineLevel="1">
      <c r="A101" s="5" t="s">
        <v>42</v>
      </c>
      <c r="B101" s="523"/>
      <c r="C101" s="523"/>
      <c r="D101" s="523"/>
      <c r="E101" s="523"/>
      <c r="F101" s="523"/>
      <c r="G101" s="523"/>
      <c r="H101" s="523"/>
      <c r="I101" s="523"/>
      <c r="J101" s="523"/>
      <c r="K101" s="523"/>
      <c r="L101" s="523" t="s">
        <v>48</v>
      </c>
      <c r="M101" s="524">
        <v>4.7E-2</v>
      </c>
      <c r="N101" s="506">
        <f t="shared" si="108"/>
        <v>7.8368293666801151E-3</v>
      </c>
      <c r="O101" s="506">
        <f t="shared" si="108"/>
        <v>-2.3644206412390532E-2</v>
      </c>
      <c r="P101" s="506">
        <f t="shared" si="108"/>
        <v>1.2794508855537377E-2</v>
      </c>
      <c r="Q101" s="506">
        <f t="shared" si="108"/>
        <v>1.0451817763460653E-2</v>
      </c>
      <c r="R101" s="524">
        <v>-1.4E-2</v>
      </c>
      <c r="S101" s="524">
        <v>0</v>
      </c>
      <c r="T101" s="524">
        <v>5.0000000000000001E-3</v>
      </c>
      <c r="U101" s="524">
        <v>5.0000000000000001E-3</v>
      </c>
      <c r="V101" s="524">
        <v>5.0000000000000001E-3</v>
      </c>
      <c r="W101" s="524">
        <v>5.0000000000000001E-3</v>
      </c>
      <c r="X101" s="524">
        <v>5.0000000000000001E-3</v>
      </c>
      <c r="Y101" s="524">
        <v>5.0000000000000001E-3</v>
      </c>
      <c r="Z101" s="524">
        <v>5.0000000000000001E-3</v>
      </c>
      <c r="AA101" s="524">
        <v>5.0000000000000001E-3</v>
      </c>
      <c r="AB101" s="324"/>
      <c r="AC101" s="523"/>
      <c r="AD101" s="523"/>
      <c r="AE101" s="523"/>
      <c r="AF101" s="523"/>
      <c r="AG101" s="523"/>
      <c r="AH101" s="523"/>
      <c r="AI101" s="523"/>
      <c r="AJ101" s="523"/>
      <c r="AK101" s="523"/>
      <c r="AL101" s="523"/>
      <c r="AM101" s="523"/>
      <c r="AN101" s="523"/>
      <c r="AO101" s="523"/>
      <c r="AP101" s="523"/>
      <c r="AQ101" s="523"/>
      <c r="AR101" s="523"/>
      <c r="AS101" s="523"/>
      <c r="AT101" s="523"/>
      <c r="AU101" s="523"/>
      <c r="AV101" s="523"/>
      <c r="AW101" s="523"/>
      <c r="AX101" s="523"/>
      <c r="AY101" s="523"/>
      <c r="AZ101" s="523"/>
      <c r="BA101" s="523"/>
      <c r="BB101" s="523"/>
      <c r="BC101" s="523"/>
      <c r="BD101" s="523"/>
      <c r="BE101" s="523" t="s">
        <v>48</v>
      </c>
      <c r="BF101" s="523" t="s">
        <v>48</v>
      </c>
      <c r="BG101" s="523" t="s">
        <v>48</v>
      </c>
      <c r="BH101" s="523" t="s">
        <v>48</v>
      </c>
      <c r="BI101" s="524">
        <v>2.9000000000000001E-2</v>
      </c>
      <c r="BJ101" s="524">
        <v>2.8000000000000001E-2</v>
      </c>
      <c r="BK101" s="524">
        <v>-8.0000000000000002E-3</v>
      </c>
      <c r="BL101" s="524">
        <v>-1.4999999999999999E-2</v>
      </c>
      <c r="BM101" s="524">
        <v>-1.2E-2</v>
      </c>
      <c r="BN101" s="524">
        <v>-3.5999999999999997E-2</v>
      </c>
      <c r="BO101" s="524">
        <v>-2.8000000000000001E-2</v>
      </c>
      <c r="BP101" s="524">
        <v>-0.02</v>
      </c>
      <c r="BQ101" s="524">
        <v>-1.9E-2</v>
      </c>
      <c r="BR101" s="524">
        <v>-3.0000000000000001E-3</v>
      </c>
      <c r="BS101" s="524">
        <v>3.1E-2</v>
      </c>
      <c r="BT101" s="525">
        <v>3.7999999999999999E-2</v>
      </c>
      <c r="BU101" s="524">
        <v>2.8000000000000001E-2</v>
      </c>
      <c r="BV101" s="527">
        <v>3.0000000000000001E-3</v>
      </c>
      <c r="BW101" s="527">
        <v>8.0000000000000002E-3</v>
      </c>
      <c r="BX101" s="526">
        <v>2E-3</v>
      </c>
      <c r="BY101" s="524">
        <v>-7.0000000000000001E-3</v>
      </c>
      <c r="BZ101" s="524">
        <v>-8.0000000000000002E-3</v>
      </c>
      <c r="CA101" s="524">
        <v>-2.3E-2</v>
      </c>
      <c r="CB101" s="524">
        <f>+CB211/BX$219</f>
        <v>-1.768499025341131E-2</v>
      </c>
      <c r="CC101" s="524">
        <f>+S101</f>
        <v>0</v>
      </c>
      <c r="CD101" s="524">
        <f>+S101</f>
        <v>0</v>
      </c>
      <c r="CE101" s="524">
        <f>+S101</f>
        <v>0</v>
      </c>
      <c r="CF101" s="524">
        <f>+CF211/CB$219</f>
        <v>0</v>
      </c>
      <c r="CG101" s="524">
        <f>+W101</f>
        <v>5.0000000000000001E-3</v>
      </c>
      <c r="CH101" s="524">
        <f>+W101</f>
        <v>5.0000000000000001E-3</v>
      </c>
      <c r="CI101" s="524">
        <f>+W101</f>
        <v>5.0000000000000001E-3</v>
      </c>
      <c r="CJ101" s="506">
        <f>+CJ211/CF$219</f>
        <v>4.9987064019441693E-3</v>
      </c>
      <c r="CK101" s="20"/>
      <c r="CL101" s="20"/>
    </row>
    <row r="102" spans="1:136" s="90" customFormat="1" ht="6" hidden="1" customHeight="1" outlineLevel="1">
      <c r="A102" s="87"/>
      <c r="B102" s="103"/>
      <c r="C102" s="103"/>
      <c r="D102" s="103"/>
      <c r="E102" s="103"/>
      <c r="F102" s="103"/>
      <c r="G102" s="103"/>
      <c r="H102" s="103"/>
      <c r="I102" s="103"/>
      <c r="J102" s="103"/>
      <c r="K102" s="103"/>
      <c r="L102" s="103"/>
      <c r="M102" s="91"/>
      <c r="N102" s="91"/>
      <c r="O102" s="91"/>
      <c r="P102" s="502"/>
      <c r="Q102" s="158"/>
      <c r="R102" s="158"/>
      <c r="S102" s="158"/>
      <c r="T102" s="158"/>
      <c r="U102" s="158"/>
      <c r="V102" s="158"/>
      <c r="W102" s="158"/>
      <c r="X102" s="158"/>
      <c r="Y102" s="158"/>
      <c r="Z102" s="158"/>
      <c r="AA102" s="158"/>
      <c r="AB102" s="158"/>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O102" s="39"/>
      <c r="DK102" s="39"/>
      <c r="DL102" s="39"/>
      <c r="DM102" s="39"/>
      <c r="DN102" s="39"/>
      <c r="DO102" s="39"/>
      <c r="DP102" s="39"/>
      <c r="DQ102" s="91"/>
      <c r="DR102" s="39"/>
      <c r="DS102" s="39"/>
      <c r="DT102" s="39"/>
      <c r="DU102" s="39"/>
      <c r="DV102" s="39"/>
      <c r="DW102" s="39"/>
      <c r="DX102" s="39"/>
      <c r="DY102" s="39"/>
      <c r="DZ102" s="39"/>
      <c r="EA102" s="92"/>
      <c r="EB102" s="92"/>
      <c r="EC102" s="92"/>
      <c r="ED102" s="92"/>
      <c r="EE102" s="92"/>
      <c r="EF102" s="92"/>
    </row>
    <row r="103" spans="1:136" s="5" customFormat="1" hidden="1" outlineLevel="1">
      <c r="A103" s="5" t="s">
        <v>43</v>
      </c>
      <c r="B103" s="523"/>
      <c r="C103" s="523"/>
      <c r="D103" s="523"/>
      <c r="E103" s="523"/>
      <c r="F103" s="523"/>
      <c r="G103" s="523"/>
      <c r="H103" s="523"/>
      <c r="I103" s="523"/>
      <c r="J103" s="523"/>
      <c r="K103" s="523"/>
      <c r="L103" s="523" t="s">
        <v>48</v>
      </c>
      <c r="M103" s="506">
        <f t="shared" ref="M103:S107" si="110">+M213/L$219</f>
        <v>5.1636030813820455E-2</v>
      </c>
      <c r="N103" s="506">
        <f t="shared" si="110"/>
        <v>-5.6339922011563799E-2</v>
      </c>
      <c r="O103" s="506">
        <f t="shared" si="110"/>
        <v>2.0988637186075125E-2</v>
      </c>
      <c r="P103" s="506">
        <f t="shared" si="110"/>
        <v>2.5606373141759727E-3</v>
      </c>
      <c r="Q103" s="506">
        <f t="shared" si="110"/>
        <v>-0.13566497929130233</v>
      </c>
      <c r="R103" s="506">
        <f t="shared" si="110"/>
        <v>-3.3469498910675383E-2</v>
      </c>
      <c r="S103" s="506">
        <f t="shared" si="110"/>
        <v>-3.9155963378511592E-2</v>
      </c>
      <c r="T103" s="524">
        <v>0</v>
      </c>
      <c r="U103" s="524">
        <v>0</v>
      </c>
      <c r="V103" s="524">
        <v>0</v>
      </c>
      <c r="W103" s="524">
        <v>0</v>
      </c>
      <c r="X103" s="524">
        <v>0</v>
      </c>
      <c r="Y103" s="524">
        <v>0</v>
      </c>
      <c r="Z103" s="524">
        <v>0</v>
      </c>
      <c r="AA103" s="524">
        <v>0</v>
      </c>
      <c r="AB103" s="324"/>
      <c r="AC103" s="523"/>
      <c r="AD103" s="523"/>
      <c r="AE103" s="523"/>
      <c r="AF103" s="523"/>
      <c r="AG103" s="523"/>
      <c r="AH103" s="523"/>
      <c r="AI103" s="523"/>
      <c r="AJ103" s="523"/>
      <c r="AK103" s="523"/>
      <c r="AL103" s="523"/>
      <c r="AM103" s="523"/>
      <c r="AN103" s="523"/>
      <c r="AO103" s="523"/>
      <c r="AP103" s="523"/>
      <c r="AQ103" s="523"/>
      <c r="AR103" s="523"/>
      <c r="AS103" s="523"/>
      <c r="AT103" s="523"/>
      <c r="AU103" s="523"/>
      <c r="AV103" s="523"/>
      <c r="AW103" s="523"/>
      <c r="AX103" s="523"/>
      <c r="AY103" s="523"/>
      <c r="AZ103" s="523"/>
      <c r="BA103" s="523"/>
      <c r="BB103" s="523"/>
      <c r="BC103" s="523"/>
      <c r="BD103" s="523"/>
      <c r="BE103" s="523" t="s">
        <v>48</v>
      </c>
      <c r="BF103" s="523" t="s">
        <v>48</v>
      </c>
      <c r="BG103" s="523" t="s">
        <v>48</v>
      </c>
      <c r="BH103" s="523" t="s">
        <v>48</v>
      </c>
      <c r="BI103" s="506">
        <f t="shared" ref="BI103:CA107" si="111">+BI213/BE$219</f>
        <v>-3.197848176927675E-2</v>
      </c>
      <c r="BJ103" s="506">
        <f t="shared" si="111"/>
        <v>-8.7145412726808077E-2</v>
      </c>
      <c r="BK103" s="506">
        <f t="shared" si="111"/>
        <v>-9.2013888888888895E-2</v>
      </c>
      <c r="BL103" s="506">
        <f t="shared" si="111"/>
        <v>-1.7311853811012263E-2</v>
      </c>
      <c r="BM103" s="506">
        <f t="shared" si="111"/>
        <v>2.2896393817973667E-3</v>
      </c>
      <c r="BN103" s="506">
        <f t="shared" si="111"/>
        <v>8.7481146304675718E-3</v>
      </c>
      <c r="BO103" s="506">
        <f t="shared" si="111"/>
        <v>3.7365421152628246E-2</v>
      </c>
      <c r="BP103" s="506">
        <f t="shared" si="111"/>
        <v>3.5064935064935063E-2</v>
      </c>
      <c r="BQ103" s="506">
        <f t="shared" si="111"/>
        <v>3.9907460960092539E-2</v>
      </c>
      <c r="BR103" s="506">
        <f t="shared" si="111"/>
        <v>5.255117629086465E-2</v>
      </c>
      <c r="BS103" s="506">
        <f t="shared" si="111"/>
        <v>6.3732928679817906E-3</v>
      </c>
      <c r="BT103" s="506">
        <f t="shared" si="111"/>
        <v>-7.3146541036449297E-2</v>
      </c>
      <c r="BU103" s="506">
        <f t="shared" si="111"/>
        <v>-0.15360281195079087</v>
      </c>
      <c r="BV103" s="506">
        <f t="shared" si="111"/>
        <v>-0.16106604866743918</v>
      </c>
      <c r="BW103" s="533">
        <f t="shared" si="111"/>
        <v>-0.1300589390962672</v>
      </c>
      <c r="BX103" s="533">
        <f t="shared" si="111"/>
        <v>-0.10013860013860014</v>
      </c>
      <c r="BY103" s="533">
        <f t="shared" si="111"/>
        <v>-3.0971574034789989E-2</v>
      </c>
      <c r="BZ103" s="533">
        <f t="shared" si="111"/>
        <v>-7.1942446043165471E-3</v>
      </c>
      <c r="CA103" s="533">
        <f t="shared" si="111"/>
        <v>-4.1877588587206624E-2</v>
      </c>
      <c r="CB103" s="533">
        <v>-0.05</v>
      </c>
      <c r="CC103" s="533">
        <v>-0.05</v>
      </c>
      <c r="CD103" s="533">
        <v>-0.06</v>
      </c>
      <c r="CE103" s="533">
        <v>-0.04</v>
      </c>
      <c r="CF103" s="533">
        <v>-1.0896899914761784E-2</v>
      </c>
      <c r="CG103" s="524">
        <v>-0.05</v>
      </c>
      <c r="CH103" s="524">
        <v>-0.06</v>
      </c>
      <c r="CI103" s="524">
        <v>-0.04</v>
      </c>
      <c r="CJ103" s="524">
        <v>-1.0896899914761784E-2</v>
      </c>
    </row>
    <row r="104" spans="1:136" s="5" customFormat="1" hidden="1" outlineLevel="1">
      <c r="A104" s="5" t="s">
        <v>44</v>
      </c>
      <c r="B104" s="523"/>
      <c r="C104" s="523"/>
      <c r="D104" s="523"/>
      <c r="E104" s="523"/>
      <c r="F104" s="523"/>
      <c r="G104" s="523"/>
      <c r="H104" s="523"/>
      <c r="I104" s="523"/>
      <c r="J104" s="523"/>
      <c r="K104" s="523"/>
      <c r="L104" s="523" t="s">
        <v>48</v>
      </c>
      <c r="M104" s="506">
        <f t="shared" si="110"/>
        <v>1.5330638395240638E-2</v>
      </c>
      <c r="N104" s="506">
        <f t="shared" si="110"/>
        <v>0</v>
      </c>
      <c r="O104" s="506">
        <f t="shared" si="110"/>
        <v>1.8093652746616488E-4</v>
      </c>
      <c r="P104" s="506">
        <f t="shared" si="110"/>
        <v>0</v>
      </c>
      <c r="Q104" s="506">
        <f t="shared" si="110"/>
        <v>0</v>
      </c>
      <c r="R104" s="524">
        <v>0</v>
      </c>
      <c r="S104" s="524">
        <v>0</v>
      </c>
      <c r="T104" s="524">
        <v>0</v>
      </c>
      <c r="U104" s="524">
        <v>0</v>
      </c>
      <c r="V104" s="524">
        <v>0</v>
      </c>
      <c r="W104" s="524">
        <v>0</v>
      </c>
      <c r="X104" s="524">
        <v>0</v>
      </c>
      <c r="Y104" s="524">
        <v>0</v>
      </c>
      <c r="Z104" s="524">
        <v>0</v>
      </c>
      <c r="AA104" s="524">
        <v>0</v>
      </c>
      <c r="AB104" s="324"/>
      <c r="AC104" s="523"/>
      <c r="AD104" s="523"/>
      <c r="AE104" s="523"/>
      <c r="AF104" s="523"/>
      <c r="AG104" s="523"/>
      <c r="AH104" s="523"/>
      <c r="AI104" s="523"/>
      <c r="AJ104" s="523"/>
      <c r="AK104" s="523"/>
      <c r="AL104" s="523"/>
      <c r="AM104" s="523"/>
      <c r="AN104" s="523"/>
      <c r="AO104" s="523"/>
      <c r="AP104" s="523"/>
      <c r="AQ104" s="523"/>
      <c r="AR104" s="523"/>
      <c r="AS104" s="523"/>
      <c r="AT104" s="523"/>
      <c r="AU104" s="523"/>
      <c r="AV104" s="523"/>
      <c r="AW104" s="523"/>
      <c r="AX104" s="523"/>
      <c r="AY104" s="523"/>
      <c r="AZ104" s="523"/>
      <c r="BA104" s="523"/>
      <c r="BB104" s="523"/>
      <c r="BC104" s="523"/>
      <c r="BD104" s="523"/>
      <c r="BE104" s="523" t="s">
        <v>48</v>
      </c>
      <c r="BF104" s="523" t="s">
        <v>48</v>
      </c>
      <c r="BG104" s="523" t="s">
        <v>48</v>
      </c>
      <c r="BH104" s="523" t="s">
        <v>48</v>
      </c>
      <c r="BI104" s="506">
        <f t="shared" si="111"/>
        <v>0</v>
      </c>
      <c r="BJ104" s="506">
        <f t="shared" si="111"/>
        <v>0</v>
      </c>
      <c r="BK104" s="506">
        <f t="shared" si="111"/>
        <v>0</v>
      </c>
      <c r="BL104" s="506">
        <f t="shared" si="111"/>
        <v>0</v>
      </c>
      <c r="BM104" s="506">
        <f t="shared" si="111"/>
        <v>5.7240984544934168E-4</v>
      </c>
      <c r="BN104" s="506">
        <f t="shared" si="111"/>
        <v>1.5082956259426848E-4</v>
      </c>
      <c r="BO104" s="506">
        <f t="shared" si="111"/>
        <v>0</v>
      </c>
      <c r="BP104" s="506">
        <f t="shared" si="111"/>
        <v>0</v>
      </c>
      <c r="BQ104" s="506">
        <f t="shared" si="111"/>
        <v>0</v>
      </c>
      <c r="BR104" s="506">
        <f t="shared" si="111"/>
        <v>0</v>
      </c>
      <c r="BS104" s="506">
        <f t="shared" si="111"/>
        <v>0</v>
      </c>
      <c r="BT104" s="506">
        <f t="shared" si="111"/>
        <v>0</v>
      </c>
      <c r="BU104" s="506">
        <f t="shared" si="111"/>
        <v>0</v>
      </c>
      <c r="BV104" s="506">
        <f t="shared" si="111"/>
        <v>0</v>
      </c>
      <c r="BW104" s="533">
        <f t="shared" si="111"/>
        <v>0</v>
      </c>
      <c r="BX104" s="533">
        <f t="shared" si="111"/>
        <v>0</v>
      </c>
      <c r="BY104" s="533">
        <f t="shared" si="111"/>
        <v>0</v>
      </c>
      <c r="BZ104" s="533">
        <f t="shared" si="111"/>
        <v>0</v>
      </c>
      <c r="CA104" s="533">
        <f t="shared" si="111"/>
        <v>0</v>
      </c>
      <c r="CB104" s="533">
        <f>+CB214/BX$219</f>
        <v>0</v>
      </c>
      <c r="CC104" s="533">
        <v>0</v>
      </c>
      <c r="CD104" s="533">
        <v>0</v>
      </c>
      <c r="CE104" s="533">
        <v>0</v>
      </c>
      <c r="CF104" s="533">
        <f>+CF214/CB$219</f>
        <v>0</v>
      </c>
      <c r="CG104" s="524">
        <v>0</v>
      </c>
      <c r="CH104" s="524">
        <v>0</v>
      </c>
      <c r="CI104" s="524">
        <v>0</v>
      </c>
      <c r="CJ104" s="506">
        <f>+CJ214/CF$219</f>
        <v>0</v>
      </c>
    </row>
    <row r="105" spans="1:136" s="5" customFormat="1" hidden="1" outlineLevel="1">
      <c r="A105" s="5" t="s">
        <v>45</v>
      </c>
      <c r="B105" s="523"/>
      <c r="C105" s="523"/>
      <c r="D105" s="523"/>
      <c r="E105" s="523"/>
      <c r="F105" s="523"/>
      <c r="G105" s="523"/>
      <c r="H105" s="523"/>
      <c r="I105" s="523"/>
      <c r="J105" s="523"/>
      <c r="K105" s="523"/>
      <c r="L105" s="523" t="s">
        <v>48</v>
      </c>
      <c r="M105" s="506">
        <f t="shared" si="110"/>
        <v>-8.0085424452749597E-3</v>
      </c>
      <c r="N105" s="506">
        <f t="shared" si="110"/>
        <v>-3.8994218098695708E-3</v>
      </c>
      <c r="O105" s="506">
        <f t="shared" si="110"/>
        <v>-1.4221611058840559E-2</v>
      </c>
      <c r="P105" s="506">
        <f t="shared" si="110"/>
        <v>-8.5354577139199091E-4</v>
      </c>
      <c r="Q105" s="506">
        <f t="shared" si="110"/>
        <v>0</v>
      </c>
      <c r="R105" s="524">
        <v>0</v>
      </c>
      <c r="S105" s="524">
        <v>0</v>
      </c>
      <c r="T105" s="524">
        <v>0</v>
      </c>
      <c r="U105" s="524">
        <v>0</v>
      </c>
      <c r="V105" s="524">
        <v>0</v>
      </c>
      <c r="W105" s="524">
        <v>0</v>
      </c>
      <c r="X105" s="524">
        <v>0</v>
      </c>
      <c r="Y105" s="524">
        <v>0</v>
      </c>
      <c r="Z105" s="524">
        <v>0</v>
      </c>
      <c r="AA105" s="524">
        <v>0</v>
      </c>
      <c r="AB105" s="324"/>
      <c r="AC105" s="523"/>
      <c r="AD105" s="523"/>
      <c r="AE105" s="523"/>
      <c r="AF105" s="523"/>
      <c r="AG105" s="523"/>
      <c r="AH105" s="523"/>
      <c r="AI105" s="523"/>
      <c r="AJ105" s="523"/>
      <c r="AK105" s="523"/>
      <c r="AL105" s="523"/>
      <c r="AM105" s="523"/>
      <c r="AN105" s="523"/>
      <c r="AO105" s="523"/>
      <c r="AP105" s="523"/>
      <c r="AQ105" s="523"/>
      <c r="AR105" s="523"/>
      <c r="AS105" s="523"/>
      <c r="AT105" s="523"/>
      <c r="AU105" s="523"/>
      <c r="AV105" s="523"/>
      <c r="AW105" s="523"/>
      <c r="AX105" s="523"/>
      <c r="AY105" s="523"/>
      <c r="AZ105" s="523"/>
      <c r="BA105" s="523"/>
      <c r="BB105" s="523"/>
      <c r="BC105" s="523"/>
      <c r="BD105" s="523"/>
      <c r="BE105" s="523" t="s">
        <v>48</v>
      </c>
      <c r="BF105" s="523" t="s">
        <v>48</v>
      </c>
      <c r="BG105" s="523" t="s">
        <v>48</v>
      </c>
      <c r="BH105" s="523" t="s">
        <v>48</v>
      </c>
      <c r="BI105" s="506">
        <f t="shared" si="111"/>
        <v>8.9659294680215185E-4</v>
      </c>
      <c r="BJ105" s="506">
        <f t="shared" si="111"/>
        <v>-5.3667262969588547E-3</v>
      </c>
      <c r="BK105" s="506">
        <f t="shared" si="111"/>
        <v>-3.472222222222222E-3</v>
      </c>
      <c r="BL105" s="506">
        <f t="shared" si="111"/>
        <v>-6.7323875931714358E-3</v>
      </c>
      <c r="BM105" s="506">
        <f t="shared" si="111"/>
        <v>-1.4024041213508873E-2</v>
      </c>
      <c r="BN105" s="506">
        <f t="shared" si="111"/>
        <v>-2.3529411764705882E-2</v>
      </c>
      <c r="BO105" s="506">
        <f t="shared" si="111"/>
        <v>-1.8999366687777075E-2</v>
      </c>
      <c r="BP105" s="506">
        <f t="shared" si="111"/>
        <v>-2.4675324675324677E-3</v>
      </c>
      <c r="BQ105" s="506">
        <f t="shared" si="111"/>
        <v>-1.1567379988432619E-3</v>
      </c>
      <c r="BR105" s="506">
        <f t="shared" si="111"/>
        <v>-9.1659028414298811E-4</v>
      </c>
      <c r="BS105" s="506">
        <f t="shared" si="111"/>
        <v>-9.1047040971168442E-4</v>
      </c>
      <c r="BT105" s="506">
        <f t="shared" si="111"/>
        <v>-4.9590875278948676E-4</v>
      </c>
      <c r="BU105" s="506">
        <f t="shared" si="111"/>
        <v>0</v>
      </c>
      <c r="BV105" s="506">
        <f t="shared" si="111"/>
        <v>0</v>
      </c>
      <c r="BW105" s="533">
        <f t="shared" si="111"/>
        <v>0</v>
      </c>
      <c r="BX105" s="533">
        <f t="shared" si="111"/>
        <v>0</v>
      </c>
      <c r="BY105" s="533">
        <f t="shared" si="111"/>
        <v>0</v>
      </c>
      <c r="BZ105" s="533">
        <f t="shared" si="111"/>
        <v>0</v>
      </c>
      <c r="CA105" s="533">
        <f t="shared" si="111"/>
        <v>0</v>
      </c>
      <c r="CB105" s="533">
        <f>+CB215/BX$219</f>
        <v>0</v>
      </c>
      <c r="CC105" s="533">
        <v>0</v>
      </c>
      <c r="CD105" s="533">
        <v>0</v>
      </c>
      <c r="CE105" s="533">
        <v>0</v>
      </c>
      <c r="CF105" s="533">
        <f>+CF215/CB$219</f>
        <v>0</v>
      </c>
      <c r="CG105" s="524">
        <v>0</v>
      </c>
      <c r="CH105" s="524">
        <v>0</v>
      </c>
      <c r="CI105" s="524">
        <v>0</v>
      </c>
      <c r="CJ105" s="506">
        <f>+CJ215/CF$219</f>
        <v>0</v>
      </c>
    </row>
    <row r="106" spans="1:136" s="5" customFormat="1" hidden="1" outlineLevel="1">
      <c r="A106" s="5" t="s">
        <v>46</v>
      </c>
      <c r="B106" s="523"/>
      <c r="C106" s="523"/>
      <c r="D106" s="523"/>
      <c r="E106" s="523"/>
      <c r="F106" s="523"/>
      <c r="G106" s="523"/>
      <c r="H106" s="523"/>
      <c r="I106" s="523"/>
      <c r="J106" s="523"/>
      <c r="K106" s="523"/>
      <c r="L106" s="523" t="s">
        <v>48</v>
      </c>
      <c r="M106" s="506">
        <f t="shared" si="110"/>
        <v>3.211044161391198E-2</v>
      </c>
      <c r="N106" s="506">
        <f t="shared" si="110"/>
        <v>-3.3010622562861372E-2</v>
      </c>
      <c r="O106" s="506">
        <f t="shared" si="110"/>
        <v>2.7502352174857058E-3</v>
      </c>
      <c r="P106" s="506">
        <f t="shared" si="110"/>
        <v>-2.7028949427413047E-3</v>
      </c>
      <c r="Q106" s="506">
        <f t="shared" si="110"/>
        <v>0</v>
      </c>
      <c r="R106" s="524">
        <v>0</v>
      </c>
      <c r="S106" s="524">
        <v>0</v>
      </c>
      <c r="T106" s="524">
        <v>0</v>
      </c>
      <c r="U106" s="524">
        <v>0</v>
      </c>
      <c r="V106" s="524">
        <v>0</v>
      </c>
      <c r="W106" s="524">
        <v>0</v>
      </c>
      <c r="X106" s="524">
        <v>0</v>
      </c>
      <c r="Y106" s="524">
        <v>0</v>
      </c>
      <c r="Z106" s="524">
        <v>0</v>
      </c>
      <c r="AA106" s="524">
        <v>0</v>
      </c>
      <c r="AB106" s="324"/>
      <c r="AC106" s="523"/>
      <c r="AD106" s="523"/>
      <c r="AE106" s="523"/>
      <c r="AF106" s="523"/>
      <c r="AG106" s="523"/>
      <c r="AH106" s="523"/>
      <c r="AI106" s="523"/>
      <c r="AJ106" s="523"/>
      <c r="AK106" s="523"/>
      <c r="AL106" s="523"/>
      <c r="AM106" s="523"/>
      <c r="AN106" s="523"/>
      <c r="AO106" s="523"/>
      <c r="AP106" s="523"/>
      <c r="AQ106" s="523"/>
      <c r="AR106" s="523"/>
      <c r="AS106" s="523"/>
      <c r="AT106" s="523"/>
      <c r="AU106" s="523"/>
      <c r="AV106" s="523"/>
      <c r="AW106" s="523"/>
      <c r="AX106" s="523"/>
      <c r="AY106" s="523"/>
      <c r="AZ106" s="523"/>
      <c r="BA106" s="523"/>
      <c r="BB106" s="523"/>
      <c r="BC106" s="523"/>
      <c r="BD106" s="523"/>
      <c r="BE106" s="523" t="s">
        <v>48</v>
      </c>
      <c r="BF106" s="523" t="s">
        <v>48</v>
      </c>
      <c r="BG106" s="523" t="s">
        <v>48</v>
      </c>
      <c r="BH106" s="523" t="s">
        <v>48</v>
      </c>
      <c r="BI106" s="506">
        <f t="shared" si="111"/>
        <v>0</v>
      </c>
      <c r="BJ106" s="506">
        <f t="shared" si="111"/>
        <v>-7.0023000255558396E-2</v>
      </c>
      <c r="BK106" s="506">
        <f t="shared" si="111"/>
        <v>0</v>
      </c>
      <c r="BL106" s="506">
        <f t="shared" si="111"/>
        <v>-5.2176003847078628E-2</v>
      </c>
      <c r="BM106" s="506">
        <f t="shared" si="111"/>
        <v>0</v>
      </c>
      <c r="BN106" s="506">
        <f t="shared" si="111"/>
        <v>0</v>
      </c>
      <c r="BO106" s="506">
        <f t="shared" si="111"/>
        <v>6.0164661177960731E-3</v>
      </c>
      <c r="BP106" s="506">
        <f t="shared" si="111"/>
        <v>4.9350649350649355E-3</v>
      </c>
      <c r="BQ106" s="506">
        <f t="shared" si="111"/>
        <v>0</v>
      </c>
      <c r="BR106" s="506">
        <f t="shared" si="111"/>
        <v>0</v>
      </c>
      <c r="BS106" s="506">
        <f t="shared" si="111"/>
        <v>-5.766312594840668E-3</v>
      </c>
      <c r="BT106" s="506">
        <f t="shared" si="111"/>
        <v>-4.7111331515001242E-3</v>
      </c>
      <c r="BU106" s="506">
        <f t="shared" si="111"/>
        <v>0</v>
      </c>
      <c r="BV106" s="506">
        <f t="shared" si="111"/>
        <v>0</v>
      </c>
      <c r="BW106" s="506">
        <f t="shared" si="111"/>
        <v>0</v>
      </c>
      <c r="BX106" s="506">
        <f t="shared" si="111"/>
        <v>0</v>
      </c>
      <c r="BY106" s="506">
        <f t="shared" si="111"/>
        <v>0</v>
      </c>
      <c r="BZ106" s="506">
        <f t="shared" si="111"/>
        <v>0</v>
      </c>
      <c r="CA106" s="506">
        <f t="shared" si="111"/>
        <v>0</v>
      </c>
      <c r="CB106" s="506">
        <f>+CB216/BX$219</f>
        <v>0</v>
      </c>
      <c r="CC106" s="506">
        <v>0</v>
      </c>
      <c r="CD106" s="506">
        <v>0</v>
      </c>
      <c r="CE106" s="506">
        <v>0</v>
      </c>
      <c r="CF106" s="506">
        <f>+CF216/CB$219</f>
        <v>0</v>
      </c>
      <c r="CG106" s="524">
        <v>0</v>
      </c>
      <c r="CH106" s="524">
        <v>0</v>
      </c>
      <c r="CI106" s="524">
        <v>0</v>
      </c>
      <c r="CJ106" s="506">
        <f>+CJ216/CF$219</f>
        <v>0</v>
      </c>
    </row>
    <row r="107" spans="1:136" s="5" customFormat="1" hidden="1" outlineLevel="1">
      <c r="A107" s="5" t="s">
        <v>47</v>
      </c>
      <c r="B107" s="523"/>
      <c r="C107" s="523"/>
      <c r="D107" s="523"/>
      <c r="E107" s="523"/>
      <c r="F107" s="523"/>
      <c r="G107" s="523"/>
      <c r="H107" s="523"/>
      <c r="I107" s="523"/>
      <c r="J107" s="523"/>
      <c r="K107" s="523"/>
      <c r="L107" s="523" t="s">
        <v>48</v>
      </c>
      <c r="M107" s="506">
        <f t="shared" si="110"/>
        <v>-7.6271832812142479E-5</v>
      </c>
      <c r="N107" s="506">
        <f t="shared" si="110"/>
        <v>6.7231410514992599E-5</v>
      </c>
      <c r="O107" s="506">
        <f t="shared" si="110"/>
        <v>0</v>
      </c>
      <c r="P107" s="506">
        <f t="shared" si="110"/>
        <v>-0.21683732840173553</v>
      </c>
      <c r="Q107" s="506">
        <f t="shared" si="110"/>
        <v>8.7988955361258553E-5</v>
      </c>
      <c r="R107" s="524">
        <v>0</v>
      </c>
      <c r="S107" s="524">
        <v>0</v>
      </c>
      <c r="T107" s="524">
        <v>0</v>
      </c>
      <c r="U107" s="524">
        <v>0</v>
      </c>
      <c r="V107" s="524">
        <v>0</v>
      </c>
      <c r="W107" s="524">
        <v>0</v>
      </c>
      <c r="X107" s="524">
        <v>0</v>
      </c>
      <c r="Y107" s="524">
        <v>0</v>
      </c>
      <c r="Z107" s="524">
        <v>0</v>
      </c>
      <c r="AA107" s="524">
        <v>0</v>
      </c>
      <c r="AB107" s="324"/>
      <c r="AC107" s="523"/>
      <c r="AD107" s="523"/>
      <c r="AE107" s="523"/>
      <c r="AF107" s="523"/>
      <c r="AG107" s="523"/>
      <c r="AH107" s="523"/>
      <c r="AI107" s="523"/>
      <c r="AJ107" s="523"/>
      <c r="AK107" s="523"/>
      <c r="AL107" s="523"/>
      <c r="AM107" s="523"/>
      <c r="AN107" s="523"/>
      <c r="AO107" s="523"/>
      <c r="AP107" s="523"/>
      <c r="AQ107" s="523"/>
      <c r="AR107" s="523"/>
      <c r="AS107" s="523"/>
      <c r="AT107" s="523"/>
      <c r="AU107" s="523"/>
      <c r="AV107" s="523"/>
      <c r="AW107" s="523"/>
      <c r="AX107" s="523"/>
      <c r="AY107" s="523"/>
      <c r="AZ107" s="523"/>
      <c r="BA107" s="523"/>
      <c r="BB107" s="523"/>
      <c r="BC107" s="523"/>
      <c r="BD107" s="523"/>
      <c r="BE107" s="523" t="s">
        <v>48</v>
      </c>
      <c r="BF107" s="523" t="s">
        <v>48</v>
      </c>
      <c r="BG107" s="523" t="s">
        <v>48</v>
      </c>
      <c r="BH107" s="523" t="s">
        <v>48</v>
      </c>
      <c r="BI107" s="506">
        <f t="shared" si="111"/>
        <v>0</v>
      </c>
      <c r="BJ107" s="506">
        <f t="shared" si="111"/>
        <v>0</v>
      </c>
      <c r="BK107" s="506">
        <f t="shared" si="111"/>
        <v>0</v>
      </c>
      <c r="BL107" s="506">
        <f t="shared" si="111"/>
        <v>2.4044241404183698E-4</v>
      </c>
      <c r="BM107" s="506">
        <f t="shared" si="111"/>
        <v>0</v>
      </c>
      <c r="BN107" s="506">
        <f t="shared" si="111"/>
        <v>0</v>
      </c>
      <c r="BO107" s="506">
        <f t="shared" si="111"/>
        <v>0</v>
      </c>
      <c r="BP107" s="506">
        <f t="shared" si="111"/>
        <v>0</v>
      </c>
      <c r="BQ107" s="506">
        <f t="shared" si="111"/>
        <v>-0.20602082128397917</v>
      </c>
      <c r="BR107" s="506">
        <f t="shared" si="111"/>
        <v>-0.24161717079132294</v>
      </c>
      <c r="BS107" s="506">
        <f t="shared" si="111"/>
        <v>-0.20331411229135052</v>
      </c>
      <c r="BT107" s="506">
        <f t="shared" si="111"/>
        <v>-0.21705008678403176</v>
      </c>
      <c r="BU107" s="506">
        <f t="shared" si="111"/>
        <v>7.3813708260118231E-5</v>
      </c>
      <c r="BV107" s="506">
        <f t="shared" si="111"/>
        <v>3.9629200463499824E-4</v>
      </c>
      <c r="BW107" s="506">
        <f t="shared" si="111"/>
        <v>-1.1001964636541168E-4</v>
      </c>
      <c r="BX107" s="506">
        <f t="shared" si="111"/>
        <v>0</v>
      </c>
      <c r="BY107" s="506">
        <f t="shared" si="111"/>
        <v>0</v>
      </c>
      <c r="BZ107" s="506">
        <f t="shared" si="111"/>
        <v>0</v>
      </c>
      <c r="CA107" s="506">
        <f t="shared" si="111"/>
        <v>0</v>
      </c>
      <c r="CB107" s="506">
        <f>+CB217/BX$219</f>
        <v>0</v>
      </c>
      <c r="CC107" s="506">
        <v>0</v>
      </c>
      <c r="CD107" s="506">
        <v>0</v>
      </c>
      <c r="CE107" s="506">
        <v>0</v>
      </c>
      <c r="CF107" s="506">
        <f>+CF217/CB$219</f>
        <v>0</v>
      </c>
      <c r="CG107" s="524">
        <v>0</v>
      </c>
      <c r="CH107" s="524">
        <v>0</v>
      </c>
      <c r="CI107" s="524">
        <v>0</v>
      </c>
      <c r="CJ107" s="506">
        <f>+CJ217/CF$219</f>
        <v>0</v>
      </c>
    </row>
    <row r="108" spans="1:136" s="90" customFormat="1" ht="6" hidden="1" customHeight="1" outlineLevel="1">
      <c r="A108" s="87"/>
      <c r="B108" s="103"/>
      <c r="C108" s="103"/>
      <c r="D108" s="103"/>
      <c r="E108" s="103"/>
      <c r="F108" s="103"/>
      <c r="G108" s="103"/>
      <c r="H108" s="103"/>
      <c r="I108" s="103"/>
      <c r="J108" s="103"/>
      <c r="K108" s="103"/>
      <c r="L108" s="103"/>
      <c r="M108" s="91"/>
      <c r="N108" s="91"/>
      <c r="O108" s="91"/>
      <c r="P108" s="502"/>
      <c r="Q108" s="158"/>
      <c r="R108" s="158"/>
      <c r="S108" s="158"/>
      <c r="T108" s="158"/>
      <c r="U108" s="158"/>
      <c r="V108" s="158"/>
      <c r="W108" s="158"/>
      <c r="X108" s="158"/>
      <c r="Y108" s="158"/>
      <c r="Z108" s="158"/>
      <c r="AA108" s="158"/>
      <c r="AB108" s="158"/>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91"/>
      <c r="BH108" s="91"/>
      <c r="BI108" s="91"/>
      <c r="BJ108" s="91"/>
      <c r="BK108" s="91"/>
      <c r="BL108" s="91"/>
      <c r="BM108" s="91"/>
      <c r="BN108" s="91"/>
      <c r="BO108" s="91"/>
      <c r="BP108" s="91"/>
      <c r="BQ108" s="91"/>
      <c r="BR108" s="91"/>
      <c r="BS108" s="91"/>
      <c r="BT108" s="91"/>
      <c r="BU108" s="91"/>
      <c r="BV108" s="91"/>
      <c r="BW108" s="91"/>
      <c r="BX108" s="91"/>
      <c r="BY108" s="91"/>
      <c r="BZ108" s="91"/>
      <c r="CA108" s="91"/>
      <c r="CB108" s="91"/>
      <c r="CC108" s="91"/>
      <c r="CD108" s="91"/>
      <c r="CE108" s="91"/>
      <c r="CF108" s="91"/>
      <c r="CG108" s="91"/>
      <c r="CH108" s="91"/>
      <c r="CI108" s="91"/>
      <c r="CJ108" s="91"/>
      <c r="CO108" s="39"/>
      <c r="DK108" s="39"/>
      <c r="DL108" s="39"/>
      <c r="DM108" s="39"/>
      <c r="DN108" s="39"/>
      <c r="DO108" s="39"/>
      <c r="DP108" s="39"/>
      <c r="DQ108" s="91"/>
      <c r="DR108" s="39"/>
      <c r="DS108" s="39"/>
      <c r="DT108" s="39"/>
      <c r="DU108" s="39"/>
      <c r="DV108" s="39"/>
      <c r="DW108" s="39"/>
      <c r="DX108" s="39"/>
      <c r="DY108" s="39"/>
      <c r="DZ108" s="39"/>
      <c r="EA108" s="92"/>
      <c r="EB108" s="92"/>
      <c r="EC108" s="92"/>
      <c r="ED108" s="92"/>
      <c r="EE108" s="92"/>
      <c r="EF108" s="92"/>
    </row>
    <row r="109" spans="1:136" s="17" customFormat="1" hidden="1" outlineLevel="1">
      <c r="A109" s="17" t="s">
        <v>49</v>
      </c>
      <c r="B109" s="511"/>
      <c r="C109" s="511"/>
      <c r="D109" s="511"/>
      <c r="E109" s="511"/>
      <c r="F109" s="511"/>
      <c r="G109" s="511"/>
      <c r="H109" s="511"/>
      <c r="I109" s="511"/>
      <c r="J109" s="511"/>
      <c r="K109" s="511"/>
      <c r="L109" s="511">
        <f t="shared" ref="L109:AA109" si="112">+SUM(L100:L101)</f>
        <v>0</v>
      </c>
      <c r="M109" s="511">
        <f t="shared" si="112"/>
        <v>4.3999999999999997E-2</v>
      </c>
      <c r="N109" s="511">
        <f t="shared" si="112"/>
        <v>2.2640917036439424E-2</v>
      </c>
      <c r="O109" s="511">
        <f>+SUM(O100:O101)</f>
        <v>7.8617644930158506E-3</v>
      </c>
      <c r="P109" s="511">
        <f>+SUM(P100:P101)</f>
        <v>-9.3523010171420486E-3</v>
      </c>
      <c r="Q109" s="511">
        <f>+SUM(Q100:Q101)</f>
        <v>-1.9484767602393004E-2</v>
      </c>
      <c r="R109" s="511">
        <f t="shared" si="112"/>
        <v>6.0000000000000001E-3</v>
      </c>
      <c r="S109" s="511">
        <f t="shared" si="112"/>
        <v>1.4999999999999999E-2</v>
      </c>
      <c r="T109" s="511">
        <f t="shared" si="112"/>
        <v>0.01</v>
      </c>
      <c r="U109" s="511">
        <f t="shared" si="112"/>
        <v>1.4999999999999999E-2</v>
      </c>
      <c r="V109" s="511">
        <f t="shared" si="112"/>
        <v>1.4000000000000002E-2</v>
      </c>
      <c r="W109" s="511">
        <f t="shared" si="112"/>
        <v>1.3100000000000001E-2</v>
      </c>
      <c r="X109" s="511">
        <f t="shared" si="112"/>
        <v>1.2290000000000002E-2</v>
      </c>
      <c r="Y109" s="511">
        <f t="shared" si="112"/>
        <v>1.1561000000000002E-2</v>
      </c>
      <c r="Z109" s="511">
        <f t="shared" si="112"/>
        <v>1.0904900000000002E-2</v>
      </c>
      <c r="AA109" s="511">
        <f t="shared" si="112"/>
        <v>1.0314410000000003E-2</v>
      </c>
      <c r="AB109" s="473"/>
      <c r="AC109" s="523"/>
      <c r="AD109" s="523"/>
      <c r="AE109" s="523"/>
      <c r="AF109" s="523"/>
      <c r="AG109" s="523"/>
      <c r="AH109" s="523"/>
      <c r="AI109" s="523"/>
      <c r="AJ109" s="523"/>
      <c r="AK109" s="523"/>
      <c r="AL109" s="523"/>
      <c r="AM109" s="523"/>
      <c r="AN109" s="523"/>
      <c r="AO109" s="523"/>
      <c r="AP109" s="523"/>
      <c r="AQ109" s="523"/>
      <c r="AR109" s="523"/>
      <c r="AS109" s="523"/>
      <c r="AT109" s="523"/>
      <c r="AU109" s="523"/>
      <c r="AV109" s="523"/>
      <c r="AW109" s="523"/>
      <c r="AX109" s="523"/>
      <c r="AY109" s="523"/>
      <c r="AZ109" s="523"/>
      <c r="BA109" s="523"/>
      <c r="BB109" s="523"/>
      <c r="BC109" s="523"/>
      <c r="BD109" s="523"/>
      <c r="BE109" s="523" t="s">
        <v>48</v>
      </c>
      <c r="BF109" s="523" t="s">
        <v>48</v>
      </c>
      <c r="BG109" s="523" t="s">
        <v>48</v>
      </c>
      <c r="BH109" s="523" t="s">
        <v>48</v>
      </c>
      <c r="BI109" s="511">
        <f t="shared" ref="BI109:BW109" si="113">+SUM(BI100:BI101)</f>
        <v>7.5999999999999998E-2</v>
      </c>
      <c r="BJ109" s="511">
        <f t="shared" si="113"/>
        <v>1.0999999999999999E-2</v>
      </c>
      <c r="BK109" s="511">
        <f t="shared" si="113"/>
        <v>9.0000000000000011E-3</v>
      </c>
      <c r="BL109" s="511">
        <f t="shared" si="113"/>
        <v>2.0000000000000018E-3</v>
      </c>
      <c r="BM109" s="511">
        <f t="shared" si="113"/>
        <v>9.9999999999999915E-4</v>
      </c>
      <c r="BN109" s="511">
        <f t="shared" si="113"/>
        <v>2.0000000000000018E-3</v>
      </c>
      <c r="BO109" s="511">
        <f t="shared" si="113"/>
        <v>1.9E-2</v>
      </c>
      <c r="BP109" s="511">
        <f t="shared" si="113"/>
        <v>9.9999999999999985E-3</v>
      </c>
      <c r="BQ109" s="511">
        <f t="shared" si="113"/>
        <v>-0.01</v>
      </c>
      <c r="BR109" s="511">
        <f t="shared" si="113"/>
        <v>-1.9E-2</v>
      </c>
      <c r="BS109" s="511">
        <f t="shared" si="113"/>
        <v>-2.4E-2</v>
      </c>
      <c r="BT109" s="511">
        <f t="shared" si="113"/>
        <v>1.0999999999999999E-2</v>
      </c>
      <c r="BU109" s="532">
        <v>-1.7999999999999999E-2</v>
      </c>
      <c r="BV109" s="532">
        <v>-3.4000000000000002E-2</v>
      </c>
      <c r="BW109" s="511">
        <f t="shared" si="113"/>
        <v>-1.6E-2</v>
      </c>
      <c r="BX109" s="511">
        <f t="shared" ref="BX109:CF109" si="114">+SUM(BX100:BX101)</f>
        <v>-1.0999999999999999E-2</v>
      </c>
      <c r="BY109" s="511">
        <f t="shared" si="114"/>
        <v>1.9999999999999992E-3</v>
      </c>
      <c r="BZ109" s="511">
        <f>+SUM(BZ100:BZ101)</f>
        <v>-1E-3</v>
      </c>
      <c r="CA109" s="511">
        <f t="shared" si="114"/>
        <v>1.0000000000000002E-2</v>
      </c>
      <c r="CB109" s="511">
        <f t="shared" si="114"/>
        <v>1.1976998050682256E-2</v>
      </c>
      <c r="CC109" s="511">
        <f t="shared" si="114"/>
        <v>1.4999999999999999E-2</v>
      </c>
      <c r="CD109" s="511">
        <f t="shared" si="114"/>
        <v>1.4999999999999999E-2</v>
      </c>
      <c r="CE109" s="511">
        <f t="shared" si="114"/>
        <v>1.4999999999999999E-2</v>
      </c>
      <c r="CF109" s="511">
        <f t="shared" si="114"/>
        <v>1.4996103297667934E-2</v>
      </c>
      <c r="CG109" s="511">
        <f>+SUM(CG100:CG101)</f>
        <v>1.3100000000000001E-2</v>
      </c>
      <c r="CH109" s="511">
        <f>+SUM(CH100:CH101)</f>
        <v>1.3100000000000001E-2</v>
      </c>
      <c r="CI109" s="511">
        <f>+SUM(CI100:CI101)</f>
        <v>1.3100000000000001E-2</v>
      </c>
      <c r="CJ109" s="511">
        <f>+SUM(CJ100:CJ101)</f>
        <v>2.1957864991405864E-3</v>
      </c>
      <c r="CK109" s="20"/>
      <c r="CL109" s="20"/>
    </row>
    <row r="110" spans="1:136" s="17" customFormat="1" hidden="1" outlineLevel="1">
      <c r="A110" s="17" t="s">
        <v>50</v>
      </c>
      <c r="B110" s="511"/>
      <c r="C110" s="511"/>
      <c r="D110" s="511"/>
      <c r="E110" s="511"/>
      <c r="F110" s="511"/>
      <c r="G110" s="511"/>
      <c r="H110" s="511"/>
      <c r="I110" s="511"/>
      <c r="J110" s="511"/>
      <c r="K110" s="511"/>
      <c r="L110" s="511">
        <f t="shared" ref="L110:V110" si="115">+SUM(L100:L101,L103:L107)</f>
        <v>0</v>
      </c>
      <c r="M110" s="511">
        <f t="shared" si="115"/>
        <v>0.13499229654488595</v>
      </c>
      <c r="N110" s="511">
        <f t="shared" si="115"/>
        <v>-7.0541817937340323E-2</v>
      </c>
      <c r="O110" s="511">
        <f t="shared" si="115"/>
        <v>1.7559962365202287E-2</v>
      </c>
      <c r="P110" s="511">
        <f>+SUM(P100:P101,P103:P107)</f>
        <v>-0.22718543281883491</v>
      </c>
      <c r="Q110" s="511">
        <f>+SUM(Q100:Q101,Q103:Q107)</f>
        <v>-0.1550617579383341</v>
      </c>
      <c r="R110" s="511">
        <f t="shared" si="115"/>
        <v>-2.7469498910675384E-2</v>
      </c>
      <c r="S110" s="511">
        <f t="shared" si="115"/>
        <v>-2.4155963378511593E-2</v>
      </c>
      <c r="T110" s="511">
        <f t="shared" si="115"/>
        <v>0.01</v>
      </c>
      <c r="U110" s="511">
        <f t="shared" si="115"/>
        <v>1.4999999999999999E-2</v>
      </c>
      <c r="V110" s="511">
        <f t="shared" si="115"/>
        <v>1.4000000000000002E-2</v>
      </c>
      <c r="W110" s="511">
        <f>+SUM(W100:W101,W103:W107)</f>
        <v>1.3100000000000001E-2</v>
      </c>
      <c r="X110" s="511">
        <f>+SUM(X100:X101,X103:X107)</f>
        <v>1.2290000000000002E-2</v>
      </c>
      <c r="Y110" s="511">
        <f>+SUM(Y100:Y101,Y103:Y107)</f>
        <v>1.1561000000000002E-2</v>
      </c>
      <c r="Z110" s="511">
        <f>+SUM(Z100:Z101,Z103:Z107)</f>
        <v>1.0904900000000002E-2</v>
      </c>
      <c r="AA110" s="511">
        <f>+SUM(AA100:AA101,AA103:AA107)</f>
        <v>1.0314410000000003E-2</v>
      </c>
      <c r="AB110" s="473"/>
      <c r="AC110" s="523"/>
      <c r="AD110" s="523"/>
      <c r="AE110" s="523"/>
      <c r="AF110" s="523"/>
      <c r="AG110" s="523"/>
      <c r="AH110" s="523"/>
      <c r="AI110" s="523"/>
      <c r="AJ110" s="523"/>
      <c r="AK110" s="523"/>
      <c r="AL110" s="523"/>
      <c r="AM110" s="523"/>
      <c r="AN110" s="523"/>
      <c r="AO110" s="523"/>
      <c r="AP110" s="523"/>
      <c r="AQ110" s="523"/>
      <c r="AR110" s="523"/>
      <c r="AS110" s="523"/>
      <c r="AT110" s="523"/>
      <c r="AU110" s="523"/>
      <c r="AV110" s="523"/>
      <c r="AW110" s="523"/>
      <c r="AX110" s="523"/>
      <c r="AY110" s="523"/>
      <c r="AZ110" s="523"/>
      <c r="BA110" s="523"/>
      <c r="BB110" s="523"/>
      <c r="BC110" s="523"/>
      <c r="BD110" s="523"/>
      <c r="BE110" s="523" t="s">
        <v>48</v>
      </c>
      <c r="BF110" s="523" t="s">
        <v>48</v>
      </c>
      <c r="BG110" s="523" t="s">
        <v>48</v>
      </c>
      <c r="BH110" s="523" t="s">
        <v>48</v>
      </c>
      <c r="BI110" s="511">
        <f t="shared" ref="BI110:BW110" si="116">+SUM(BI100:BI101,BI103:BI107)</f>
        <v>4.4918111177525401E-2</v>
      </c>
      <c r="BJ110" s="511">
        <f t="shared" si="116"/>
        <v>-0.15153513927932533</v>
      </c>
      <c r="BK110" s="511">
        <f t="shared" si="116"/>
        <v>-8.6486111111111111E-2</v>
      </c>
      <c r="BL110" s="511">
        <f t="shared" si="116"/>
        <v>-7.3979802837220485E-2</v>
      </c>
      <c r="BM110" s="511">
        <f t="shared" si="116"/>
        <v>-1.0161991986262164E-2</v>
      </c>
      <c r="BN110" s="511">
        <f t="shared" si="116"/>
        <v>-1.2630467571644041E-2</v>
      </c>
      <c r="BO110" s="511">
        <f t="shared" si="116"/>
        <v>4.3382520582647244E-2</v>
      </c>
      <c r="BP110" s="511">
        <f t="shared" si="116"/>
        <v>4.753246753246753E-2</v>
      </c>
      <c r="BQ110" s="511">
        <f t="shared" si="116"/>
        <v>-0.17727009832272989</v>
      </c>
      <c r="BR110" s="511">
        <f t="shared" si="116"/>
        <v>-0.20898258478460127</v>
      </c>
      <c r="BS110" s="511">
        <f t="shared" si="116"/>
        <v>-0.22761760242792109</v>
      </c>
      <c r="BT110" s="511">
        <f t="shared" si="116"/>
        <v>-0.28440366972477066</v>
      </c>
      <c r="BU110" s="511">
        <f t="shared" si="116"/>
        <v>-0.17152899824253073</v>
      </c>
      <c r="BV110" s="511">
        <f t="shared" si="116"/>
        <v>-0.19466975666280417</v>
      </c>
      <c r="BW110" s="511">
        <f t="shared" si="116"/>
        <v>-0.14616895874263264</v>
      </c>
      <c r="BX110" s="511">
        <f t="shared" ref="BX110:CF110" si="117">+SUM(BX100:BX101,BX103:BX107)</f>
        <v>-0.11113860013860014</v>
      </c>
      <c r="BY110" s="511">
        <f t="shared" si="117"/>
        <v>-2.897157403478999E-2</v>
      </c>
      <c r="BZ110" s="511">
        <f>+SUM(BZ100:BZ101,BZ103:BZ107)</f>
        <v>-8.194244604316548E-3</v>
      </c>
      <c r="CA110" s="511">
        <f t="shared" si="117"/>
        <v>-3.1877588587206622E-2</v>
      </c>
      <c r="CB110" s="511">
        <f t="shared" si="117"/>
        <v>-3.802300194931775E-2</v>
      </c>
      <c r="CC110" s="511">
        <f t="shared" si="117"/>
        <v>-3.5000000000000003E-2</v>
      </c>
      <c r="CD110" s="511">
        <f t="shared" si="117"/>
        <v>-4.4999999999999998E-2</v>
      </c>
      <c r="CE110" s="511">
        <f t="shared" si="117"/>
        <v>-2.5000000000000001E-2</v>
      </c>
      <c r="CF110" s="511">
        <f t="shared" si="117"/>
        <v>4.0992033829061504E-3</v>
      </c>
      <c r="CG110" s="511">
        <f>+SUM(CG100:CG101,CG103:CG107)</f>
        <v>-3.6900000000000002E-2</v>
      </c>
      <c r="CH110" s="511">
        <f>+SUM(CH100:CH101,CH103:CH107)</f>
        <v>-4.6899999999999997E-2</v>
      </c>
      <c r="CI110" s="511">
        <f>+SUM(CI100:CI101,CI103:CI107)</f>
        <v>-2.69E-2</v>
      </c>
      <c r="CJ110" s="511">
        <f>+SUM(CJ100:CJ101,CJ103:CJ107)</f>
        <v>-8.7011134156211971E-3</v>
      </c>
    </row>
    <row r="111" spans="1:136" s="5" customFormat="1" hidden="1" outlineLevel="1">
      <c r="A111" s="23" t="s">
        <v>51</v>
      </c>
      <c r="B111" s="523"/>
      <c r="C111" s="523"/>
      <c r="D111" s="523"/>
      <c r="E111" s="523"/>
      <c r="F111" s="523"/>
      <c r="G111" s="523"/>
      <c r="H111" s="523"/>
      <c r="I111" s="523"/>
      <c r="J111" s="523"/>
      <c r="K111" s="523"/>
      <c r="L111" s="523" t="s">
        <v>48</v>
      </c>
      <c r="M111" s="523" t="s">
        <v>48</v>
      </c>
      <c r="N111" s="514">
        <f t="shared" ref="N111:AA111" si="118">+((1+N109)*(1+M109))^(1/2)-1</f>
        <v>3.3265269611846948E-2</v>
      </c>
      <c r="O111" s="514">
        <f t="shared" si="118"/>
        <v>1.5224447640570515E-2</v>
      </c>
      <c r="P111" s="514">
        <f t="shared" si="118"/>
        <v>-7.823370817501285E-4</v>
      </c>
      <c r="Q111" s="514">
        <f t="shared" si="118"/>
        <v>-1.4431555500922233E-2</v>
      </c>
      <c r="R111" s="514">
        <f t="shared" si="118"/>
        <v>-6.8241224274561141E-3</v>
      </c>
      <c r="S111" s="514">
        <f t="shared" si="118"/>
        <v>1.0489980158140844E-2</v>
      </c>
      <c r="T111" s="514">
        <f t="shared" si="118"/>
        <v>1.2496913575542612E-2</v>
      </c>
      <c r="U111" s="514">
        <f t="shared" si="118"/>
        <v>1.2496913575542612E-2</v>
      </c>
      <c r="V111" s="514">
        <f t="shared" si="118"/>
        <v>1.4499876786586929E-2</v>
      </c>
      <c r="W111" s="514">
        <f t="shared" si="118"/>
        <v>1.3549900103591472E-2</v>
      </c>
      <c r="X111" s="514">
        <f t="shared" si="118"/>
        <v>1.2694919015593831E-2</v>
      </c>
      <c r="Y111" s="514">
        <f t="shared" si="118"/>
        <v>1.1925434352749065E-2</v>
      </c>
      <c r="Z111" s="514">
        <f t="shared" si="118"/>
        <v>1.1232896789310276E-2</v>
      </c>
      <c r="AA111" s="514">
        <f t="shared" si="118"/>
        <v>1.0609611872759439E-2</v>
      </c>
      <c r="AB111" s="513"/>
      <c r="AC111" s="523"/>
      <c r="AD111" s="523"/>
      <c r="AE111" s="523"/>
      <c r="AF111" s="523"/>
      <c r="AG111" s="523"/>
      <c r="AH111" s="523"/>
      <c r="AI111" s="523"/>
      <c r="AJ111" s="523"/>
      <c r="AK111" s="523"/>
      <c r="AL111" s="523"/>
      <c r="AM111" s="523"/>
      <c r="AN111" s="523"/>
      <c r="AO111" s="523"/>
      <c r="AP111" s="523"/>
      <c r="AQ111" s="523"/>
      <c r="AR111" s="523"/>
      <c r="AS111" s="523"/>
      <c r="AT111" s="523"/>
      <c r="AU111" s="523"/>
      <c r="AV111" s="523"/>
      <c r="AW111" s="523"/>
      <c r="AX111" s="523"/>
      <c r="AY111" s="523"/>
      <c r="AZ111" s="523"/>
      <c r="BA111" s="523"/>
      <c r="BB111" s="523"/>
      <c r="BC111" s="523"/>
      <c r="BD111" s="523"/>
      <c r="BE111" s="523" t="s">
        <v>48</v>
      </c>
      <c r="BF111" s="523" t="s">
        <v>48</v>
      </c>
      <c r="BG111" s="523" t="s">
        <v>48</v>
      </c>
      <c r="BH111" s="523" t="s">
        <v>48</v>
      </c>
      <c r="BI111" s="523" t="s">
        <v>48</v>
      </c>
      <c r="BJ111" s="523" t="s">
        <v>48</v>
      </c>
      <c r="BK111" s="523" t="s">
        <v>48</v>
      </c>
      <c r="BL111" s="523" t="s">
        <v>48</v>
      </c>
      <c r="BM111" s="514">
        <f t="shared" ref="BM111:CB111" si="119">+((1+BM109)*(1+BI109))^(1/2)-1</f>
        <v>3.782272089215688E-2</v>
      </c>
      <c r="BN111" s="514">
        <f t="shared" si="119"/>
        <v>6.4899403372096209E-3</v>
      </c>
      <c r="BO111" s="514">
        <f t="shared" si="119"/>
        <v>1.398767250889188E-2</v>
      </c>
      <c r="BP111" s="514">
        <f t="shared" si="119"/>
        <v>5.9920476822865609E-3</v>
      </c>
      <c r="BQ111" s="514">
        <f t="shared" si="119"/>
        <v>-4.5151934861085152E-3</v>
      </c>
      <c r="BR111" s="514">
        <f t="shared" si="119"/>
        <v>-8.5555991383077235E-3</v>
      </c>
      <c r="BS111" s="514">
        <f t="shared" si="119"/>
        <v>-2.7317311776133835E-3</v>
      </c>
      <c r="BT111" s="514">
        <f t="shared" si="119"/>
        <v>1.0499876298854405E-2</v>
      </c>
      <c r="BU111" s="514">
        <f t="shared" si="119"/>
        <v>-1.4008113623646512E-2</v>
      </c>
      <c r="BV111" s="514">
        <f t="shared" si="119"/>
        <v>-2.6528891029631074E-2</v>
      </c>
      <c r="BW111" s="514">
        <f t="shared" si="119"/>
        <v>-2.0008163299305881E-2</v>
      </c>
      <c r="BX111" s="514">
        <f t="shared" si="119"/>
        <v>-6.0501830235759613E-5</v>
      </c>
      <c r="BY111" s="514">
        <f t="shared" si="119"/>
        <v>-8.0504045063579666E-3</v>
      </c>
      <c r="BZ111" s="514">
        <f t="shared" si="119"/>
        <v>-1.7638559388653552E-2</v>
      </c>
      <c r="CA111" s="514">
        <f t="shared" si="119"/>
        <v>-3.0847578655445185E-3</v>
      </c>
      <c r="CB111" s="514">
        <f t="shared" si="119"/>
        <v>4.2253626761379337E-4</v>
      </c>
      <c r="CC111" s="514">
        <f t="shared" ref="CC111:CJ111" si="120">+((1+CC109)*(1+BY109))^(1/2)-1</f>
        <v>8.4790528315399349E-3</v>
      </c>
      <c r="CD111" s="514">
        <f t="shared" si="120"/>
        <v>6.9682219414870517E-3</v>
      </c>
      <c r="CE111" s="514">
        <f t="shared" si="120"/>
        <v>1.2496913575542612E-2</v>
      </c>
      <c r="CF111" s="514">
        <f t="shared" si="120"/>
        <v>1.3485426460743133E-2</v>
      </c>
      <c r="CG111" s="514">
        <f t="shared" si="120"/>
        <v>1.4049555002121128E-2</v>
      </c>
      <c r="CH111" s="514">
        <f t="shared" si="120"/>
        <v>1.4049555002121128E-2</v>
      </c>
      <c r="CI111" s="514">
        <f t="shared" si="120"/>
        <v>1.4049555002121128E-2</v>
      </c>
      <c r="CJ111" s="514">
        <f t="shared" si="120"/>
        <v>8.5756382334292169E-3</v>
      </c>
    </row>
    <row r="112" spans="1:136" s="5" customFormat="1" ht="12" collapsed="1" thickBot="1">
      <c r="B112" s="324"/>
      <c r="C112" s="324"/>
      <c r="D112" s="324"/>
      <c r="E112" s="324"/>
      <c r="F112" s="324"/>
      <c r="G112" s="324"/>
      <c r="H112" s="324"/>
      <c r="I112" s="324"/>
      <c r="J112" s="324"/>
      <c r="K112" s="324"/>
      <c r="L112" s="324"/>
      <c r="M112" s="324"/>
      <c r="N112" s="324"/>
      <c r="O112" s="324"/>
      <c r="P112" s="324"/>
      <c r="Q112" s="324"/>
      <c r="R112" s="324"/>
      <c r="S112" s="324"/>
      <c r="T112" s="324"/>
      <c r="U112" s="324"/>
      <c r="V112" s="324"/>
      <c r="W112" s="324"/>
      <c r="X112" s="324"/>
      <c r="Y112" s="324"/>
      <c r="Z112" s="324"/>
      <c r="AA112" s="324"/>
      <c r="AB112" s="324"/>
      <c r="AC112" s="324"/>
      <c r="AD112" s="324"/>
      <c r="AE112" s="324"/>
      <c r="AF112" s="324"/>
      <c r="AG112" s="324"/>
      <c r="AH112" s="324"/>
      <c r="AI112" s="324"/>
      <c r="AJ112" s="324"/>
      <c r="AK112" s="324"/>
      <c r="AL112" s="324"/>
      <c r="AM112" s="324"/>
      <c r="AN112" s="324"/>
      <c r="AO112" s="324"/>
      <c r="AP112" s="324"/>
      <c r="AQ112" s="324"/>
      <c r="AR112" s="324"/>
      <c r="AS112" s="324"/>
      <c r="AT112" s="324"/>
      <c r="AU112" s="324"/>
      <c r="AV112" s="324"/>
      <c r="AW112" s="324"/>
      <c r="AX112" s="324"/>
      <c r="AY112" s="324"/>
      <c r="AZ112" s="324"/>
      <c r="BA112" s="324"/>
      <c r="BB112" s="324"/>
      <c r="BC112" s="324"/>
      <c r="BD112" s="324"/>
      <c r="BE112" s="324"/>
      <c r="BF112" s="324"/>
      <c r="BG112" s="324"/>
      <c r="BH112" s="324"/>
      <c r="BI112" s="324"/>
      <c r="BJ112" s="324"/>
      <c r="BK112" s="324"/>
      <c r="BL112" s="324"/>
      <c r="BM112" s="324"/>
      <c r="BN112" s="324"/>
      <c r="BO112" s="324"/>
      <c r="BP112" s="324"/>
      <c r="BQ112" s="324"/>
      <c r="BR112" s="324"/>
      <c r="BS112" s="324"/>
      <c r="BT112" s="324"/>
      <c r="BU112" s="324"/>
      <c r="BV112" s="324"/>
      <c r="BW112" s="324"/>
      <c r="BX112" s="324"/>
      <c r="BY112" s="324"/>
      <c r="BZ112" s="324"/>
      <c r="CA112" s="324"/>
      <c r="CB112" s="324"/>
      <c r="CC112" s="535"/>
      <c r="CD112" s="727"/>
      <c r="CE112" s="727"/>
      <c r="CF112" s="727"/>
      <c r="CG112" s="324"/>
      <c r="CH112" s="324"/>
      <c r="CI112" s="324"/>
      <c r="CJ112" s="324"/>
    </row>
    <row r="113" spans="1:136">
      <c r="A113" s="25" t="s">
        <v>58</v>
      </c>
      <c r="B113" s="518"/>
      <c r="C113" s="518"/>
      <c r="D113" s="518"/>
      <c r="E113" s="518"/>
      <c r="F113" s="518"/>
      <c r="G113" s="518"/>
      <c r="H113" s="518"/>
      <c r="I113" s="518"/>
      <c r="J113" s="518"/>
      <c r="K113" s="518"/>
      <c r="L113" s="518"/>
      <c r="M113" s="518"/>
      <c r="N113" s="518"/>
      <c r="O113" s="518"/>
      <c r="P113" s="531"/>
      <c r="Q113" s="531"/>
      <c r="R113" s="518"/>
      <c r="S113" s="518"/>
      <c r="T113" s="518"/>
      <c r="U113" s="518"/>
      <c r="V113" s="518"/>
      <c r="W113" s="518"/>
      <c r="X113" s="518"/>
      <c r="Y113" s="518"/>
      <c r="Z113" s="518"/>
      <c r="AA113" s="518"/>
      <c r="AB113" s="519"/>
      <c r="AC113" s="518"/>
      <c r="AD113" s="518"/>
      <c r="AE113" s="518"/>
      <c r="AF113" s="518"/>
      <c r="AG113" s="518"/>
      <c r="AH113" s="518"/>
      <c r="AI113" s="518"/>
      <c r="AJ113" s="518"/>
      <c r="AK113" s="518"/>
      <c r="AL113" s="518"/>
      <c r="AM113" s="518"/>
      <c r="AN113" s="518"/>
      <c r="AO113" s="518"/>
      <c r="AP113" s="518"/>
      <c r="AQ113" s="518"/>
      <c r="AR113" s="518"/>
      <c r="AS113" s="518"/>
      <c r="AT113" s="518"/>
      <c r="AU113" s="518"/>
      <c r="AV113" s="518"/>
      <c r="AW113" s="518"/>
      <c r="AX113" s="518"/>
      <c r="AY113" s="518"/>
      <c r="AZ113" s="518"/>
      <c r="BA113" s="518"/>
      <c r="BB113" s="518"/>
      <c r="BC113" s="518"/>
      <c r="BD113" s="518"/>
      <c r="BE113" s="518"/>
      <c r="BF113" s="518"/>
      <c r="BG113" s="518"/>
      <c r="BH113" s="518"/>
      <c r="BI113" s="518"/>
      <c r="BJ113" s="518"/>
      <c r="BK113" s="518"/>
      <c r="BL113" s="518"/>
      <c r="BM113" s="518"/>
      <c r="BN113" s="518"/>
      <c r="BO113" s="518"/>
      <c r="BP113" s="518"/>
      <c r="BQ113" s="518"/>
      <c r="BR113" s="518"/>
      <c r="BS113" s="518"/>
      <c r="BT113" s="518"/>
      <c r="BU113" s="521"/>
      <c r="BV113" s="521"/>
      <c r="BW113" s="521"/>
      <c r="BX113" s="521"/>
      <c r="BY113" s="521"/>
      <c r="BZ113" s="518"/>
      <c r="CA113" s="518"/>
      <c r="CB113" s="518"/>
      <c r="CC113" s="518"/>
      <c r="CD113" s="518"/>
      <c r="CE113" s="518"/>
      <c r="CF113" s="518"/>
      <c r="CG113" s="521"/>
      <c r="CH113" s="518"/>
      <c r="CI113" s="518"/>
      <c r="CJ113" s="518"/>
    </row>
    <row r="114" spans="1:136" s="5" customFormat="1">
      <c r="A114" s="5" t="s">
        <v>41</v>
      </c>
      <c r="B114" s="523"/>
      <c r="C114" s="523"/>
      <c r="D114" s="523"/>
      <c r="E114" s="523"/>
      <c r="F114" s="523"/>
      <c r="G114" s="523"/>
      <c r="H114" s="523"/>
      <c r="I114" s="523"/>
      <c r="J114" s="523"/>
      <c r="K114" s="523"/>
      <c r="L114" s="523" t="s">
        <v>48</v>
      </c>
      <c r="M114" s="524">
        <v>-0.01</v>
      </c>
      <c r="N114" s="506">
        <f t="shared" ref="N114:S115" si="121">+N223/M$232</f>
        <v>-1.2048587735987121E-2</v>
      </c>
      <c r="O114" s="506">
        <f t="shared" si="121"/>
        <v>2.3482254092423587E-2</v>
      </c>
      <c r="P114" s="506">
        <f t="shared" si="121"/>
        <v>6.773709054498641E-3</v>
      </c>
      <c r="Q114" s="506">
        <f t="shared" si="121"/>
        <v>5.6806516724336792E-3</v>
      </c>
      <c r="R114" s="506">
        <f t="shared" si="121"/>
        <v>1.4094971264367814E-2</v>
      </c>
      <c r="S114" s="506">
        <f t="shared" si="121"/>
        <v>-1.7691089678998129E-2</v>
      </c>
      <c r="T114" s="527">
        <v>0.01</v>
      </c>
      <c r="U114" s="524">
        <v>0.01</v>
      </c>
      <c r="V114" s="524">
        <v>1.4999999999999999E-2</v>
      </c>
      <c r="W114" s="524">
        <f>+V114*0.9</f>
        <v>1.35E-2</v>
      </c>
      <c r="X114" s="524">
        <f>+W114*0.9</f>
        <v>1.2149999999999999E-2</v>
      </c>
      <c r="Y114" s="524">
        <f>+X114*0.9</f>
        <v>1.0935E-2</v>
      </c>
      <c r="Z114" s="524">
        <f>+Y114*0.9</f>
        <v>9.8415000000000013E-3</v>
      </c>
      <c r="AA114" s="524">
        <f>+Z114*0.9</f>
        <v>8.8573500000000017E-3</v>
      </c>
      <c r="AB114" s="324"/>
      <c r="AC114" s="523"/>
      <c r="AD114" s="523"/>
      <c r="AE114" s="523"/>
      <c r="AF114" s="523"/>
      <c r="AG114" s="523"/>
      <c r="AH114" s="523"/>
      <c r="AI114" s="523"/>
      <c r="AJ114" s="523"/>
      <c r="AK114" s="523"/>
      <c r="AL114" s="523"/>
      <c r="AM114" s="523"/>
      <c r="AN114" s="523"/>
      <c r="AO114" s="523"/>
      <c r="AP114" s="523"/>
      <c r="AQ114" s="523"/>
      <c r="AR114" s="523"/>
      <c r="AS114" s="523"/>
      <c r="AT114" s="523"/>
      <c r="AU114" s="523"/>
      <c r="AV114" s="523"/>
      <c r="AW114" s="523"/>
      <c r="AX114" s="523"/>
      <c r="AY114" s="523"/>
      <c r="AZ114" s="523"/>
      <c r="BA114" s="523"/>
      <c r="BB114" s="523"/>
      <c r="BC114" s="523"/>
      <c r="BD114" s="523"/>
      <c r="BE114" s="523" t="s">
        <v>48</v>
      </c>
      <c r="BF114" s="523" t="s">
        <v>48</v>
      </c>
      <c r="BG114" s="523" t="s">
        <v>48</v>
      </c>
      <c r="BH114" s="523" t="s">
        <v>48</v>
      </c>
      <c r="BI114" s="524">
        <v>-1.2999999999999999E-2</v>
      </c>
      <c r="BJ114" s="524">
        <v>-2.4E-2</v>
      </c>
      <c r="BK114" s="524">
        <v>-2E-3</v>
      </c>
      <c r="BL114" s="524">
        <v>-0.01</v>
      </c>
      <c r="BM114" s="524">
        <v>8.9999999999999993E-3</v>
      </c>
      <c r="BN114" s="524">
        <v>3.2000000000000001E-2</v>
      </c>
      <c r="BO114" s="524">
        <v>0.02</v>
      </c>
      <c r="BP114" s="524">
        <v>3.2000000000000001E-2</v>
      </c>
      <c r="BQ114" s="524">
        <v>0.01</v>
      </c>
      <c r="BR114" s="524">
        <v>1.6E-2</v>
      </c>
      <c r="BS114" s="524">
        <v>3.0000000000000001E-3</v>
      </c>
      <c r="BT114" s="525">
        <v>-1E-3</v>
      </c>
      <c r="BU114" s="524">
        <v>-4.0000000000000001E-3</v>
      </c>
      <c r="BV114" s="527">
        <v>5.0000000000000001E-3</v>
      </c>
      <c r="BW114" s="527">
        <v>2E-3</v>
      </c>
      <c r="BX114" s="526">
        <v>1.9E-2</v>
      </c>
      <c r="BY114" s="524">
        <v>2.1999999999999999E-2</v>
      </c>
      <c r="BZ114" s="524">
        <v>0.01</v>
      </c>
      <c r="CA114" s="524">
        <v>2.4E-2</v>
      </c>
      <c r="CB114" s="524">
        <v>1E-3</v>
      </c>
      <c r="CC114" s="524">
        <v>-1.4E-2</v>
      </c>
      <c r="CD114" s="524">
        <v>-6.6000000000000003E-2</v>
      </c>
      <c r="CE114" s="524">
        <v>7.0000000000000001E-3</v>
      </c>
      <c r="CF114" s="524">
        <v>1E-3</v>
      </c>
      <c r="CG114" s="524">
        <v>-2E-3</v>
      </c>
      <c r="CH114" s="524">
        <v>2.8000000000000001E-2</v>
      </c>
      <c r="CI114" s="524">
        <v>5.0000000000000001E-3</v>
      </c>
      <c r="CJ114" s="506">
        <f>+CJ223/CF$232</f>
        <v>1.0187118267629091E-2</v>
      </c>
      <c r="CK114" s="571"/>
      <c r="CL114" s="18"/>
      <c r="CM114" s="18"/>
      <c r="CN114" s="18"/>
      <c r="CO114" s="18"/>
      <c r="CP114" s="18"/>
      <c r="CQ114" s="18"/>
      <c r="CR114" s="18"/>
      <c r="CS114" s="18"/>
    </row>
    <row r="115" spans="1:136" s="5" customFormat="1">
      <c r="A115" s="5" t="s">
        <v>42</v>
      </c>
      <c r="B115" s="523"/>
      <c r="C115" s="523"/>
      <c r="D115" s="523"/>
      <c r="E115" s="523"/>
      <c r="F115" s="523"/>
      <c r="G115" s="523"/>
      <c r="H115" s="523"/>
      <c r="I115" s="523"/>
      <c r="J115" s="523"/>
      <c r="K115" s="523"/>
      <c r="L115" s="523" t="s">
        <v>48</v>
      </c>
      <c r="M115" s="524">
        <v>3.5000000000000003E-2</v>
      </c>
      <c r="N115" s="506">
        <f t="shared" si="121"/>
        <v>3.6231962534757793E-2</v>
      </c>
      <c r="O115" s="506">
        <f t="shared" si="121"/>
        <v>2.1151673185571488E-3</v>
      </c>
      <c r="P115" s="506">
        <f t="shared" si="121"/>
        <v>1.2692032613360025E-3</v>
      </c>
      <c r="Q115" s="506">
        <f t="shared" si="121"/>
        <v>2.5609861591695503E-3</v>
      </c>
      <c r="R115" s="506">
        <f t="shared" si="121"/>
        <v>-2.5410919540229892E-3</v>
      </c>
      <c r="S115" s="506">
        <f t="shared" si="121"/>
        <v>-6.4930185691665469E-3</v>
      </c>
      <c r="T115" s="524">
        <v>-5.0000000000000001E-3</v>
      </c>
      <c r="U115" s="524">
        <v>5.0000000000000001E-3</v>
      </c>
      <c r="V115" s="524">
        <v>5.0000000000000001E-3</v>
      </c>
      <c r="W115" s="524">
        <v>5.0000000000000001E-3</v>
      </c>
      <c r="X115" s="524">
        <v>5.0000000000000001E-3</v>
      </c>
      <c r="Y115" s="524">
        <v>5.0000000000000001E-3</v>
      </c>
      <c r="Z115" s="524">
        <v>5.0000000000000001E-3</v>
      </c>
      <c r="AA115" s="524">
        <v>5.0000000000000001E-3</v>
      </c>
      <c r="AB115" s="324"/>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3"/>
      <c r="BC115" s="523"/>
      <c r="BD115" s="523"/>
      <c r="BE115" s="523" t="s">
        <v>48</v>
      </c>
      <c r="BF115" s="523" t="s">
        <v>48</v>
      </c>
      <c r="BG115" s="523" t="s">
        <v>48</v>
      </c>
      <c r="BH115" s="523" t="s">
        <v>48</v>
      </c>
      <c r="BI115" s="524">
        <v>3.5000000000000003E-2</v>
      </c>
      <c r="BJ115" s="524">
        <v>5.3999999999999999E-2</v>
      </c>
      <c r="BK115" s="524">
        <v>2.5000000000000001E-2</v>
      </c>
      <c r="BL115" s="524">
        <v>3.2000000000000001E-2</v>
      </c>
      <c r="BM115" s="524">
        <v>1.4999999999999999E-2</v>
      </c>
      <c r="BN115" s="524">
        <v>-8.9999999999999993E-3</v>
      </c>
      <c r="BO115" s="524">
        <v>4.0000000000000001E-3</v>
      </c>
      <c r="BP115" s="524">
        <v>-1E-3</v>
      </c>
      <c r="BQ115" s="524">
        <v>1.4999999999999999E-2</v>
      </c>
      <c r="BR115" s="524">
        <v>1.0999999999999999E-2</v>
      </c>
      <c r="BS115" s="524">
        <v>-5.0000000000000001E-3</v>
      </c>
      <c r="BT115" s="525">
        <v>-1.4E-2</v>
      </c>
      <c r="BU115" s="524">
        <v>1E-3</v>
      </c>
      <c r="BV115" s="527">
        <v>-2E-3</v>
      </c>
      <c r="BW115" s="527">
        <v>4.0000000000000001E-3</v>
      </c>
      <c r="BX115" s="526">
        <v>7.0000000000000001E-3</v>
      </c>
      <c r="BY115" s="524">
        <v>5.0000000000000001E-3</v>
      </c>
      <c r="BZ115" s="524">
        <v>-1E-3</v>
      </c>
      <c r="CA115" s="524">
        <v>-1.7000000000000001E-2</v>
      </c>
      <c r="CB115" s="524">
        <v>3.0000000000000001E-3</v>
      </c>
      <c r="CC115" s="524">
        <v>-5.0000000000000001E-3</v>
      </c>
      <c r="CD115" s="524">
        <v>-1.4999999999999999E-2</v>
      </c>
      <c r="CE115" s="524">
        <v>3.0000000000000001E-3</v>
      </c>
      <c r="CF115" s="524">
        <v>-8.9999999999999993E-3</v>
      </c>
      <c r="CG115" s="524">
        <v>-5.0000000000000001E-3</v>
      </c>
      <c r="CH115" s="524">
        <v>-5.0000000000000001E-3</v>
      </c>
      <c r="CI115" s="524">
        <v>-5.0000000000000001E-3</v>
      </c>
      <c r="CJ115" s="506">
        <f>+CJ224/CF$232</f>
        <v>-4.9999999999999992E-3</v>
      </c>
      <c r="CK115" s="571"/>
      <c r="CL115" s="571"/>
      <c r="CM115" s="571"/>
      <c r="CN115" s="571"/>
      <c r="CO115" s="571"/>
    </row>
    <row r="116" spans="1:136" s="90" customFormat="1" ht="6" customHeight="1">
      <c r="A116" s="87"/>
      <c r="B116" s="103"/>
      <c r="C116" s="103"/>
      <c r="D116" s="103"/>
      <c r="E116" s="103"/>
      <c r="F116" s="103"/>
      <c r="G116" s="103"/>
      <c r="H116" s="103"/>
      <c r="I116" s="103"/>
      <c r="J116" s="103"/>
      <c r="K116" s="103"/>
      <c r="L116" s="103"/>
      <c r="M116" s="91"/>
      <c r="N116" s="91"/>
      <c r="O116" s="91"/>
      <c r="P116" s="502"/>
      <c r="Q116" s="158"/>
      <c r="R116" s="158"/>
      <c r="S116" s="158"/>
      <c r="T116" s="158"/>
      <c r="U116" s="158"/>
      <c r="V116" s="158"/>
      <c r="W116" s="158"/>
      <c r="X116" s="158"/>
      <c r="Y116" s="158"/>
      <c r="Z116" s="158"/>
      <c r="AA116" s="158"/>
      <c r="AB116" s="158"/>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91"/>
      <c r="BH116" s="91"/>
      <c r="BI116" s="91"/>
      <c r="BJ116" s="91"/>
      <c r="BK116" s="91"/>
      <c r="BL116" s="91"/>
      <c r="BM116" s="91"/>
      <c r="BN116" s="91"/>
      <c r="BO116" s="91"/>
      <c r="BP116" s="91"/>
      <c r="BQ116" s="91"/>
      <c r="BR116" s="91"/>
      <c r="BS116" s="91"/>
      <c r="BT116" s="91"/>
      <c r="BU116" s="91"/>
      <c r="BV116" s="91"/>
      <c r="BW116" s="91"/>
      <c r="BX116" s="91"/>
      <c r="BY116" s="91"/>
      <c r="BZ116" s="91"/>
      <c r="CA116" s="91"/>
      <c r="CB116" s="91"/>
      <c r="CC116" s="91"/>
      <c r="CD116" s="91"/>
      <c r="CE116" s="91"/>
      <c r="CF116" s="91"/>
      <c r="CG116" s="91"/>
      <c r="CH116" s="91"/>
      <c r="CI116" s="91"/>
      <c r="CJ116" s="91"/>
      <c r="CO116" s="39"/>
      <c r="DK116" s="39"/>
      <c r="DL116" s="39"/>
      <c r="DM116" s="39"/>
      <c r="DN116" s="39"/>
      <c r="DO116" s="39"/>
      <c r="DP116" s="39"/>
      <c r="DQ116" s="91"/>
      <c r="DR116" s="39"/>
      <c r="DS116" s="39"/>
      <c r="DT116" s="39"/>
      <c r="DU116" s="39"/>
      <c r="DV116" s="39"/>
      <c r="DW116" s="39"/>
      <c r="DX116" s="39"/>
      <c r="DY116" s="39"/>
      <c r="DZ116" s="39"/>
      <c r="EA116" s="92"/>
      <c r="EB116" s="92"/>
      <c r="EC116" s="92"/>
      <c r="ED116" s="92"/>
      <c r="EE116" s="92"/>
      <c r="EF116" s="92"/>
    </row>
    <row r="117" spans="1:136" s="5" customFormat="1">
      <c r="A117" s="5" t="s">
        <v>43</v>
      </c>
      <c r="B117" s="523"/>
      <c r="C117" s="523"/>
      <c r="D117" s="523"/>
      <c r="E117" s="523"/>
      <c r="F117" s="523"/>
      <c r="G117" s="523"/>
      <c r="H117" s="523"/>
      <c r="I117" s="523"/>
      <c r="J117" s="523"/>
      <c r="K117" s="523"/>
      <c r="L117" s="523" t="s">
        <v>48</v>
      </c>
      <c r="M117" s="506">
        <f t="shared" ref="M117:T121" si="122">+M226/L$232</f>
        <v>6.9864927806241265E-3</v>
      </c>
      <c r="N117" s="506">
        <f t="shared" si="122"/>
        <v>-1.4634860237084735E-3</v>
      </c>
      <c r="O117" s="506">
        <f t="shared" si="122"/>
        <v>-5.0397355867807941E-3</v>
      </c>
      <c r="P117" s="506">
        <f t="shared" si="122"/>
        <v>-1.0155914747532541E-2</v>
      </c>
      <c r="Q117" s="506">
        <f t="shared" si="122"/>
        <v>-1.9463667820069204E-2</v>
      </c>
      <c r="R117" s="506">
        <f t="shared" si="122"/>
        <v>-3.5919540229885057E-3</v>
      </c>
      <c r="S117" s="506">
        <f t="shared" si="122"/>
        <v>2.5910464948898804E-3</v>
      </c>
      <c r="T117" s="506">
        <f t="shared" si="122"/>
        <v>7.1904621496933279E-3</v>
      </c>
      <c r="U117" s="524">
        <v>0</v>
      </c>
      <c r="V117" s="524">
        <v>0</v>
      </c>
      <c r="W117" s="524">
        <v>0</v>
      </c>
      <c r="X117" s="524">
        <v>0</v>
      </c>
      <c r="Y117" s="524">
        <v>0</v>
      </c>
      <c r="Z117" s="524">
        <v>0</v>
      </c>
      <c r="AA117" s="524">
        <v>0</v>
      </c>
      <c r="AB117" s="324"/>
      <c r="AC117" s="523"/>
      <c r="AD117" s="523"/>
      <c r="AE117" s="523"/>
      <c r="AF117" s="523"/>
      <c r="AG117" s="523"/>
      <c r="AH117" s="523"/>
      <c r="AI117" s="523"/>
      <c r="AJ117" s="523"/>
      <c r="AK117" s="523"/>
      <c r="AL117" s="523"/>
      <c r="AM117" s="523"/>
      <c r="AN117" s="523"/>
      <c r="AO117" s="523"/>
      <c r="AP117" s="523"/>
      <c r="AQ117" s="523"/>
      <c r="AR117" s="523"/>
      <c r="AS117" s="523"/>
      <c r="AT117" s="523"/>
      <c r="AU117" s="523"/>
      <c r="AV117" s="523"/>
      <c r="AW117" s="523"/>
      <c r="AX117" s="523"/>
      <c r="AY117" s="523"/>
      <c r="AZ117" s="523"/>
      <c r="BA117" s="523"/>
      <c r="BB117" s="523"/>
      <c r="BC117" s="523"/>
      <c r="BD117" s="523"/>
      <c r="BE117" s="523" t="s">
        <v>48</v>
      </c>
      <c r="BF117" s="523" t="s">
        <v>48</v>
      </c>
      <c r="BG117" s="523" t="s">
        <v>48</v>
      </c>
      <c r="BH117" s="523" t="s">
        <v>48</v>
      </c>
      <c r="BI117" s="506">
        <f t="shared" ref="BI117:CF121" si="123">+BI226/BE$232</f>
        <v>-6.2421972534332086E-4</v>
      </c>
      <c r="BJ117" s="506">
        <f t="shared" si="123"/>
        <v>-7.8883495145631068E-3</v>
      </c>
      <c r="BK117" s="506">
        <f t="shared" si="123"/>
        <v>-3.4582132564841498E-3</v>
      </c>
      <c r="BL117" s="506">
        <f t="shared" si="123"/>
        <v>5.411255411255411E-3</v>
      </c>
      <c r="BM117" s="506">
        <f t="shared" si="123"/>
        <v>-1.0950396300782276E-3</v>
      </c>
      <c r="BN117" s="506">
        <f t="shared" si="123"/>
        <v>-1.7804154302670622E-3</v>
      </c>
      <c r="BO117" s="506">
        <f t="shared" si="123"/>
        <v>-6.7873303167420816E-3</v>
      </c>
      <c r="BP117" s="506">
        <f t="shared" si="123"/>
        <v>-9.911894273127754E-3</v>
      </c>
      <c r="BQ117" s="506">
        <f t="shared" si="123"/>
        <v>-1.2062726176115802E-2</v>
      </c>
      <c r="BR117" s="506">
        <f t="shared" si="123"/>
        <v>-9.3896713615023476E-3</v>
      </c>
      <c r="BS117" s="506">
        <f t="shared" si="123"/>
        <v>-6.7226890756302525E-3</v>
      </c>
      <c r="BT117" s="506">
        <f t="shared" si="123"/>
        <v>-1.2472885032537961E-2</v>
      </c>
      <c r="BU117" s="506">
        <f t="shared" si="123"/>
        <v>-1.4397120575884824E-2</v>
      </c>
      <c r="BV117" s="506">
        <f t="shared" si="123"/>
        <v>-1.5089959373186303E-2</v>
      </c>
      <c r="BW117" s="533">
        <f t="shared" si="123"/>
        <v>-2.4431818181818183E-2</v>
      </c>
      <c r="BX117" s="533">
        <f t="shared" si="123"/>
        <v>-2.3516237402015677E-2</v>
      </c>
      <c r="BY117" s="533">
        <f t="shared" si="123"/>
        <v>-9.512485136741973E-3</v>
      </c>
      <c r="BZ117" s="533">
        <f t="shared" si="123"/>
        <v>-5.2539404553415062E-3</v>
      </c>
      <c r="CA117" s="533">
        <f t="shared" si="123"/>
        <v>-5.6947608200455578E-4</v>
      </c>
      <c r="CB117" s="533">
        <f t="shared" si="123"/>
        <v>5.4854635216675812E-4</v>
      </c>
      <c r="CC117" s="533">
        <f t="shared" si="123"/>
        <v>2.9850746268656717E-3</v>
      </c>
      <c r="CD117" s="533">
        <f t="shared" si="123"/>
        <v>-4.6511627906976744E-3</v>
      </c>
      <c r="CE117" s="533">
        <f t="shared" si="123"/>
        <v>5.7045065601825443E-3</v>
      </c>
      <c r="CF117" s="533">
        <f t="shared" si="123"/>
        <v>6.1145080600333518E-3</v>
      </c>
      <c r="CG117" s="524">
        <v>8.8572721683910071E-3</v>
      </c>
      <c r="CH117" s="524">
        <v>1.153578302476616E-2</v>
      </c>
      <c r="CI117" s="524">
        <v>3.0000000000000001E-3</v>
      </c>
      <c r="CJ117" s="524">
        <v>6.0000000000000001E-3</v>
      </c>
    </row>
    <row r="118" spans="1:136" s="5" customFormat="1">
      <c r="A118" s="5" t="s">
        <v>44</v>
      </c>
      <c r="B118" s="523"/>
      <c r="C118" s="523"/>
      <c r="D118" s="523"/>
      <c r="E118" s="523"/>
      <c r="F118" s="523"/>
      <c r="G118" s="523"/>
      <c r="H118" s="523"/>
      <c r="I118" s="523"/>
      <c r="J118" s="523"/>
      <c r="K118" s="523"/>
      <c r="L118" s="523" t="s">
        <v>48</v>
      </c>
      <c r="M118" s="506">
        <f t="shared" si="122"/>
        <v>1.8164881229622728E-2</v>
      </c>
      <c r="N118" s="506">
        <f t="shared" si="122"/>
        <v>0</v>
      </c>
      <c r="O118" s="506">
        <f t="shared" si="122"/>
        <v>7.2432275822106325E-5</v>
      </c>
      <c r="P118" s="506">
        <f t="shared" si="122"/>
        <v>0</v>
      </c>
      <c r="Q118" s="506">
        <f>+Q227/P$232</f>
        <v>5.3832179930795847E-3</v>
      </c>
      <c r="R118" s="506">
        <f>+R227/Q$232</f>
        <v>7.1839080459770114E-4</v>
      </c>
      <c r="S118" s="506">
        <f>+S227/R$232</f>
        <v>0</v>
      </c>
      <c r="T118" s="524">
        <v>0</v>
      </c>
      <c r="U118" s="524">
        <v>0</v>
      </c>
      <c r="V118" s="524">
        <v>0</v>
      </c>
      <c r="W118" s="524">
        <v>0</v>
      </c>
      <c r="X118" s="524">
        <v>0</v>
      </c>
      <c r="Y118" s="524">
        <v>0</v>
      </c>
      <c r="Z118" s="524">
        <v>0</v>
      </c>
      <c r="AA118" s="524">
        <v>0</v>
      </c>
      <c r="AB118" s="324"/>
      <c r="AC118" s="523"/>
      <c r="AD118" s="523"/>
      <c r="AE118" s="523"/>
      <c r="AF118" s="523"/>
      <c r="AG118" s="523"/>
      <c r="AH118" s="523"/>
      <c r="AI118" s="523"/>
      <c r="AJ118" s="523"/>
      <c r="AK118" s="523"/>
      <c r="AL118" s="523"/>
      <c r="AM118" s="523"/>
      <c r="AN118" s="523"/>
      <c r="AO118" s="523"/>
      <c r="AP118" s="523"/>
      <c r="AQ118" s="523"/>
      <c r="AR118" s="523"/>
      <c r="AS118" s="523"/>
      <c r="AT118" s="523"/>
      <c r="AU118" s="523"/>
      <c r="AV118" s="523"/>
      <c r="AW118" s="523"/>
      <c r="AX118" s="523"/>
      <c r="AY118" s="523"/>
      <c r="AZ118" s="523"/>
      <c r="BA118" s="523"/>
      <c r="BB118" s="523"/>
      <c r="BC118" s="523"/>
      <c r="BD118" s="523"/>
      <c r="BE118" s="523" t="s">
        <v>48</v>
      </c>
      <c r="BF118" s="523" t="s">
        <v>48</v>
      </c>
      <c r="BG118" s="523" t="s">
        <v>48</v>
      </c>
      <c r="BH118" s="523" t="s">
        <v>48</v>
      </c>
      <c r="BI118" s="506">
        <f t="shared" si="123"/>
        <v>0</v>
      </c>
      <c r="BJ118" s="506">
        <f t="shared" si="123"/>
        <v>0</v>
      </c>
      <c r="BK118" s="506">
        <f t="shared" si="123"/>
        <v>0</v>
      </c>
      <c r="BL118" s="506">
        <f t="shared" si="123"/>
        <v>0</v>
      </c>
      <c r="BM118" s="506">
        <f t="shared" si="123"/>
        <v>0</v>
      </c>
      <c r="BN118" s="506">
        <f t="shared" si="123"/>
        <v>2.9673590504451037E-4</v>
      </c>
      <c r="BO118" s="506">
        <f t="shared" si="123"/>
        <v>0</v>
      </c>
      <c r="BP118" s="506">
        <f t="shared" si="123"/>
        <v>0</v>
      </c>
      <c r="BQ118" s="506">
        <f t="shared" si="123"/>
        <v>0</v>
      </c>
      <c r="BR118" s="506">
        <f t="shared" si="123"/>
        <v>0</v>
      </c>
      <c r="BS118" s="506">
        <f t="shared" si="123"/>
        <v>0</v>
      </c>
      <c r="BT118" s="506">
        <f t="shared" si="123"/>
        <v>0</v>
      </c>
      <c r="BU118" s="506">
        <f t="shared" ref="BU118:CA118" si="124">+BU227/BQ$232</f>
        <v>2.999400119976005E-3</v>
      </c>
      <c r="BV118" s="506">
        <f t="shared" si="124"/>
        <v>6.000000000000001E-3</v>
      </c>
      <c r="BW118" s="506">
        <f t="shared" si="124"/>
        <v>5.681818181818182E-3</v>
      </c>
      <c r="BX118" s="506">
        <f t="shared" si="124"/>
        <v>6.7189249720044789E-3</v>
      </c>
      <c r="BY118" s="506">
        <f t="shared" si="124"/>
        <v>2.972651605231867E-3</v>
      </c>
      <c r="BZ118" s="506">
        <f t="shared" si="124"/>
        <v>0</v>
      </c>
      <c r="CA118" s="506">
        <f t="shared" si="124"/>
        <v>0</v>
      </c>
      <c r="CB118" s="506">
        <f t="shared" ref="CB118:CF121" si="125">+CB227/BX$232</f>
        <v>0</v>
      </c>
      <c r="CC118" s="506">
        <f t="shared" si="125"/>
        <v>0</v>
      </c>
      <c r="CD118" s="506">
        <f t="shared" si="125"/>
        <v>0</v>
      </c>
      <c r="CE118" s="506">
        <f t="shared" si="125"/>
        <v>0</v>
      </c>
      <c r="CF118" s="506">
        <f t="shared" si="125"/>
        <v>0</v>
      </c>
      <c r="CG118" s="524">
        <f>$S118</f>
        <v>0</v>
      </c>
      <c r="CH118" s="524">
        <f t="shared" ref="CH118:CI121" si="126">$S118</f>
        <v>0</v>
      </c>
      <c r="CI118" s="524">
        <f t="shared" si="126"/>
        <v>0</v>
      </c>
      <c r="CJ118" s="506">
        <f>+CJ227/CF$232</f>
        <v>0</v>
      </c>
    </row>
    <row r="119" spans="1:136" s="5" customFormat="1">
      <c r="A119" s="5" t="s">
        <v>45</v>
      </c>
      <c r="B119" s="523"/>
      <c r="C119" s="523"/>
      <c r="D119" s="523"/>
      <c r="E119" s="523"/>
      <c r="F119" s="523"/>
      <c r="G119" s="523"/>
      <c r="H119" s="523"/>
      <c r="I119" s="523"/>
      <c r="J119" s="523"/>
      <c r="K119" s="523"/>
      <c r="L119" s="523" t="s">
        <v>48</v>
      </c>
      <c r="M119" s="506">
        <f t="shared" si="122"/>
        <v>0</v>
      </c>
      <c r="N119" s="506">
        <f t="shared" si="122"/>
        <v>-2.0488804331918629E-3</v>
      </c>
      <c r="O119" s="506">
        <f t="shared" si="122"/>
        <v>-7.6778212371432708E-3</v>
      </c>
      <c r="P119" s="506">
        <f t="shared" si="122"/>
        <v>-5.5786010585037902E-3</v>
      </c>
      <c r="Q119" s="506">
        <f t="shared" si="122"/>
        <v>0</v>
      </c>
      <c r="R119" s="506">
        <f t="shared" si="122"/>
        <v>0</v>
      </c>
      <c r="S119" s="506">
        <f t="shared" si="122"/>
        <v>0</v>
      </c>
      <c r="T119" s="524">
        <v>0</v>
      </c>
      <c r="U119" s="524">
        <v>0</v>
      </c>
      <c r="V119" s="524">
        <v>0</v>
      </c>
      <c r="W119" s="524">
        <v>0</v>
      </c>
      <c r="X119" s="524">
        <v>0</v>
      </c>
      <c r="Y119" s="524">
        <v>0</v>
      </c>
      <c r="Z119" s="524">
        <v>0</v>
      </c>
      <c r="AA119" s="524">
        <v>0</v>
      </c>
      <c r="AB119" s="324"/>
      <c r="AC119" s="523"/>
      <c r="AD119" s="523"/>
      <c r="AE119" s="523"/>
      <c r="AF119" s="523"/>
      <c r="AG119" s="523"/>
      <c r="AH119" s="523"/>
      <c r="AI119" s="523"/>
      <c r="AJ119" s="523"/>
      <c r="AK119" s="523"/>
      <c r="AL119" s="523"/>
      <c r="AM119" s="523"/>
      <c r="AN119" s="523"/>
      <c r="AO119" s="523"/>
      <c r="AP119" s="523"/>
      <c r="AQ119" s="523"/>
      <c r="AR119" s="523"/>
      <c r="AS119" s="523"/>
      <c r="AT119" s="523"/>
      <c r="AU119" s="523"/>
      <c r="AV119" s="523"/>
      <c r="AW119" s="523"/>
      <c r="AX119" s="523"/>
      <c r="AY119" s="523"/>
      <c r="AZ119" s="523"/>
      <c r="BA119" s="523"/>
      <c r="BB119" s="523"/>
      <c r="BC119" s="523"/>
      <c r="BD119" s="523"/>
      <c r="BE119" s="523" t="s">
        <v>48</v>
      </c>
      <c r="BF119" s="523" t="s">
        <v>48</v>
      </c>
      <c r="BG119" s="523" t="s">
        <v>48</v>
      </c>
      <c r="BH119" s="523" t="s">
        <v>48</v>
      </c>
      <c r="BI119" s="506">
        <f t="shared" si="123"/>
        <v>-1.2484394506866417E-3</v>
      </c>
      <c r="BJ119" s="506">
        <f t="shared" si="123"/>
        <v>6.0679611650485432E-4</v>
      </c>
      <c r="BK119" s="506">
        <f t="shared" si="123"/>
        <v>-5.7636887608069167E-4</v>
      </c>
      <c r="BL119" s="506">
        <f t="shared" si="123"/>
        <v>-6.4935064935064939E-3</v>
      </c>
      <c r="BM119" s="506">
        <f t="shared" si="123"/>
        <v>-7.9559363525091801E-3</v>
      </c>
      <c r="BN119" s="506">
        <f t="shared" si="123"/>
        <v>-1.0089020771513354E-2</v>
      </c>
      <c r="BO119" s="506">
        <f t="shared" si="123"/>
        <v>-7.3529411764705881E-3</v>
      </c>
      <c r="BP119" s="506">
        <f t="shared" si="123"/>
        <v>-5.5066079295154188E-3</v>
      </c>
      <c r="BQ119" s="506">
        <f t="shared" si="123"/>
        <v>-7.2376357056694813E-3</v>
      </c>
      <c r="BR119" s="506">
        <f t="shared" si="123"/>
        <v>-5.8685446009389668E-3</v>
      </c>
      <c r="BS119" s="506">
        <f t="shared" si="123"/>
        <v>-5.0420168067226894E-3</v>
      </c>
      <c r="BT119" s="506">
        <f t="shared" si="123"/>
        <v>-4.3383947939262474E-3</v>
      </c>
      <c r="BU119" s="506">
        <f t="shared" si="123"/>
        <v>0</v>
      </c>
      <c r="BV119" s="506">
        <f t="shared" si="123"/>
        <v>0</v>
      </c>
      <c r="BW119" s="506">
        <f t="shared" si="123"/>
        <v>0</v>
      </c>
      <c r="BX119" s="506">
        <f t="shared" si="123"/>
        <v>0</v>
      </c>
      <c r="BY119" s="506">
        <f t="shared" si="123"/>
        <v>0</v>
      </c>
      <c r="BZ119" s="506">
        <f t="shared" si="123"/>
        <v>0</v>
      </c>
      <c r="CA119" s="506">
        <f t="shared" si="123"/>
        <v>0</v>
      </c>
      <c r="CB119" s="506">
        <f t="shared" si="125"/>
        <v>0</v>
      </c>
      <c r="CC119" s="506">
        <f t="shared" si="125"/>
        <v>0</v>
      </c>
      <c r="CD119" s="506">
        <f t="shared" si="125"/>
        <v>0</v>
      </c>
      <c r="CE119" s="506">
        <f t="shared" si="125"/>
        <v>0</v>
      </c>
      <c r="CF119" s="506">
        <f t="shared" si="125"/>
        <v>0</v>
      </c>
      <c r="CG119" s="524">
        <f>$S119</f>
        <v>0</v>
      </c>
      <c r="CH119" s="524">
        <f t="shared" si="126"/>
        <v>0</v>
      </c>
      <c r="CI119" s="524">
        <f t="shared" si="126"/>
        <v>0</v>
      </c>
      <c r="CJ119" s="506">
        <f>+CJ228/CF$232</f>
        <v>0</v>
      </c>
    </row>
    <row r="120" spans="1:136" s="5" customFormat="1">
      <c r="A120" s="5" t="s">
        <v>46</v>
      </c>
      <c r="B120" s="523"/>
      <c r="C120" s="523"/>
      <c r="D120" s="523"/>
      <c r="E120" s="523"/>
      <c r="F120" s="523"/>
      <c r="G120" s="523"/>
      <c r="H120" s="523"/>
      <c r="I120" s="523"/>
      <c r="J120" s="523"/>
      <c r="K120" s="523"/>
      <c r="L120" s="523" t="s">
        <v>48</v>
      </c>
      <c r="M120" s="506">
        <f t="shared" si="122"/>
        <v>1.0712622263623661E-2</v>
      </c>
      <c r="N120" s="506">
        <f t="shared" si="122"/>
        <v>-9.9517049612176198E-3</v>
      </c>
      <c r="O120" s="506">
        <f t="shared" si="122"/>
        <v>0</v>
      </c>
      <c r="P120" s="506">
        <f t="shared" si="122"/>
        <v>0</v>
      </c>
      <c r="Q120" s="506">
        <f t="shared" si="122"/>
        <v>1.124567474048443E-2</v>
      </c>
      <c r="R120" s="506">
        <f t="shared" si="122"/>
        <v>-8.1896551724137939E-3</v>
      </c>
      <c r="S120" s="506">
        <f t="shared" si="122"/>
        <v>0</v>
      </c>
      <c r="T120" s="524">
        <v>0</v>
      </c>
      <c r="U120" s="524">
        <v>0</v>
      </c>
      <c r="V120" s="524">
        <v>0</v>
      </c>
      <c r="W120" s="524">
        <v>0</v>
      </c>
      <c r="X120" s="524">
        <v>0</v>
      </c>
      <c r="Y120" s="524">
        <v>0</v>
      </c>
      <c r="Z120" s="524">
        <v>0</v>
      </c>
      <c r="AA120" s="524">
        <v>0</v>
      </c>
      <c r="AB120" s="324"/>
      <c r="AC120" s="523"/>
      <c r="AD120" s="523"/>
      <c r="AE120" s="523"/>
      <c r="AF120" s="523"/>
      <c r="AG120" s="523"/>
      <c r="AH120" s="523"/>
      <c r="AI120" s="523"/>
      <c r="AJ120" s="523"/>
      <c r="AK120" s="523"/>
      <c r="AL120" s="523"/>
      <c r="AM120" s="523"/>
      <c r="AN120" s="523"/>
      <c r="AO120" s="523"/>
      <c r="AP120" s="523"/>
      <c r="AQ120" s="523"/>
      <c r="AR120" s="523"/>
      <c r="AS120" s="523"/>
      <c r="AT120" s="523"/>
      <c r="AU120" s="523"/>
      <c r="AV120" s="523"/>
      <c r="AW120" s="523"/>
      <c r="AX120" s="523"/>
      <c r="AY120" s="523"/>
      <c r="AZ120" s="523"/>
      <c r="BA120" s="523"/>
      <c r="BB120" s="523"/>
      <c r="BC120" s="523"/>
      <c r="BD120" s="523"/>
      <c r="BE120" s="523" t="s">
        <v>48</v>
      </c>
      <c r="BF120" s="523" t="s">
        <v>48</v>
      </c>
      <c r="BG120" s="523" t="s">
        <v>48</v>
      </c>
      <c r="BH120" s="523" t="s">
        <v>48</v>
      </c>
      <c r="BI120" s="506">
        <f t="shared" si="123"/>
        <v>0</v>
      </c>
      <c r="BJ120" s="506">
        <f t="shared" si="123"/>
        <v>0</v>
      </c>
      <c r="BK120" s="506">
        <f t="shared" si="123"/>
        <v>0</v>
      </c>
      <c r="BL120" s="506">
        <f t="shared" si="123"/>
        <v>-3.67965367965368E-2</v>
      </c>
      <c r="BM120" s="506">
        <f t="shared" si="123"/>
        <v>0</v>
      </c>
      <c r="BN120" s="506">
        <f t="shared" si="123"/>
        <v>0</v>
      </c>
      <c r="BO120" s="506">
        <f t="shared" si="123"/>
        <v>0</v>
      </c>
      <c r="BP120" s="506">
        <f t="shared" si="123"/>
        <v>0</v>
      </c>
      <c r="BQ120" s="506">
        <f t="shared" si="123"/>
        <v>0</v>
      </c>
      <c r="BR120" s="506">
        <f t="shared" si="123"/>
        <v>0</v>
      </c>
      <c r="BS120" s="506">
        <f t="shared" si="123"/>
        <v>0</v>
      </c>
      <c r="BT120" s="506">
        <f t="shared" si="123"/>
        <v>0</v>
      </c>
      <c r="BU120" s="506">
        <f t="shared" si="123"/>
        <v>2.3395320935812838E-2</v>
      </c>
      <c r="BV120" s="506">
        <f t="shared" si="123"/>
        <v>0</v>
      </c>
      <c r="BW120" s="506">
        <f t="shared" si="123"/>
        <v>1.0795454545454546E-2</v>
      </c>
      <c r="BX120" s="506">
        <f t="shared" si="123"/>
        <v>1.1198208286674132E-2</v>
      </c>
      <c r="BY120" s="506">
        <f t="shared" si="123"/>
        <v>-2.2592152199762187E-2</v>
      </c>
      <c r="BZ120" s="506">
        <f t="shared" si="123"/>
        <v>0</v>
      </c>
      <c r="CA120" s="506">
        <f t="shared" si="123"/>
        <v>-1.082004555808656E-2</v>
      </c>
      <c r="CB120" s="506">
        <f t="shared" si="125"/>
        <v>0</v>
      </c>
      <c r="CC120" s="506">
        <f t="shared" si="125"/>
        <v>0</v>
      </c>
      <c r="CD120" s="506">
        <f t="shared" si="125"/>
        <v>0</v>
      </c>
      <c r="CE120" s="506">
        <f t="shared" si="125"/>
        <v>0</v>
      </c>
      <c r="CF120" s="506">
        <f t="shared" si="125"/>
        <v>0</v>
      </c>
      <c r="CG120" s="524">
        <f>$S120</f>
        <v>0</v>
      </c>
      <c r="CH120" s="524">
        <f t="shared" si="126"/>
        <v>0</v>
      </c>
      <c r="CI120" s="524">
        <f t="shared" si="126"/>
        <v>0</v>
      </c>
      <c r="CJ120" s="506">
        <f>+CJ229/CF$232</f>
        <v>0</v>
      </c>
    </row>
    <row r="121" spans="1:136" s="5" customFormat="1">
      <c r="A121" s="5" t="s">
        <v>47</v>
      </c>
      <c r="B121" s="523"/>
      <c r="C121" s="523"/>
      <c r="D121" s="523"/>
      <c r="E121" s="523"/>
      <c r="F121" s="523"/>
      <c r="G121" s="523"/>
      <c r="H121" s="523"/>
      <c r="I121" s="523"/>
      <c r="J121" s="523"/>
      <c r="K121" s="523"/>
      <c r="L121" s="523" t="s">
        <v>48</v>
      </c>
      <c r="M121" s="506">
        <f t="shared" si="122"/>
        <v>0</v>
      </c>
      <c r="N121" s="506">
        <f t="shared" si="122"/>
        <v>0</v>
      </c>
      <c r="O121" s="506">
        <f t="shared" si="122"/>
        <v>0</v>
      </c>
      <c r="P121" s="506">
        <f t="shared" si="122"/>
        <v>-1.7565441281647856E-4</v>
      </c>
      <c r="Q121" s="506">
        <f t="shared" si="122"/>
        <v>-9.5155709342564162E-6</v>
      </c>
      <c r="R121" s="506">
        <f t="shared" si="122"/>
        <v>0</v>
      </c>
      <c r="S121" s="506">
        <f t="shared" si="122"/>
        <v>0</v>
      </c>
      <c r="T121" s="524">
        <v>0</v>
      </c>
      <c r="U121" s="524">
        <v>0</v>
      </c>
      <c r="V121" s="524">
        <v>0</v>
      </c>
      <c r="W121" s="524">
        <v>0</v>
      </c>
      <c r="X121" s="524">
        <v>0</v>
      </c>
      <c r="Y121" s="524">
        <v>0</v>
      </c>
      <c r="Z121" s="524">
        <v>0</v>
      </c>
      <c r="AA121" s="524">
        <v>0</v>
      </c>
      <c r="AB121" s="324"/>
      <c r="AC121" s="523"/>
      <c r="AD121" s="523"/>
      <c r="AE121" s="523"/>
      <c r="AF121" s="523"/>
      <c r="AG121" s="523"/>
      <c r="AH121" s="523"/>
      <c r="AI121" s="523"/>
      <c r="AJ121" s="523"/>
      <c r="AK121" s="523"/>
      <c r="AL121" s="523"/>
      <c r="AM121" s="523"/>
      <c r="AN121" s="523"/>
      <c r="AO121" s="523"/>
      <c r="AP121" s="523"/>
      <c r="AQ121" s="523"/>
      <c r="AR121" s="523"/>
      <c r="AS121" s="523"/>
      <c r="AT121" s="523"/>
      <c r="AU121" s="523"/>
      <c r="AV121" s="523"/>
      <c r="AW121" s="523"/>
      <c r="AX121" s="523"/>
      <c r="AY121" s="523"/>
      <c r="AZ121" s="523"/>
      <c r="BA121" s="523"/>
      <c r="BB121" s="523"/>
      <c r="BC121" s="523"/>
      <c r="BD121" s="523"/>
      <c r="BE121" s="523" t="s">
        <v>48</v>
      </c>
      <c r="BF121" s="523" t="s">
        <v>48</v>
      </c>
      <c r="BG121" s="523" t="s">
        <v>48</v>
      </c>
      <c r="BH121" s="523" t="s">
        <v>48</v>
      </c>
      <c r="BI121" s="506">
        <f t="shared" si="123"/>
        <v>0</v>
      </c>
      <c r="BJ121" s="506">
        <f t="shared" si="123"/>
        <v>0</v>
      </c>
      <c r="BK121" s="506">
        <f t="shared" si="123"/>
        <v>0</v>
      </c>
      <c r="BL121" s="506">
        <f t="shared" si="123"/>
        <v>0</v>
      </c>
      <c r="BM121" s="506">
        <f t="shared" si="123"/>
        <v>0</v>
      </c>
      <c r="BN121" s="506">
        <f t="shared" si="123"/>
        <v>0</v>
      </c>
      <c r="BO121" s="506">
        <f t="shared" si="123"/>
        <v>0</v>
      </c>
      <c r="BP121" s="506">
        <f t="shared" si="123"/>
        <v>0</v>
      </c>
      <c r="BQ121" s="506">
        <f t="shared" si="123"/>
        <v>-2.7141133896260727E-4</v>
      </c>
      <c r="BR121" s="506">
        <f t="shared" si="123"/>
        <v>-5.9154929577464525E-4</v>
      </c>
      <c r="BS121" s="506">
        <f t="shared" si="123"/>
        <v>-2.408963585434172E-4</v>
      </c>
      <c r="BT121" s="506">
        <f t="shared" si="123"/>
        <v>3.5791757049891354E-4</v>
      </c>
      <c r="BU121" s="506">
        <f t="shared" si="123"/>
        <v>5.9988002399593406E-7</v>
      </c>
      <c r="BV121" s="506">
        <f t="shared" si="123"/>
        <v>2.8612884503772406E-4</v>
      </c>
      <c r="BW121" s="506">
        <f t="shared" si="123"/>
        <v>-3.1818181818181945E-4</v>
      </c>
      <c r="BX121" s="506">
        <f t="shared" si="123"/>
        <v>0</v>
      </c>
      <c r="BY121" s="506">
        <f t="shared" si="123"/>
        <v>0</v>
      </c>
      <c r="BZ121" s="506">
        <f t="shared" si="123"/>
        <v>0</v>
      </c>
      <c r="CA121" s="506">
        <f t="shared" si="123"/>
        <v>0</v>
      </c>
      <c r="CB121" s="506">
        <f t="shared" si="125"/>
        <v>0</v>
      </c>
      <c r="CC121" s="506">
        <f t="shared" si="125"/>
        <v>0</v>
      </c>
      <c r="CD121" s="506">
        <f t="shared" si="125"/>
        <v>0</v>
      </c>
      <c r="CE121" s="506">
        <f t="shared" si="125"/>
        <v>0</v>
      </c>
      <c r="CF121" s="506">
        <f t="shared" si="125"/>
        <v>0</v>
      </c>
      <c r="CG121" s="524">
        <f>$S121</f>
        <v>0</v>
      </c>
      <c r="CH121" s="524">
        <f t="shared" si="126"/>
        <v>0</v>
      </c>
      <c r="CI121" s="524">
        <f t="shared" si="126"/>
        <v>0</v>
      </c>
      <c r="CJ121" s="506">
        <f>+CJ230/CF$232</f>
        <v>0</v>
      </c>
    </row>
    <row r="122" spans="1:136" s="90" customFormat="1" ht="6" customHeight="1">
      <c r="A122" s="87"/>
      <c r="B122" s="103"/>
      <c r="C122" s="103"/>
      <c r="D122" s="103"/>
      <c r="E122" s="103"/>
      <c r="F122" s="103"/>
      <c r="G122" s="103"/>
      <c r="H122" s="103"/>
      <c r="I122" s="103"/>
      <c r="J122" s="103"/>
      <c r="K122" s="103"/>
      <c r="L122" s="103"/>
      <c r="M122" s="91"/>
      <c r="N122" s="91"/>
      <c r="O122" s="91"/>
      <c r="P122" s="502"/>
      <c r="Q122" s="158"/>
      <c r="R122" s="158"/>
      <c r="S122" s="158"/>
      <c r="T122" s="158"/>
      <c r="U122" s="158"/>
      <c r="V122" s="158"/>
      <c r="W122" s="158"/>
      <c r="X122" s="158"/>
      <c r="Y122" s="158"/>
      <c r="Z122" s="158"/>
      <c r="AA122" s="158"/>
      <c r="AB122" s="158"/>
      <c r="AC122" s="103"/>
      <c r="AD122" s="103"/>
      <c r="AE122" s="103"/>
      <c r="AF122" s="103"/>
      <c r="AG122" s="103"/>
      <c r="AH122" s="103"/>
      <c r="AI122" s="103"/>
      <c r="AJ122" s="103"/>
      <c r="AK122" s="103"/>
      <c r="AL122" s="103"/>
      <c r="AM122" s="103"/>
      <c r="AN122" s="103"/>
      <c r="AO122" s="103"/>
      <c r="AP122" s="103"/>
      <c r="AQ122" s="103"/>
      <c r="AR122" s="103"/>
      <c r="AS122" s="103"/>
      <c r="AT122" s="103"/>
      <c r="AU122" s="103"/>
      <c r="AV122" s="103"/>
      <c r="AW122" s="103"/>
      <c r="AX122" s="103"/>
      <c r="AY122" s="103"/>
      <c r="AZ122" s="103"/>
      <c r="BA122" s="103"/>
      <c r="BB122" s="103"/>
      <c r="BC122" s="103"/>
      <c r="BD122" s="103"/>
      <c r="BE122" s="103"/>
      <c r="BF122" s="103"/>
      <c r="BG122" s="91"/>
      <c r="BH122" s="91"/>
      <c r="BI122" s="91"/>
      <c r="BJ122" s="91"/>
      <c r="BK122" s="91"/>
      <c r="BL122" s="91"/>
      <c r="BM122" s="91"/>
      <c r="BN122" s="91"/>
      <c r="BO122" s="91"/>
      <c r="BP122" s="91"/>
      <c r="BQ122" s="91"/>
      <c r="BR122" s="91"/>
      <c r="BS122" s="91"/>
      <c r="BT122" s="91"/>
      <c r="BU122" s="91"/>
      <c r="BV122" s="91"/>
      <c r="BW122" s="91"/>
      <c r="BX122" s="91"/>
      <c r="BY122" s="91"/>
      <c r="BZ122" s="91"/>
      <c r="CA122" s="91"/>
      <c r="CB122" s="91"/>
      <c r="CC122" s="91"/>
      <c r="CD122" s="91"/>
      <c r="CE122" s="91"/>
      <c r="CF122" s="91"/>
      <c r="CG122" s="91"/>
      <c r="CH122" s="91"/>
      <c r="CI122" s="91"/>
      <c r="CJ122" s="91"/>
      <c r="CO122" s="39"/>
      <c r="DK122" s="39"/>
      <c r="DL122" s="39"/>
      <c r="DM122" s="39"/>
      <c r="DN122" s="39"/>
      <c r="DO122" s="39"/>
      <c r="DP122" s="39"/>
      <c r="DQ122" s="91"/>
      <c r="DR122" s="39"/>
      <c r="DS122" s="39"/>
      <c r="DT122" s="39"/>
      <c r="DU122" s="39"/>
      <c r="DV122" s="39"/>
      <c r="DW122" s="39"/>
      <c r="DX122" s="39"/>
      <c r="DY122" s="39"/>
      <c r="DZ122" s="39"/>
      <c r="EA122" s="92"/>
      <c r="EB122" s="92"/>
      <c r="EC122" s="92"/>
      <c r="ED122" s="92"/>
      <c r="EE122" s="92"/>
      <c r="EF122" s="92"/>
    </row>
    <row r="123" spans="1:136" s="17" customFormat="1">
      <c r="A123" s="17" t="s">
        <v>49</v>
      </c>
      <c r="B123" s="511"/>
      <c r="C123" s="511"/>
      <c r="D123" s="511"/>
      <c r="E123" s="511"/>
      <c r="F123" s="511"/>
      <c r="G123" s="511"/>
      <c r="H123" s="511"/>
      <c r="I123" s="511"/>
      <c r="J123" s="511"/>
      <c r="K123" s="511"/>
      <c r="L123" s="511">
        <f t="shared" ref="L123:AA123" si="127">+SUM(L114:L115)</f>
        <v>0</v>
      </c>
      <c r="M123" s="511">
        <f t="shared" si="127"/>
        <v>2.5000000000000001E-2</v>
      </c>
      <c r="N123" s="511">
        <f t="shared" si="127"/>
        <v>2.4183374798770672E-2</v>
      </c>
      <c r="O123" s="511">
        <f>+SUM(O114:O115)</f>
        <v>2.5597421410980738E-2</v>
      </c>
      <c r="P123" s="511">
        <f>+SUM(P114:P115)</f>
        <v>8.0429123158346442E-3</v>
      </c>
      <c r="Q123" s="511">
        <f>+SUM(Q114:Q115)</f>
        <v>8.2416378316032303E-3</v>
      </c>
      <c r="R123" s="511">
        <f t="shared" si="127"/>
        <v>1.1553879310344824E-2</v>
      </c>
      <c r="S123" s="511">
        <f>+SUM(S114:S115)</f>
        <v>-2.4184108248164676E-2</v>
      </c>
      <c r="T123" s="511">
        <f t="shared" si="127"/>
        <v>5.0000000000000001E-3</v>
      </c>
      <c r="U123" s="511">
        <f t="shared" si="127"/>
        <v>1.4999999999999999E-2</v>
      </c>
      <c r="V123" s="511">
        <f t="shared" si="127"/>
        <v>0.02</v>
      </c>
      <c r="W123" s="511">
        <f t="shared" si="127"/>
        <v>1.8499999999999999E-2</v>
      </c>
      <c r="X123" s="511">
        <f t="shared" si="127"/>
        <v>1.7149999999999999E-2</v>
      </c>
      <c r="Y123" s="511">
        <f t="shared" si="127"/>
        <v>1.5935000000000001E-2</v>
      </c>
      <c r="Z123" s="511">
        <f t="shared" si="127"/>
        <v>1.4841500000000001E-2</v>
      </c>
      <c r="AA123" s="511">
        <f t="shared" si="127"/>
        <v>1.3857350000000001E-2</v>
      </c>
      <c r="AB123" s="473"/>
      <c r="AC123" s="523"/>
      <c r="AD123" s="523"/>
      <c r="AE123" s="523"/>
      <c r="AF123" s="523"/>
      <c r="AG123" s="523"/>
      <c r="AH123" s="523"/>
      <c r="AI123" s="523"/>
      <c r="AJ123" s="523"/>
      <c r="AK123" s="523"/>
      <c r="AL123" s="523"/>
      <c r="AM123" s="523"/>
      <c r="AN123" s="523"/>
      <c r="AO123" s="523"/>
      <c r="AP123" s="523"/>
      <c r="AQ123" s="523"/>
      <c r="AR123" s="523"/>
      <c r="AS123" s="523"/>
      <c r="AT123" s="523"/>
      <c r="AU123" s="523"/>
      <c r="AV123" s="523"/>
      <c r="AW123" s="523"/>
      <c r="AX123" s="523"/>
      <c r="AY123" s="523"/>
      <c r="AZ123" s="523"/>
      <c r="BA123" s="523"/>
      <c r="BB123" s="523"/>
      <c r="BC123" s="523"/>
      <c r="BD123" s="523"/>
      <c r="BE123" s="523" t="s">
        <v>48</v>
      </c>
      <c r="BF123" s="523" t="s">
        <v>48</v>
      </c>
      <c r="BG123" s="523" t="s">
        <v>48</v>
      </c>
      <c r="BH123" s="523" t="s">
        <v>48</v>
      </c>
      <c r="BI123" s="511">
        <f t="shared" ref="BI123:BW123" si="128">+SUM(BI114:BI115)</f>
        <v>2.2000000000000006E-2</v>
      </c>
      <c r="BJ123" s="511">
        <f t="shared" si="128"/>
        <v>0.03</v>
      </c>
      <c r="BK123" s="511">
        <f t="shared" si="128"/>
        <v>2.3E-2</v>
      </c>
      <c r="BL123" s="511">
        <f t="shared" si="128"/>
        <v>2.1999999999999999E-2</v>
      </c>
      <c r="BM123" s="511">
        <f t="shared" si="128"/>
        <v>2.4E-2</v>
      </c>
      <c r="BN123" s="511">
        <f t="shared" si="128"/>
        <v>2.3E-2</v>
      </c>
      <c r="BO123" s="511">
        <f t="shared" si="128"/>
        <v>2.4E-2</v>
      </c>
      <c r="BP123" s="511">
        <f t="shared" si="128"/>
        <v>3.1E-2</v>
      </c>
      <c r="BQ123" s="511">
        <f t="shared" si="128"/>
        <v>2.5000000000000001E-2</v>
      </c>
      <c r="BR123" s="511">
        <f t="shared" si="128"/>
        <v>2.7E-2</v>
      </c>
      <c r="BS123" s="511">
        <f t="shared" si="128"/>
        <v>-2E-3</v>
      </c>
      <c r="BT123" s="511">
        <f t="shared" si="128"/>
        <v>-1.4999999999999999E-2</v>
      </c>
      <c r="BU123" s="511">
        <f t="shared" si="128"/>
        <v>-3.0000000000000001E-3</v>
      </c>
      <c r="BV123" s="511">
        <f t="shared" si="128"/>
        <v>3.0000000000000001E-3</v>
      </c>
      <c r="BW123" s="511">
        <f t="shared" si="128"/>
        <v>6.0000000000000001E-3</v>
      </c>
      <c r="BX123" s="511">
        <f t="shared" ref="BX123:CF123" si="129">+SUM(BX114:BX115)</f>
        <v>2.5999999999999999E-2</v>
      </c>
      <c r="BY123" s="511">
        <f t="shared" si="129"/>
        <v>2.7E-2</v>
      </c>
      <c r="BZ123" s="511">
        <f>+SUM(BZ114:BZ115)</f>
        <v>9.0000000000000011E-3</v>
      </c>
      <c r="CA123" s="511">
        <f t="shared" si="129"/>
        <v>6.9999999999999993E-3</v>
      </c>
      <c r="CB123" s="511">
        <f t="shared" si="129"/>
        <v>4.0000000000000001E-3</v>
      </c>
      <c r="CC123" s="511">
        <f t="shared" si="129"/>
        <v>-1.9E-2</v>
      </c>
      <c r="CD123" s="511">
        <f t="shared" si="129"/>
        <v>-8.1000000000000003E-2</v>
      </c>
      <c r="CE123" s="511">
        <f t="shared" si="129"/>
        <v>0.01</v>
      </c>
      <c r="CF123" s="511">
        <f t="shared" si="129"/>
        <v>-8.0000000000000002E-3</v>
      </c>
      <c r="CG123" s="511">
        <f>+SUM(CG114:CG115)</f>
        <v>-7.0000000000000001E-3</v>
      </c>
      <c r="CH123" s="511">
        <f>+SUM(CH114:CH115)</f>
        <v>2.3E-2</v>
      </c>
      <c r="CI123" s="511">
        <f>+SUM(CI114:CI115)</f>
        <v>0</v>
      </c>
      <c r="CJ123" s="511">
        <f>+SUM(CJ114:CJ115)</f>
        <v>5.1871182676290917E-3</v>
      </c>
      <c r="CK123" s="20"/>
      <c r="CL123" s="20"/>
    </row>
    <row r="124" spans="1:136" s="17" customFormat="1">
      <c r="A124" s="17" t="s">
        <v>50</v>
      </c>
      <c r="B124" s="511"/>
      <c r="C124" s="511"/>
      <c r="D124" s="511"/>
      <c r="E124" s="511"/>
      <c r="F124" s="511"/>
      <c r="G124" s="511"/>
      <c r="H124" s="511"/>
      <c r="I124" s="511"/>
      <c r="J124" s="511"/>
      <c r="K124" s="511"/>
      <c r="L124" s="511">
        <f t="shared" ref="L124:V124" si="130">+SUM(L114:L115,L117:L121)</f>
        <v>0</v>
      </c>
      <c r="M124" s="511">
        <f t="shared" si="130"/>
        <v>6.086399627387052E-2</v>
      </c>
      <c r="N124" s="511">
        <f t="shared" si="130"/>
        <v>1.0719303380652715E-2</v>
      </c>
      <c r="O124" s="511">
        <f t="shared" si="130"/>
        <v>1.2952296862878777E-2</v>
      </c>
      <c r="P124" s="511">
        <f>+SUM(P114:P115,P117:P121)</f>
        <v>-7.8672579030181662E-3</v>
      </c>
      <c r="Q124" s="511">
        <f>+SUM(Q114:Q115,Q117:Q121)</f>
        <v>5.3973471741637843E-3</v>
      </c>
      <c r="R124" s="511">
        <f t="shared" si="130"/>
        <v>4.9066091954022388E-4</v>
      </c>
      <c r="S124" s="511">
        <f>+SUM(S114:S115,S117:S121)</f>
        <v>-2.1593061753274793E-2</v>
      </c>
      <c r="T124" s="511">
        <f t="shared" si="130"/>
        <v>1.2190462149693328E-2</v>
      </c>
      <c r="U124" s="511">
        <f t="shared" si="130"/>
        <v>1.4999999999999999E-2</v>
      </c>
      <c r="V124" s="511">
        <f t="shared" si="130"/>
        <v>0.02</v>
      </c>
      <c r="W124" s="511">
        <f>+SUM(W114:W115,W117:W121)</f>
        <v>1.8499999999999999E-2</v>
      </c>
      <c r="X124" s="511">
        <f>+SUM(X114:X115,X117:X121)</f>
        <v>1.7149999999999999E-2</v>
      </c>
      <c r="Y124" s="511">
        <f>+SUM(Y114:Y115,Y117:Y121)</f>
        <v>1.5935000000000001E-2</v>
      </c>
      <c r="Z124" s="511">
        <f>+SUM(Z114:Z115,Z117:Z121)</f>
        <v>1.4841500000000001E-2</v>
      </c>
      <c r="AA124" s="511">
        <f>+SUM(AA114:AA115,AA117:AA121)</f>
        <v>1.3857350000000001E-2</v>
      </c>
      <c r="AB124" s="473"/>
      <c r="AC124" s="523"/>
      <c r="AD124" s="523"/>
      <c r="AE124" s="523"/>
      <c r="AF124" s="523"/>
      <c r="AG124" s="523"/>
      <c r="AH124" s="523"/>
      <c r="AI124" s="523"/>
      <c r="AJ124" s="523"/>
      <c r="AK124" s="523"/>
      <c r="AL124" s="523"/>
      <c r="AM124" s="523"/>
      <c r="AN124" s="523"/>
      <c r="AO124" s="523"/>
      <c r="AP124" s="523"/>
      <c r="AQ124" s="523"/>
      <c r="AR124" s="523"/>
      <c r="AS124" s="523"/>
      <c r="AT124" s="523"/>
      <c r="AU124" s="523"/>
      <c r="AV124" s="523"/>
      <c r="AW124" s="523"/>
      <c r="AX124" s="523"/>
      <c r="AY124" s="523"/>
      <c r="AZ124" s="523"/>
      <c r="BA124" s="523"/>
      <c r="BB124" s="523"/>
      <c r="BC124" s="523"/>
      <c r="BD124" s="523"/>
      <c r="BE124" s="523" t="s">
        <v>48</v>
      </c>
      <c r="BF124" s="523" t="s">
        <v>48</v>
      </c>
      <c r="BG124" s="523" t="s">
        <v>48</v>
      </c>
      <c r="BH124" s="523" t="s">
        <v>48</v>
      </c>
      <c r="BI124" s="511">
        <f t="shared" ref="BI124:BW124" si="131">+SUM(BI114:BI115,BI117:BI121)</f>
        <v>2.0127340823970042E-2</v>
      </c>
      <c r="BJ124" s="511">
        <f t="shared" si="131"/>
        <v>2.2718446601941746E-2</v>
      </c>
      <c r="BK124" s="511">
        <f t="shared" si="131"/>
        <v>1.896541786743516E-2</v>
      </c>
      <c r="BL124" s="511">
        <f t="shared" si="131"/>
        <v>-1.5878787878787881E-2</v>
      </c>
      <c r="BM124" s="511">
        <f t="shared" si="131"/>
        <v>1.4949024017412592E-2</v>
      </c>
      <c r="BN124" s="511">
        <f t="shared" si="131"/>
        <v>1.1427299703264095E-2</v>
      </c>
      <c r="BO124" s="511">
        <f t="shared" si="131"/>
        <v>9.8597285067873307E-3</v>
      </c>
      <c r="BP124" s="511">
        <f t="shared" si="131"/>
        <v>1.5581497797356826E-2</v>
      </c>
      <c r="BQ124" s="511">
        <f t="shared" si="131"/>
        <v>5.4282267792521112E-3</v>
      </c>
      <c r="BR124" s="511">
        <f t="shared" si="131"/>
        <v>1.1150234741784041E-2</v>
      </c>
      <c r="BS124" s="511">
        <f t="shared" si="131"/>
        <v>-1.4005602240896361E-2</v>
      </c>
      <c r="BT124" s="511">
        <f t="shared" si="131"/>
        <v>-3.1453362255965296E-2</v>
      </c>
      <c r="BU124" s="511">
        <f t="shared" si="131"/>
        <v>8.9982003599280123E-3</v>
      </c>
      <c r="BV124" s="511">
        <f t="shared" si="131"/>
        <v>-5.8038305281485772E-3</v>
      </c>
      <c r="BW124" s="511">
        <f t="shared" si="131"/>
        <v>-2.2727272727272731E-3</v>
      </c>
      <c r="BX124" s="511">
        <f t="shared" ref="BX124:CF124" si="132">+SUM(BX114:BX115,BX117:BX121)</f>
        <v>2.040089585666293E-2</v>
      </c>
      <c r="BY124" s="511">
        <f t="shared" si="132"/>
        <v>-2.1319857312722922E-3</v>
      </c>
      <c r="BZ124" s="511">
        <f>+SUM(BZ114:BZ115,BZ117:BZ121)</f>
        <v>3.7460595446584949E-3</v>
      </c>
      <c r="CA124" s="511">
        <f t="shared" si="132"/>
        <v>-4.3895216400911168E-3</v>
      </c>
      <c r="CB124" s="511">
        <f t="shared" si="132"/>
        <v>4.5485463521667581E-3</v>
      </c>
      <c r="CC124" s="511">
        <f t="shared" si="132"/>
        <v>-1.6014925373134328E-2</v>
      </c>
      <c r="CD124" s="511">
        <f t="shared" si="132"/>
        <v>-8.5651162790697677E-2</v>
      </c>
      <c r="CE124" s="511">
        <f t="shared" si="132"/>
        <v>1.5704506560182546E-2</v>
      </c>
      <c r="CF124" s="511">
        <f t="shared" si="132"/>
        <v>-1.8854919399666483E-3</v>
      </c>
      <c r="CG124" s="511">
        <f>+SUM(CG114:CG115,CG117:CG121)</f>
        <v>1.857272168391007E-3</v>
      </c>
      <c r="CH124" s="511">
        <f>+SUM(CH114:CH115,CH117:CH121)</f>
        <v>3.4535783024766162E-2</v>
      </c>
      <c r="CI124" s="511">
        <f>+SUM(CI114:CI115,CI117:CI121)</f>
        <v>3.0000000000000001E-3</v>
      </c>
      <c r="CJ124" s="511">
        <f>+SUM(CJ114:CJ115,CJ117:CJ121)</f>
        <v>1.1187118267629092E-2</v>
      </c>
    </row>
    <row r="125" spans="1:136" s="23" customFormat="1">
      <c r="A125" s="23" t="s">
        <v>51</v>
      </c>
      <c r="B125" s="528"/>
      <c r="C125" s="528"/>
      <c r="D125" s="528"/>
      <c r="E125" s="528"/>
      <c r="F125" s="528"/>
      <c r="G125" s="528"/>
      <c r="H125" s="528"/>
      <c r="I125" s="528"/>
      <c r="J125" s="528"/>
      <c r="K125" s="528"/>
      <c r="L125" s="528" t="s">
        <v>48</v>
      </c>
      <c r="M125" s="528" t="s">
        <v>48</v>
      </c>
      <c r="N125" s="514">
        <f>+((1+N123)*(1+M123))^(1/2)-1</f>
        <v>2.4591606040543335E-2</v>
      </c>
      <c r="O125" s="514">
        <f>+((1+O123)*(1+N123))^(1/2)-1</f>
        <v>2.4890154233913719E-2</v>
      </c>
      <c r="P125" s="514">
        <f t="shared" ref="P125:V125" si="133">+((1+P123)*(1+O123))^(1/2)-1</f>
        <v>1.6782283255729835E-2</v>
      </c>
      <c r="Q125" s="514">
        <f t="shared" si="133"/>
        <v>8.1422701771096673E-3</v>
      </c>
      <c r="R125" s="514">
        <f t="shared" si="133"/>
        <v>9.8964006425481532E-3</v>
      </c>
      <c r="S125" s="514">
        <f t="shared" si="133"/>
        <v>-6.4757925474323574E-3</v>
      </c>
      <c r="T125" s="514">
        <f t="shared" si="133"/>
        <v>-9.6995550790687224E-3</v>
      </c>
      <c r="U125" s="514">
        <f t="shared" si="133"/>
        <v>9.9876236865479306E-3</v>
      </c>
      <c r="V125" s="514">
        <f t="shared" si="133"/>
        <v>1.7496928742293472E-2</v>
      </c>
      <c r="W125" s="514">
        <f>+((1+W123)*(1+V123))^(1/2)-1</f>
        <v>1.9249724061772833E-2</v>
      </c>
      <c r="X125" s="514">
        <f>+((1+X123)*(1+W123))^(1/2)-1</f>
        <v>1.7824776177117752E-2</v>
      </c>
      <c r="Y125" s="514">
        <f>+((1+Y123)*(1+X123))^(1/2)-1</f>
        <v>1.6542318474740192E-2</v>
      </c>
      <c r="Z125" s="514">
        <f>+((1+Z123)*(1+Y123))^(1/2)-1</f>
        <v>1.5388102797398329E-2</v>
      </c>
      <c r="AA125" s="514">
        <f>+((1+AA123)*(1+Z123))^(1/2)-1</f>
        <v>1.4349305643783117E-2</v>
      </c>
      <c r="AB125" s="513"/>
      <c r="AC125" s="528"/>
      <c r="AD125" s="528"/>
      <c r="AE125" s="528"/>
      <c r="AF125" s="528"/>
      <c r="AG125" s="528"/>
      <c r="AH125" s="528"/>
      <c r="AI125" s="528"/>
      <c r="AJ125" s="528"/>
      <c r="AK125" s="528"/>
      <c r="AL125" s="528"/>
      <c r="AM125" s="528"/>
      <c r="AN125" s="528"/>
      <c r="AO125" s="528"/>
      <c r="AP125" s="528"/>
      <c r="AQ125" s="528"/>
      <c r="AR125" s="528"/>
      <c r="AS125" s="528"/>
      <c r="AT125" s="528"/>
      <c r="AU125" s="528"/>
      <c r="AV125" s="528"/>
      <c r="AW125" s="528"/>
      <c r="AX125" s="528"/>
      <c r="AY125" s="528"/>
      <c r="AZ125" s="528"/>
      <c r="BA125" s="528"/>
      <c r="BB125" s="528"/>
      <c r="BC125" s="528"/>
      <c r="BD125" s="528"/>
      <c r="BE125" s="528" t="s">
        <v>48</v>
      </c>
      <c r="BF125" s="528" t="s">
        <v>48</v>
      </c>
      <c r="BG125" s="528" t="s">
        <v>48</v>
      </c>
      <c r="BH125" s="528" t="s">
        <v>48</v>
      </c>
      <c r="BI125" s="528" t="s">
        <v>48</v>
      </c>
      <c r="BJ125" s="528" t="s">
        <v>48</v>
      </c>
      <c r="BK125" s="528" t="s">
        <v>48</v>
      </c>
      <c r="BL125" s="528" t="s">
        <v>48</v>
      </c>
      <c r="BM125" s="514">
        <f t="shared" ref="BM125:CB125" si="134">+((1+BM123)*(1+BI123))^(1/2)-1</f>
        <v>2.2999511241329929E-2</v>
      </c>
      <c r="BN125" s="514">
        <f t="shared" si="134"/>
        <v>2.6494033104917714E-2</v>
      </c>
      <c r="BO125" s="514">
        <f t="shared" si="134"/>
        <v>2.3499877870046371E-2</v>
      </c>
      <c r="BP125" s="514">
        <f t="shared" si="134"/>
        <v>2.6490136338386927E-2</v>
      </c>
      <c r="BQ125" s="514">
        <f t="shared" si="134"/>
        <v>2.4499877989255792E-2</v>
      </c>
      <c r="BR125" s="514">
        <f t="shared" si="134"/>
        <v>2.4998048778630544E-2</v>
      </c>
      <c r="BS125" s="514">
        <f t="shared" si="134"/>
        <v>1.0916415931604195E-2</v>
      </c>
      <c r="BT125" s="514">
        <f t="shared" si="134"/>
        <v>7.7375650435980159E-3</v>
      </c>
      <c r="BU125" s="514">
        <f t="shared" si="134"/>
        <v>1.0903061623615873E-2</v>
      </c>
      <c r="BV125" s="514">
        <f t="shared" si="134"/>
        <v>1.4929061560461809E-2</v>
      </c>
      <c r="BW125" s="514">
        <f t="shared" si="134"/>
        <v>1.9920159362549761E-3</v>
      </c>
      <c r="BX125" s="514">
        <f t="shared" si="134"/>
        <v>5.2910026455026404E-3</v>
      </c>
      <c r="BY125" s="514">
        <f t="shared" si="134"/>
        <v>1.1888827885751407E-2</v>
      </c>
      <c r="BZ125" s="514">
        <f t="shared" si="134"/>
        <v>5.9955268290210473E-3</v>
      </c>
      <c r="CA125" s="514">
        <f t="shared" si="134"/>
        <v>6.4998758072452034E-3</v>
      </c>
      <c r="CB125" s="514">
        <f t="shared" si="134"/>
        <v>1.4940392338387509E-2</v>
      </c>
      <c r="CC125" s="514">
        <f t="shared" ref="CC125:CJ125" si="135">+((1+CC123)*(1+BY123))^(1/2)-1</f>
        <v>3.7365192120888402E-3</v>
      </c>
      <c r="CD125" s="514">
        <f t="shared" si="135"/>
        <v>-3.705088400269041E-2</v>
      </c>
      <c r="CE125" s="514">
        <f t="shared" si="135"/>
        <v>8.4988844812867725E-3</v>
      </c>
      <c r="CF125" s="514">
        <f t="shared" si="135"/>
        <v>-2.0180362351231995E-3</v>
      </c>
      <c r="CG125" s="514">
        <f t="shared" si="135"/>
        <v>-1.3018237250555842E-2</v>
      </c>
      <c r="CH125" s="514">
        <f t="shared" si="135"/>
        <v>-3.0393378735479093E-2</v>
      </c>
      <c r="CI125" s="514">
        <f t="shared" si="135"/>
        <v>4.9875621120889502E-3</v>
      </c>
      <c r="CJ125" s="514">
        <f t="shared" si="135"/>
        <v>-1.4282092300583749E-3</v>
      </c>
    </row>
    <row r="126" spans="1:136" s="5" customFormat="1" ht="12" thickBot="1">
      <c r="A126" s="27"/>
      <c r="B126" s="535"/>
      <c r="C126" s="535"/>
      <c r="D126" s="535"/>
      <c r="E126" s="535"/>
      <c r="F126" s="535"/>
      <c r="G126" s="535"/>
      <c r="H126" s="535"/>
      <c r="I126" s="535"/>
      <c r="J126" s="535"/>
      <c r="K126" s="535"/>
      <c r="L126" s="535"/>
      <c r="M126" s="535"/>
      <c r="N126" s="535"/>
      <c r="O126" s="535"/>
      <c r="P126" s="535"/>
      <c r="Q126" s="535"/>
      <c r="R126" s="535"/>
      <c r="S126" s="535"/>
      <c r="T126" s="535"/>
      <c r="U126" s="535"/>
      <c r="V126" s="535"/>
      <c r="W126" s="535"/>
      <c r="X126" s="535"/>
      <c r="Y126" s="535"/>
      <c r="Z126" s="535"/>
      <c r="AA126" s="535"/>
      <c r="AB126" s="535"/>
      <c r="AC126" s="535"/>
      <c r="AD126" s="535"/>
      <c r="AE126" s="535"/>
      <c r="AF126" s="535"/>
      <c r="AG126" s="535"/>
      <c r="AH126" s="535"/>
      <c r="AI126" s="535"/>
      <c r="AJ126" s="535"/>
      <c r="AK126" s="535"/>
      <c r="AL126" s="535"/>
      <c r="AM126" s="535"/>
      <c r="AN126" s="535"/>
      <c r="AO126" s="535"/>
      <c r="AP126" s="535"/>
      <c r="AQ126" s="535"/>
      <c r="AR126" s="535"/>
      <c r="AS126" s="535"/>
      <c r="AT126" s="535"/>
      <c r="AU126" s="535"/>
      <c r="AV126" s="535"/>
      <c r="AW126" s="535"/>
      <c r="AX126" s="535"/>
      <c r="AY126" s="535"/>
      <c r="AZ126" s="535"/>
      <c r="BA126" s="535"/>
      <c r="BB126" s="535"/>
      <c r="BC126" s="535"/>
      <c r="BD126" s="535"/>
      <c r="BE126" s="535"/>
      <c r="BF126" s="535"/>
      <c r="BG126" s="535"/>
      <c r="BH126" s="535"/>
      <c r="BI126" s="535"/>
      <c r="BJ126" s="535"/>
      <c r="BK126" s="535"/>
      <c r="BL126" s="535"/>
      <c r="BM126" s="535"/>
      <c r="BN126" s="535"/>
      <c r="BO126" s="535"/>
      <c r="BP126" s="535"/>
      <c r="BQ126" s="535"/>
      <c r="BR126" s="535"/>
      <c r="BS126" s="535"/>
      <c r="BT126" s="535"/>
      <c r="BU126" s="535"/>
      <c r="BV126" s="535"/>
      <c r="BW126" s="535"/>
      <c r="BX126" s="535"/>
      <c r="BY126" s="535"/>
      <c r="BZ126" s="535"/>
      <c r="CA126" s="535"/>
      <c r="CB126" s="535"/>
      <c r="CC126" s="535"/>
      <c r="CD126" s="727"/>
      <c r="CE126" s="727"/>
      <c r="CF126" s="727"/>
      <c r="CG126" s="535"/>
      <c r="CH126" s="535"/>
      <c r="CI126" s="535"/>
      <c r="CJ126" s="535"/>
    </row>
    <row r="127" spans="1:136" s="90" customFormat="1" ht="6" customHeight="1">
      <c r="A127" s="87"/>
      <c r="B127" s="103"/>
      <c r="C127" s="103"/>
      <c r="D127" s="103"/>
      <c r="E127" s="103"/>
      <c r="F127" s="103"/>
      <c r="G127" s="103"/>
      <c r="H127" s="103"/>
      <c r="I127" s="103"/>
      <c r="J127" s="103"/>
      <c r="K127" s="103"/>
      <c r="L127" s="103"/>
      <c r="M127" s="91"/>
      <c r="N127" s="91"/>
      <c r="O127" s="91"/>
      <c r="P127" s="502"/>
      <c r="Q127" s="158"/>
      <c r="R127" s="158"/>
      <c r="S127" s="158"/>
      <c r="T127" s="158"/>
      <c r="U127" s="158"/>
      <c r="V127" s="158"/>
      <c r="W127" s="158"/>
      <c r="X127" s="158"/>
      <c r="Y127" s="158"/>
      <c r="Z127" s="158"/>
      <c r="AA127" s="158"/>
      <c r="AB127" s="158"/>
      <c r="AC127" s="103"/>
      <c r="AD127" s="103"/>
      <c r="AE127" s="103"/>
      <c r="AF127" s="103"/>
      <c r="AG127" s="103"/>
      <c r="AH127" s="103"/>
      <c r="AI127" s="103"/>
      <c r="AJ127" s="103"/>
      <c r="AK127" s="103"/>
      <c r="AL127" s="103"/>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91"/>
      <c r="BH127" s="91"/>
      <c r="BI127" s="91"/>
      <c r="BJ127" s="91"/>
      <c r="BK127" s="91"/>
      <c r="BL127" s="91"/>
      <c r="BM127" s="91"/>
      <c r="BN127" s="91"/>
      <c r="BO127" s="91"/>
      <c r="BP127" s="91"/>
      <c r="BQ127" s="91"/>
      <c r="BR127" s="91"/>
      <c r="BS127" s="91"/>
      <c r="BT127" s="91"/>
      <c r="BU127" s="91"/>
      <c r="BV127" s="91"/>
      <c r="BW127" s="91"/>
      <c r="BX127" s="91"/>
      <c r="BY127" s="91"/>
      <c r="BZ127" s="91"/>
      <c r="CA127" s="91"/>
      <c r="CB127" s="91"/>
      <c r="CC127" s="91"/>
      <c r="CD127" s="91"/>
      <c r="CE127" s="91"/>
      <c r="CF127" s="91"/>
      <c r="CG127" s="91"/>
      <c r="CH127" s="91"/>
      <c r="CI127" s="91"/>
      <c r="CJ127" s="91"/>
      <c r="CO127" s="39"/>
      <c r="DK127" s="39"/>
      <c r="DL127" s="39"/>
      <c r="DM127" s="39"/>
      <c r="DN127" s="39"/>
      <c r="DO127" s="39"/>
      <c r="DP127" s="39"/>
      <c r="DQ127" s="91"/>
      <c r="DR127" s="39"/>
      <c r="DS127" s="39"/>
      <c r="DT127" s="39"/>
      <c r="DU127" s="39"/>
      <c r="DV127" s="39"/>
      <c r="DW127" s="39"/>
      <c r="DX127" s="39"/>
      <c r="DY127" s="39"/>
      <c r="DZ127" s="39"/>
      <c r="EA127" s="92"/>
      <c r="EB127" s="92"/>
      <c r="EC127" s="92"/>
      <c r="ED127" s="92"/>
      <c r="EE127" s="92"/>
      <c r="EF127" s="92"/>
    </row>
    <row r="128" spans="1:136" s="5" customFormat="1" ht="11.25" customHeight="1">
      <c r="A128" s="17" t="s">
        <v>59</v>
      </c>
      <c r="B128" s="324"/>
      <c r="C128" s="324"/>
      <c r="D128" s="324"/>
      <c r="E128" s="324"/>
      <c r="F128" s="324"/>
      <c r="G128" s="324"/>
      <c r="H128" s="324"/>
      <c r="I128" s="324"/>
      <c r="J128" s="324"/>
      <c r="K128" s="324"/>
      <c r="L128" s="324"/>
      <c r="M128" s="324"/>
      <c r="N128" s="324"/>
      <c r="O128" s="324"/>
      <c r="P128" s="324"/>
      <c r="Q128" s="324"/>
      <c r="R128" s="536"/>
      <c r="S128" s="324"/>
      <c r="T128" s="324"/>
      <c r="U128" s="324"/>
      <c r="V128" s="324"/>
      <c r="W128" s="324"/>
      <c r="X128" s="324"/>
      <c r="Y128" s="324"/>
      <c r="Z128" s="324"/>
      <c r="AA128" s="324"/>
      <c r="AB128" s="473"/>
      <c r="AC128" s="324"/>
      <c r="AD128" s="324"/>
      <c r="AE128" s="324"/>
      <c r="AF128" s="324"/>
      <c r="AG128" s="324"/>
      <c r="AH128" s="324"/>
      <c r="AI128" s="324"/>
      <c r="AJ128" s="324"/>
      <c r="AK128" s="324"/>
      <c r="AL128" s="324"/>
      <c r="AM128" s="324"/>
      <c r="AN128" s="324"/>
      <c r="AO128" s="324"/>
      <c r="AP128" s="324"/>
      <c r="AQ128" s="324"/>
      <c r="AR128" s="324"/>
      <c r="AS128" s="324"/>
      <c r="AT128" s="324"/>
      <c r="AU128" s="324"/>
      <c r="AV128" s="324"/>
      <c r="AW128" s="324"/>
      <c r="AX128" s="324"/>
      <c r="AY128" s="324"/>
      <c r="AZ128" s="324"/>
      <c r="BA128" s="324"/>
      <c r="BB128" s="324"/>
      <c r="BC128" s="324"/>
      <c r="BD128" s="324"/>
      <c r="BE128" s="324"/>
      <c r="BF128" s="324"/>
      <c r="BG128" s="324"/>
      <c r="BH128" s="324"/>
      <c r="BI128" s="324"/>
      <c r="BJ128" s="324"/>
      <c r="BK128" s="324"/>
      <c r="BL128" s="324"/>
      <c r="BM128" s="324"/>
      <c r="BN128" s="11"/>
      <c r="BO128" s="324"/>
      <c r="BP128" s="324"/>
      <c r="BQ128" s="324"/>
      <c r="BR128" s="324"/>
      <c r="BS128" s="536"/>
      <c r="BT128" s="324"/>
      <c r="BU128" s="324"/>
      <c r="BV128" s="537"/>
      <c r="BW128" s="324"/>
      <c r="BX128" s="324"/>
      <c r="BY128" s="324"/>
      <c r="BZ128" s="324"/>
      <c r="CA128" s="324"/>
      <c r="CB128" s="324"/>
      <c r="CC128" s="529"/>
      <c r="CD128" s="11"/>
      <c r="CE128" s="11"/>
      <c r="CF128" s="11"/>
      <c r="CG128" s="324"/>
      <c r="CH128" s="324"/>
      <c r="CI128" s="324"/>
      <c r="CJ128" s="324"/>
    </row>
    <row r="129" spans="1:136" s="90" customFormat="1" ht="6" customHeight="1">
      <c r="A129" s="87"/>
      <c r="B129" s="103"/>
      <c r="C129" s="103"/>
      <c r="D129" s="103"/>
      <c r="E129" s="103"/>
      <c r="F129" s="103"/>
      <c r="G129" s="103"/>
      <c r="H129" s="103"/>
      <c r="I129" s="103"/>
      <c r="J129" s="103"/>
      <c r="K129" s="103"/>
      <c r="L129" s="103"/>
      <c r="M129" s="91"/>
      <c r="N129" s="91"/>
      <c r="O129" s="91"/>
      <c r="P129" s="502"/>
      <c r="Q129" s="158"/>
      <c r="R129" s="158"/>
      <c r="S129" s="158"/>
      <c r="T129" s="158"/>
      <c r="U129" s="158"/>
      <c r="V129" s="158"/>
      <c r="W129" s="158"/>
      <c r="X129" s="158"/>
      <c r="Y129" s="158"/>
      <c r="Z129" s="158"/>
      <c r="AA129" s="158"/>
      <c r="AB129" s="158"/>
      <c r="AC129" s="103"/>
      <c r="AD129" s="103"/>
      <c r="AE129" s="103"/>
      <c r="AF129" s="103"/>
      <c r="AG129" s="103"/>
      <c r="AH129" s="103"/>
      <c r="AI129" s="103"/>
      <c r="AJ129" s="103"/>
      <c r="AK129" s="103"/>
      <c r="AL129" s="103"/>
      <c r="AM129" s="103"/>
      <c r="AN129" s="103"/>
      <c r="AO129" s="103"/>
      <c r="AP129" s="103"/>
      <c r="AQ129" s="103"/>
      <c r="AR129" s="103"/>
      <c r="AS129" s="103"/>
      <c r="AT129" s="103"/>
      <c r="AU129" s="103"/>
      <c r="AV129" s="103"/>
      <c r="AW129" s="103"/>
      <c r="AX129" s="103"/>
      <c r="AY129" s="103"/>
      <c r="AZ129" s="103"/>
      <c r="BA129" s="103"/>
      <c r="BB129" s="103"/>
      <c r="BC129" s="103"/>
      <c r="BD129" s="103"/>
      <c r="BE129" s="103"/>
      <c r="BF129" s="103"/>
      <c r="BG129" s="91"/>
      <c r="BH129" s="91"/>
      <c r="BI129" s="91"/>
      <c r="BJ129" s="91"/>
      <c r="BK129" s="91"/>
      <c r="BL129" s="91"/>
      <c r="BM129" s="91"/>
      <c r="BN129" s="91"/>
      <c r="BO129" s="91"/>
      <c r="BP129" s="91"/>
      <c r="BQ129" s="91"/>
      <c r="BR129" s="91"/>
      <c r="BS129" s="91"/>
      <c r="BT129" s="91"/>
      <c r="BU129" s="91"/>
      <c r="BV129" s="91"/>
      <c r="BW129" s="91"/>
      <c r="BX129" s="91"/>
      <c r="BY129" s="91"/>
      <c r="BZ129" s="91"/>
      <c r="CA129" s="91"/>
      <c r="CB129" s="91"/>
      <c r="CC129" s="91"/>
      <c r="CD129" s="91"/>
      <c r="CE129" s="91"/>
      <c r="CF129" s="91"/>
      <c r="CG129" s="91"/>
      <c r="CH129" s="91"/>
      <c r="CI129" s="91"/>
      <c r="CJ129" s="91"/>
      <c r="CO129" s="39"/>
      <c r="DK129" s="39"/>
      <c r="DL129" s="39"/>
      <c r="DM129" s="39"/>
      <c r="DN129" s="39"/>
      <c r="DO129" s="39"/>
      <c r="DP129" s="39"/>
      <c r="DQ129" s="91"/>
      <c r="DR129" s="39"/>
      <c r="DS129" s="39"/>
      <c r="DT129" s="39"/>
      <c r="DU129" s="39"/>
      <c r="DV129" s="39"/>
      <c r="DW129" s="39"/>
      <c r="DX129" s="39"/>
      <c r="DY129" s="39"/>
      <c r="DZ129" s="39"/>
      <c r="EA129" s="92"/>
      <c r="EB129" s="92"/>
      <c r="EC129" s="92"/>
      <c r="ED129" s="92"/>
      <c r="EE129" s="92"/>
      <c r="EF129" s="92"/>
    </row>
    <row r="130" spans="1:136">
      <c r="A130" s="19" t="s">
        <v>40</v>
      </c>
      <c r="B130" s="503"/>
      <c r="C130" s="503"/>
      <c r="D130" s="503"/>
      <c r="E130" s="503"/>
      <c r="F130" s="503"/>
      <c r="G130" s="503"/>
      <c r="H130" s="503"/>
      <c r="I130" s="503"/>
      <c r="J130" s="503"/>
      <c r="K130" s="503"/>
      <c r="L130" s="503"/>
      <c r="M130" s="503"/>
      <c r="N130" s="503"/>
      <c r="O130" s="503"/>
      <c r="P130" s="503"/>
      <c r="Q130" s="503"/>
      <c r="R130" s="503"/>
      <c r="S130" s="503"/>
      <c r="T130" s="503"/>
      <c r="U130" s="503"/>
      <c r="V130" s="503"/>
      <c r="W130" s="503"/>
      <c r="X130" s="503"/>
      <c r="Y130" s="503"/>
      <c r="Z130" s="503"/>
      <c r="AA130" s="503"/>
      <c r="AB130" s="473"/>
      <c r="AC130" s="503"/>
      <c r="AD130" s="503"/>
      <c r="AE130" s="503"/>
      <c r="AF130" s="503"/>
      <c r="AG130" s="503"/>
      <c r="AH130" s="503"/>
      <c r="AI130" s="503"/>
      <c r="AJ130" s="503"/>
      <c r="AK130" s="503"/>
      <c r="AL130" s="503"/>
      <c r="AM130" s="503"/>
      <c r="AN130" s="503"/>
      <c r="AO130" s="503"/>
      <c r="AP130" s="503"/>
      <c r="AQ130" s="503"/>
      <c r="AR130" s="503"/>
      <c r="AS130" s="503"/>
      <c r="AT130" s="503"/>
      <c r="AU130" s="503"/>
      <c r="AV130" s="503"/>
      <c r="AW130" s="503"/>
      <c r="AX130" s="503"/>
      <c r="AY130" s="503"/>
      <c r="AZ130" s="503"/>
      <c r="BA130" s="503"/>
      <c r="BB130" s="503"/>
      <c r="BC130" s="503"/>
      <c r="BD130" s="503"/>
      <c r="BE130" s="503"/>
      <c r="BF130" s="503"/>
      <c r="BG130" s="503"/>
      <c r="BH130" s="503"/>
      <c r="BI130" s="503"/>
      <c r="BJ130" s="503"/>
      <c r="BK130" s="503"/>
      <c r="BL130" s="503"/>
      <c r="BM130" s="503"/>
      <c r="BN130" s="503"/>
      <c r="BO130" s="503"/>
      <c r="BP130" s="503"/>
      <c r="BQ130" s="503"/>
      <c r="BR130" s="503"/>
      <c r="BS130" s="503"/>
      <c r="BT130" s="503"/>
      <c r="BU130" s="503"/>
      <c r="BV130" s="503"/>
      <c r="BW130" s="503"/>
      <c r="BX130" s="503"/>
      <c r="BY130" s="503"/>
      <c r="BZ130" s="503"/>
      <c r="CA130" s="503"/>
      <c r="CB130" s="503"/>
      <c r="CC130" s="503"/>
      <c r="CD130" s="503"/>
      <c r="CE130" s="503"/>
      <c r="CF130" s="503"/>
      <c r="CG130" s="503"/>
      <c r="CH130" s="503"/>
      <c r="CI130" s="503"/>
      <c r="CJ130" s="503"/>
    </row>
    <row r="131" spans="1:136">
      <c r="A131" s="2" t="s">
        <v>41</v>
      </c>
      <c r="B131" s="32"/>
      <c r="C131" s="32"/>
      <c r="D131" s="32"/>
      <c r="E131" s="32"/>
      <c r="F131" s="32"/>
      <c r="G131" s="32"/>
      <c r="H131" s="32"/>
      <c r="I131" s="32"/>
      <c r="J131" s="32"/>
      <c r="K131" s="32"/>
      <c r="L131" s="32" t="s">
        <v>48</v>
      </c>
      <c r="M131" s="538">
        <f>+M144+M170+M183+M210+M223</f>
        <v>504.04499999999996</v>
      </c>
      <c r="N131" s="538">
        <f>+SUM(BI131:BL131)</f>
        <v>399.92400000000004</v>
      </c>
      <c r="O131" s="538">
        <f t="shared" ref="O131:Q132" si="136">+O144+O170+O183+O210+O223</f>
        <v>1190.8919999999998</v>
      </c>
      <c r="P131" s="538">
        <f t="shared" si="136"/>
        <v>-743.70100000000002</v>
      </c>
      <c r="Q131" s="538">
        <f t="shared" si="136"/>
        <v>-691.51548756085651</v>
      </c>
      <c r="R131" s="538">
        <f t="shared" ref="R131:AA131" si="137">+R144+R157+R196+R223</f>
        <v>-41.050999999999974</v>
      </c>
      <c r="S131" s="538">
        <f t="shared" si="137"/>
        <v>-156.12900000000002</v>
      </c>
      <c r="T131" s="538">
        <f t="shared" si="137"/>
        <v>149.28</v>
      </c>
      <c r="U131" s="538">
        <f t="shared" ca="1" si="137"/>
        <v>269.14720815258829</v>
      </c>
      <c r="V131" s="538">
        <f t="shared" ca="1" si="137"/>
        <v>380.45568669836547</v>
      </c>
      <c r="W131" s="538">
        <f t="shared" ca="1" si="137"/>
        <v>353.54110539835528</v>
      </c>
      <c r="X131" s="538">
        <f t="shared" ca="1" si="137"/>
        <v>329.16587397006981</v>
      </c>
      <c r="Y131" s="538">
        <f t="shared" ca="1" si="137"/>
        <v>306.13849785975333</v>
      </c>
      <c r="Z131" s="538">
        <f t="shared" ca="1" si="137"/>
        <v>284.44887226427642</v>
      </c>
      <c r="AA131" s="538">
        <f t="shared" ca="1" si="137"/>
        <v>264.07265045597876</v>
      </c>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t="s">
        <v>48</v>
      </c>
      <c r="BF131" s="32" t="s">
        <v>48</v>
      </c>
      <c r="BG131" s="32" t="s">
        <v>48</v>
      </c>
      <c r="BH131" s="32" t="s">
        <v>48</v>
      </c>
      <c r="BI131" s="538">
        <f t="shared" ref="BI131:BP132" si="138">+BI144+BI157+BI196+BI223</f>
        <v>263.24</v>
      </c>
      <c r="BJ131" s="538">
        <f t="shared" si="138"/>
        <v>-16.234000000000002</v>
      </c>
      <c r="BK131" s="538">
        <f t="shared" si="138"/>
        <v>-53.921999999999997</v>
      </c>
      <c r="BL131" s="538">
        <f t="shared" si="138"/>
        <v>206.84000000000003</v>
      </c>
      <c r="BM131" s="538">
        <f t="shared" si="138"/>
        <v>220.91399999999999</v>
      </c>
      <c r="BN131" s="538">
        <f t="shared" si="138"/>
        <v>314.55500000000001</v>
      </c>
      <c r="BO131" s="538">
        <f t="shared" si="138"/>
        <v>435.67400000000004</v>
      </c>
      <c r="BP131" s="538">
        <f t="shared" si="138"/>
        <v>219.749</v>
      </c>
      <c r="BQ131" s="538">
        <f t="shared" ref="BQ131:BS132" si="139">+BQ144+BQ157+BQ196+BQ223</f>
        <v>24.512000000000004</v>
      </c>
      <c r="BR131" s="538">
        <f t="shared" si="139"/>
        <v>-205.96799999999999</v>
      </c>
      <c r="BS131" s="538">
        <f t="shared" si="139"/>
        <v>-264.34999999999997</v>
      </c>
      <c r="BT131" s="538">
        <f t="shared" ref="BT131:CA132" si="140">+BT144+BT157+BT196+BT223</f>
        <v>-297.89500000000004</v>
      </c>
      <c r="BU131" s="538">
        <f t="shared" si="140"/>
        <v>-173.85277685806102</v>
      </c>
      <c r="BV131" s="538">
        <f t="shared" si="140"/>
        <v>-149.23271070279543</v>
      </c>
      <c r="BW131" s="538">
        <f t="shared" si="140"/>
        <v>-212.21799999999999</v>
      </c>
      <c r="BX131" s="538">
        <f t="shared" si="140"/>
        <v>-156.21200000000002</v>
      </c>
      <c r="BY131" s="538">
        <f t="shared" si="140"/>
        <v>-40.032999999999994</v>
      </c>
      <c r="BZ131" s="538">
        <f t="shared" si="140"/>
        <v>4.3219999999999992</v>
      </c>
      <c r="CA131" s="538">
        <f t="shared" si="140"/>
        <v>31.195000000000014</v>
      </c>
      <c r="CB131" s="538">
        <f t="shared" ref="CB131:CF132" si="141">+CB144+CB157+CB196+CB223</f>
        <v>-36.534999999999982</v>
      </c>
      <c r="CC131" s="538">
        <f t="shared" si="141"/>
        <v>-30.693000000000001</v>
      </c>
      <c r="CD131" s="538">
        <f t="shared" si="141"/>
        <v>-232.964</v>
      </c>
      <c r="CE131" s="538">
        <f t="shared" si="141"/>
        <v>83.444999999999993</v>
      </c>
      <c r="CF131" s="538">
        <f t="shared" si="141"/>
        <v>24.083000000000002</v>
      </c>
      <c r="CG131" s="538">
        <f t="shared" ref="CG131:CJ132" si="142">+CG144+CG157+CG196+CG223</f>
        <v>-11.7</v>
      </c>
      <c r="CH131" s="538">
        <f t="shared" si="142"/>
        <v>114.98400000000001</v>
      </c>
      <c r="CI131" s="538">
        <f t="shared" si="142"/>
        <v>18.940000000000001</v>
      </c>
      <c r="CJ131" s="538">
        <f t="shared" si="142"/>
        <v>27.055999999999997</v>
      </c>
    </row>
    <row r="132" spans="1:136">
      <c r="A132" s="2" t="s">
        <v>42</v>
      </c>
      <c r="B132" s="32"/>
      <c r="C132" s="32"/>
      <c r="D132" s="32"/>
      <c r="E132" s="32"/>
      <c r="F132" s="32"/>
      <c r="G132" s="32"/>
      <c r="H132" s="32"/>
      <c r="I132" s="32"/>
      <c r="J132" s="32"/>
      <c r="K132" s="32"/>
      <c r="L132" s="32" t="s">
        <v>48</v>
      </c>
      <c r="M132" s="538">
        <f>+M145+M171+M184+M211+M224</f>
        <v>1713.576</v>
      </c>
      <c r="N132" s="538">
        <f>+SUM(BI132:BL132)</f>
        <v>1147.2660000000001</v>
      </c>
      <c r="O132" s="538">
        <f t="shared" si="136"/>
        <v>134.76200000000006</v>
      </c>
      <c r="P132" s="538">
        <f t="shared" si="136"/>
        <v>1593.951</v>
      </c>
      <c r="Q132" s="538">
        <f t="shared" si="136"/>
        <v>1096.4674875608564</v>
      </c>
      <c r="R132" s="538">
        <f t="shared" ref="R132:AA132" si="143">+R145+R158+R197+R224</f>
        <v>420.14799999999997</v>
      </c>
      <c r="S132" s="538">
        <f t="shared" si="143"/>
        <v>370.45400000000006</v>
      </c>
      <c r="T132" s="538">
        <f t="shared" si="143"/>
        <v>274.26499999999999</v>
      </c>
      <c r="U132" s="538">
        <f t="shared" ca="1" si="143"/>
        <v>378.56349895684139</v>
      </c>
      <c r="V132" s="538">
        <f t="shared" ca="1" si="143"/>
        <v>410.85628906320767</v>
      </c>
      <c r="W132" s="538">
        <f t="shared" ca="1" si="143"/>
        <v>557.16932846732698</v>
      </c>
      <c r="X132" s="538">
        <f t="shared" ca="1" si="143"/>
        <v>581.08196218894363</v>
      </c>
      <c r="Y132" s="538">
        <f t="shared" ca="1" si="143"/>
        <v>605.41868500519865</v>
      </c>
      <c r="Z132" s="538">
        <f t="shared" ca="1" si="143"/>
        <v>630.2226172348295</v>
      </c>
      <c r="AA132" s="538">
        <f t="shared" ca="1" si="143"/>
        <v>655.53913614694079</v>
      </c>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t="s">
        <v>48</v>
      </c>
      <c r="BF132" s="32" t="s">
        <v>48</v>
      </c>
      <c r="BG132" s="32" t="s">
        <v>48</v>
      </c>
      <c r="BH132" s="32" t="s">
        <v>48</v>
      </c>
      <c r="BI132" s="538">
        <f>+BI145+BI158+BI197+BI224</f>
        <v>406.51000000000005</v>
      </c>
      <c r="BJ132" s="538">
        <f>+BJ145+BJ158+BJ197+BJ224</f>
        <v>410.19700000000006</v>
      </c>
      <c r="BK132" s="538">
        <f>+BK145+BK158+BK197+BK224</f>
        <v>185.839</v>
      </c>
      <c r="BL132" s="538">
        <f t="shared" si="138"/>
        <v>144.72</v>
      </c>
      <c r="BM132" s="538">
        <f t="shared" si="138"/>
        <v>104.93599999999998</v>
      </c>
      <c r="BN132" s="538">
        <f t="shared" si="138"/>
        <v>8.8410000000000011</v>
      </c>
      <c r="BO132" s="538">
        <f t="shared" si="138"/>
        <v>0.50200000000000689</v>
      </c>
      <c r="BP132" s="538">
        <f t="shared" si="138"/>
        <v>20.483000000000008</v>
      </c>
      <c r="BQ132" s="538">
        <f t="shared" si="139"/>
        <v>219.13200000000001</v>
      </c>
      <c r="BR132" s="538">
        <f t="shared" si="139"/>
        <v>310.32799999999997</v>
      </c>
      <c r="BS132" s="538">
        <f t="shared" si="139"/>
        <v>491.536</v>
      </c>
      <c r="BT132" s="538">
        <f t="shared" si="140"/>
        <v>572.95499999999993</v>
      </c>
      <c r="BU132" s="538">
        <f t="shared" si="140"/>
        <v>250.00777685806082</v>
      </c>
      <c r="BV132" s="538">
        <f t="shared" si="140"/>
        <v>210.8377107027957</v>
      </c>
      <c r="BW132" s="538">
        <f t="shared" si="140"/>
        <v>340.46699999999998</v>
      </c>
      <c r="BX132" s="538">
        <f t="shared" si="140"/>
        <v>295.15499999999997</v>
      </c>
      <c r="BY132" s="538">
        <f t="shared" si="140"/>
        <v>196.00899999999999</v>
      </c>
      <c r="BZ132" s="538">
        <f t="shared" si="140"/>
        <v>108.012</v>
      </c>
      <c r="CA132" s="538">
        <f t="shared" si="140"/>
        <v>43.548000000000002</v>
      </c>
      <c r="CB132" s="538">
        <f t="shared" si="141"/>
        <v>72.578999999999979</v>
      </c>
      <c r="CC132" s="538">
        <f t="shared" si="141"/>
        <v>75.921000000000006</v>
      </c>
      <c r="CD132" s="538">
        <f t="shared" si="141"/>
        <v>64.322999999999993</v>
      </c>
      <c r="CE132" s="538">
        <f t="shared" si="141"/>
        <v>92.587000000000003</v>
      </c>
      <c r="CF132" s="538">
        <f t="shared" si="141"/>
        <v>137.62299999999999</v>
      </c>
      <c r="CG132" s="538">
        <f t="shared" si="142"/>
        <v>81.89</v>
      </c>
      <c r="CH132" s="538">
        <f t="shared" si="142"/>
        <v>91.103999999999999</v>
      </c>
      <c r="CI132" s="538">
        <f t="shared" si="142"/>
        <v>63.95</v>
      </c>
      <c r="CJ132" s="538">
        <f t="shared" si="142"/>
        <v>37.320999999999984</v>
      </c>
    </row>
    <row r="133" spans="1:136" s="90" customFormat="1" ht="6" customHeight="1">
      <c r="A133" s="87"/>
      <c r="B133" s="103"/>
      <c r="C133" s="103"/>
      <c r="D133" s="103"/>
      <c r="E133" s="103"/>
      <c r="F133" s="103"/>
      <c r="G133" s="103"/>
      <c r="H133" s="103"/>
      <c r="I133" s="103"/>
      <c r="J133" s="103"/>
      <c r="K133" s="103"/>
      <c r="L133" s="103"/>
      <c r="M133" s="91"/>
      <c r="N133" s="91"/>
      <c r="O133" s="91"/>
      <c r="P133" s="502"/>
      <c r="Q133" s="158"/>
      <c r="R133" s="91"/>
      <c r="S133" s="91"/>
      <c r="T133" s="91"/>
      <c r="U133" s="91"/>
      <c r="V133" s="91"/>
      <c r="W133" s="91"/>
      <c r="X133" s="91"/>
      <c r="Y133" s="91"/>
      <c r="Z133" s="91"/>
      <c r="AA133" s="91"/>
      <c r="AB133" s="158"/>
      <c r="AC133" s="103"/>
      <c r="AD133" s="103"/>
      <c r="AE133" s="103"/>
      <c r="AF133" s="103"/>
      <c r="AG133" s="103"/>
      <c r="AH133" s="103"/>
      <c r="AI133" s="103"/>
      <c r="AJ133" s="103"/>
      <c r="AK133" s="103"/>
      <c r="AL133" s="103"/>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91"/>
      <c r="BH133" s="91"/>
      <c r="BI133" s="91"/>
      <c r="BJ133" s="91"/>
      <c r="BK133" s="91"/>
      <c r="BL133" s="91"/>
      <c r="BM133" s="91"/>
      <c r="BN133" s="91"/>
      <c r="BO133" s="91"/>
      <c r="BP133" s="91"/>
      <c r="BQ133" s="91"/>
      <c r="BR133" s="91"/>
      <c r="BS133" s="91"/>
      <c r="BT133" s="91"/>
      <c r="BU133" s="91"/>
      <c r="BV133" s="91"/>
      <c r="BW133" s="91"/>
      <c r="BX133" s="91"/>
      <c r="BY133" s="91"/>
      <c r="BZ133" s="91"/>
      <c r="CA133" s="91"/>
      <c r="CB133" s="91"/>
      <c r="CC133" s="91"/>
      <c r="CD133" s="91"/>
      <c r="CE133" s="91"/>
      <c r="CF133" s="91"/>
      <c r="CG133" s="91"/>
      <c r="CH133" s="91"/>
      <c r="CI133" s="91"/>
      <c r="CJ133" s="91"/>
      <c r="CO133" s="39"/>
      <c r="DK133" s="39"/>
      <c r="DL133" s="39"/>
      <c r="DM133" s="39"/>
      <c r="DN133" s="39"/>
      <c r="DO133" s="39"/>
      <c r="DP133" s="39"/>
      <c r="DQ133" s="91"/>
      <c r="DR133" s="39"/>
      <c r="DS133" s="39"/>
      <c r="DT133" s="39"/>
      <c r="DU133" s="39"/>
      <c r="DV133" s="39"/>
      <c r="DW133" s="39"/>
      <c r="DX133" s="39"/>
      <c r="DY133" s="39"/>
      <c r="DZ133" s="39"/>
      <c r="EA133" s="92"/>
      <c r="EB133" s="92"/>
      <c r="EC133" s="92"/>
      <c r="ED133" s="92"/>
      <c r="EE133" s="92"/>
      <c r="EF133" s="92"/>
    </row>
    <row r="134" spans="1:136">
      <c r="A134" s="2" t="s">
        <v>43</v>
      </c>
      <c r="B134" s="32"/>
      <c r="C134" s="32"/>
      <c r="D134" s="32"/>
      <c r="E134" s="32"/>
      <c r="F134" s="32"/>
      <c r="G134" s="32"/>
      <c r="H134" s="32"/>
      <c r="I134" s="32"/>
      <c r="J134" s="32"/>
      <c r="K134" s="32"/>
      <c r="L134" s="32" t="s">
        <v>48</v>
      </c>
      <c r="M134" s="538">
        <f>+M147+M173+M186+M213+M226</f>
        <v>1074</v>
      </c>
      <c r="N134" s="538">
        <f>+SUM(BI134:BL134)</f>
        <v>-1576</v>
      </c>
      <c r="O134" s="538">
        <f t="shared" ref="O134:Q135" si="144">+O147+O173+O186+O213+O226</f>
        <v>-836.78929475554787</v>
      </c>
      <c r="P134" s="538">
        <f t="shared" si="144"/>
        <v>-1806</v>
      </c>
      <c r="Q134" s="538">
        <f t="shared" si="144"/>
        <v>-3581</v>
      </c>
      <c r="R134" s="538">
        <f>+R147+R160+R199+R226</f>
        <v>-1232</v>
      </c>
      <c r="S134" s="538">
        <f>+S147+S160+S199+S226</f>
        <v>76</v>
      </c>
      <c r="T134" s="538">
        <f t="shared" ref="T134:AA134" si="145">+T147+T160+T199+T226</f>
        <v>865.17581525882736</v>
      </c>
      <c r="U134" s="538">
        <f t="shared" ca="1" si="145"/>
        <v>0</v>
      </c>
      <c r="V134" s="538">
        <f t="shared" ca="1" si="145"/>
        <v>0</v>
      </c>
      <c r="W134" s="538">
        <f t="shared" ca="1" si="145"/>
        <v>0</v>
      </c>
      <c r="X134" s="538">
        <f t="shared" ca="1" si="145"/>
        <v>0</v>
      </c>
      <c r="Y134" s="538">
        <f t="shared" ca="1" si="145"/>
        <v>0</v>
      </c>
      <c r="Z134" s="538">
        <f t="shared" ca="1" si="145"/>
        <v>0</v>
      </c>
      <c r="AA134" s="538">
        <f t="shared" ca="1" si="145"/>
        <v>0</v>
      </c>
      <c r="AC134" s="32"/>
      <c r="AD134" s="32"/>
      <c r="AE134" s="32"/>
      <c r="AF134" s="32"/>
      <c r="AG134" s="32"/>
      <c r="AH134" s="32"/>
      <c r="AI134" s="32"/>
      <c r="AJ134" s="32"/>
      <c r="AK134" s="32"/>
      <c r="AL134" s="32"/>
      <c r="AM134" s="32"/>
      <c r="AN134" s="32"/>
      <c r="AO134" s="32"/>
      <c r="AP134" s="32"/>
      <c r="AQ134" s="32"/>
      <c r="AR134" s="32"/>
      <c r="AS134" s="32"/>
      <c r="AT134" s="32"/>
      <c r="AU134" s="32"/>
      <c r="AV134" s="32"/>
      <c r="AW134" s="32"/>
      <c r="AX134" s="32"/>
      <c r="AY134" s="32"/>
      <c r="AZ134" s="32"/>
      <c r="BA134" s="32"/>
      <c r="BB134" s="32"/>
      <c r="BC134" s="32"/>
      <c r="BD134" s="32"/>
      <c r="BE134" s="32" t="s">
        <v>48</v>
      </c>
      <c r="BF134" s="32" t="s">
        <v>48</v>
      </c>
      <c r="BG134" s="32" t="s">
        <v>48</v>
      </c>
      <c r="BH134" s="32" t="s">
        <v>48</v>
      </c>
      <c r="BI134" s="538">
        <f t="shared" ref="BI134:BO134" si="146">+BI147+BI160+BI199+BI226</f>
        <v>-191</v>
      </c>
      <c r="BJ134" s="538">
        <f t="shared" si="146"/>
        <v>-650</v>
      </c>
      <c r="BK134" s="538">
        <f t="shared" si="146"/>
        <v>-573</v>
      </c>
      <c r="BL134" s="538">
        <f t="shared" si="146"/>
        <v>-162</v>
      </c>
      <c r="BM134" s="538">
        <f t="shared" si="146"/>
        <v>-196.78929475554781</v>
      </c>
      <c r="BN134" s="538">
        <f t="shared" si="146"/>
        <v>-163</v>
      </c>
      <c r="BO134" s="538">
        <f t="shared" si="146"/>
        <v>-230.00000000000003</v>
      </c>
      <c r="BP134" s="538">
        <f t="shared" ref="BP134:BS138" si="147">+BP147+BP160+BP199+BP226</f>
        <v>-247</v>
      </c>
      <c r="BQ134" s="538">
        <f t="shared" si="147"/>
        <v>-324</v>
      </c>
      <c r="BR134" s="538">
        <f t="shared" si="147"/>
        <v>-247.00000000000003</v>
      </c>
      <c r="BS134" s="538">
        <f t="shared" si="147"/>
        <v>-331</v>
      </c>
      <c r="BT134" s="538">
        <f>+BT147+BT160+BT199+BT226</f>
        <v>-904</v>
      </c>
      <c r="BU134" s="538">
        <f t="shared" ref="BU134:BZ134" si="148">+BU147+BU160+BU199+BU226</f>
        <v>-846</v>
      </c>
      <c r="BV134" s="538">
        <f t="shared" si="148"/>
        <v>-897</v>
      </c>
      <c r="BW134" s="538">
        <f t="shared" si="148"/>
        <v>-986</v>
      </c>
      <c r="BX134" s="538">
        <f t="shared" si="148"/>
        <v>-852</v>
      </c>
      <c r="BY134" s="538">
        <f t="shared" si="148"/>
        <v>-481</v>
      </c>
      <c r="BZ134" s="538">
        <f t="shared" si="148"/>
        <v>-312</v>
      </c>
      <c r="CA134" s="538">
        <f t="shared" ref="CA134:CF138" si="149">+CA147+CA160+CA199+CA226</f>
        <v>-196</v>
      </c>
      <c r="CB134" s="538">
        <f>+CB147+CB160+CB199+CB226</f>
        <v>-243</v>
      </c>
      <c r="CC134" s="538">
        <f t="shared" si="149"/>
        <v>-92</v>
      </c>
      <c r="CD134" s="538">
        <f t="shared" si="149"/>
        <v>-124</v>
      </c>
      <c r="CE134" s="538">
        <f t="shared" si="149"/>
        <v>80</v>
      </c>
      <c r="CF134" s="538">
        <f t="shared" si="149"/>
        <v>212</v>
      </c>
      <c r="CG134" s="538">
        <f t="shared" ref="CG134:CJ138" si="150">+CG147+CG160+CG199+CG226</f>
        <v>360.61302856087019</v>
      </c>
      <c r="CH134" s="538">
        <f t="shared" si="150"/>
        <v>241.56578669795718</v>
      </c>
      <c r="CI134" s="538">
        <f t="shared" si="150"/>
        <v>105.61099999999998</v>
      </c>
      <c r="CJ134" s="538">
        <f t="shared" si="150"/>
        <v>157.386</v>
      </c>
    </row>
    <row r="135" spans="1:136">
      <c r="A135" s="2" t="s">
        <v>44</v>
      </c>
      <c r="B135" s="32"/>
      <c r="C135" s="32"/>
      <c r="D135" s="32"/>
      <c r="E135" s="32"/>
      <c r="F135" s="32"/>
      <c r="G135" s="32"/>
      <c r="H135" s="32"/>
      <c r="I135" s="32"/>
      <c r="J135" s="32"/>
      <c r="K135" s="32"/>
      <c r="L135" s="32" t="s">
        <v>48</v>
      </c>
      <c r="M135" s="538">
        <f>+M148+M174+M187+M214+M227</f>
        <v>697</v>
      </c>
      <c r="N135" s="538">
        <f>+SUM(BI135:BL135)</f>
        <v>0</v>
      </c>
      <c r="O135" s="538">
        <f t="shared" si="144"/>
        <v>92.5</v>
      </c>
      <c r="P135" s="538">
        <f t="shared" si="144"/>
        <v>13</v>
      </c>
      <c r="Q135" s="538">
        <f t="shared" si="144"/>
        <v>165.33799999999999</v>
      </c>
      <c r="R135" s="538">
        <f t="shared" ref="R135:AA135" si="151">+R148+R161+R200+R227</f>
        <v>92</v>
      </c>
      <c r="S135" s="538">
        <f t="shared" si="151"/>
        <v>59</v>
      </c>
      <c r="T135" s="538">
        <f t="shared" ca="1" si="151"/>
        <v>0</v>
      </c>
      <c r="U135" s="538">
        <f t="shared" ca="1" si="151"/>
        <v>0</v>
      </c>
      <c r="V135" s="538">
        <f t="shared" ca="1" si="151"/>
        <v>0</v>
      </c>
      <c r="W135" s="538">
        <f t="shared" ca="1" si="151"/>
        <v>0</v>
      </c>
      <c r="X135" s="538">
        <f t="shared" ca="1" si="151"/>
        <v>0</v>
      </c>
      <c r="Y135" s="538">
        <f t="shared" ca="1" si="151"/>
        <v>0</v>
      </c>
      <c r="Z135" s="538">
        <f t="shared" ca="1" si="151"/>
        <v>0</v>
      </c>
      <c r="AA135" s="538">
        <f t="shared" ca="1" si="151"/>
        <v>0</v>
      </c>
      <c r="AC135" s="32"/>
      <c r="AD135" s="32"/>
      <c r="AE135" s="32"/>
      <c r="AF135" s="32"/>
      <c r="AG135" s="32"/>
      <c r="AH135" s="32"/>
      <c r="AI135" s="32"/>
      <c r="AJ135" s="32"/>
      <c r="AK135" s="32"/>
      <c r="AL135" s="32"/>
      <c r="AM135" s="32"/>
      <c r="AN135" s="32"/>
      <c r="AO135" s="32"/>
      <c r="AP135" s="32"/>
      <c r="AQ135" s="32"/>
      <c r="AR135" s="32"/>
      <c r="AS135" s="32"/>
      <c r="AT135" s="32"/>
      <c r="AU135" s="32"/>
      <c r="AV135" s="32"/>
      <c r="AW135" s="32"/>
      <c r="AX135" s="32"/>
      <c r="AY135" s="32"/>
      <c r="AZ135" s="32"/>
      <c r="BA135" s="32"/>
      <c r="BB135" s="32"/>
      <c r="BC135" s="32"/>
      <c r="BD135" s="32"/>
      <c r="BE135" s="32" t="s">
        <v>48</v>
      </c>
      <c r="BF135" s="32" t="s">
        <v>48</v>
      </c>
      <c r="BG135" s="32" t="s">
        <v>48</v>
      </c>
      <c r="BH135" s="32" t="s">
        <v>48</v>
      </c>
      <c r="BI135" s="538">
        <f t="shared" ref="BI135:BO135" si="152">+BI148+BI161+BI200+BI227</f>
        <v>0</v>
      </c>
      <c r="BJ135" s="538">
        <f t="shared" si="152"/>
        <v>0</v>
      </c>
      <c r="BK135" s="538">
        <f t="shared" si="152"/>
        <v>0</v>
      </c>
      <c r="BL135" s="538">
        <f t="shared" si="152"/>
        <v>0</v>
      </c>
      <c r="BM135" s="538">
        <f t="shared" si="152"/>
        <v>14.5</v>
      </c>
      <c r="BN135" s="538">
        <f t="shared" si="152"/>
        <v>25</v>
      </c>
      <c r="BO135" s="538">
        <f t="shared" si="152"/>
        <v>23</v>
      </c>
      <c r="BP135" s="538">
        <f t="shared" si="147"/>
        <v>30</v>
      </c>
      <c r="BQ135" s="538">
        <f t="shared" si="147"/>
        <v>13</v>
      </c>
      <c r="BR135" s="538">
        <f t="shared" si="147"/>
        <v>0</v>
      </c>
      <c r="BS135" s="538">
        <f t="shared" si="147"/>
        <v>0</v>
      </c>
      <c r="BT135" s="538">
        <f>+BT148+BT161+BT200+BT227</f>
        <v>0</v>
      </c>
      <c r="BU135" s="538">
        <f t="shared" ref="BU135:BZ135" si="153">+BU148+BU161+BU200+BU227</f>
        <v>5</v>
      </c>
      <c r="BV135" s="538">
        <f t="shared" si="153"/>
        <v>10.338000000000001</v>
      </c>
      <c r="BW135" s="538">
        <f t="shared" si="153"/>
        <v>84</v>
      </c>
      <c r="BX135" s="538">
        <f t="shared" si="153"/>
        <v>66</v>
      </c>
      <c r="BY135" s="538">
        <f t="shared" si="153"/>
        <v>43</v>
      </c>
      <c r="BZ135" s="538">
        <f t="shared" si="153"/>
        <v>33</v>
      </c>
      <c r="CA135" s="538">
        <f t="shared" si="149"/>
        <v>0</v>
      </c>
      <c r="CB135" s="538">
        <f t="shared" si="149"/>
        <v>16</v>
      </c>
      <c r="CC135" s="538">
        <f t="shared" si="149"/>
        <v>14</v>
      </c>
      <c r="CD135" s="538">
        <f t="shared" si="149"/>
        <v>16</v>
      </c>
      <c r="CE135" s="538">
        <f t="shared" si="149"/>
        <v>20</v>
      </c>
      <c r="CF135" s="538">
        <f t="shared" si="149"/>
        <v>9</v>
      </c>
      <c r="CG135" s="538">
        <f t="shared" si="150"/>
        <v>0</v>
      </c>
      <c r="CH135" s="538">
        <f t="shared" si="150"/>
        <v>0</v>
      </c>
      <c r="CI135" s="538">
        <f t="shared" si="150"/>
        <v>0</v>
      </c>
      <c r="CJ135" s="538">
        <f t="shared" si="150"/>
        <v>0</v>
      </c>
    </row>
    <row r="136" spans="1:136">
      <c r="A136" s="2" t="s">
        <v>45</v>
      </c>
      <c r="B136" s="32"/>
      <c r="C136" s="32"/>
      <c r="D136" s="32"/>
      <c r="E136" s="32"/>
      <c r="F136" s="32"/>
      <c r="G136" s="32"/>
      <c r="H136" s="32"/>
      <c r="I136" s="32"/>
      <c r="J136" s="32"/>
      <c r="K136" s="32"/>
      <c r="L136" s="32" t="s">
        <v>48</v>
      </c>
      <c r="M136" s="538">
        <f>+M149+M175+M188+M215+M228</f>
        <v>-215</v>
      </c>
      <c r="N136" s="538">
        <f>+SUM(BI136:BL136)</f>
        <v>-72</v>
      </c>
      <c r="O136" s="538">
        <f>SUM(BM136:BP136)</f>
        <v>-330.5</v>
      </c>
      <c r="P136" s="538">
        <f t="shared" ref="P136:Q138" si="154">+P149+P175+P188+P215+P228</f>
        <v>-71</v>
      </c>
      <c r="Q136" s="538">
        <f t="shared" si="154"/>
        <v>-3</v>
      </c>
      <c r="R136" s="538">
        <f t="shared" ref="R136:AA136" si="155">+R149+R162+R201+R228</f>
        <v>-8</v>
      </c>
      <c r="S136" s="538">
        <f>+S149+S162+S201+S228</f>
        <v>0</v>
      </c>
      <c r="T136" s="538">
        <f t="shared" si="155"/>
        <v>0</v>
      </c>
      <c r="U136" s="538">
        <f t="shared" ca="1" si="155"/>
        <v>0</v>
      </c>
      <c r="V136" s="538">
        <f t="shared" ca="1" si="155"/>
        <v>0</v>
      </c>
      <c r="W136" s="538">
        <f t="shared" ca="1" si="155"/>
        <v>0</v>
      </c>
      <c r="X136" s="538">
        <f t="shared" ca="1" si="155"/>
        <v>0</v>
      </c>
      <c r="Y136" s="538">
        <f t="shared" ca="1" si="155"/>
        <v>0</v>
      </c>
      <c r="Z136" s="538">
        <f t="shared" ca="1" si="155"/>
        <v>0</v>
      </c>
      <c r="AA136" s="538">
        <f t="shared" ca="1" si="155"/>
        <v>0</v>
      </c>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t="s">
        <v>48</v>
      </c>
      <c r="BF136" s="32" t="s">
        <v>48</v>
      </c>
      <c r="BG136" s="32" t="s">
        <v>48</v>
      </c>
      <c r="BH136" s="32" t="s">
        <v>48</v>
      </c>
      <c r="BI136" s="538">
        <f t="shared" ref="BI136:BO136" si="156">+BI149+BI162+BI201+BI228</f>
        <v>1</v>
      </c>
      <c r="BJ136" s="538">
        <f t="shared" si="156"/>
        <v>-20</v>
      </c>
      <c r="BK136" s="538">
        <f t="shared" si="156"/>
        <v>-13</v>
      </c>
      <c r="BL136" s="538">
        <f t="shared" si="156"/>
        <v>-40</v>
      </c>
      <c r="BM136" s="538">
        <f t="shared" si="156"/>
        <v>-65</v>
      </c>
      <c r="BN136" s="538">
        <f t="shared" si="156"/>
        <v>-116.5</v>
      </c>
      <c r="BO136" s="538">
        <f t="shared" si="156"/>
        <v>-101</v>
      </c>
      <c r="BP136" s="538">
        <f t="shared" si="147"/>
        <v>-48</v>
      </c>
      <c r="BQ136" s="538">
        <f t="shared" si="147"/>
        <v>-34.5</v>
      </c>
      <c r="BR136" s="538">
        <f t="shared" si="147"/>
        <v>-14</v>
      </c>
      <c r="BS136" s="538">
        <f t="shared" si="147"/>
        <v>-12</v>
      </c>
      <c r="BT136" s="538">
        <f>+BT149+BT162+BT201+BT228</f>
        <v>-10.5</v>
      </c>
      <c r="BU136" s="538">
        <f t="shared" ref="BU136:BZ136" si="157">+BU149+BU162+BU201+BU228</f>
        <v>0</v>
      </c>
      <c r="BV136" s="538">
        <f t="shared" si="157"/>
        <v>0</v>
      </c>
      <c r="BW136" s="538">
        <f t="shared" si="157"/>
        <v>0</v>
      </c>
      <c r="BX136" s="538">
        <f t="shared" si="157"/>
        <v>-3</v>
      </c>
      <c r="BY136" s="538">
        <f t="shared" si="157"/>
        <v>-2</v>
      </c>
      <c r="BZ136" s="538">
        <f t="shared" si="157"/>
        <v>-2</v>
      </c>
      <c r="CA136" s="538">
        <f t="shared" si="149"/>
        <v>-2</v>
      </c>
      <c r="CB136" s="538">
        <f t="shared" si="149"/>
        <v>-2</v>
      </c>
      <c r="CC136" s="538">
        <f t="shared" si="149"/>
        <v>0</v>
      </c>
      <c r="CD136" s="538">
        <f t="shared" si="149"/>
        <v>0</v>
      </c>
      <c r="CE136" s="538">
        <f t="shared" si="149"/>
        <v>0</v>
      </c>
      <c r="CF136" s="538">
        <f t="shared" si="149"/>
        <v>0</v>
      </c>
      <c r="CG136" s="538">
        <f t="shared" si="150"/>
        <v>0</v>
      </c>
      <c r="CH136" s="538">
        <f t="shared" si="150"/>
        <v>0</v>
      </c>
      <c r="CI136" s="538">
        <f t="shared" ca="1" si="150"/>
        <v>0</v>
      </c>
      <c r="CJ136" s="538">
        <f t="shared" si="150"/>
        <v>0</v>
      </c>
      <c r="CL136" s="730"/>
    </row>
    <row r="137" spans="1:136">
      <c r="A137" s="2" t="s">
        <v>46</v>
      </c>
      <c r="B137" s="32"/>
      <c r="C137" s="32"/>
      <c r="D137" s="32"/>
      <c r="E137" s="32"/>
      <c r="F137" s="32"/>
      <c r="G137" s="32"/>
      <c r="H137" s="32"/>
      <c r="I137" s="32"/>
      <c r="J137" s="32"/>
      <c r="K137" s="32"/>
      <c r="L137" s="32" t="s">
        <v>48</v>
      </c>
      <c r="M137" s="538">
        <f>+M150+M176+M189+M216+M229</f>
        <v>572</v>
      </c>
      <c r="N137" s="538">
        <f>+SUM(BI137:BL137)</f>
        <v>-679</v>
      </c>
      <c r="O137" s="538">
        <f>+O150+O176+O189+O216+O229</f>
        <v>38</v>
      </c>
      <c r="P137" s="538">
        <f t="shared" si="154"/>
        <v>-38</v>
      </c>
      <c r="Q137" s="538">
        <f t="shared" si="154"/>
        <v>78</v>
      </c>
      <c r="R137" s="538">
        <f t="shared" ref="R137:AA137" si="158">+R150+R163+R202+R229</f>
        <v>-57</v>
      </c>
      <c r="S137" s="538">
        <f t="shared" si="158"/>
        <v>0</v>
      </c>
      <c r="T137" s="538">
        <f t="shared" si="158"/>
        <v>0</v>
      </c>
      <c r="U137" s="538">
        <f t="shared" ca="1" si="158"/>
        <v>0</v>
      </c>
      <c r="V137" s="538">
        <f t="shared" ca="1" si="158"/>
        <v>0</v>
      </c>
      <c r="W137" s="538">
        <f t="shared" ca="1" si="158"/>
        <v>0</v>
      </c>
      <c r="X137" s="538">
        <f t="shared" ca="1" si="158"/>
        <v>0</v>
      </c>
      <c r="Y137" s="538">
        <f t="shared" ca="1" si="158"/>
        <v>0</v>
      </c>
      <c r="Z137" s="538">
        <f t="shared" ca="1" si="158"/>
        <v>0</v>
      </c>
      <c r="AA137" s="538">
        <f t="shared" ca="1" si="158"/>
        <v>0</v>
      </c>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t="s">
        <v>48</v>
      </c>
      <c r="BF137" s="32" t="s">
        <v>48</v>
      </c>
      <c r="BG137" s="32" t="s">
        <v>48</v>
      </c>
      <c r="BH137" s="32" t="s">
        <v>48</v>
      </c>
      <c r="BI137" s="538">
        <f t="shared" ref="BI137:BO137" si="159">+BI150+BI163+BI202+BI229</f>
        <v>0</v>
      </c>
      <c r="BJ137" s="538">
        <f t="shared" si="159"/>
        <v>-349</v>
      </c>
      <c r="BK137" s="538">
        <f t="shared" si="159"/>
        <v>0</v>
      </c>
      <c r="BL137" s="538">
        <f t="shared" si="159"/>
        <v>-330</v>
      </c>
      <c r="BM137" s="538">
        <f t="shared" si="159"/>
        <v>0</v>
      </c>
      <c r="BN137" s="538">
        <f t="shared" si="159"/>
        <v>0</v>
      </c>
      <c r="BO137" s="538">
        <f t="shared" si="159"/>
        <v>19</v>
      </c>
      <c r="BP137" s="538">
        <f t="shared" si="147"/>
        <v>19</v>
      </c>
      <c r="BQ137" s="538">
        <f t="shared" si="147"/>
        <v>0</v>
      </c>
      <c r="BR137" s="538">
        <f t="shared" si="147"/>
        <v>0</v>
      </c>
      <c r="BS137" s="538">
        <f t="shared" si="147"/>
        <v>-19</v>
      </c>
      <c r="BT137" s="538">
        <f>+BT150+BT163+BT202+BT229</f>
        <v>-19</v>
      </c>
      <c r="BU137" s="538">
        <f t="shared" ref="BU137:BZ137" si="160">+BU150+BU163+BU202+BU229</f>
        <v>39</v>
      </c>
      <c r="BV137" s="538">
        <f t="shared" si="160"/>
        <v>0</v>
      </c>
      <c r="BW137" s="538">
        <f t="shared" si="160"/>
        <v>19</v>
      </c>
      <c r="BX137" s="538">
        <f t="shared" si="160"/>
        <v>20</v>
      </c>
      <c r="BY137" s="538">
        <f t="shared" si="160"/>
        <v>-38</v>
      </c>
      <c r="BZ137" s="538">
        <f t="shared" si="160"/>
        <v>0</v>
      </c>
      <c r="CA137" s="538">
        <f t="shared" si="149"/>
        <v>-19</v>
      </c>
      <c r="CB137" s="538">
        <f t="shared" si="149"/>
        <v>0</v>
      </c>
      <c r="CC137" s="538">
        <f t="shared" si="149"/>
        <v>0</v>
      </c>
      <c r="CD137" s="538">
        <f t="shared" si="149"/>
        <v>0</v>
      </c>
      <c r="CE137" s="538">
        <f t="shared" si="149"/>
        <v>0</v>
      </c>
      <c r="CF137" s="538">
        <f t="shared" si="149"/>
        <v>0</v>
      </c>
      <c r="CG137" s="538">
        <f t="shared" si="150"/>
        <v>0</v>
      </c>
      <c r="CH137" s="538">
        <f t="shared" si="150"/>
        <v>0</v>
      </c>
      <c r="CI137" s="538">
        <f t="shared" si="150"/>
        <v>0</v>
      </c>
      <c r="CJ137" s="538">
        <f t="shared" si="150"/>
        <v>0</v>
      </c>
    </row>
    <row r="138" spans="1:136">
      <c r="A138" s="2" t="s">
        <v>47</v>
      </c>
      <c r="B138" s="32"/>
      <c r="C138" s="32"/>
      <c r="D138" s="32"/>
      <c r="E138" s="32"/>
      <c r="F138" s="32"/>
      <c r="G138" s="32"/>
      <c r="H138" s="32"/>
      <c r="I138" s="32"/>
      <c r="J138" s="32"/>
      <c r="K138" s="32"/>
      <c r="L138" s="32" t="s">
        <v>48</v>
      </c>
      <c r="M138" s="538">
        <f>+M151+M177+M190+M217+M230</f>
        <v>-1</v>
      </c>
      <c r="N138" s="538">
        <f>+SUM(BI138:BL138)</f>
        <v>1</v>
      </c>
      <c r="O138" s="538">
        <f>+O151+O177+O190+O217+O230</f>
        <v>0</v>
      </c>
      <c r="P138" s="538">
        <f t="shared" si="154"/>
        <v>-4539.2499999999991</v>
      </c>
      <c r="Q138" s="538">
        <f t="shared" si="154"/>
        <v>11.24100000000012</v>
      </c>
      <c r="R138" s="538">
        <f t="shared" ref="R138:AA138" si="161">+R151+R164+R203+R230</f>
        <v>7.3729999999999905</v>
      </c>
      <c r="S138" s="538">
        <f t="shared" ca="1" si="161"/>
        <v>0</v>
      </c>
      <c r="T138" s="538">
        <f t="shared" si="161"/>
        <v>0</v>
      </c>
      <c r="U138" s="538">
        <f t="shared" ca="1" si="161"/>
        <v>0</v>
      </c>
      <c r="V138" s="538">
        <f t="shared" ca="1" si="161"/>
        <v>0</v>
      </c>
      <c r="W138" s="538">
        <f t="shared" ca="1" si="161"/>
        <v>0</v>
      </c>
      <c r="X138" s="538">
        <f t="shared" ca="1" si="161"/>
        <v>0</v>
      </c>
      <c r="Y138" s="538">
        <f t="shared" ca="1" si="161"/>
        <v>0</v>
      </c>
      <c r="Z138" s="538">
        <f t="shared" ca="1" si="161"/>
        <v>0</v>
      </c>
      <c r="AA138" s="538">
        <f t="shared" ca="1" si="161"/>
        <v>0</v>
      </c>
      <c r="AC138" s="32"/>
      <c r="AD138" s="32"/>
      <c r="AE138" s="32"/>
      <c r="AF138" s="32"/>
      <c r="AG138" s="32"/>
      <c r="AH138" s="32"/>
      <c r="AI138" s="32"/>
      <c r="AJ138" s="32"/>
      <c r="AK138" s="32"/>
      <c r="AL138" s="32"/>
      <c r="AM138" s="32"/>
      <c r="AN138" s="32"/>
      <c r="AO138" s="32"/>
      <c r="AP138" s="32"/>
      <c r="AQ138" s="32"/>
      <c r="AR138" s="32"/>
      <c r="AS138" s="32"/>
      <c r="AT138" s="32"/>
      <c r="AU138" s="32"/>
      <c r="AV138" s="32"/>
      <c r="AW138" s="32"/>
      <c r="AX138" s="32"/>
      <c r="AY138" s="32"/>
      <c r="AZ138" s="32"/>
      <c r="BA138" s="32"/>
      <c r="BB138" s="32"/>
      <c r="BC138" s="32"/>
      <c r="BD138" s="32"/>
      <c r="BE138" s="32" t="s">
        <v>48</v>
      </c>
      <c r="BF138" s="32" t="s">
        <v>48</v>
      </c>
      <c r="BG138" s="32" t="s">
        <v>48</v>
      </c>
      <c r="BH138" s="32" t="s">
        <v>48</v>
      </c>
      <c r="BI138" s="538">
        <f t="shared" ref="BI138:BO138" si="162">+BI151+BI164+BI203+BI230</f>
        <v>0</v>
      </c>
      <c r="BJ138" s="538">
        <f t="shared" si="162"/>
        <v>0</v>
      </c>
      <c r="BK138" s="538">
        <f t="shared" si="162"/>
        <v>0</v>
      </c>
      <c r="BL138" s="538">
        <f t="shared" si="162"/>
        <v>1</v>
      </c>
      <c r="BM138" s="538">
        <f t="shared" si="162"/>
        <v>0</v>
      </c>
      <c r="BN138" s="538">
        <f t="shared" si="162"/>
        <v>0</v>
      </c>
      <c r="BO138" s="538">
        <f t="shared" si="162"/>
        <v>0</v>
      </c>
      <c r="BP138" s="538">
        <f t="shared" si="147"/>
        <v>0</v>
      </c>
      <c r="BQ138" s="538">
        <f t="shared" si="147"/>
        <v>-1124.144</v>
      </c>
      <c r="BR138" s="538">
        <f t="shared" si="147"/>
        <v>-1129.3599999999999</v>
      </c>
      <c r="BS138" s="538">
        <f t="shared" si="147"/>
        <v>-1047.1859999999999</v>
      </c>
      <c r="BT138" s="538">
        <f>+BT151+BT164+BT203+BT230</f>
        <v>-1238.56</v>
      </c>
      <c r="BU138" s="538">
        <f t="shared" ref="BU138:BZ138" si="163">+BU151+BU164+BU203+BU230</f>
        <v>-2.1549999999997347</v>
      </c>
      <c r="BV138" s="538">
        <f t="shared" si="163"/>
        <v>-0.94300000000024298</v>
      </c>
      <c r="BW138" s="538">
        <f t="shared" si="163"/>
        <v>-3.5739999999999128</v>
      </c>
      <c r="BX138" s="538">
        <f t="shared" si="163"/>
        <v>17.913000000000011</v>
      </c>
      <c r="BY138" s="538">
        <f t="shared" si="163"/>
        <v>1.5939999999999941</v>
      </c>
      <c r="BZ138" s="538">
        <f t="shared" si="163"/>
        <v>1.6070000000000135</v>
      </c>
      <c r="CA138" s="538">
        <f t="shared" si="149"/>
        <v>2.4359999999999786</v>
      </c>
      <c r="CB138" s="538">
        <f t="shared" si="149"/>
        <v>1.7360000000000042</v>
      </c>
      <c r="CC138" s="538">
        <f t="shared" si="149"/>
        <v>0</v>
      </c>
      <c r="CD138" s="538">
        <f t="shared" ca="1" si="149"/>
        <v>0.2050000000000054</v>
      </c>
      <c r="CE138" s="538">
        <f t="shared" si="149"/>
        <v>0.23600000000000421</v>
      </c>
      <c r="CF138" s="538">
        <f t="shared" ca="1" si="149"/>
        <v>-0.44100000000000961</v>
      </c>
      <c r="CG138" s="538">
        <f t="shared" si="150"/>
        <v>0</v>
      </c>
      <c r="CH138" s="538">
        <f t="shared" si="150"/>
        <v>0</v>
      </c>
      <c r="CI138" s="538">
        <f t="shared" si="150"/>
        <v>0</v>
      </c>
      <c r="CJ138" s="538">
        <f t="shared" si="150"/>
        <v>0</v>
      </c>
    </row>
    <row r="139" spans="1:136" s="90" customFormat="1" ht="6" customHeight="1">
      <c r="A139" s="87"/>
      <c r="B139" s="103"/>
      <c r="C139" s="103"/>
      <c r="D139" s="103"/>
      <c r="E139" s="103"/>
      <c r="F139" s="103"/>
      <c r="G139" s="103"/>
      <c r="H139" s="103"/>
      <c r="I139" s="103"/>
      <c r="J139" s="103"/>
      <c r="K139" s="103"/>
      <c r="L139" s="103"/>
      <c r="M139" s="91"/>
      <c r="N139" s="91"/>
      <c r="O139" s="91"/>
      <c r="P139" s="502"/>
      <c r="Q139" s="158"/>
      <c r="R139" s="158"/>
      <c r="S139" s="158"/>
      <c r="T139" s="158"/>
      <c r="U139" s="158"/>
      <c r="V139" s="158"/>
      <c r="W139" s="158"/>
      <c r="X139" s="158"/>
      <c r="Y139" s="158"/>
      <c r="Z139" s="158"/>
      <c r="AA139" s="158"/>
      <c r="AB139" s="158"/>
      <c r="AC139" s="103"/>
      <c r="AD139" s="103"/>
      <c r="AE139" s="103"/>
      <c r="AF139" s="103"/>
      <c r="AG139" s="103"/>
      <c r="AH139" s="103"/>
      <c r="AI139" s="103"/>
      <c r="AJ139" s="103"/>
      <c r="AK139" s="103"/>
      <c r="AL139" s="103"/>
      <c r="AM139" s="103"/>
      <c r="AN139" s="103"/>
      <c r="AO139" s="103"/>
      <c r="AP139" s="103"/>
      <c r="AQ139" s="103"/>
      <c r="AR139" s="103"/>
      <c r="AS139" s="103"/>
      <c r="AT139" s="103"/>
      <c r="AU139" s="103"/>
      <c r="AV139" s="103"/>
      <c r="AW139" s="103"/>
      <c r="AX139" s="103"/>
      <c r="AY139" s="103"/>
      <c r="AZ139" s="103"/>
      <c r="BA139" s="103"/>
      <c r="BB139" s="103"/>
      <c r="BC139" s="103"/>
      <c r="BD139" s="103"/>
      <c r="BE139" s="103"/>
      <c r="BF139" s="103"/>
      <c r="BG139" s="91"/>
      <c r="BH139" s="91"/>
      <c r="BI139" s="91"/>
      <c r="BJ139" s="91"/>
      <c r="BK139" s="91"/>
      <c r="BL139" s="91"/>
      <c r="BM139" s="91"/>
      <c r="BN139" s="91"/>
      <c r="BO139" s="91"/>
      <c r="BP139" s="91"/>
      <c r="BQ139" s="91"/>
      <c r="BR139" s="91"/>
      <c r="BS139" s="91"/>
      <c r="BT139" s="91"/>
      <c r="BU139" s="91"/>
      <c r="BV139" s="91"/>
      <c r="BW139" s="91"/>
      <c r="BX139" s="91"/>
      <c r="BY139" s="91"/>
      <c r="BZ139" s="91"/>
      <c r="CA139" s="91"/>
      <c r="CB139" s="91"/>
      <c r="CC139" s="91"/>
      <c r="CD139" s="91"/>
      <c r="CE139" s="91"/>
      <c r="CF139" s="91"/>
      <c r="CG139" s="91"/>
      <c r="CH139" s="91"/>
      <c r="CI139" s="91"/>
      <c r="CJ139" s="91"/>
      <c r="CO139" s="39"/>
      <c r="DK139" s="39"/>
      <c r="DL139" s="39"/>
      <c r="DM139" s="39"/>
      <c r="DN139" s="39"/>
      <c r="DO139" s="39"/>
      <c r="DP139" s="39"/>
      <c r="DQ139" s="91"/>
      <c r="DR139" s="39"/>
      <c r="DS139" s="39"/>
      <c r="DT139" s="39"/>
      <c r="DU139" s="39"/>
      <c r="DV139" s="39"/>
      <c r="DW139" s="39"/>
      <c r="DX139" s="39"/>
      <c r="DY139" s="39"/>
      <c r="DZ139" s="39"/>
      <c r="EA139" s="92"/>
      <c r="EB139" s="92"/>
      <c r="EC139" s="92"/>
      <c r="ED139" s="92"/>
      <c r="EE139" s="92"/>
      <c r="EF139" s="92"/>
    </row>
    <row r="140" spans="1:136" s="16" customFormat="1">
      <c r="A140" s="682" t="s">
        <v>60</v>
      </c>
      <c r="B140" s="550"/>
      <c r="C140" s="550"/>
      <c r="D140" s="550"/>
      <c r="E140" s="550"/>
      <c r="F140" s="550"/>
      <c r="G140" s="550"/>
      <c r="H140" s="550"/>
      <c r="I140" s="550"/>
      <c r="J140" s="550"/>
      <c r="K140" s="550"/>
      <c r="L140" s="550">
        <f>+L153+L179+L192+L219+L232</f>
        <v>31489</v>
      </c>
      <c r="M140" s="550">
        <f>+M153+M179+M192+M219+M232</f>
        <v>35810</v>
      </c>
      <c r="N140" s="550">
        <f>+N153+N179+N192+N219+N232</f>
        <v>35015</v>
      </c>
      <c r="O140" s="550">
        <f>+O153+O179+O192+O219+O232</f>
        <v>35299</v>
      </c>
      <c r="P140" s="550">
        <f>+P153+P179+P192+P219+P232</f>
        <v>29708</v>
      </c>
      <c r="Q140" s="550">
        <f t="shared" ref="Q140:AA140" si="164">+Q153+Q166+Q205+Q232</f>
        <v>26211</v>
      </c>
      <c r="R140" s="550">
        <f t="shared" si="164"/>
        <v>25270</v>
      </c>
      <c r="S140" s="550">
        <f t="shared" si="164"/>
        <v>25626</v>
      </c>
      <c r="T140" s="550">
        <f t="shared" ca="1" si="164"/>
        <v>26914.720815258828</v>
      </c>
      <c r="U140" s="550">
        <f t="shared" ca="1" si="164"/>
        <v>27562.431522368257</v>
      </c>
      <c r="V140" s="550">
        <f t="shared" ca="1" si="164"/>
        <v>28353.743498129828</v>
      </c>
      <c r="W140" s="550">
        <f t="shared" ca="1" si="164"/>
        <v>29264.453931995518</v>
      </c>
      <c r="X140" s="550">
        <f t="shared" ca="1" si="164"/>
        <v>30174.701768154526</v>
      </c>
      <c r="Y140" s="550">
        <f t="shared" ca="1" si="164"/>
        <v>31086.258951019481</v>
      </c>
      <c r="Z140" s="550">
        <f t="shared" ca="1" si="164"/>
        <v>32000.93044051859</v>
      </c>
      <c r="AA140" s="550">
        <f t="shared" ca="1" si="164"/>
        <v>32920.542227121507</v>
      </c>
      <c r="AB140" s="473"/>
      <c r="AC140" s="539"/>
      <c r="AD140" s="539"/>
      <c r="AE140" s="539"/>
      <c r="AF140" s="539"/>
      <c r="AG140" s="539"/>
      <c r="AH140" s="539"/>
      <c r="AI140" s="539"/>
      <c r="AJ140" s="539"/>
      <c r="AK140" s="539"/>
      <c r="AL140" s="539"/>
      <c r="AM140" s="539"/>
      <c r="AN140" s="539"/>
      <c r="AO140" s="539"/>
      <c r="AP140" s="539"/>
      <c r="AQ140" s="539"/>
      <c r="AR140" s="539"/>
      <c r="AS140" s="539"/>
      <c r="AT140" s="539"/>
      <c r="AU140" s="539"/>
      <c r="AV140" s="539"/>
      <c r="AW140" s="539"/>
      <c r="AX140" s="539"/>
      <c r="AY140" s="539"/>
      <c r="AZ140" s="539"/>
      <c r="BA140" s="539"/>
      <c r="BB140" s="539"/>
      <c r="BC140" s="539"/>
      <c r="BD140" s="539"/>
      <c r="BE140" s="539">
        <f t="shared" ref="BE140:BT140" si="165">+BE153+BE179+BE192+BE219+BE232</f>
        <v>8190</v>
      </c>
      <c r="BF140" s="539">
        <f t="shared" si="165"/>
        <v>9163</v>
      </c>
      <c r="BG140" s="539">
        <f t="shared" si="165"/>
        <v>8778</v>
      </c>
      <c r="BH140" s="539">
        <f t="shared" si="165"/>
        <v>9679</v>
      </c>
      <c r="BI140" s="539">
        <f t="shared" si="165"/>
        <v>8667</v>
      </c>
      <c r="BJ140" s="539">
        <f t="shared" si="165"/>
        <v>8527</v>
      </c>
      <c r="BK140" s="539">
        <f t="shared" si="165"/>
        <v>8326</v>
      </c>
      <c r="BL140" s="539">
        <f t="shared" si="165"/>
        <v>9495</v>
      </c>
      <c r="BM140" s="539">
        <f t="shared" si="165"/>
        <v>8744</v>
      </c>
      <c r="BN140" s="539">
        <f t="shared" si="165"/>
        <v>8595</v>
      </c>
      <c r="BO140" s="539">
        <f t="shared" si="165"/>
        <v>8472</v>
      </c>
      <c r="BP140" s="539">
        <f t="shared" si="165"/>
        <v>9488</v>
      </c>
      <c r="BQ140" s="539">
        <f t="shared" si="165"/>
        <v>7518</v>
      </c>
      <c r="BR140" s="539">
        <f t="shared" si="165"/>
        <v>7309</v>
      </c>
      <c r="BS140" s="539">
        <f t="shared" si="165"/>
        <v>7290</v>
      </c>
      <c r="BT140" s="539">
        <f t="shared" si="165"/>
        <v>7591</v>
      </c>
      <c r="BU140" s="550">
        <f>+BU153+BU166+BU205+BU232</f>
        <v>6657</v>
      </c>
      <c r="BV140" s="550">
        <f>+BV153+BV166+BV205+BV232</f>
        <v>6346</v>
      </c>
      <c r="BW140" s="550">
        <f>+BW153+BW166+BW205+BW232</f>
        <v>6399</v>
      </c>
      <c r="BX140" s="550">
        <f>+BX153+BX166+BX205+BX232</f>
        <v>6823</v>
      </c>
      <c r="BY140" s="550">
        <f t="shared" ref="BY140:CF140" si="166">+BY153+BY166+BY205+BY232</f>
        <v>6308</v>
      </c>
      <c r="BZ140" s="550">
        <f t="shared" si="166"/>
        <v>6149</v>
      </c>
      <c r="CA140" s="550">
        <f t="shared" si="166"/>
        <v>6240</v>
      </c>
      <c r="CB140" s="550">
        <f t="shared" si="166"/>
        <v>6573</v>
      </c>
      <c r="CC140" s="550">
        <f t="shared" si="166"/>
        <v>6278</v>
      </c>
      <c r="CD140" s="550">
        <f t="shared" si="166"/>
        <v>5876</v>
      </c>
      <c r="CE140" s="550">
        <f t="shared" si="166"/>
        <v>6512</v>
      </c>
      <c r="CF140" s="550">
        <f t="shared" si="166"/>
        <v>6960</v>
      </c>
      <c r="CG140" s="550">
        <f>+CG153+CG166+CG205+CG232</f>
        <v>6708.8030285608711</v>
      </c>
      <c r="CH140" s="550">
        <f>+CH153+CH166+CH205+CH232</f>
        <v>6323.653786697957</v>
      </c>
      <c r="CI140" s="550">
        <f ca="1">+CI153+CI166+CI205+CI232</f>
        <v>6700.5010000000002</v>
      </c>
      <c r="CJ140" s="550">
        <f>+CJ153+CJ166+CJ205+CJ232</f>
        <v>7181.7629999999999</v>
      </c>
    </row>
    <row r="141" spans="1:136" hidden="1" outlineLevel="1">
      <c r="A141" s="22" t="s">
        <v>61</v>
      </c>
      <c r="M141" s="540">
        <f t="shared" ref="M141:V141" si="167">+L140+SUM(M131:M132,M134:M138)-M140</f>
        <v>23.620999999999185</v>
      </c>
      <c r="N141" s="540">
        <f t="shared" si="167"/>
        <v>16.190000000002328</v>
      </c>
      <c r="O141" s="540">
        <f t="shared" si="167"/>
        <v>4.8647052444503061</v>
      </c>
      <c r="P141" s="540">
        <f t="shared" si="167"/>
        <v>0</v>
      </c>
      <c r="Q141" s="540">
        <f t="shared" si="167"/>
        <v>572.53099999999904</v>
      </c>
      <c r="R141" s="540">
        <f t="shared" si="167"/>
        <v>122.47000000000116</v>
      </c>
      <c r="S141" s="540">
        <f t="shared" ca="1" si="167"/>
        <v>-6.6749999999992724</v>
      </c>
      <c r="T141" s="540">
        <f t="shared" ca="1" si="167"/>
        <v>0</v>
      </c>
      <c r="U141" s="540">
        <f t="shared" ca="1" si="167"/>
        <v>0</v>
      </c>
      <c r="V141" s="540">
        <f t="shared" ca="1" si="167"/>
        <v>0</v>
      </c>
      <c r="W141" s="540">
        <f ca="1">+V140+SUM(W131:W132,W134:W138)-W140</f>
        <v>0</v>
      </c>
      <c r="X141" s="540">
        <f ca="1">+W140+SUM(X131:X132,X134:X138)-X140</f>
        <v>0</v>
      </c>
      <c r="Y141" s="540">
        <f ca="1">+X140+SUM(Y131:Y132,Y134:Y138)-Y140</f>
        <v>0</v>
      </c>
      <c r="Z141" s="540">
        <f ca="1">+Y140+SUM(Z131:Z132,Z134:Z138)-Z140</f>
        <v>0</v>
      </c>
      <c r="AA141" s="540">
        <f ca="1">+Z140+SUM(AA131:AA132,AA134:AA138)-AA140</f>
        <v>0</v>
      </c>
      <c r="AB141" s="513"/>
      <c r="AC141" s="541"/>
      <c r="AD141" s="541"/>
      <c r="AE141" s="541"/>
      <c r="AF141" s="541"/>
      <c r="AG141" s="541"/>
      <c r="AH141" s="541"/>
      <c r="AI141" s="541"/>
      <c r="AJ141" s="541"/>
      <c r="AK141" s="541"/>
      <c r="AL141" s="541"/>
      <c r="AM141" s="541"/>
      <c r="AN141" s="541"/>
      <c r="AO141" s="541"/>
      <c r="AP141" s="541"/>
      <c r="AQ141" s="541"/>
      <c r="AR141" s="541"/>
      <c r="AS141" s="541"/>
      <c r="AT141" s="541"/>
      <c r="AU141" s="541"/>
      <c r="AV141" s="541"/>
      <c r="AW141" s="541"/>
      <c r="AX141" s="541"/>
      <c r="AY141" s="541"/>
      <c r="AZ141" s="541"/>
      <c r="BA141" s="541"/>
      <c r="BB141" s="541"/>
      <c r="BC141" s="541"/>
      <c r="BD141" s="541"/>
      <c r="BE141" s="541"/>
      <c r="BF141" s="541"/>
      <c r="BG141" s="541"/>
      <c r="BH141" s="541"/>
      <c r="BI141" s="540">
        <f t="shared" ref="BI141:CB141" si="168">+BE140+SUM(BI131:BI138)-BI140</f>
        <v>2.75</v>
      </c>
      <c r="BJ141" s="540">
        <f t="shared" si="168"/>
        <v>10.962999999999738</v>
      </c>
      <c r="BK141" s="540">
        <f t="shared" si="168"/>
        <v>-2.0830000000005384</v>
      </c>
      <c r="BL141" s="540">
        <f t="shared" si="168"/>
        <v>4.5599999999994907</v>
      </c>
      <c r="BM141" s="540">
        <f t="shared" si="168"/>
        <v>1.5607052444520377</v>
      </c>
      <c r="BN141" s="540">
        <f t="shared" si="168"/>
        <v>0.89600000000064028</v>
      </c>
      <c r="BO141" s="540">
        <f t="shared" si="168"/>
        <v>1.1759999999994761</v>
      </c>
      <c r="BP141" s="540">
        <f t="shared" si="168"/>
        <v>1.2319999999999709</v>
      </c>
      <c r="BQ141" s="540">
        <f t="shared" si="168"/>
        <v>0</v>
      </c>
      <c r="BR141" s="540">
        <f t="shared" si="168"/>
        <v>0</v>
      </c>
      <c r="BS141" s="540">
        <f t="shared" si="168"/>
        <v>0</v>
      </c>
      <c r="BT141" s="540">
        <f t="shared" si="168"/>
        <v>0</v>
      </c>
      <c r="BU141" s="540">
        <f t="shared" si="168"/>
        <v>133</v>
      </c>
      <c r="BV141" s="540">
        <f t="shared" si="168"/>
        <v>137</v>
      </c>
      <c r="BW141" s="540">
        <f t="shared" si="168"/>
        <v>132.67500000000018</v>
      </c>
      <c r="BX141" s="540">
        <f t="shared" si="168"/>
        <v>155.85599999999977</v>
      </c>
      <c r="BY141" s="540">
        <f t="shared" si="168"/>
        <v>28.569999999999709</v>
      </c>
      <c r="BZ141" s="540">
        <f t="shared" si="168"/>
        <v>29.940999999999804</v>
      </c>
      <c r="CA141" s="540">
        <f t="shared" si="168"/>
        <v>19.179000000000087</v>
      </c>
      <c r="CB141" s="540">
        <f t="shared" si="168"/>
        <v>58.779999999999745</v>
      </c>
      <c r="CC141" s="540">
        <f t="shared" ref="CC141:CJ141" si="169">+BY140+SUM(CC131:CC138)-CC140</f>
        <v>-2.7719999999999345</v>
      </c>
      <c r="CD141" s="540">
        <f t="shared" ca="1" si="169"/>
        <v>-3.4359999999996944</v>
      </c>
      <c r="CE141" s="540">
        <f t="shared" si="169"/>
        <v>4.2680000000000291</v>
      </c>
      <c r="CF141" s="540">
        <f t="shared" ca="1" si="169"/>
        <v>-4.7349999999996726</v>
      </c>
      <c r="CG141" s="540">
        <f t="shared" si="169"/>
        <v>0</v>
      </c>
      <c r="CH141" s="540">
        <f t="shared" si="169"/>
        <v>0</v>
      </c>
      <c r="CI141" s="540">
        <f t="shared" ca="1" si="169"/>
        <v>0</v>
      </c>
      <c r="CJ141" s="540">
        <f t="shared" si="169"/>
        <v>0</v>
      </c>
    </row>
    <row r="142" spans="1:136" collapsed="1">
      <c r="N142" s="542"/>
    </row>
    <row r="143" spans="1:136">
      <c r="A143" s="25" t="s">
        <v>54</v>
      </c>
      <c r="B143" s="518"/>
      <c r="C143" s="518"/>
      <c r="D143" s="518"/>
      <c r="E143" s="518"/>
      <c r="F143" s="518"/>
      <c r="G143" s="518"/>
      <c r="H143" s="518"/>
      <c r="I143" s="518"/>
      <c r="J143" s="518"/>
      <c r="K143" s="518"/>
      <c r="L143" s="518"/>
      <c r="M143" s="518"/>
      <c r="N143" s="518"/>
      <c r="O143" s="518"/>
      <c r="P143" s="518"/>
      <c r="Q143" s="518"/>
      <c r="R143" s="518"/>
      <c r="S143" s="518"/>
      <c r="T143" s="518"/>
      <c r="U143" s="518"/>
      <c r="V143" s="518"/>
      <c r="W143" s="518"/>
      <c r="X143" s="518"/>
      <c r="Y143" s="518"/>
      <c r="Z143" s="518"/>
      <c r="AA143" s="518"/>
      <c r="AB143" s="519"/>
      <c r="AC143" s="518"/>
      <c r="AD143" s="518"/>
      <c r="AE143" s="518"/>
      <c r="AF143" s="518"/>
      <c r="AG143" s="518"/>
      <c r="AH143" s="518"/>
      <c r="AI143" s="518"/>
      <c r="AJ143" s="518"/>
      <c r="AK143" s="518"/>
      <c r="AL143" s="518"/>
      <c r="AM143" s="518"/>
      <c r="AN143" s="518"/>
      <c r="AO143" s="518"/>
      <c r="AP143" s="518"/>
      <c r="AQ143" s="518"/>
      <c r="AR143" s="518"/>
      <c r="AS143" s="518"/>
      <c r="AT143" s="518"/>
      <c r="AU143" s="518"/>
      <c r="AV143" s="518"/>
      <c r="AW143" s="518"/>
      <c r="AX143" s="518"/>
      <c r="AY143" s="518"/>
      <c r="AZ143" s="518"/>
      <c r="BA143" s="518"/>
      <c r="BB143" s="518"/>
      <c r="BC143" s="518"/>
      <c r="BD143" s="518"/>
      <c r="BE143" s="518"/>
      <c r="BF143" s="518"/>
      <c r="BG143" s="518"/>
      <c r="BH143" s="518"/>
      <c r="BI143" s="518"/>
      <c r="BJ143" s="518"/>
      <c r="BK143" s="518"/>
      <c r="BL143" s="518"/>
      <c r="BM143" s="518"/>
      <c r="BN143" s="518"/>
      <c r="BO143" s="518"/>
      <c r="BP143" s="518"/>
      <c r="BQ143" s="518"/>
      <c r="BR143" s="518"/>
      <c r="BS143" s="518"/>
      <c r="BT143" s="518"/>
      <c r="BU143" s="518"/>
      <c r="BV143" s="518"/>
      <c r="BW143" s="518"/>
      <c r="BX143" s="518"/>
      <c r="BY143" s="518"/>
      <c r="BZ143" s="518"/>
      <c r="CA143" s="518"/>
      <c r="CB143" s="518"/>
      <c r="CC143" s="518"/>
      <c r="CD143" s="518"/>
      <c r="CE143" s="518"/>
      <c r="CF143" s="518"/>
      <c r="CG143" s="518"/>
      <c r="CH143" s="518"/>
      <c r="CI143" s="518"/>
      <c r="CJ143" s="518"/>
    </row>
    <row r="144" spans="1:136">
      <c r="A144" s="2" t="s">
        <v>41</v>
      </c>
      <c r="B144" s="32"/>
      <c r="C144" s="32"/>
      <c r="D144" s="32"/>
      <c r="E144" s="32"/>
      <c r="F144" s="32"/>
      <c r="G144" s="32"/>
      <c r="H144" s="32"/>
      <c r="I144" s="32"/>
      <c r="J144" s="32"/>
      <c r="K144" s="32"/>
      <c r="L144" s="32" t="s">
        <v>48</v>
      </c>
      <c r="M144" s="538">
        <f>+M30*L$153</f>
        <v>199.804</v>
      </c>
      <c r="N144" s="538">
        <f>+SUM(BI144:BL144)</f>
        <v>-25.076000000000001</v>
      </c>
      <c r="O144" s="538">
        <f>+SUM(BM144:BP144)</f>
        <v>51.908000000000001</v>
      </c>
      <c r="P144" s="538">
        <f>+SUM(BQ144:BT144)</f>
        <v>-230.05700000000002</v>
      </c>
      <c r="Q144" s="538">
        <f>+SUM(BU144:BX144)</f>
        <v>-171.86320851932425</v>
      </c>
      <c r="R144" s="538">
        <f>+SUM(BY144:CB144)</f>
        <v>-199.23499999999999</v>
      </c>
      <c r="S144" s="538">
        <f>+SUM(CC144:CF144)</f>
        <v>-140.25900000000001</v>
      </c>
      <c r="T144" s="538">
        <f t="shared" ref="T144:AA144" si="170">+T30*S$153</f>
        <v>-71.320000000000007</v>
      </c>
      <c r="U144" s="538">
        <f t="shared" si="170"/>
        <v>35.523099999999999</v>
      </c>
      <c r="V144" s="538">
        <f t="shared" si="170"/>
        <v>55.948882499999996</v>
      </c>
      <c r="W144" s="538">
        <f t="shared" si="170"/>
        <v>53.375233904999995</v>
      </c>
      <c r="X144" s="538">
        <f t="shared" si="170"/>
        <v>51.088105132170739</v>
      </c>
      <c r="Y144" s="538">
        <f t="shared" si="170"/>
        <v>48.836907779521638</v>
      </c>
      <c r="Z144" s="538">
        <f t="shared" si="170"/>
        <v>46.631506279560121</v>
      </c>
      <c r="AA144" s="538">
        <f t="shared" si="170"/>
        <v>44.479805006329578</v>
      </c>
      <c r="AC144" s="32"/>
      <c r="AD144" s="32"/>
      <c r="AE144" s="32"/>
      <c r="AF144" s="32"/>
      <c r="AG144" s="32"/>
      <c r="AH144" s="32"/>
      <c r="AI144" s="32"/>
      <c r="AJ144" s="32"/>
      <c r="AK144" s="32"/>
      <c r="AL144" s="32"/>
      <c r="AM144" s="32"/>
      <c r="AN144" s="32"/>
      <c r="AO144" s="32"/>
      <c r="AP144" s="32"/>
      <c r="AQ144" s="32"/>
      <c r="AR144" s="32"/>
      <c r="AS144" s="32"/>
      <c r="AT144" s="32"/>
      <c r="AU144" s="32"/>
      <c r="AV144" s="32"/>
      <c r="AW144" s="32"/>
      <c r="AX144" s="32"/>
      <c r="AY144" s="32"/>
      <c r="AZ144" s="32"/>
      <c r="BA144" s="32"/>
      <c r="BB144" s="32"/>
      <c r="BC144" s="32"/>
      <c r="BD144" s="32"/>
      <c r="BE144" s="32" t="s">
        <v>48</v>
      </c>
      <c r="BF144" s="32" t="s">
        <v>48</v>
      </c>
      <c r="BG144" s="32" t="s">
        <v>48</v>
      </c>
      <c r="BH144" s="32" t="s">
        <v>48</v>
      </c>
      <c r="BI144" s="538">
        <f t="shared" ref="BI144:BR145" si="171">+BE$153*BI30</f>
        <v>33.911999999999999</v>
      </c>
      <c r="BJ144" s="538">
        <f t="shared" si="171"/>
        <v>-22.64</v>
      </c>
      <c r="BK144" s="538">
        <f t="shared" si="171"/>
        <v>-62.055</v>
      </c>
      <c r="BL144" s="538">
        <f t="shared" si="171"/>
        <v>25.707000000000001</v>
      </c>
      <c r="BM144" s="538">
        <f t="shared" si="171"/>
        <v>43.84</v>
      </c>
      <c r="BN144" s="538">
        <f t="shared" si="171"/>
        <v>-26.8</v>
      </c>
      <c r="BO144" s="538">
        <f t="shared" si="171"/>
        <v>48.868000000000002</v>
      </c>
      <c r="BP144" s="538">
        <f t="shared" si="171"/>
        <v>-14</v>
      </c>
      <c r="BQ144" s="538">
        <f t="shared" si="171"/>
        <v>-19.571999999999999</v>
      </c>
      <c r="BR144" s="538">
        <f t="shared" si="171"/>
        <v>-92.391000000000005</v>
      </c>
      <c r="BS144" s="538">
        <f t="shared" ref="BS144:CB145" si="172">+BO$153*BS30</f>
        <v>-40.548000000000002</v>
      </c>
      <c r="BT144" s="538">
        <f t="shared" si="172"/>
        <v>-77.546000000000006</v>
      </c>
      <c r="BU144" s="538">
        <f t="shared" si="172"/>
        <v>-7.2977597883597589</v>
      </c>
      <c r="BV144" s="538">
        <f t="shared" si="172"/>
        <v>-14.117448730964464</v>
      </c>
      <c r="BW144" s="538">
        <f t="shared" si="172"/>
        <v>-72.995000000000005</v>
      </c>
      <c r="BX144" s="538">
        <f t="shared" si="172"/>
        <v>-77.453000000000003</v>
      </c>
      <c r="BY144" s="538">
        <f t="shared" si="172"/>
        <v>-86.070999999999998</v>
      </c>
      <c r="BZ144" s="538">
        <f t="shared" si="172"/>
        <v>-14.992000000000001</v>
      </c>
      <c r="CA144" s="538">
        <f t="shared" si="172"/>
        <v>-65.035999999999987</v>
      </c>
      <c r="CB144" s="538">
        <f>+BX$153*CB30</f>
        <v>-33.135999999999996</v>
      </c>
      <c r="CC144" s="538">
        <f t="shared" ref="CC144:CF145" si="173">+BY$153*CC30</f>
        <v>-22.004999999999999</v>
      </c>
      <c r="CD144" s="538">
        <f t="shared" si="173"/>
        <v>-67.28</v>
      </c>
      <c r="CE144" s="538">
        <f t="shared" si="173"/>
        <v>-25.114000000000001</v>
      </c>
      <c r="CF144" s="538">
        <f t="shared" si="173"/>
        <v>-25.86</v>
      </c>
      <c r="CG144" s="538">
        <f t="shared" ref="CG144:CI145" si="174">+CC$153*CG30</f>
        <v>-27.3</v>
      </c>
      <c r="CH144" s="538">
        <f t="shared" si="174"/>
        <v>8.48</v>
      </c>
      <c r="CI144" s="538">
        <f t="shared" si="174"/>
        <v>-9.08</v>
      </c>
      <c r="CJ144" s="538">
        <f>+T144-SUM(CG144:CI144)</f>
        <v>-43.420000000000009</v>
      </c>
    </row>
    <row r="145" spans="1:136">
      <c r="A145" s="2" t="s">
        <v>42</v>
      </c>
      <c r="B145" s="32"/>
      <c r="C145" s="32"/>
      <c r="D145" s="32"/>
      <c r="E145" s="32"/>
      <c r="F145" s="32"/>
      <c r="G145" s="32"/>
      <c r="H145" s="32"/>
      <c r="I145" s="32"/>
      <c r="J145" s="32"/>
      <c r="K145" s="32"/>
      <c r="L145" s="32" t="s">
        <v>48</v>
      </c>
      <c r="M145" s="538">
        <f>+M31*L$153</f>
        <v>490.428</v>
      </c>
      <c r="N145" s="538">
        <f>+SUM(BI145:BL145)</f>
        <v>512.54700000000003</v>
      </c>
      <c r="O145" s="538">
        <f>+SUM(BM145:BP145)</f>
        <v>612.28600000000006</v>
      </c>
      <c r="P145" s="538">
        <f>+SUM(BQ145:BT145)</f>
        <v>1040.106</v>
      </c>
      <c r="Q145" s="538">
        <f t="shared" ref="Q145:Q151" si="175">+SUM(BU145:BX145)</f>
        <v>473.95120851932415</v>
      </c>
      <c r="R145" s="538">
        <f>+SUM(BY145:CB145)</f>
        <v>380.86199999999997</v>
      </c>
      <c r="S145" s="538">
        <f>+SUM(CC145:CF145)</f>
        <v>260.38300000000004</v>
      </c>
      <c r="T145" s="538">
        <f t="shared" ref="T145:AA145" si="176">+T31*S$153</f>
        <v>196.13</v>
      </c>
      <c r="U145" s="538">
        <f t="shared" si="176"/>
        <v>142.0924</v>
      </c>
      <c r="V145" s="538">
        <f t="shared" si="176"/>
        <v>167.84664749999999</v>
      </c>
      <c r="W145" s="538">
        <f t="shared" si="176"/>
        <v>197.68605149999999</v>
      </c>
      <c r="X145" s="538">
        <f t="shared" si="176"/>
        <v>210.23911577024998</v>
      </c>
      <c r="Y145" s="538">
        <f t="shared" si="176"/>
        <v>223.30547681537101</v>
      </c>
      <c r="Z145" s="538">
        <f t="shared" si="176"/>
        <v>236.91259604511566</v>
      </c>
      <c r="AA145" s="538">
        <f t="shared" si="176"/>
        <v>251.08980116134944</v>
      </c>
      <c r="AC145" s="32"/>
      <c r="AD145" s="32"/>
      <c r="AE145" s="32"/>
      <c r="AF145" s="32"/>
      <c r="AG145" s="32"/>
      <c r="AH145" s="32"/>
      <c r="AI145" s="32"/>
      <c r="AJ145" s="32"/>
      <c r="AK145" s="32"/>
      <c r="AL145" s="32"/>
      <c r="AM145" s="32"/>
      <c r="AN145" s="32"/>
      <c r="AO145" s="32"/>
      <c r="AP145" s="32"/>
      <c r="AQ145" s="32"/>
      <c r="AR145" s="32"/>
      <c r="AS145" s="32"/>
      <c r="AT145" s="32"/>
      <c r="AU145" s="32"/>
      <c r="AV145" s="32"/>
      <c r="AW145" s="32"/>
      <c r="AX145" s="32"/>
      <c r="AY145" s="32"/>
      <c r="AZ145" s="32"/>
      <c r="BA145" s="32"/>
      <c r="BB145" s="32"/>
      <c r="BC145" s="32"/>
      <c r="BD145" s="32"/>
      <c r="BE145" s="32" t="s">
        <v>48</v>
      </c>
      <c r="BF145" s="32" t="s">
        <v>48</v>
      </c>
      <c r="BG145" s="32" t="s">
        <v>48</v>
      </c>
      <c r="BH145" s="32" t="s">
        <v>48</v>
      </c>
      <c r="BI145" s="538">
        <f t="shared" si="171"/>
        <v>145.696</v>
      </c>
      <c r="BJ145" s="538">
        <f t="shared" si="171"/>
        <v>141.5</v>
      </c>
      <c r="BK145" s="538">
        <f t="shared" si="171"/>
        <v>111.699</v>
      </c>
      <c r="BL145" s="538">
        <f t="shared" si="171"/>
        <v>113.652</v>
      </c>
      <c r="BM145" s="538">
        <f t="shared" si="171"/>
        <v>128.78</v>
      </c>
      <c r="BN145" s="538">
        <f t="shared" si="171"/>
        <v>155.44</v>
      </c>
      <c r="BO145" s="538">
        <f t="shared" si="171"/>
        <v>168.46600000000001</v>
      </c>
      <c r="BP145" s="538">
        <f t="shared" si="171"/>
        <v>159.6</v>
      </c>
      <c r="BQ145" s="538">
        <f t="shared" si="171"/>
        <v>225.078</v>
      </c>
      <c r="BR145" s="538">
        <f t="shared" si="171"/>
        <v>250.393</v>
      </c>
      <c r="BS145" s="543">
        <f t="shared" si="172"/>
        <v>282.52800000000002</v>
      </c>
      <c r="BT145" s="543">
        <f t="shared" si="172"/>
        <v>282.10699999999997</v>
      </c>
      <c r="BU145" s="543">
        <f t="shared" si="172"/>
        <v>96.73775978835954</v>
      </c>
      <c r="BV145" s="538">
        <f t="shared" si="172"/>
        <v>78.191448730964694</v>
      </c>
      <c r="BW145" s="543">
        <f t="shared" si="172"/>
        <v>150.48199999999994</v>
      </c>
      <c r="BX145" s="543">
        <f t="shared" si="172"/>
        <v>148.54</v>
      </c>
      <c r="BY145" s="538">
        <f t="shared" si="172"/>
        <v>125.47699999999999</v>
      </c>
      <c r="BZ145" s="538">
        <f t="shared" si="172"/>
        <v>98.384999999999991</v>
      </c>
      <c r="CA145" s="543">
        <f t="shared" si="172"/>
        <v>91.600000000000009</v>
      </c>
      <c r="CB145" s="543">
        <f t="shared" si="172"/>
        <v>65.399999999999991</v>
      </c>
      <c r="CC145" s="543">
        <f t="shared" si="173"/>
        <v>52.160000000000004</v>
      </c>
      <c r="CD145" s="543">
        <f t="shared" si="173"/>
        <v>63.074999999999996</v>
      </c>
      <c r="CE145" s="543">
        <f t="shared" si="173"/>
        <v>71.878</v>
      </c>
      <c r="CF145" s="543">
        <f t="shared" si="173"/>
        <v>73.27000000000001</v>
      </c>
      <c r="CG145" s="538">
        <f t="shared" si="174"/>
        <v>50.05</v>
      </c>
      <c r="CH145" s="538">
        <f t="shared" si="174"/>
        <v>50.879999999999995</v>
      </c>
      <c r="CI145" s="538">
        <f t="shared" si="174"/>
        <v>49.94</v>
      </c>
      <c r="CJ145" s="538">
        <f>+T145-SUM(CG145:CI145)</f>
        <v>45.259999999999991</v>
      </c>
    </row>
    <row r="146" spans="1:136" s="90" customFormat="1" ht="6" customHeight="1">
      <c r="A146" s="87"/>
      <c r="B146" s="103"/>
      <c r="C146" s="103"/>
      <c r="D146" s="103"/>
      <c r="E146" s="103"/>
      <c r="F146" s="103"/>
      <c r="G146" s="103"/>
      <c r="H146" s="103"/>
      <c r="I146" s="103"/>
      <c r="J146" s="103"/>
      <c r="K146" s="103"/>
      <c r="L146" s="103"/>
      <c r="M146" s="91"/>
      <c r="N146" s="91"/>
      <c r="O146" s="91"/>
      <c r="P146" s="502"/>
      <c r="Q146" s="158"/>
      <c r="R146" s="158"/>
      <c r="S146" s="158"/>
      <c r="T146" s="158"/>
      <c r="U146" s="158"/>
      <c r="V146" s="158"/>
      <c r="W146" s="158"/>
      <c r="X146" s="158"/>
      <c r="Y146" s="158"/>
      <c r="Z146" s="158"/>
      <c r="AA146" s="158"/>
      <c r="AB146" s="158"/>
      <c r="AC146" s="103"/>
      <c r="AD146" s="103"/>
      <c r="AE146" s="103"/>
      <c r="AF146" s="103"/>
      <c r="AG146" s="103"/>
      <c r="AH146" s="103"/>
      <c r="AI146" s="103"/>
      <c r="AJ146" s="103"/>
      <c r="AK146" s="103"/>
      <c r="AL146" s="103"/>
      <c r="AM146" s="103"/>
      <c r="AN146" s="103"/>
      <c r="AO146" s="103"/>
      <c r="AP146" s="103"/>
      <c r="AQ146" s="103"/>
      <c r="AR146" s="103"/>
      <c r="AS146" s="103"/>
      <c r="AT146" s="103"/>
      <c r="AU146" s="103"/>
      <c r="AV146" s="103"/>
      <c r="AW146" s="103"/>
      <c r="AX146" s="103"/>
      <c r="AY146" s="103"/>
      <c r="AZ146" s="103"/>
      <c r="BA146" s="103"/>
      <c r="BB146" s="103"/>
      <c r="BC146" s="103"/>
      <c r="BD146" s="103"/>
      <c r="BE146" s="103"/>
      <c r="BF146" s="103"/>
      <c r="BG146" s="91"/>
      <c r="BH146" s="91"/>
      <c r="BI146" s="91"/>
      <c r="BJ146" s="91"/>
      <c r="BK146" s="91"/>
      <c r="BL146" s="91"/>
      <c r="BM146" s="91"/>
      <c r="BN146" s="91"/>
      <c r="BO146" s="91"/>
      <c r="BP146" s="91"/>
      <c r="BQ146" s="91"/>
      <c r="BR146" s="91"/>
      <c r="BS146" s="91"/>
      <c r="BT146" s="91"/>
      <c r="BU146" s="91"/>
      <c r="BV146" s="91"/>
      <c r="BW146" s="91"/>
      <c r="BX146" s="91"/>
      <c r="BY146" s="91"/>
      <c r="BZ146" s="91"/>
      <c r="CA146" s="701"/>
      <c r="CB146" s="701"/>
      <c r="CC146" s="701"/>
      <c r="CD146" s="701"/>
      <c r="CE146" s="701"/>
      <c r="CF146" s="91"/>
      <c r="CG146" s="91"/>
      <c r="CH146" s="91"/>
      <c r="CI146" s="91"/>
      <c r="CJ146" s="91"/>
      <c r="CO146" s="39"/>
      <c r="DK146" s="39"/>
      <c r="DL146" s="39"/>
      <c r="DM146" s="39"/>
      <c r="DN146" s="39"/>
      <c r="DO146" s="39"/>
      <c r="DP146" s="39"/>
      <c r="DQ146" s="91"/>
      <c r="DR146" s="39"/>
      <c r="DS146" s="39"/>
      <c r="DT146" s="39"/>
      <c r="DU146" s="39"/>
      <c r="DV146" s="39"/>
      <c r="DW146" s="39"/>
      <c r="DX146" s="39"/>
      <c r="DY146" s="39"/>
      <c r="DZ146" s="39"/>
      <c r="EA146" s="92"/>
      <c r="EB146" s="92"/>
      <c r="EC146" s="92"/>
      <c r="ED146" s="92"/>
      <c r="EE146" s="92"/>
      <c r="EF146" s="92"/>
    </row>
    <row r="147" spans="1:136">
      <c r="A147" s="2" t="s">
        <v>43</v>
      </c>
      <c r="B147" s="32"/>
      <c r="C147" s="32"/>
      <c r="D147" s="32"/>
      <c r="E147" s="32"/>
      <c r="F147" s="32"/>
      <c r="G147" s="32"/>
      <c r="H147" s="32"/>
      <c r="I147" s="32"/>
      <c r="J147" s="32"/>
      <c r="K147" s="32"/>
      <c r="L147" s="32" t="s">
        <v>48</v>
      </c>
      <c r="M147" s="544">
        <v>88</v>
      </c>
      <c r="N147" s="538">
        <f>+SUM(BI147:BL147)</f>
        <v>-469</v>
      </c>
      <c r="O147" s="538">
        <f>+SUM(BM147:BP147)</f>
        <v>-678</v>
      </c>
      <c r="P147" s="538">
        <f>+SUM(BQ147:BT147)</f>
        <v>-1039</v>
      </c>
      <c r="Q147" s="538">
        <f t="shared" si="175"/>
        <v>-935</v>
      </c>
      <c r="R147" s="538">
        <f>+SUM(BY147:CB147)</f>
        <v>-559</v>
      </c>
      <c r="S147" s="538">
        <f>+SUM(CC147:CF147)</f>
        <v>62</v>
      </c>
      <c r="T147" s="499">
        <f>+SUM(CG147:CJ147)</f>
        <v>-138.5</v>
      </c>
      <c r="U147" s="538">
        <f t="shared" ref="T147:AA151" si="177">+U33*T$153</f>
        <v>0</v>
      </c>
      <c r="V147" s="538">
        <f t="shared" si="177"/>
        <v>0</v>
      </c>
      <c r="W147" s="538">
        <f t="shared" si="177"/>
        <v>0</v>
      </c>
      <c r="X147" s="538">
        <f t="shared" si="177"/>
        <v>0</v>
      </c>
      <c r="Y147" s="538">
        <f t="shared" si="177"/>
        <v>0</v>
      </c>
      <c r="Z147" s="538">
        <f t="shared" si="177"/>
        <v>0</v>
      </c>
      <c r="AA147" s="538">
        <f t="shared" si="177"/>
        <v>0</v>
      </c>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t="s">
        <v>48</v>
      </c>
      <c r="BF147" s="32" t="s">
        <v>48</v>
      </c>
      <c r="BG147" s="32" t="s">
        <v>48</v>
      </c>
      <c r="BH147" s="32" t="s">
        <v>48</v>
      </c>
      <c r="BI147" s="544">
        <v>-66</v>
      </c>
      <c r="BJ147" s="544">
        <v>-168</v>
      </c>
      <c r="BK147" s="544">
        <v>-143</v>
      </c>
      <c r="BL147" s="544">
        <v>-92</v>
      </c>
      <c r="BM147" s="545">
        <v>-145</v>
      </c>
      <c r="BN147" s="545">
        <v>-129</v>
      </c>
      <c r="BO147" s="545">
        <v>-195</v>
      </c>
      <c r="BP147" s="545">
        <v>-209</v>
      </c>
      <c r="BQ147" s="546">
        <v>-248</v>
      </c>
      <c r="BR147" s="545">
        <v>-255</v>
      </c>
      <c r="BS147" s="547">
        <v>-235</v>
      </c>
      <c r="BT147" s="548">
        <v>-301</v>
      </c>
      <c r="BU147" s="548">
        <f>+-355+187</f>
        <v>-168</v>
      </c>
      <c r="BV147" s="547">
        <f>+-247+36</f>
        <v>-211</v>
      </c>
      <c r="BW147" s="547">
        <f>+-311+29</f>
        <v>-282</v>
      </c>
      <c r="BX147" s="547">
        <v>-274</v>
      </c>
      <c r="BY147" s="548">
        <v>-261</v>
      </c>
      <c r="BZ147" s="548">
        <v>-179</v>
      </c>
      <c r="CA147" s="547">
        <v>-77</v>
      </c>
      <c r="CB147" s="547">
        <v>-42</v>
      </c>
      <c r="CC147" s="547">
        <v>65</v>
      </c>
      <c r="CD147" s="547">
        <v>11</v>
      </c>
      <c r="CE147" s="547">
        <v>-5</v>
      </c>
      <c r="CF147" s="547">
        <v>-9</v>
      </c>
      <c r="CG147" s="538">
        <f>+CC$153*CG33</f>
        <v>-27.3</v>
      </c>
      <c r="CH147" s="538">
        <f>+CD$153*CH33</f>
        <v>-42.400000000000006</v>
      </c>
      <c r="CI147" s="538">
        <f>+CE$153*CI33</f>
        <v>-45.400000000000006</v>
      </c>
      <c r="CJ147" s="538">
        <f>+CF$153*CJ33</f>
        <v>-23.4</v>
      </c>
    </row>
    <row r="148" spans="1:136">
      <c r="A148" s="2" t="s">
        <v>44</v>
      </c>
      <c r="B148" s="32"/>
      <c r="C148" s="32"/>
      <c r="D148" s="32"/>
      <c r="E148" s="32"/>
      <c r="F148" s="32"/>
      <c r="G148" s="32"/>
      <c r="H148" s="32"/>
      <c r="I148" s="32"/>
      <c r="J148" s="32"/>
      <c r="K148" s="32"/>
      <c r="L148" s="32" t="s">
        <v>48</v>
      </c>
      <c r="M148" s="544">
        <v>104</v>
      </c>
      <c r="N148" s="538">
        <f>+SUM(BI148:BL148)</f>
        <v>0</v>
      </c>
      <c r="O148" s="538">
        <f>+SUM(BM148:BP148)</f>
        <v>0</v>
      </c>
      <c r="P148" s="538">
        <f>+SUM(BQ148:BT148)</f>
        <v>0</v>
      </c>
      <c r="Q148" s="538">
        <f t="shared" si="175"/>
        <v>0</v>
      </c>
      <c r="R148" s="538">
        <f>+SUM(BY148:CB148)</f>
        <v>0</v>
      </c>
      <c r="S148" s="538">
        <f>+SUM(CC148:CF148)</f>
        <v>0</v>
      </c>
      <c r="T148" s="538">
        <f t="shared" si="177"/>
        <v>0</v>
      </c>
      <c r="U148" s="538">
        <f t="shared" si="177"/>
        <v>0</v>
      </c>
      <c r="V148" s="538">
        <f t="shared" si="177"/>
        <v>0</v>
      </c>
      <c r="W148" s="538">
        <f t="shared" si="177"/>
        <v>0</v>
      </c>
      <c r="X148" s="538">
        <f t="shared" si="177"/>
        <v>0</v>
      </c>
      <c r="Y148" s="538">
        <f t="shared" si="177"/>
        <v>0</v>
      </c>
      <c r="Z148" s="538">
        <f t="shared" si="177"/>
        <v>0</v>
      </c>
      <c r="AA148" s="538">
        <f t="shared" si="177"/>
        <v>0</v>
      </c>
      <c r="AC148" s="32"/>
      <c r="AD148" s="32"/>
      <c r="AE148" s="32"/>
      <c r="AF148" s="32"/>
      <c r="AG148" s="32"/>
      <c r="AH148" s="32"/>
      <c r="AI148" s="32"/>
      <c r="AJ148" s="32"/>
      <c r="AK148" s="32"/>
      <c r="AL148" s="32"/>
      <c r="AM148" s="32"/>
      <c r="AN148" s="32"/>
      <c r="AO148" s="32"/>
      <c r="AP148" s="32"/>
      <c r="AQ148" s="32"/>
      <c r="AR148" s="32"/>
      <c r="AS148" s="32"/>
      <c r="AT148" s="32"/>
      <c r="AU148" s="32"/>
      <c r="AV148" s="32"/>
      <c r="AW148" s="32"/>
      <c r="AX148" s="32"/>
      <c r="AY148" s="32"/>
      <c r="AZ148" s="32"/>
      <c r="BA148" s="32"/>
      <c r="BB148" s="32"/>
      <c r="BC148" s="32"/>
      <c r="BD148" s="32"/>
      <c r="BE148" s="32" t="s">
        <v>48</v>
      </c>
      <c r="BF148" s="32" t="s">
        <v>48</v>
      </c>
      <c r="BG148" s="32" t="s">
        <v>48</v>
      </c>
      <c r="BH148" s="32" t="s">
        <v>48</v>
      </c>
      <c r="BI148" s="544">
        <v>0</v>
      </c>
      <c r="BJ148" s="544">
        <v>0</v>
      </c>
      <c r="BK148" s="544">
        <v>0</v>
      </c>
      <c r="BL148" s="544">
        <v>0</v>
      </c>
      <c r="BM148" s="545">
        <v>0</v>
      </c>
      <c r="BN148" s="545">
        <v>0</v>
      </c>
      <c r="BO148" s="545">
        <v>0</v>
      </c>
      <c r="BP148" s="545">
        <v>0</v>
      </c>
      <c r="BQ148" s="545">
        <v>0</v>
      </c>
      <c r="BR148" s="545">
        <v>0</v>
      </c>
      <c r="BS148" s="547">
        <v>0</v>
      </c>
      <c r="BT148" s="548">
        <v>0</v>
      </c>
      <c r="BU148" s="548">
        <v>0</v>
      </c>
      <c r="BV148" s="547">
        <v>0</v>
      </c>
      <c r="BW148" s="547">
        <v>0</v>
      </c>
      <c r="BX148" s="547">
        <v>0</v>
      </c>
      <c r="BY148" s="548">
        <v>0</v>
      </c>
      <c r="BZ148" s="548">
        <v>0</v>
      </c>
      <c r="CA148" s="547">
        <v>0</v>
      </c>
      <c r="CB148" s="547">
        <v>0</v>
      </c>
      <c r="CC148" s="547">
        <v>0</v>
      </c>
      <c r="CD148" s="547">
        <v>0</v>
      </c>
      <c r="CE148" s="547">
        <v>0</v>
      </c>
      <c r="CF148" s="547">
        <v>0</v>
      </c>
      <c r="CG148" s="538">
        <f t="shared" ref="CG148:CI151" si="178">+CC$153*CG34</f>
        <v>0</v>
      </c>
      <c r="CH148" s="538">
        <f t="shared" si="178"/>
        <v>0</v>
      </c>
      <c r="CI148" s="538">
        <f t="shared" si="178"/>
        <v>0</v>
      </c>
      <c r="CJ148" s="538">
        <f>+T148-SUM(CG148:CI148)</f>
        <v>0</v>
      </c>
    </row>
    <row r="149" spans="1:136">
      <c r="A149" s="2" t="s">
        <v>45</v>
      </c>
      <c r="B149" s="32"/>
      <c r="C149" s="32"/>
      <c r="D149" s="32"/>
      <c r="E149" s="32"/>
      <c r="F149" s="32"/>
      <c r="G149" s="32"/>
      <c r="H149" s="32"/>
      <c r="I149" s="32"/>
      <c r="J149" s="32"/>
      <c r="K149" s="32"/>
      <c r="L149" s="32" t="s">
        <v>48</v>
      </c>
      <c r="M149" s="544">
        <v>0</v>
      </c>
      <c r="N149" s="538">
        <f>+SUM(BI149:BL149)</f>
        <v>0</v>
      </c>
      <c r="O149" s="538">
        <f>+SUM(BM149:BP149)</f>
        <v>0.5</v>
      </c>
      <c r="P149" s="538">
        <f>+SUM(BQ149:BT149)</f>
        <v>0</v>
      </c>
      <c r="Q149" s="538">
        <f t="shared" si="175"/>
        <v>-3</v>
      </c>
      <c r="R149" s="538">
        <f>+SUM(BY149:CB149)</f>
        <v>-8</v>
      </c>
      <c r="S149" s="538">
        <f>+SUM(CC149:CF149)</f>
        <v>0</v>
      </c>
      <c r="T149" s="538">
        <f t="shared" si="177"/>
        <v>0</v>
      </c>
      <c r="U149" s="538">
        <f t="shared" si="177"/>
        <v>0</v>
      </c>
      <c r="V149" s="538">
        <f t="shared" si="177"/>
        <v>0</v>
      </c>
      <c r="W149" s="538">
        <f t="shared" si="177"/>
        <v>0</v>
      </c>
      <c r="X149" s="538">
        <f t="shared" si="177"/>
        <v>0</v>
      </c>
      <c r="Y149" s="538">
        <f t="shared" si="177"/>
        <v>0</v>
      </c>
      <c r="Z149" s="538">
        <f t="shared" si="177"/>
        <v>0</v>
      </c>
      <c r="AA149" s="538">
        <f t="shared" si="177"/>
        <v>0</v>
      </c>
      <c r="AC149" s="32"/>
      <c r="AD149" s="32"/>
      <c r="AE149" s="32"/>
      <c r="AF149" s="32"/>
      <c r="AG149" s="32"/>
      <c r="AH149" s="32"/>
      <c r="AI149" s="32"/>
      <c r="AJ149" s="32"/>
      <c r="AK149" s="32"/>
      <c r="AL149" s="32"/>
      <c r="AM149" s="32"/>
      <c r="AN149" s="32"/>
      <c r="AO149" s="32"/>
      <c r="AP149" s="32"/>
      <c r="AQ149" s="32"/>
      <c r="AR149" s="32"/>
      <c r="AS149" s="32"/>
      <c r="AT149" s="32"/>
      <c r="AU149" s="32"/>
      <c r="AV149" s="32"/>
      <c r="AW149" s="32"/>
      <c r="AX149" s="32"/>
      <c r="AY149" s="32"/>
      <c r="AZ149" s="32"/>
      <c r="BA149" s="32"/>
      <c r="BB149" s="32"/>
      <c r="BC149" s="32"/>
      <c r="BD149" s="32"/>
      <c r="BE149" s="32" t="s">
        <v>48</v>
      </c>
      <c r="BF149" s="32" t="s">
        <v>48</v>
      </c>
      <c r="BG149" s="32" t="s">
        <v>48</v>
      </c>
      <c r="BH149" s="32" t="s">
        <v>48</v>
      </c>
      <c r="BI149" s="544">
        <v>0</v>
      </c>
      <c r="BJ149" s="544">
        <v>0</v>
      </c>
      <c r="BK149" s="544">
        <v>0</v>
      </c>
      <c r="BL149" s="544">
        <v>0</v>
      </c>
      <c r="BM149" s="545">
        <v>0.5</v>
      </c>
      <c r="BN149" s="545">
        <v>-0.5</v>
      </c>
      <c r="BO149" s="545">
        <v>0</v>
      </c>
      <c r="BP149" s="545">
        <v>0.5</v>
      </c>
      <c r="BQ149" s="545">
        <v>0.5</v>
      </c>
      <c r="BR149" s="545">
        <v>0</v>
      </c>
      <c r="BS149" s="547">
        <v>0</v>
      </c>
      <c r="BT149" s="548">
        <v>-0.5</v>
      </c>
      <c r="BU149" s="548">
        <v>0</v>
      </c>
      <c r="BV149" s="547">
        <v>0</v>
      </c>
      <c r="BW149" s="547">
        <v>0</v>
      </c>
      <c r="BX149" s="547">
        <v>-3</v>
      </c>
      <c r="BY149" s="547">
        <v>-2</v>
      </c>
      <c r="BZ149" s="547">
        <v>-2</v>
      </c>
      <c r="CA149" s="547">
        <v>-2</v>
      </c>
      <c r="CB149" s="547">
        <v>-2</v>
      </c>
      <c r="CC149" s="547">
        <v>0</v>
      </c>
      <c r="CD149" s="547">
        <v>0</v>
      </c>
      <c r="CE149" s="547">
        <v>0</v>
      </c>
      <c r="CF149" s="547">
        <v>0</v>
      </c>
      <c r="CG149" s="538">
        <f t="shared" si="178"/>
        <v>0</v>
      </c>
      <c r="CH149" s="538">
        <f t="shared" si="178"/>
        <v>0</v>
      </c>
      <c r="CI149" s="538">
        <f t="shared" si="178"/>
        <v>0</v>
      </c>
      <c r="CJ149" s="538">
        <f>+T149-SUM(CG149:CI149)</f>
        <v>0</v>
      </c>
    </row>
    <row r="150" spans="1:136">
      <c r="A150" s="2" t="s">
        <v>46</v>
      </c>
      <c r="B150" s="32"/>
      <c r="C150" s="32"/>
      <c r="D150" s="32"/>
      <c r="E150" s="32"/>
      <c r="F150" s="32"/>
      <c r="G150" s="32"/>
      <c r="H150" s="32"/>
      <c r="I150" s="32"/>
      <c r="J150" s="32"/>
      <c r="K150" s="32"/>
      <c r="L150" s="32" t="s">
        <v>48</v>
      </c>
      <c r="M150" s="544">
        <f>24-38</f>
        <v>-14</v>
      </c>
      <c r="N150" s="538">
        <f>+SUM(BI150:BL150)</f>
        <v>-24</v>
      </c>
      <c r="O150" s="538">
        <f>+SUM(BM150:BP150)</f>
        <v>0</v>
      </c>
      <c r="P150" s="538">
        <f>+SUM(BQ150:BT150)</f>
        <v>0</v>
      </c>
      <c r="Q150" s="538">
        <f t="shared" si="175"/>
        <v>0</v>
      </c>
      <c r="R150" s="538">
        <f>+SUM(BY150:CB150)</f>
        <v>0</v>
      </c>
      <c r="S150" s="538">
        <f>+SUM(CC150:CF150)</f>
        <v>0</v>
      </c>
      <c r="T150" s="538">
        <f t="shared" si="177"/>
        <v>0</v>
      </c>
      <c r="U150" s="538">
        <f t="shared" si="177"/>
        <v>0</v>
      </c>
      <c r="V150" s="538">
        <f t="shared" si="177"/>
        <v>0</v>
      </c>
      <c r="W150" s="538">
        <f t="shared" si="177"/>
        <v>0</v>
      </c>
      <c r="X150" s="538">
        <f t="shared" si="177"/>
        <v>0</v>
      </c>
      <c r="Y150" s="538">
        <f t="shared" si="177"/>
        <v>0</v>
      </c>
      <c r="Z150" s="538">
        <f t="shared" si="177"/>
        <v>0</v>
      </c>
      <c r="AA150" s="538">
        <f t="shared" si="177"/>
        <v>0</v>
      </c>
      <c r="AC150" s="32"/>
      <c r="AD150" s="32"/>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32"/>
      <c r="BD150" s="32"/>
      <c r="BE150" s="32" t="s">
        <v>48</v>
      </c>
      <c r="BF150" s="32" t="s">
        <v>48</v>
      </c>
      <c r="BG150" s="32" t="s">
        <v>48</v>
      </c>
      <c r="BH150" s="32" t="s">
        <v>48</v>
      </c>
      <c r="BI150" s="544">
        <v>0</v>
      </c>
      <c r="BJ150" s="544">
        <v>-24</v>
      </c>
      <c r="BK150" s="544">
        <v>0</v>
      </c>
      <c r="BL150" s="544">
        <v>0</v>
      </c>
      <c r="BM150" s="545">
        <v>0</v>
      </c>
      <c r="BN150" s="545">
        <v>0</v>
      </c>
      <c r="BO150" s="545">
        <v>0</v>
      </c>
      <c r="BP150" s="545">
        <v>0</v>
      </c>
      <c r="BQ150" s="545">
        <v>0</v>
      </c>
      <c r="BR150" s="545">
        <v>0</v>
      </c>
      <c r="BS150" s="547">
        <v>0</v>
      </c>
      <c r="BT150" s="548">
        <v>0</v>
      </c>
      <c r="BU150" s="548">
        <v>0</v>
      </c>
      <c r="BV150" s="547">
        <v>0</v>
      </c>
      <c r="BW150" s="547">
        <v>0</v>
      </c>
      <c r="BX150" s="547">
        <v>0</v>
      </c>
      <c r="BY150" s="548">
        <v>0</v>
      </c>
      <c r="BZ150" s="548">
        <v>0</v>
      </c>
      <c r="CA150" s="547">
        <v>0</v>
      </c>
      <c r="CB150" s="547">
        <v>0</v>
      </c>
      <c r="CC150" s="547">
        <v>0</v>
      </c>
      <c r="CD150" s="547">
        <v>0</v>
      </c>
      <c r="CE150" s="547">
        <v>0</v>
      </c>
      <c r="CF150" s="547">
        <v>0</v>
      </c>
      <c r="CG150" s="538">
        <f t="shared" si="178"/>
        <v>0</v>
      </c>
      <c r="CH150" s="538">
        <f t="shared" si="178"/>
        <v>0</v>
      </c>
      <c r="CI150" s="538">
        <f t="shared" si="178"/>
        <v>0</v>
      </c>
      <c r="CJ150" s="538">
        <f>+T150-SUM(CG150:CI150)</f>
        <v>0</v>
      </c>
    </row>
    <row r="151" spans="1:136">
      <c r="A151" s="2" t="s">
        <v>47</v>
      </c>
      <c r="B151" s="32"/>
      <c r="C151" s="32"/>
      <c r="D151" s="32"/>
      <c r="E151" s="32"/>
      <c r="F151" s="32"/>
      <c r="G151" s="32"/>
      <c r="H151" s="32"/>
      <c r="I151" s="32"/>
      <c r="J151" s="32"/>
      <c r="K151" s="32"/>
      <c r="L151" s="32" t="s">
        <v>48</v>
      </c>
      <c r="M151" s="544">
        <v>0</v>
      </c>
      <c r="N151" s="538">
        <f>+SUM(BI151:BL151)</f>
        <v>0</v>
      </c>
      <c r="O151" s="538">
        <f>+SUM(BM151:BP151)</f>
        <v>0</v>
      </c>
      <c r="P151" s="538">
        <f>+SUM(BQ151:BT151)</f>
        <v>-765.04899999999998</v>
      </c>
      <c r="Q151" s="538">
        <f t="shared" si="175"/>
        <v>9.9120000000000488</v>
      </c>
      <c r="R151" s="538">
        <f>+SUM(BY151:CB151)</f>
        <v>7.3729999999999905</v>
      </c>
      <c r="S151" s="538">
        <f ca="1">+SUM(CC151:CF151)</f>
        <v>0</v>
      </c>
      <c r="T151" s="538">
        <f t="shared" si="177"/>
        <v>0</v>
      </c>
      <c r="U151" s="538">
        <f t="shared" si="177"/>
        <v>0</v>
      </c>
      <c r="V151" s="538">
        <f t="shared" si="177"/>
        <v>0</v>
      </c>
      <c r="W151" s="538">
        <f t="shared" si="177"/>
        <v>0</v>
      </c>
      <c r="X151" s="538">
        <f t="shared" si="177"/>
        <v>0</v>
      </c>
      <c r="Y151" s="538">
        <f t="shared" si="177"/>
        <v>0</v>
      </c>
      <c r="Z151" s="538">
        <f t="shared" si="177"/>
        <v>0</v>
      </c>
      <c r="AA151" s="538">
        <f t="shared" si="177"/>
        <v>0</v>
      </c>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t="s">
        <v>48</v>
      </c>
      <c r="BF151" s="32" t="s">
        <v>48</v>
      </c>
      <c r="BG151" s="32" t="s">
        <v>48</v>
      </c>
      <c r="BH151" s="32" t="s">
        <v>48</v>
      </c>
      <c r="BI151" s="544">
        <v>0</v>
      </c>
      <c r="BJ151" s="544">
        <v>0</v>
      </c>
      <c r="BK151" s="544">
        <v>0</v>
      </c>
      <c r="BL151" s="544">
        <v>0</v>
      </c>
      <c r="BM151" s="545">
        <v>0</v>
      </c>
      <c r="BN151" s="545">
        <v>0</v>
      </c>
      <c r="BO151" s="545">
        <v>0</v>
      </c>
      <c r="BP151" s="545">
        <v>0</v>
      </c>
      <c r="BQ151" s="549">
        <f t="shared" ref="BQ151:BW151" si="179">+BQ153-BM153-SUM(BQ144:BQ150)</f>
        <v>-238.006</v>
      </c>
      <c r="BR151" s="549">
        <f t="shared" si="179"/>
        <v>-156.00200000000001</v>
      </c>
      <c r="BS151" s="549">
        <f t="shared" si="179"/>
        <v>-191.98000000000002</v>
      </c>
      <c r="BT151" s="549">
        <f t="shared" si="179"/>
        <v>-179.06099999999998</v>
      </c>
      <c r="BU151" s="549">
        <f t="shared" si="179"/>
        <v>-2.4399999999997846</v>
      </c>
      <c r="BV151" s="549">
        <f t="shared" si="179"/>
        <v>-2.0740000000002397</v>
      </c>
      <c r="BW151" s="543">
        <f t="shared" si="179"/>
        <v>-2.4869999999999379</v>
      </c>
      <c r="BX151" s="543">
        <f>+BX153-BT153-SUM(BX144:BX150)</f>
        <v>16.913000000000011</v>
      </c>
      <c r="BY151" s="543">
        <f>+BY153-BU153-SUM(BY144:BY150)</f>
        <v>1.5939999999999941</v>
      </c>
      <c r="BZ151" s="543">
        <f>+BZ153-BV153-SUM(BZ144:BZ150)</f>
        <v>1.6070000000000135</v>
      </c>
      <c r="CA151" s="543">
        <f>+CA153-BW153-SUM(CA144:CA150)</f>
        <v>2.4359999999999786</v>
      </c>
      <c r="CB151" s="543">
        <f>+CB153-BX153-SUM(CB144:CB150)</f>
        <v>1.7360000000000042</v>
      </c>
      <c r="CC151" s="543">
        <v>0</v>
      </c>
      <c r="CD151" s="543">
        <f>+CD153-BZ153-SUM(CD144:CD150)</f>
        <v>0.2050000000000054</v>
      </c>
      <c r="CE151" s="543">
        <f>+CE153-CA153-SUM(CE144:CE150)</f>
        <v>0.23600000000000421</v>
      </c>
      <c r="CF151" s="543">
        <f ca="1">+S151-SUM(CC151:CE151)</f>
        <v>-0.44100000000000961</v>
      </c>
      <c r="CG151" s="538">
        <f t="shared" si="178"/>
        <v>0</v>
      </c>
      <c r="CH151" s="538">
        <f t="shared" si="178"/>
        <v>0</v>
      </c>
      <c r="CI151" s="538">
        <f t="shared" si="178"/>
        <v>0</v>
      </c>
      <c r="CJ151" s="538">
        <f>+T151-SUM(CG151:CI151)</f>
        <v>0</v>
      </c>
    </row>
    <row r="152" spans="1:136" ht="6" customHeight="1">
      <c r="BO152" s="324"/>
      <c r="BS152" s="517"/>
      <c r="BZ152" s="324"/>
    </row>
    <row r="153" spans="1:136" s="16" customFormat="1">
      <c r="A153" s="16" t="s">
        <v>60</v>
      </c>
      <c r="B153" s="539"/>
      <c r="C153" s="539"/>
      <c r="D153" s="539"/>
      <c r="E153" s="539"/>
      <c r="F153" s="539"/>
      <c r="G153" s="539"/>
      <c r="H153" s="539"/>
      <c r="I153" s="539"/>
      <c r="J153" s="539"/>
      <c r="K153" s="539"/>
      <c r="L153" s="539">
        <f>+IS!L154</f>
        <v>4541</v>
      </c>
      <c r="M153" s="539">
        <f>+IS!M154</f>
        <v>5403</v>
      </c>
      <c r="N153" s="539">
        <f>+IS!N154</f>
        <v>5396</v>
      </c>
      <c r="O153" s="550">
        <f>+IS!O154</f>
        <v>5382</v>
      </c>
      <c r="P153" s="550">
        <f>+IS!P154</f>
        <v>4388</v>
      </c>
      <c r="Q153" s="550">
        <f>+IS!Q140</f>
        <v>3762</v>
      </c>
      <c r="R153" s="550">
        <f>+IS!R140</f>
        <v>3384</v>
      </c>
      <c r="S153" s="550">
        <f>+IS!S140</f>
        <v>3566</v>
      </c>
      <c r="T153" s="550">
        <f t="shared" ref="T153:AA153" si="180">+S153+SUM(T144:T145,T147:T151)</f>
        <v>3552.31</v>
      </c>
      <c r="U153" s="550">
        <f t="shared" si="180"/>
        <v>3729.9254999999998</v>
      </c>
      <c r="V153" s="550">
        <f t="shared" si="180"/>
        <v>3953.7210299999997</v>
      </c>
      <c r="W153" s="550">
        <f t="shared" si="180"/>
        <v>4204.7823154049993</v>
      </c>
      <c r="X153" s="550">
        <f t="shared" si="180"/>
        <v>4466.1095363074201</v>
      </c>
      <c r="Y153" s="550">
        <f t="shared" si="180"/>
        <v>4738.251920902313</v>
      </c>
      <c r="Z153" s="550">
        <f t="shared" si="180"/>
        <v>5021.7960232269888</v>
      </c>
      <c r="AA153" s="550">
        <f t="shared" si="180"/>
        <v>5317.3656293946678</v>
      </c>
      <c r="AB153" s="473"/>
      <c r="AC153" s="539"/>
      <c r="AD153" s="539"/>
      <c r="AE153" s="539"/>
      <c r="AF153" s="539"/>
      <c r="AG153" s="539"/>
      <c r="AH153" s="539"/>
      <c r="AI153" s="539"/>
      <c r="AJ153" s="539"/>
      <c r="AK153" s="539"/>
      <c r="AL153" s="539"/>
      <c r="AM153" s="539"/>
      <c r="AN153" s="539"/>
      <c r="AO153" s="539"/>
      <c r="AP153" s="539"/>
      <c r="AQ153" s="539"/>
      <c r="AR153" s="539"/>
      <c r="AS153" s="539"/>
      <c r="AT153" s="539"/>
      <c r="AU153" s="539"/>
      <c r="AV153" s="539"/>
      <c r="AW153" s="539"/>
      <c r="AX153" s="539"/>
      <c r="AY153" s="539"/>
      <c r="AZ153" s="539"/>
      <c r="BA153" s="539"/>
      <c r="BB153" s="539"/>
      <c r="BC153" s="539"/>
      <c r="BD153" s="539"/>
      <c r="BE153" s="539">
        <f>+IS!BE154</f>
        <v>1256</v>
      </c>
      <c r="BF153" s="539">
        <f>+IS!BF154</f>
        <v>1415</v>
      </c>
      <c r="BG153" s="539">
        <f>+IS!BG154</f>
        <v>1379</v>
      </c>
      <c r="BH153" s="539">
        <f>+IS!BH154</f>
        <v>1353</v>
      </c>
      <c r="BI153" s="539">
        <f>+IS!BI154</f>
        <v>1370</v>
      </c>
      <c r="BJ153" s="539">
        <f>+IS!BJ154</f>
        <v>1340</v>
      </c>
      <c r="BK153" s="539">
        <f>+IS!BK154</f>
        <v>1286</v>
      </c>
      <c r="BL153" s="539">
        <f>+IS!BL154</f>
        <v>1400</v>
      </c>
      <c r="BM153" s="539">
        <f>+IS!BM154</f>
        <v>1398</v>
      </c>
      <c r="BN153" s="539">
        <f>+IS!BN154</f>
        <v>1339</v>
      </c>
      <c r="BO153" s="539">
        <f>+IS!BO154</f>
        <v>1308</v>
      </c>
      <c r="BP153" s="539">
        <f>+IS!BP154</f>
        <v>1337</v>
      </c>
      <c r="BQ153" s="539">
        <f>+IS!BQ154</f>
        <v>1118</v>
      </c>
      <c r="BR153" s="539">
        <f>+IS!BR154</f>
        <v>1086</v>
      </c>
      <c r="BS153" s="551">
        <f>+IS!BS154</f>
        <v>1123</v>
      </c>
      <c r="BT153" s="551">
        <f>+IS!BT154</f>
        <v>1061</v>
      </c>
      <c r="BU153" s="550">
        <f>+IS!BU140</f>
        <v>1037</v>
      </c>
      <c r="BV153" s="550">
        <f>+IS!BV140</f>
        <v>937</v>
      </c>
      <c r="BW153" s="550">
        <f>+IS!BW140</f>
        <v>916</v>
      </c>
      <c r="BX153" s="550">
        <f>+IS!BX140</f>
        <v>872</v>
      </c>
      <c r="BY153" s="550">
        <f>+IS!BY140</f>
        <v>815</v>
      </c>
      <c r="BZ153" s="550">
        <f>+IS!BZ140</f>
        <v>841</v>
      </c>
      <c r="CA153" s="550">
        <f>+IS!CA140</f>
        <v>866</v>
      </c>
      <c r="CB153" s="550">
        <f>+IS!CB140</f>
        <v>862</v>
      </c>
      <c r="CC153" s="550">
        <f>+IS!CC140</f>
        <v>910</v>
      </c>
      <c r="CD153" s="550">
        <f>+IS!CD140</f>
        <v>848</v>
      </c>
      <c r="CE153" s="550">
        <f>+IS!CE140</f>
        <v>908</v>
      </c>
      <c r="CF153" s="550">
        <f>+IS!CF140</f>
        <v>900</v>
      </c>
      <c r="CG153" s="550">
        <f>+CC153+SUM(CG144:CG145,CG147:CG151)</f>
        <v>905.45</v>
      </c>
      <c r="CH153" s="550">
        <f>+CD153+SUM(CH144:CH145,CH147:CH151)</f>
        <v>864.96</v>
      </c>
      <c r="CI153" s="550">
        <f>+CE153+SUM(CI144:CI145,CI147:CI151)</f>
        <v>903.46</v>
      </c>
      <c r="CJ153" s="550">
        <f>+CF153+SUM(CJ144:CJ145,CJ147:CJ151)</f>
        <v>878.43999999999994</v>
      </c>
    </row>
    <row r="154" spans="1:136" hidden="1" outlineLevel="1">
      <c r="A154" s="22" t="s">
        <v>61</v>
      </c>
      <c r="B154" s="32"/>
      <c r="C154" s="32"/>
      <c r="D154" s="32"/>
      <c r="E154" s="32"/>
      <c r="F154" s="32"/>
      <c r="G154" s="32"/>
      <c r="H154" s="32"/>
      <c r="I154" s="32"/>
      <c r="J154" s="32"/>
      <c r="K154" s="32"/>
      <c r="L154" s="32" t="s">
        <v>48</v>
      </c>
      <c r="M154" s="540">
        <f t="shared" ref="M154:V154" si="181">+L153+SUM(M144:M145,M147:M151)-M153</f>
        <v>6.2319999999999709</v>
      </c>
      <c r="N154" s="540">
        <f t="shared" si="181"/>
        <v>1.4709999999995489</v>
      </c>
      <c r="O154" s="540">
        <f t="shared" si="181"/>
        <v>0.69400000000041473</v>
      </c>
      <c r="P154" s="540">
        <f t="shared" si="181"/>
        <v>0</v>
      </c>
      <c r="Q154" s="540">
        <f t="shared" si="181"/>
        <v>0</v>
      </c>
      <c r="R154" s="540">
        <f t="shared" si="181"/>
        <v>0</v>
      </c>
      <c r="S154" s="540">
        <f t="shared" ca="1" si="181"/>
        <v>0.12399999999979627</v>
      </c>
      <c r="T154" s="540">
        <f t="shared" si="181"/>
        <v>0</v>
      </c>
      <c r="U154" s="540">
        <f t="shared" si="181"/>
        <v>0</v>
      </c>
      <c r="V154" s="540">
        <f t="shared" si="181"/>
        <v>0</v>
      </c>
      <c r="W154" s="540">
        <f>+V153+SUM(W144:W145,W147:W151)-W153</f>
        <v>0</v>
      </c>
      <c r="X154" s="540">
        <f>+W153+SUM(X144:X145,X147:X151)-X153</f>
        <v>0</v>
      </c>
      <c r="Y154" s="540">
        <f>+X153+SUM(Y144:Y145,Y147:Y151)-Y153</f>
        <v>0</v>
      </c>
      <c r="Z154" s="540">
        <f>+Y153+SUM(Z144:Z145,Z147:Z151)-Z153</f>
        <v>0</v>
      </c>
      <c r="AA154" s="540">
        <f>+Z153+SUM(AA144:AA145,AA147:AA151)-AA153</f>
        <v>0</v>
      </c>
      <c r="AB154" s="513"/>
      <c r="AC154" s="541"/>
      <c r="AD154" s="541"/>
      <c r="AE154" s="541"/>
      <c r="AF154" s="541"/>
      <c r="AG154" s="541"/>
      <c r="AH154" s="541"/>
      <c r="AI154" s="541"/>
      <c r="AJ154" s="541"/>
      <c r="AK154" s="541"/>
      <c r="AL154" s="541"/>
      <c r="AM154" s="541"/>
      <c r="AN154" s="541"/>
      <c r="AO154" s="541"/>
      <c r="AP154" s="541"/>
      <c r="AQ154" s="541"/>
      <c r="AR154" s="541"/>
      <c r="AS154" s="541"/>
      <c r="AT154" s="541"/>
      <c r="AU154" s="541"/>
      <c r="AV154" s="541"/>
      <c r="AW154" s="541"/>
      <c r="AX154" s="541"/>
      <c r="AY154" s="541"/>
      <c r="AZ154" s="541"/>
      <c r="BA154" s="541"/>
      <c r="BB154" s="541"/>
      <c r="BC154" s="541"/>
      <c r="BD154" s="541"/>
      <c r="BE154" s="541"/>
      <c r="BF154" s="541"/>
      <c r="BG154" s="541"/>
      <c r="BH154" s="541"/>
      <c r="BI154" s="540"/>
      <c r="BJ154" s="540">
        <f t="shared" ref="BJ154:CB154" si="182">+BF153+SUM(BJ144:BJ151)-BJ153</f>
        <v>1.8599999999999</v>
      </c>
      <c r="BK154" s="540">
        <f t="shared" si="182"/>
        <v>-0.35599999999999454</v>
      </c>
      <c r="BL154" s="540">
        <f t="shared" si="182"/>
        <v>0.3589999999999236</v>
      </c>
      <c r="BM154" s="540">
        <f t="shared" si="182"/>
        <v>0.11999999999989086</v>
      </c>
      <c r="BN154" s="540">
        <f t="shared" si="182"/>
        <v>0.13999999999987267</v>
      </c>
      <c r="BO154" s="540">
        <f t="shared" si="182"/>
        <v>0.33400000000006003</v>
      </c>
      <c r="BP154" s="540">
        <f t="shared" si="182"/>
        <v>9.9999999999909051E-2</v>
      </c>
      <c r="BQ154" s="540">
        <f t="shared" si="182"/>
        <v>0</v>
      </c>
      <c r="BR154" s="540">
        <f t="shared" si="182"/>
        <v>0</v>
      </c>
      <c r="BS154" s="540">
        <f t="shared" si="182"/>
        <v>0</v>
      </c>
      <c r="BT154" s="540">
        <f t="shared" si="182"/>
        <v>0</v>
      </c>
      <c r="BU154" s="540">
        <f t="shared" si="182"/>
        <v>0</v>
      </c>
      <c r="BV154" s="540">
        <f t="shared" si="182"/>
        <v>0</v>
      </c>
      <c r="BW154" s="540">
        <f t="shared" si="182"/>
        <v>0</v>
      </c>
      <c r="BX154" s="540">
        <f t="shared" si="182"/>
        <v>0</v>
      </c>
      <c r="BY154" s="540">
        <f t="shared" si="182"/>
        <v>0</v>
      </c>
      <c r="BZ154" s="540">
        <f t="shared" si="182"/>
        <v>0</v>
      </c>
      <c r="CA154" s="540">
        <f t="shared" si="182"/>
        <v>0</v>
      </c>
      <c r="CB154" s="540">
        <f t="shared" si="182"/>
        <v>0</v>
      </c>
      <c r="CC154" s="540">
        <f t="shared" ref="CC154:CJ154" si="183">+BY153+SUM(CC144:CC151)-CC153</f>
        <v>0.15499999999997272</v>
      </c>
      <c r="CD154" s="540">
        <f t="shared" si="183"/>
        <v>0</v>
      </c>
      <c r="CE154" s="540">
        <f t="shared" si="183"/>
        <v>0</v>
      </c>
      <c r="CF154" s="540">
        <f t="shared" ca="1" si="183"/>
        <v>-3.0999999999949068E-2</v>
      </c>
      <c r="CG154" s="540">
        <f t="shared" si="183"/>
        <v>0</v>
      </c>
      <c r="CH154" s="540">
        <f t="shared" si="183"/>
        <v>0</v>
      </c>
      <c r="CI154" s="540">
        <f t="shared" si="183"/>
        <v>0</v>
      </c>
      <c r="CJ154" s="540">
        <f t="shared" si="183"/>
        <v>0</v>
      </c>
    </row>
    <row r="155" spans="1:136" collapsed="1">
      <c r="BU155" s="33"/>
      <c r="BV155" s="33"/>
      <c r="BW155" s="33"/>
      <c r="BX155" s="33"/>
      <c r="CG155" s="33"/>
      <c r="CH155" s="33"/>
      <c r="CI155" s="33"/>
      <c r="CJ155" s="33"/>
    </row>
    <row r="156" spans="1:136">
      <c r="A156" s="25" t="s">
        <v>570</v>
      </c>
      <c r="B156" s="25"/>
      <c r="C156" s="25"/>
      <c r="D156" s="25"/>
      <c r="E156" s="25"/>
      <c r="F156" s="25"/>
      <c r="G156" s="25"/>
      <c r="H156" s="25"/>
      <c r="I156" s="25"/>
      <c r="J156" s="25"/>
      <c r="K156" s="25"/>
      <c r="L156" s="25"/>
      <c r="M156" s="25"/>
      <c r="N156" s="25"/>
      <c r="O156" s="25"/>
      <c r="P156" s="25"/>
      <c r="Q156" s="688"/>
      <c r="R156" s="689"/>
      <c r="S156" s="690"/>
      <c r="T156" s="689"/>
      <c r="U156" s="25"/>
      <c r="V156" s="25"/>
      <c r="W156" s="25"/>
      <c r="X156" s="25"/>
      <c r="Y156" s="25"/>
      <c r="Z156" s="25"/>
      <c r="AA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688"/>
      <c r="BV156" s="689"/>
      <c r="BW156" s="689"/>
      <c r="BX156" s="689"/>
      <c r="BY156" s="689"/>
      <c r="BZ156" s="689"/>
      <c r="CA156" s="689"/>
      <c r="CB156" s="689"/>
      <c r="CC156" s="689"/>
      <c r="CD156" s="689"/>
      <c r="CE156" s="689"/>
      <c r="CF156" s="689"/>
      <c r="CG156" s="25"/>
      <c r="CH156" s="25"/>
      <c r="CI156" s="25"/>
      <c r="CJ156" s="25"/>
    </row>
    <row r="157" spans="1:136">
      <c r="A157" s="2" t="s">
        <v>41</v>
      </c>
      <c r="L157" s="538"/>
      <c r="M157" s="538">
        <f>+M170+(($Q$157-$Q$170)/$Q$183)*M183</f>
        <v>370.64006522348677</v>
      </c>
      <c r="N157" s="538">
        <f>+N170+(($Q$157-$Q$170)/$Q$183)*N183</f>
        <v>226.85481169802426</v>
      </c>
      <c r="O157" s="538">
        <f>+O170+(($Q$157-$Q$170)/$Q$183)*O183</f>
        <v>287.5485827979378</v>
      </c>
      <c r="P157" s="538">
        <f>+P170+(($Q$157-$Q$170)/$Q$183)*P183</f>
        <v>-268.80691126116278</v>
      </c>
      <c r="Q157" s="499">
        <f t="shared" ref="Q157:U158" si="184">+P$166*Q44</f>
        <v>-143.79599999999999</v>
      </c>
      <c r="R157" s="538">
        <f t="shared" ref="R157:R164" si="185">+SUM(BY157:CB157)</f>
        <v>-58.873999999999995</v>
      </c>
      <c r="S157" s="538">
        <f>+SUM(CC157:CF157)</f>
        <v>-14.364999999999995</v>
      </c>
      <c r="T157" s="499">
        <f>+S$166*T44</f>
        <v>56.06</v>
      </c>
      <c r="U157" s="499">
        <f t="shared" si="184"/>
        <v>59.829522440273621</v>
      </c>
      <c r="V157" s="499">
        <f t="shared" ref="V157:AA157" si="186">+U$166*V44</f>
        <v>123.8471114513664</v>
      </c>
      <c r="W157" s="499">
        <f t="shared" si="186"/>
        <v>116.47820832001011</v>
      </c>
      <c r="X157" s="499">
        <f t="shared" si="186"/>
        <v>109.33809414999351</v>
      </c>
      <c r="Y157" s="499">
        <f t="shared" si="186"/>
        <v>102.45854126607591</v>
      </c>
      <c r="Z157" s="499">
        <f t="shared" si="186"/>
        <v>95.862465296448491</v>
      </c>
      <c r="AA157" s="499">
        <f t="shared" si="186"/>
        <v>89.565240778631747</v>
      </c>
      <c r="BI157" s="538">
        <f t="shared" ref="BI157:BX157" si="187">+BI170+(($Q$157-$Q$170)/$Q$183)*BI183</f>
        <v>79.597826439130358</v>
      </c>
      <c r="BJ157" s="538">
        <f t="shared" si="187"/>
        <v>84.226097645974306</v>
      </c>
      <c r="BK157" s="538">
        <f t="shared" si="187"/>
        <v>-38.844162189268765</v>
      </c>
      <c r="BL157" s="538">
        <f t="shared" si="187"/>
        <v>101.87504980218836</v>
      </c>
      <c r="BM157" s="538">
        <f t="shared" si="187"/>
        <v>78.084109615894505</v>
      </c>
      <c r="BN157" s="538">
        <f t="shared" si="187"/>
        <v>88.044567708569673</v>
      </c>
      <c r="BO157" s="538">
        <f t="shared" si="187"/>
        <v>113.14020309470499</v>
      </c>
      <c r="BP157" s="538">
        <f t="shared" si="187"/>
        <v>8.2797023787686044</v>
      </c>
      <c r="BQ157" s="538">
        <f t="shared" si="187"/>
        <v>-33.511952161255692</v>
      </c>
      <c r="BR157" s="538">
        <f t="shared" si="187"/>
        <v>-109.68169760290047</v>
      </c>
      <c r="BS157" s="538">
        <f t="shared" si="187"/>
        <v>-34.444834528140639</v>
      </c>
      <c r="BT157" s="538">
        <f t="shared" si="187"/>
        <v>-91.168426968865987</v>
      </c>
      <c r="BU157" s="538">
        <f t="shared" si="187"/>
        <v>-31.968402375152365</v>
      </c>
      <c r="BV157" s="538">
        <f t="shared" si="187"/>
        <v>-28.178068484799901</v>
      </c>
      <c r="BW157" s="538">
        <f t="shared" si="187"/>
        <v>-48.028592435683692</v>
      </c>
      <c r="BX157" s="538">
        <f t="shared" si="187"/>
        <v>-35.620936704364027</v>
      </c>
      <c r="BY157" s="538">
        <f t="shared" ref="BY157:CB158" si="188">+BU$166*BY44</f>
        <v>18.954000000000001</v>
      </c>
      <c r="BZ157" s="538">
        <f t="shared" si="188"/>
        <v>-11.423999999999999</v>
      </c>
      <c r="CA157" s="538">
        <f t="shared" si="188"/>
        <v>-4.1879999999999997</v>
      </c>
      <c r="CB157" s="538">
        <f t="shared" si="188"/>
        <v>-62.215999999999994</v>
      </c>
      <c r="CC157" s="538">
        <f t="shared" ref="CC157:CF158" si="189">+BY$166*CC44</f>
        <v>-15.982999999999999</v>
      </c>
      <c r="CD157" s="538">
        <f t="shared" si="189"/>
        <v>-34.5</v>
      </c>
      <c r="CE157" s="538">
        <f t="shared" si="189"/>
        <v>-6.8900000000000006</v>
      </c>
      <c r="CF157" s="538">
        <f t="shared" si="189"/>
        <v>43.008000000000003</v>
      </c>
      <c r="CG157" s="538">
        <f t="shared" ref="CG157:CI158" si="190">+CC$166*CG44</f>
        <v>14.32</v>
      </c>
      <c r="CH157" s="538">
        <f t="shared" si="190"/>
        <v>19.919999999999998</v>
      </c>
      <c r="CI157" s="538">
        <f t="shared" si="190"/>
        <v>7.0049999999999999</v>
      </c>
      <c r="CJ157" s="538">
        <f>+T157-SUM(CG157:CI157)</f>
        <v>14.815000000000005</v>
      </c>
    </row>
    <row r="158" spans="1:136">
      <c r="A158" s="2" t="s">
        <v>42</v>
      </c>
      <c r="L158" s="538"/>
      <c r="M158" s="538">
        <f>+M171+(($Q158-$Q171)/$Q184)*M184</f>
        <v>192.98290958475508</v>
      </c>
      <c r="N158" s="538">
        <f>+N171+(($Q158-$Q171)/$Q184)*N184</f>
        <v>215.04439158041043</v>
      </c>
      <c r="O158" s="538">
        <f>+O171+(($Q158-$Q171)/$Q184)*O184</f>
        <v>-117.93587910881548</v>
      </c>
      <c r="P158" s="538">
        <f>+P171+(($Q158-$Q171)/$Q184)*P184</f>
        <v>208.54354574810912</v>
      </c>
      <c r="Q158" s="499">
        <f t="shared" si="184"/>
        <v>262.584</v>
      </c>
      <c r="R158" s="538">
        <f t="shared" si="185"/>
        <v>94.474000000000004</v>
      </c>
      <c r="S158" s="538">
        <f>+SUM(CC158:CF158)</f>
        <v>160.65100000000001</v>
      </c>
      <c r="T158" s="499">
        <f t="shared" si="184"/>
        <v>112.12</v>
      </c>
      <c r="U158" s="499">
        <f t="shared" si="184"/>
        <v>149.57380610068407</v>
      </c>
      <c r="V158" s="499">
        <f t="shared" ref="V158:AA158" si="191">+U$166*V45</f>
        <v>154.80888931420802</v>
      </c>
      <c r="W158" s="499">
        <f t="shared" si="191"/>
        <v>161.77528933334736</v>
      </c>
      <c r="X158" s="499">
        <f t="shared" si="191"/>
        <v>168.73162677468133</v>
      </c>
      <c r="Y158" s="499">
        <f t="shared" si="191"/>
        <v>175.68336979779818</v>
      </c>
      <c r="Z158" s="499">
        <f t="shared" si="191"/>
        <v>182.63691757439506</v>
      </c>
      <c r="AA158" s="499">
        <f t="shared" si="191"/>
        <v>189.59940214616614</v>
      </c>
      <c r="BI158" s="538">
        <f t="shared" ref="BI158:BU158" si="192">+BI171+(($Q158-$Q171)/$Q184)*BI184</f>
        <v>62.970459162034899</v>
      </c>
      <c r="BJ158" s="538">
        <f t="shared" si="192"/>
        <v>48.034692643426951</v>
      </c>
      <c r="BK158" s="538">
        <f t="shared" si="192"/>
        <v>57.739237128398109</v>
      </c>
      <c r="BL158" s="538">
        <f t="shared" si="192"/>
        <v>46.300002646550453</v>
      </c>
      <c r="BM158" s="538">
        <f t="shared" si="192"/>
        <v>13.854332692033616</v>
      </c>
      <c r="BN158" s="538">
        <f t="shared" si="192"/>
        <v>-5.3142171939955523</v>
      </c>
      <c r="BO158" s="538">
        <f t="shared" si="192"/>
        <v>-65.447836554603313</v>
      </c>
      <c r="BP158" s="538">
        <f t="shared" si="192"/>
        <v>-61.02815805225022</v>
      </c>
      <c r="BQ158" s="538">
        <f t="shared" si="192"/>
        <v>20.940724464623596</v>
      </c>
      <c r="BR158" s="538">
        <f t="shared" si="192"/>
        <v>29.110950252522422</v>
      </c>
      <c r="BS158" s="538">
        <f t="shared" si="192"/>
        <v>63.171264880074077</v>
      </c>
      <c r="BT158" s="538">
        <f t="shared" si="192"/>
        <v>95.320606150889006</v>
      </c>
      <c r="BU158" s="538">
        <f t="shared" si="192"/>
        <v>44.28737061480922</v>
      </c>
      <c r="BV158" s="538">
        <f>+BV171+(($Q$158-$Q$171)/$Q$184)*BV184</f>
        <v>70.473226363534408</v>
      </c>
      <c r="BW158" s="538">
        <f>+BW171+(($Q$158-$Q$171)/$Q$184)*BW184</f>
        <v>92.293054949145599</v>
      </c>
      <c r="BX158" s="538">
        <f>+BX171+(($Q$158-$Q$171)/$Q$184)*BX184</f>
        <v>55.530348072510776</v>
      </c>
      <c r="BY158" s="538">
        <f t="shared" si="188"/>
        <v>42.282000000000004</v>
      </c>
      <c r="BZ158" s="538">
        <f t="shared" si="188"/>
        <v>0</v>
      </c>
      <c r="CA158" s="538">
        <f t="shared" si="188"/>
        <v>9.7720000000000002</v>
      </c>
      <c r="CB158" s="538">
        <f>+BX$166*CB45</f>
        <v>42.42</v>
      </c>
      <c r="CC158" s="538">
        <f t="shared" si="189"/>
        <v>39.231000000000002</v>
      </c>
      <c r="CD158" s="538">
        <f t="shared" si="189"/>
        <v>24.84</v>
      </c>
      <c r="CE158" s="538">
        <f t="shared" si="189"/>
        <v>46.852000000000004</v>
      </c>
      <c r="CF158" s="538">
        <f t="shared" si="189"/>
        <v>49.727999999999994</v>
      </c>
      <c r="CG158" s="538">
        <f t="shared" si="190"/>
        <v>28.64</v>
      </c>
      <c r="CH158" s="538">
        <f t="shared" si="190"/>
        <v>33.200000000000003</v>
      </c>
      <c r="CI158" s="538">
        <f t="shared" si="190"/>
        <v>35.024999999999999</v>
      </c>
      <c r="CJ158" s="538">
        <f>+T158-SUM(CG158:CI158)</f>
        <v>15.254999999999995</v>
      </c>
    </row>
    <row r="159" spans="1:136">
      <c r="A159" s="87"/>
      <c r="S159" s="158"/>
      <c r="BI159" s="91"/>
      <c r="BJ159" s="91"/>
      <c r="BK159" s="91"/>
      <c r="BL159" s="91"/>
      <c r="BM159" s="91"/>
      <c r="BN159" s="91"/>
      <c r="BO159" s="91"/>
      <c r="BP159" s="91"/>
      <c r="BQ159" s="91"/>
      <c r="BR159" s="91"/>
      <c r="BS159" s="91"/>
      <c r="BT159" s="91"/>
      <c r="BU159" s="91"/>
      <c r="BV159" s="91"/>
      <c r="BW159" s="91"/>
      <c r="BX159" s="91"/>
      <c r="BY159" s="91"/>
      <c r="BZ159" s="91"/>
      <c r="CA159" s="701"/>
      <c r="CB159" s="701"/>
      <c r="CC159" s="701"/>
      <c r="CD159" s="701"/>
      <c r="CE159" s="701"/>
      <c r="CF159" s="701"/>
      <c r="CG159" s="91"/>
      <c r="CH159" s="91"/>
      <c r="CI159" s="91"/>
      <c r="CJ159" s="91"/>
    </row>
    <row r="160" spans="1:136">
      <c r="A160" s="2" t="s">
        <v>43</v>
      </c>
      <c r="M160" s="538">
        <f>+M173+(($Q160-$Q173)/$Q186)*M186</f>
        <v>278.94830371567042</v>
      </c>
      <c r="N160" s="538">
        <f>+N173+(($Q160-$Q173)/$Q186)*N186</f>
        <v>-119.74474959612277</v>
      </c>
      <c r="O160" s="538">
        <f>+O173+(($Q160-$Q173)/$Q186)*O186</f>
        <v>-281.03877221324717</v>
      </c>
      <c r="P160" s="538">
        <f>+P173+(($Q160-$Q173)/$Q186)*P186</f>
        <v>-320.52827140549272</v>
      </c>
      <c r="Q160" s="548">
        <v>-550</v>
      </c>
      <c r="R160" s="538">
        <f t="shared" si="185"/>
        <v>-219</v>
      </c>
      <c r="S160" s="538">
        <f>+SUM(CC160:CF160)</f>
        <v>-99</v>
      </c>
      <c r="T160" s="499">
        <f>+SUM(CG160:CJ160)</f>
        <v>208.77224402736184</v>
      </c>
      <c r="U160" s="499">
        <f t="shared" ref="T160:U163" si="193">+T$166*U47</f>
        <v>0</v>
      </c>
      <c r="V160" s="499">
        <f t="shared" ref="V160:AA160" si="194">+U$166*V47</f>
        <v>0</v>
      </c>
      <c r="W160" s="499">
        <f t="shared" si="194"/>
        <v>0</v>
      </c>
      <c r="X160" s="499">
        <f t="shared" si="194"/>
        <v>0</v>
      </c>
      <c r="Y160" s="499">
        <f t="shared" si="194"/>
        <v>0</v>
      </c>
      <c r="Z160" s="499">
        <f t="shared" si="194"/>
        <v>0</v>
      </c>
      <c r="AA160" s="499">
        <f t="shared" si="194"/>
        <v>0</v>
      </c>
      <c r="BI160" s="538">
        <f t="shared" ref="BI160:BX160" si="195">+BI173+(($Q160-$Q173)/$Q186)*BI186</f>
        <v>8.176090468497577</v>
      </c>
      <c r="BJ160" s="538">
        <f t="shared" si="195"/>
        <v>-71.353796445880448</v>
      </c>
      <c r="BK160" s="538">
        <f t="shared" si="195"/>
        <v>-58.008077544426492</v>
      </c>
      <c r="BL160" s="538">
        <f t="shared" si="195"/>
        <v>1.4410339256865914</v>
      </c>
      <c r="BM160" s="538">
        <f t="shared" si="195"/>
        <v>-35.970920840064622</v>
      </c>
      <c r="BN160" s="538">
        <f t="shared" si="195"/>
        <v>-30.103392568659128</v>
      </c>
      <c r="BO160" s="538">
        <f t="shared" si="195"/>
        <v>-103.23586429725364</v>
      </c>
      <c r="BP160" s="538">
        <f t="shared" si="195"/>
        <v>-111.72859450726979</v>
      </c>
      <c r="BQ160" s="538">
        <f t="shared" si="195"/>
        <v>-125.55250403877221</v>
      </c>
      <c r="BR160" s="538">
        <f t="shared" si="195"/>
        <v>-73.258481421647815</v>
      </c>
      <c r="BS160" s="538">
        <f t="shared" si="195"/>
        <v>-20.817447495961225</v>
      </c>
      <c r="BT160" s="538">
        <f t="shared" si="195"/>
        <v>-100.89983844911147</v>
      </c>
      <c r="BU160" s="538">
        <f>+BU173+(($Q160-$Q173)/$Q186)*BU186</f>
        <v>-103.7075928917609</v>
      </c>
      <c r="BV160" s="538">
        <f t="shared" si="195"/>
        <v>-124.20032310177706</v>
      </c>
      <c r="BW160" s="538">
        <f t="shared" si="195"/>
        <v>-184.45072697899838</v>
      </c>
      <c r="BX160" s="538">
        <f t="shared" si="195"/>
        <v>-137.64135702746364</v>
      </c>
      <c r="BY160" s="548">
        <f>+-103+5</f>
        <v>-98</v>
      </c>
      <c r="BZ160" s="548">
        <f>+-64+3</f>
        <v>-61</v>
      </c>
      <c r="CA160" s="547">
        <f>+-19</f>
        <v>-19</v>
      </c>
      <c r="CB160" s="547">
        <v>-41</v>
      </c>
      <c r="CC160" s="547">
        <v>-45</v>
      </c>
      <c r="CD160" s="547">
        <v>-44</v>
      </c>
      <c r="CE160" s="547">
        <v>-18</v>
      </c>
      <c r="CF160" s="547">
        <v>8</v>
      </c>
      <c r="CG160" s="538">
        <f>+CC$166*CG47</f>
        <v>75.876244027361864</v>
      </c>
      <c r="CH160" s="538">
        <f>+CD$166*CH47</f>
        <v>53.120000000000005</v>
      </c>
      <c r="CI160" s="538">
        <f>+CE$166*CI47</f>
        <v>36.425999999999995</v>
      </c>
      <c r="CJ160" s="538">
        <f>+CF$166*CJ47</f>
        <v>43.35</v>
      </c>
    </row>
    <row r="161" spans="1:89">
      <c r="A161" s="2" t="s">
        <v>44</v>
      </c>
      <c r="M161" s="538">
        <f>+M174+M187*(M$179/M$219)</f>
        <v>224.52601855586931</v>
      </c>
      <c r="N161" s="538">
        <f>+N174+N187*(N$179/N$219)</f>
        <v>0</v>
      </c>
      <c r="O161" s="538">
        <f>+SUM(BM161:BP161)</f>
        <v>55.87</v>
      </c>
      <c r="P161" s="538">
        <f>+SUM(BQ161:BT161)</f>
        <v>8.06</v>
      </c>
      <c r="Q161" s="548">
        <v>128</v>
      </c>
      <c r="R161" s="538">
        <f t="shared" si="185"/>
        <v>71</v>
      </c>
      <c r="S161" s="538">
        <f>+SUM(CC161:CF161)</f>
        <v>0</v>
      </c>
      <c r="T161" s="499">
        <f t="shared" si="193"/>
        <v>0</v>
      </c>
      <c r="U161" s="499">
        <f t="shared" si="193"/>
        <v>0</v>
      </c>
      <c r="V161" s="499">
        <f t="shared" ref="V161:AA161" si="196">+U$166*V48</f>
        <v>0</v>
      </c>
      <c r="W161" s="499">
        <f t="shared" si="196"/>
        <v>0</v>
      </c>
      <c r="X161" s="499">
        <f t="shared" si="196"/>
        <v>0</v>
      </c>
      <c r="Y161" s="499">
        <f t="shared" si="196"/>
        <v>0</v>
      </c>
      <c r="Z161" s="499">
        <f t="shared" si="196"/>
        <v>0</v>
      </c>
      <c r="AA161" s="499">
        <f t="shared" si="196"/>
        <v>0</v>
      </c>
      <c r="BI161" s="538">
        <f t="shared" ref="BI161:BP161" si="197">+BI174+(BI187*0.62)</f>
        <v>0</v>
      </c>
      <c r="BJ161" s="538">
        <f t="shared" si="197"/>
        <v>0</v>
      </c>
      <c r="BK161" s="538">
        <f t="shared" si="197"/>
        <v>0</v>
      </c>
      <c r="BL161" s="538">
        <f t="shared" si="197"/>
        <v>0</v>
      </c>
      <c r="BM161" s="538">
        <f t="shared" si="197"/>
        <v>7.9399999999999995</v>
      </c>
      <c r="BN161" s="538">
        <f t="shared" si="197"/>
        <v>14.879999999999999</v>
      </c>
      <c r="BO161" s="538">
        <f t="shared" si="197"/>
        <v>14.26</v>
      </c>
      <c r="BP161" s="538">
        <f t="shared" si="197"/>
        <v>18.79</v>
      </c>
      <c r="BQ161" s="538">
        <f t="shared" ref="BQ161:BT163" si="198">+BQ174+(BQ187*0.62)</f>
        <v>8.06</v>
      </c>
      <c r="BR161" s="538">
        <f t="shared" si="198"/>
        <v>0</v>
      </c>
      <c r="BS161" s="538">
        <f t="shared" si="198"/>
        <v>0</v>
      </c>
      <c r="BT161" s="538">
        <f t="shared" si="198"/>
        <v>0</v>
      </c>
      <c r="BU161" s="548">
        <v>0</v>
      </c>
      <c r="BV161" s="547">
        <v>0</v>
      </c>
      <c r="BW161" s="547">
        <f>+BW174</f>
        <v>74</v>
      </c>
      <c r="BX161" s="547">
        <f>+BX174</f>
        <v>54</v>
      </c>
      <c r="BY161" s="548">
        <v>38</v>
      </c>
      <c r="BZ161" s="548">
        <v>33</v>
      </c>
      <c r="CA161" s="547">
        <v>0</v>
      </c>
      <c r="CB161" s="547">
        <v>0</v>
      </c>
      <c r="CC161" s="547">
        <v>0</v>
      </c>
      <c r="CD161" s="547">
        <v>0</v>
      </c>
      <c r="CE161" s="547">
        <v>0</v>
      </c>
      <c r="CF161" s="547">
        <v>0</v>
      </c>
      <c r="CG161" s="538">
        <f t="shared" ref="CG161:CI164" si="199">+CC$166*CG48</f>
        <v>0</v>
      </c>
      <c r="CH161" s="538">
        <f t="shared" si="199"/>
        <v>0</v>
      </c>
      <c r="CI161" s="538">
        <f t="shared" si="199"/>
        <v>0</v>
      </c>
      <c r="CJ161" s="538">
        <f>+T161-SUM(CG161:CI161)</f>
        <v>0</v>
      </c>
    </row>
    <row r="162" spans="1:89">
      <c r="A162" s="2" t="s">
        <v>45</v>
      </c>
      <c r="M162" s="538">
        <f>+M175+M188*(M$179/M$219)</f>
        <v>-110</v>
      </c>
      <c r="N162" s="538">
        <f>+N175+N188*(N$179/N$219)</f>
        <v>0</v>
      </c>
      <c r="O162" s="538">
        <f>+SUM(BM162:BP162)</f>
        <v>-50.53</v>
      </c>
      <c r="P162" s="538">
        <f>+SUM(BQ162:BT162)</f>
        <v>-12.399999999999999</v>
      </c>
      <c r="Q162" s="548">
        <v>0</v>
      </c>
      <c r="R162" s="538">
        <f t="shared" si="185"/>
        <v>0</v>
      </c>
      <c r="S162" s="538">
        <f>+SUM(CC162:CF162)</f>
        <v>0</v>
      </c>
      <c r="T162" s="716">
        <f>+SUM(CG162:CJ162)</f>
        <v>0</v>
      </c>
      <c r="U162" s="499">
        <f t="shared" si="193"/>
        <v>0</v>
      </c>
      <c r="V162" s="499">
        <f t="shared" ref="V162:AA162" si="200">+U$166*V49</f>
        <v>0</v>
      </c>
      <c r="W162" s="499">
        <f t="shared" si="200"/>
        <v>0</v>
      </c>
      <c r="X162" s="499">
        <f t="shared" si="200"/>
        <v>0</v>
      </c>
      <c r="Y162" s="499">
        <f t="shared" si="200"/>
        <v>0</v>
      </c>
      <c r="Z162" s="499">
        <f t="shared" si="200"/>
        <v>0</v>
      </c>
      <c r="AA162" s="499">
        <f t="shared" si="200"/>
        <v>0</v>
      </c>
      <c r="BI162" s="538">
        <f t="shared" ref="BI162:BP162" si="201">+BI175+(BI188*0.62)</f>
        <v>0</v>
      </c>
      <c r="BJ162" s="538">
        <f t="shared" si="201"/>
        <v>0</v>
      </c>
      <c r="BK162" s="538">
        <f t="shared" si="201"/>
        <v>0</v>
      </c>
      <c r="BL162" s="538">
        <f t="shared" si="201"/>
        <v>0</v>
      </c>
      <c r="BM162" s="538">
        <f t="shared" si="201"/>
        <v>-2.17</v>
      </c>
      <c r="BN162" s="538">
        <f t="shared" si="201"/>
        <v>-13.02</v>
      </c>
      <c r="BO162" s="538">
        <f t="shared" si="201"/>
        <v>-17.36</v>
      </c>
      <c r="BP162" s="538">
        <f t="shared" si="201"/>
        <v>-17.98</v>
      </c>
      <c r="BQ162" s="538">
        <f t="shared" si="198"/>
        <v>-11.78</v>
      </c>
      <c r="BR162" s="538">
        <f t="shared" si="198"/>
        <v>-0.62</v>
      </c>
      <c r="BS162" s="538">
        <f t="shared" si="198"/>
        <v>0</v>
      </c>
      <c r="BT162" s="538">
        <f t="shared" si="198"/>
        <v>0</v>
      </c>
      <c r="BU162" s="548">
        <v>0</v>
      </c>
      <c r="BV162" s="547">
        <v>0</v>
      </c>
      <c r="BW162" s="547">
        <v>0</v>
      </c>
      <c r="BX162" s="547">
        <v>0</v>
      </c>
      <c r="BY162" s="548">
        <v>0</v>
      </c>
      <c r="BZ162" s="548">
        <v>0</v>
      </c>
      <c r="CA162" s="547">
        <v>0</v>
      </c>
      <c r="CB162" s="547">
        <v>0</v>
      </c>
      <c r="CC162" s="547">
        <v>0</v>
      </c>
      <c r="CD162" s="547">
        <v>0</v>
      </c>
      <c r="CE162" s="547">
        <v>0</v>
      </c>
      <c r="CF162" s="547">
        <v>0</v>
      </c>
      <c r="CG162" s="708">
        <f>+CF162</f>
        <v>0</v>
      </c>
      <c r="CH162" s="708">
        <f>+CG162*0.5</f>
        <v>0</v>
      </c>
      <c r="CI162" s="538">
        <v>0</v>
      </c>
      <c r="CJ162" s="538">
        <v>0</v>
      </c>
    </row>
    <row r="163" spans="1:89">
      <c r="A163" s="2" t="s">
        <v>46</v>
      </c>
      <c r="M163" s="538">
        <f>+M176+M189*(M$179/M$219)</f>
        <v>31.393303751512708</v>
      </c>
      <c r="N163" s="538">
        <f>+SUM(BI163:BL163)</f>
        <v>-59.519999999999996</v>
      </c>
      <c r="O163" s="538">
        <f>+SUM(BM163:BP163)</f>
        <v>0</v>
      </c>
      <c r="P163" s="538">
        <f>+SUM(BQ163:BT163)</f>
        <v>0</v>
      </c>
      <c r="Q163" s="548">
        <v>0</v>
      </c>
      <c r="R163" s="538">
        <f t="shared" si="185"/>
        <v>0</v>
      </c>
      <c r="S163" s="538">
        <f>+SUM(CC163:CF163)</f>
        <v>0</v>
      </c>
      <c r="T163" s="499">
        <f t="shared" si="193"/>
        <v>0</v>
      </c>
      <c r="U163" s="499">
        <f t="shared" si="193"/>
        <v>0</v>
      </c>
      <c r="V163" s="499">
        <f t="shared" ref="V163:AA163" si="202">+U$166*V50</f>
        <v>0</v>
      </c>
      <c r="W163" s="499">
        <f t="shared" si="202"/>
        <v>0</v>
      </c>
      <c r="X163" s="499">
        <f t="shared" si="202"/>
        <v>0</v>
      </c>
      <c r="Y163" s="499">
        <f t="shared" si="202"/>
        <v>0</v>
      </c>
      <c r="Z163" s="499">
        <f t="shared" si="202"/>
        <v>0</v>
      </c>
      <c r="AA163" s="499">
        <f t="shared" si="202"/>
        <v>0</v>
      </c>
      <c r="BI163" s="538">
        <f t="shared" ref="BI163:BP163" si="203">+BI176+(BI189*0.62)</f>
        <v>0</v>
      </c>
      <c r="BJ163" s="538">
        <f t="shared" si="203"/>
        <v>-31.62</v>
      </c>
      <c r="BK163" s="538">
        <f t="shared" si="203"/>
        <v>0</v>
      </c>
      <c r="BL163" s="538">
        <f t="shared" si="203"/>
        <v>-27.9</v>
      </c>
      <c r="BM163" s="538">
        <f t="shared" si="203"/>
        <v>0</v>
      </c>
      <c r="BN163" s="538">
        <f t="shared" si="203"/>
        <v>0</v>
      </c>
      <c r="BO163" s="538">
        <f t="shared" si="203"/>
        <v>0</v>
      </c>
      <c r="BP163" s="538">
        <f t="shared" si="203"/>
        <v>0</v>
      </c>
      <c r="BQ163" s="538">
        <f t="shared" si="198"/>
        <v>0</v>
      </c>
      <c r="BR163" s="538">
        <f t="shared" si="198"/>
        <v>0</v>
      </c>
      <c r="BS163" s="538">
        <f t="shared" si="198"/>
        <v>0</v>
      </c>
      <c r="BT163" s="538">
        <f t="shared" si="198"/>
        <v>0</v>
      </c>
      <c r="BU163" s="548">
        <v>0</v>
      </c>
      <c r="BV163" s="547">
        <v>0</v>
      </c>
      <c r="BW163" s="547">
        <v>0</v>
      </c>
      <c r="BX163" s="547">
        <v>0</v>
      </c>
      <c r="BY163" s="548">
        <v>0</v>
      </c>
      <c r="BZ163" s="548">
        <v>0</v>
      </c>
      <c r="CA163" s="547">
        <v>0</v>
      </c>
      <c r="CB163" s="547">
        <v>0</v>
      </c>
      <c r="CC163" s="547">
        <v>0</v>
      </c>
      <c r="CD163" s="547">
        <v>0</v>
      </c>
      <c r="CE163" s="547">
        <v>0</v>
      </c>
      <c r="CF163" s="547">
        <v>0</v>
      </c>
      <c r="CG163" s="538">
        <f t="shared" si="199"/>
        <v>0</v>
      </c>
      <c r="CH163" s="538">
        <f t="shared" si="199"/>
        <v>0</v>
      </c>
      <c r="CI163" s="538">
        <f t="shared" si="199"/>
        <v>0</v>
      </c>
      <c r="CJ163" s="538">
        <f>+T163-SUM(CG163:CI163)</f>
        <v>0</v>
      </c>
    </row>
    <row r="164" spans="1:89">
      <c r="A164" s="2" t="s">
        <v>47</v>
      </c>
      <c r="M164" s="538">
        <f>+M177+M190*(M$179/M$219)</f>
        <v>0</v>
      </c>
      <c r="N164" s="538">
        <f>+SUM(BI164:BL164)</f>
        <v>-25.254453682311574</v>
      </c>
      <c r="O164" s="538">
        <f>+SUM(BM164:BP164)</f>
        <v>5.6860685241243445</v>
      </c>
      <c r="P164" s="538">
        <f>+SUM(BQ164:BT164)</f>
        <v>-742.16836308145332</v>
      </c>
      <c r="Q164" s="548">
        <v>0</v>
      </c>
      <c r="R164" s="538">
        <f t="shared" si="185"/>
        <v>0</v>
      </c>
      <c r="S164" s="538">
        <f ca="1">+SUM(CC164:CF164)</f>
        <v>0</v>
      </c>
      <c r="BI164" s="693">
        <f t="shared" ref="BI164:BT164" si="204">+BI166-BE166-SUM(BI157:BI163)</f>
        <v>12.115623930337279</v>
      </c>
      <c r="BJ164" s="693">
        <f t="shared" si="204"/>
        <v>-10.286993843520808</v>
      </c>
      <c r="BK164" s="693">
        <f t="shared" si="204"/>
        <v>-27.146997394702616</v>
      </c>
      <c r="BL164" s="693">
        <f t="shared" si="204"/>
        <v>6.3913625574571142E-2</v>
      </c>
      <c r="BM164" s="693">
        <f t="shared" si="204"/>
        <v>-6.0575214678636513</v>
      </c>
      <c r="BN164" s="693">
        <f t="shared" si="204"/>
        <v>9.3930420540848871</v>
      </c>
      <c r="BO164" s="693">
        <f t="shared" si="204"/>
        <v>5.0834977571517967</v>
      </c>
      <c r="BP164" s="693">
        <f t="shared" si="204"/>
        <v>-2.7329498192486881</v>
      </c>
      <c r="BQ164" s="693">
        <f t="shared" si="204"/>
        <v>-161.00210243713681</v>
      </c>
      <c r="BR164" s="693">
        <f t="shared" si="204"/>
        <v>-175.99159700843714</v>
      </c>
      <c r="BS164" s="693">
        <f t="shared" si="204"/>
        <v>-178.0191003450625</v>
      </c>
      <c r="BT164" s="693">
        <f t="shared" si="204"/>
        <v>-227.15556329081687</v>
      </c>
      <c r="BU164" s="693">
        <f>+BU166-BQ166-SUM(BU157:BU163)</f>
        <v>-49.825541175354786</v>
      </c>
      <c r="BV164" s="693">
        <f>+BV166-BR166-SUM(BV157:BV163)</f>
        <v>-43.834008996494276</v>
      </c>
      <c r="BW164" s="693">
        <f>+BW166-BS166-SUM(BW157:BW163)</f>
        <v>-91.463618045373266</v>
      </c>
      <c r="BX164" s="693">
        <f>+BX166-BT166-SUM(BX157:BX163)</f>
        <v>-67.664831782777725</v>
      </c>
      <c r="BY164" s="548">
        <v>0</v>
      </c>
      <c r="BZ164" s="548">
        <v>0</v>
      </c>
      <c r="CA164" s="547">
        <v>0</v>
      </c>
      <c r="CB164" s="547">
        <v>0</v>
      </c>
      <c r="CC164" s="547">
        <v>0</v>
      </c>
      <c r="CD164" s="547">
        <f ca="1">+BZ$166*CD51</f>
        <v>0</v>
      </c>
      <c r="CE164" s="547">
        <v>0</v>
      </c>
      <c r="CF164" s="547">
        <v>0</v>
      </c>
      <c r="CG164" s="538">
        <f t="shared" si="199"/>
        <v>0</v>
      </c>
      <c r="CH164" s="538">
        <f t="shared" si="199"/>
        <v>0</v>
      </c>
      <c r="CI164" s="538">
        <f t="shared" si="199"/>
        <v>0</v>
      </c>
      <c r="CJ164" s="538">
        <f>+T164-SUM(CG164:CI164)</f>
        <v>0</v>
      </c>
    </row>
    <row r="165" spans="1:89">
      <c r="BZ165" s="324"/>
    </row>
    <row r="166" spans="1:89">
      <c r="A166" s="682" t="s">
        <v>60</v>
      </c>
      <c r="B166" s="683"/>
      <c r="C166" s="683"/>
      <c r="D166" s="683"/>
      <c r="E166" s="683"/>
      <c r="F166" s="683"/>
      <c r="G166" s="683"/>
      <c r="H166" s="683"/>
      <c r="I166" s="683"/>
      <c r="J166" s="683"/>
      <c r="K166" s="550"/>
      <c r="L166" s="550">
        <f>+IS!L141</f>
        <v>5914.3815908679107</v>
      </c>
      <c r="M166" s="550">
        <f>+IS!M141</f>
        <v>7242.32</v>
      </c>
      <c r="N166" s="550">
        <f>+IS!N141</f>
        <v>7479.7</v>
      </c>
      <c r="O166" s="550">
        <f>+IS!O141</f>
        <v>7379.3</v>
      </c>
      <c r="P166" s="550">
        <f>+IS!P141</f>
        <v>6252</v>
      </c>
      <c r="Q166" s="550">
        <f>+IS!Q141</f>
        <v>5696</v>
      </c>
      <c r="R166" s="550">
        <f>+IS!R141</f>
        <v>5555</v>
      </c>
      <c r="S166" s="550">
        <f>+IS!S141</f>
        <v>5606</v>
      </c>
      <c r="T166" s="550">
        <f t="shared" ref="T166:AA166" si="205">+S166+SUM(T157:T158,T160:T164)</f>
        <v>5982.9522440273622</v>
      </c>
      <c r="U166" s="550">
        <f t="shared" si="205"/>
        <v>6192.35557256832</v>
      </c>
      <c r="V166" s="550">
        <f t="shared" si="205"/>
        <v>6471.0115733338944</v>
      </c>
      <c r="W166" s="550">
        <f t="shared" si="205"/>
        <v>6749.2650709872523</v>
      </c>
      <c r="X166" s="550">
        <f t="shared" si="205"/>
        <v>7027.3347919119269</v>
      </c>
      <c r="Y166" s="550">
        <f t="shared" si="205"/>
        <v>7305.4767029758013</v>
      </c>
      <c r="Z166" s="550">
        <f t="shared" si="205"/>
        <v>7583.9760858466452</v>
      </c>
      <c r="AA166" s="550">
        <f t="shared" si="205"/>
        <v>7863.1407287714428</v>
      </c>
      <c r="BE166" s="550">
        <f>+IS!BE141</f>
        <v>1683.52</v>
      </c>
      <c r="BF166" s="550">
        <f>+IS!BF141</f>
        <v>1801.3</v>
      </c>
      <c r="BG166" s="550">
        <f>+IS!BG141</f>
        <v>1843.58</v>
      </c>
      <c r="BH166" s="550">
        <f>+IS!BH141</f>
        <v>1913.92</v>
      </c>
      <c r="BI166" s="550">
        <f>+IS!BI141</f>
        <v>1846.38</v>
      </c>
      <c r="BJ166" s="550">
        <f>+IS!BJ141</f>
        <v>1820.3</v>
      </c>
      <c r="BK166" s="550">
        <f>+IS!BK141</f>
        <v>1777.3200000000002</v>
      </c>
      <c r="BL166" s="550">
        <f>+IS!BL141</f>
        <v>2035.7</v>
      </c>
      <c r="BM166" s="550">
        <f>+IS!BM141</f>
        <v>1902.06</v>
      </c>
      <c r="BN166" s="550">
        <f>+IS!BN141</f>
        <v>1884.1799999999998</v>
      </c>
      <c r="BO166" s="550">
        <f>+IS!BO141</f>
        <v>1723.76</v>
      </c>
      <c r="BP166" s="550">
        <f>+IS!BP141</f>
        <v>1869.3</v>
      </c>
      <c r="BQ166" s="550">
        <f>+IS!BQ141</f>
        <v>1599.2141658274588</v>
      </c>
      <c r="BR166" s="550">
        <f>+IS!BR141</f>
        <v>1553.7391742195368</v>
      </c>
      <c r="BS166" s="550">
        <f>+IS!BS141</f>
        <v>1553.6498825109097</v>
      </c>
      <c r="BT166" s="550">
        <f>+IS!BT141</f>
        <v>1545.3967774420946</v>
      </c>
      <c r="BU166" s="550">
        <f>+IS!BU141</f>
        <v>1458</v>
      </c>
      <c r="BV166" s="550">
        <f>+IS!BV141</f>
        <v>1428</v>
      </c>
      <c r="BW166" s="550">
        <f>+IS!BW141</f>
        <v>1396</v>
      </c>
      <c r="BX166" s="550">
        <f>+IS!BX141</f>
        <v>1414</v>
      </c>
      <c r="BY166" s="550">
        <f>+IS!BY141</f>
        <v>1453</v>
      </c>
      <c r="BZ166" s="550">
        <f>+IS!BZ141</f>
        <v>1380</v>
      </c>
      <c r="CA166" s="550">
        <f>+IS!CA141</f>
        <v>1378</v>
      </c>
      <c r="CB166" s="550">
        <f>+IS!CB141</f>
        <v>1344</v>
      </c>
      <c r="CC166" s="550">
        <f>+IS!CC141</f>
        <v>1432</v>
      </c>
      <c r="CD166" s="550">
        <f>+IS!CD141</f>
        <v>1328</v>
      </c>
      <c r="CE166" s="550">
        <f>+IS!CE141</f>
        <v>1401</v>
      </c>
      <c r="CF166" s="550">
        <f>+IS!CF141</f>
        <v>1445</v>
      </c>
      <c r="CG166" s="550">
        <f>+CC166+SUM(CG157:CG158,CG160:CG164)</f>
        <v>1550.8362440273618</v>
      </c>
      <c r="CH166" s="550">
        <f>+CD166+SUM(CH157:CH158,CH160:CH164)</f>
        <v>1434.24</v>
      </c>
      <c r="CI166" s="550">
        <f>+CE166+SUM(CI157:CI158,CI160:CI164)</f>
        <v>1479.4559999999999</v>
      </c>
      <c r="CJ166" s="550">
        <f>+CF166+SUM(CJ157:CJ158,CJ160:CJ164)</f>
        <v>1518.42</v>
      </c>
      <c r="CK166" s="730"/>
    </row>
    <row r="167" spans="1:89">
      <c r="A167" s="22" t="s">
        <v>61</v>
      </c>
      <c r="M167" s="540">
        <f t="shared" ref="M167:R167" si="206">+L166+SUM(M157:M158,M160:M164)-M166</f>
        <v>-339.44780830079435</v>
      </c>
      <c r="N167" s="540">
        <f t="shared" si="206"/>
        <v>0</v>
      </c>
      <c r="O167" s="540">
        <f t="shared" si="206"/>
        <v>0</v>
      </c>
      <c r="P167" s="540">
        <f t="shared" si="206"/>
        <v>0</v>
      </c>
      <c r="Q167" s="540">
        <f t="shared" si="206"/>
        <v>252.78800000000047</v>
      </c>
      <c r="R167" s="540">
        <f t="shared" si="206"/>
        <v>28.600000000000364</v>
      </c>
      <c r="BI167" s="540">
        <f t="shared" ref="BI167:CB167" si="207">+BE166+SUM(BI157:BI164)-BI166</f>
        <v>0</v>
      </c>
      <c r="BJ167" s="540">
        <f t="shared" si="207"/>
        <v>0</v>
      </c>
      <c r="BK167" s="540">
        <f t="shared" si="207"/>
        <v>0</v>
      </c>
      <c r="BL167" s="540">
        <f t="shared" si="207"/>
        <v>0</v>
      </c>
      <c r="BM167" s="540">
        <f t="shared" si="207"/>
        <v>0</v>
      </c>
      <c r="BN167" s="540">
        <f t="shared" si="207"/>
        <v>0</v>
      </c>
      <c r="BO167" s="540">
        <f t="shared" si="207"/>
        <v>0</v>
      </c>
      <c r="BP167" s="540">
        <f t="shared" si="207"/>
        <v>0</v>
      </c>
      <c r="BQ167" s="540">
        <f t="shared" si="207"/>
        <v>0</v>
      </c>
      <c r="BR167" s="540">
        <f t="shared" si="207"/>
        <v>0</v>
      </c>
      <c r="BS167" s="540">
        <f t="shared" si="207"/>
        <v>0</v>
      </c>
      <c r="BT167" s="540">
        <f t="shared" si="207"/>
        <v>0</v>
      </c>
      <c r="BU167" s="540">
        <f t="shared" si="207"/>
        <v>0</v>
      </c>
      <c r="BV167" s="540">
        <f t="shared" si="207"/>
        <v>0</v>
      </c>
      <c r="BW167" s="540">
        <f t="shared" si="207"/>
        <v>0</v>
      </c>
      <c r="BX167" s="540">
        <f t="shared" si="207"/>
        <v>0</v>
      </c>
      <c r="BY167" s="540">
        <f t="shared" si="207"/>
        <v>6.2360000000001037</v>
      </c>
      <c r="BZ167" s="540">
        <f t="shared" si="207"/>
        <v>8.5760000000000218</v>
      </c>
      <c r="CA167" s="540">
        <f t="shared" si="207"/>
        <v>4.58400000000006</v>
      </c>
      <c r="CB167" s="540">
        <f t="shared" si="207"/>
        <v>9.2039999999999509</v>
      </c>
      <c r="CC167" s="540">
        <f>+BY166+SUM(CC157:CC164)-CC166</f>
        <v>-0.75199999999995271</v>
      </c>
      <c r="CD167" s="540">
        <f ca="1">+BZ166+SUM(CD157:CD164)-CD166</f>
        <v>-1.6600000000000819</v>
      </c>
      <c r="CE167" s="540">
        <f>+CA166+SUM(CE157:CE164)-CE166</f>
        <v>-1.0380000000000109</v>
      </c>
      <c r="CF167" s="540">
        <f>+CB166+SUM(CF157:CF164)-CF166</f>
        <v>-0.26400000000012369</v>
      </c>
    </row>
    <row r="168" spans="1:89">
      <c r="BU168" s="500"/>
      <c r="BV168" s="500"/>
      <c r="BW168" s="500"/>
      <c r="BX168" s="500"/>
      <c r="CG168" s="33"/>
      <c r="CH168" s="33"/>
      <c r="CI168" s="33"/>
      <c r="CJ168" s="33"/>
    </row>
    <row r="169" spans="1:89" hidden="1" outlineLevel="1">
      <c r="A169" s="25" t="s">
        <v>55</v>
      </c>
      <c r="B169" s="518"/>
      <c r="C169" s="518"/>
      <c r="D169" s="518"/>
      <c r="E169" s="518"/>
      <c r="F169" s="518"/>
      <c r="G169" s="518"/>
      <c r="H169" s="518"/>
      <c r="I169" s="518"/>
      <c r="J169" s="518"/>
      <c r="K169" s="518"/>
      <c r="L169" s="518"/>
      <c r="M169" s="518"/>
      <c r="N169" s="518"/>
      <c r="O169" s="518"/>
      <c r="P169" s="518"/>
      <c r="Q169" s="518"/>
      <c r="R169" s="518"/>
      <c r="S169" s="518"/>
      <c r="T169" s="518"/>
      <c r="U169" s="518"/>
      <c r="V169" s="518"/>
      <c r="W169" s="518"/>
      <c r="X169" s="518"/>
      <c r="Y169" s="518"/>
      <c r="Z169" s="518"/>
      <c r="AA169" s="518"/>
      <c r="AB169" s="519"/>
      <c r="AC169" s="518"/>
      <c r="AD169" s="518"/>
      <c r="AE169" s="518"/>
      <c r="AF169" s="518"/>
      <c r="AG169" s="518"/>
      <c r="AH169" s="518"/>
      <c r="AI169" s="518"/>
      <c r="AJ169" s="518"/>
      <c r="AK169" s="518"/>
      <c r="AL169" s="518"/>
      <c r="AM169" s="518"/>
      <c r="AN169" s="518"/>
      <c r="AO169" s="518"/>
      <c r="AP169" s="518"/>
      <c r="AQ169" s="518"/>
      <c r="AR169" s="518"/>
      <c r="AS169" s="518"/>
      <c r="AT169" s="518"/>
      <c r="AU169" s="518"/>
      <c r="AV169" s="518"/>
      <c r="AW169" s="518"/>
      <c r="AX169" s="518"/>
      <c r="AY169" s="518"/>
      <c r="AZ169" s="518"/>
      <c r="BA169" s="518"/>
      <c r="BB169" s="518"/>
      <c r="BC169" s="518"/>
      <c r="BD169" s="518"/>
      <c r="BE169" s="518"/>
      <c r="BF169" s="518"/>
      <c r="BG169" s="518"/>
      <c r="BH169" s="518"/>
      <c r="BI169" s="518"/>
      <c r="BJ169" s="518"/>
      <c r="BK169" s="518"/>
      <c r="BL169" s="518"/>
      <c r="BM169" s="518"/>
      <c r="BN169" s="518"/>
      <c r="BO169" s="518"/>
      <c r="BP169" s="518"/>
      <c r="BQ169" s="518"/>
      <c r="BR169" s="518"/>
      <c r="BS169" s="518"/>
      <c r="BT169" s="518"/>
      <c r="BU169" s="518"/>
      <c r="BV169" s="518"/>
      <c r="BW169" s="518"/>
      <c r="BX169" s="518"/>
      <c r="BY169" s="518"/>
      <c r="BZ169" s="518"/>
      <c r="CA169" s="518"/>
      <c r="CB169" s="518"/>
      <c r="CC169" s="518"/>
      <c r="CD169" s="518"/>
      <c r="CE169" s="518"/>
      <c r="CF169" s="518"/>
      <c r="CG169" s="518"/>
      <c r="CH169" s="518"/>
      <c r="CI169" s="518"/>
      <c r="CJ169" s="518"/>
    </row>
    <row r="170" spans="1:89" hidden="1" outlineLevel="1">
      <c r="A170" s="2" t="s">
        <v>41</v>
      </c>
      <c r="B170" s="32"/>
      <c r="C170" s="32"/>
      <c r="D170" s="32"/>
      <c r="E170" s="32"/>
      <c r="F170" s="32"/>
      <c r="G170" s="32"/>
      <c r="H170" s="32"/>
      <c r="I170" s="32"/>
      <c r="J170" s="32"/>
      <c r="K170" s="32"/>
      <c r="L170" s="32" t="s">
        <v>48</v>
      </c>
      <c r="M170" s="538">
        <f>+M72*L$179</f>
        <v>347.61199999999997</v>
      </c>
      <c r="N170" s="538">
        <f>+SUM(BI170:BL170)</f>
        <v>189.685</v>
      </c>
      <c r="O170" s="538">
        <f>+SUM(BM170:BP170)</f>
        <v>130.90800000000002</v>
      </c>
      <c r="P170" s="538">
        <f>+SUM(BQ170:BT170)</f>
        <v>-280.62799999999999</v>
      </c>
      <c r="Q170" s="538">
        <f>+SUM(BU170:BX170)</f>
        <v>-88.29996842105264</v>
      </c>
      <c r="R170" s="538">
        <f t="shared" ref="R170:U171" si="208">+R72*Q$179</f>
        <v>82.212999999999994</v>
      </c>
      <c r="S170" s="538">
        <f t="shared" si="208"/>
        <v>43.228479999999998</v>
      </c>
      <c r="T170" s="538">
        <f t="shared" si="208"/>
        <v>44.019192000000004</v>
      </c>
      <c r="U170" s="538">
        <f t="shared" si="208"/>
        <v>92.000111279999999</v>
      </c>
      <c r="V170" s="538">
        <f t="shared" ref="V170:AA170" si="209">+V72*U$179</f>
        <v>86.940105159600009</v>
      </c>
      <c r="W170" s="538">
        <f t="shared" si="209"/>
        <v>82.001907186534737</v>
      </c>
      <c r="X170" s="538">
        <f t="shared" si="209"/>
        <v>77.211355768697373</v>
      </c>
      <c r="Y170" s="538">
        <f t="shared" si="209"/>
        <v>72.58809420797931</v>
      </c>
      <c r="Z170" s="538">
        <f t="shared" si="209"/>
        <v>68.146414205774235</v>
      </c>
      <c r="AA170" s="538">
        <f t="shared" si="209"/>
        <v>63.896041938991331</v>
      </c>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t="s">
        <v>48</v>
      </c>
      <c r="BF170" s="32" t="s">
        <v>48</v>
      </c>
      <c r="BG170" s="32" t="s">
        <v>48</v>
      </c>
      <c r="BH170" s="32" t="s">
        <v>48</v>
      </c>
      <c r="BI170" s="538">
        <f t="shared" ref="BI170:BR171" si="210">+BI72*BE$179</f>
        <v>71.399999999999991</v>
      </c>
      <c r="BJ170" s="538">
        <f t="shared" si="210"/>
        <v>66.804000000000002</v>
      </c>
      <c r="BK170" s="538">
        <f t="shared" si="210"/>
        <v>-33.722999999999999</v>
      </c>
      <c r="BL170" s="538">
        <f t="shared" si="210"/>
        <v>85.204000000000008</v>
      </c>
      <c r="BM170" s="538">
        <f t="shared" si="210"/>
        <v>54.120000000000005</v>
      </c>
      <c r="BN170" s="538">
        <f t="shared" si="210"/>
        <v>42.77</v>
      </c>
      <c r="BO170" s="538">
        <f t="shared" si="210"/>
        <v>57.716000000000001</v>
      </c>
      <c r="BP170" s="538">
        <f t="shared" si="210"/>
        <v>-23.698</v>
      </c>
      <c r="BQ170" s="538">
        <f t="shared" si="210"/>
        <v>-51.945999999999998</v>
      </c>
      <c r="BR170" s="538">
        <f t="shared" si="210"/>
        <v>-122.76</v>
      </c>
      <c r="BS170" s="538">
        <f t="shared" ref="BS170:CA171" si="211">+BS72*BO$179</f>
        <v>-26.128</v>
      </c>
      <c r="BT170" s="538">
        <f t="shared" si="211"/>
        <v>-79.793999999999997</v>
      </c>
      <c r="BU170" s="538">
        <f t="shared" si="211"/>
        <v>-33.788368421052631</v>
      </c>
      <c r="BV170" s="538">
        <f t="shared" si="211"/>
        <v>-15.993600000000001</v>
      </c>
      <c r="BW170" s="538">
        <f t="shared" si="211"/>
        <v>-27.288</v>
      </c>
      <c r="BX170" s="538">
        <f t="shared" si="211"/>
        <v>-11.23</v>
      </c>
      <c r="BY170" s="538">
        <f t="shared" si="211"/>
        <v>12.484999999999999</v>
      </c>
      <c r="BZ170" s="538">
        <f t="shared" si="211"/>
        <v>13.116999999999999</v>
      </c>
      <c r="CA170" s="538">
        <f t="shared" si="211"/>
        <v>22.02</v>
      </c>
      <c r="CB170" s="538"/>
      <c r="CC170" s="538"/>
      <c r="CD170" s="538"/>
      <c r="CE170" s="538"/>
      <c r="CF170" s="538"/>
      <c r="CG170" s="538"/>
      <c r="CH170" s="538"/>
      <c r="CI170" s="538"/>
      <c r="CJ170" s="538"/>
    </row>
    <row r="171" spans="1:89" hidden="1" outlineLevel="1">
      <c r="A171" s="2" t="s">
        <v>42</v>
      </c>
      <c r="B171" s="32"/>
      <c r="C171" s="32"/>
      <c r="D171" s="32"/>
      <c r="E171" s="32"/>
      <c r="F171" s="32"/>
      <c r="G171" s="32"/>
      <c r="H171" s="32"/>
      <c r="I171" s="32"/>
      <c r="J171" s="32"/>
      <c r="K171" s="32"/>
      <c r="L171" s="32" t="s">
        <v>48</v>
      </c>
      <c r="M171" s="538">
        <f>+M73*L$179</f>
        <v>113.176</v>
      </c>
      <c r="N171" s="538">
        <f>+SUM(BI171:BL171)</f>
        <v>191.53300000000002</v>
      </c>
      <c r="O171" s="538">
        <f>+SUM(BM171:BP171)</f>
        <v>-97.828000000000003</v>
      </c>
      <c r="P171" s="538">
        <f>+SUM(BQ171:BT171)</f>
        <v>142.268</v>
      </c>
      <c r="Q171" s="538">
        <f>+SUM(BU171:BX171)</f>
        <v>165.80196842105263</v>
      </c>
      <c r="R171" s="538">
        <f t="shared" si="208"/>
        <v>21.635000000000002</v>
      </c>
      <c r="S171" s="538">
        <f t="shared" si="208"/>
        <v>64.84272</v>
      </c>
      <c r="T171" s="538">
        <f t="shared" si="208"/>
        <v>154.06717200000003</v>
      </c>
      <c r="U171" s="538">
        <f t="shared" si="208"/>
        <v>138.00016692</v>
      </c>
      <c r="V171" s="538">
        <f t="shared" ref="V171:AA171" si="212">+V73*U$179</f>
        <v>144.90017526599999</v>
      </c>
      <c r="W171" s="538">
        <f t="shared" si="212"/>
        <v>151.85538367876799</v>
      </c>
      <c r="X171" s="538">
        <f t="shared" si="212"/>
        <v>158.87110240472708</v>
      </c>
      <c r="Y171" s="538">
        <f t="shared" si="212"/>
        <v>165.9535761499298</v>
      </c>
      <c r="Z171" s="538">
        <f t="shared" si="212"/>
        <v>173.10982626066709</v>
      </c>
      <c r="AA171" s="538">
        <f t="shared" si="212"/>
        <v>180.34751347466033</v>
      </c>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t="s">
        <v>48</v>
      </c>
      <c r="BF171" s="32" t="s">
        <v>48</v>
      </c>
      <c r="BG171" s="32" t="s">
        <v>48</v>
      </c>
      <c r="BH171" s="32" t="s">
        <v>48</v>
      </c>
      <c r="BI171" s="538">
        <f t="shared" si="210"/>
        <v>44.03</v>
      </c>
      <c r="BJ171" s="538">
        <f t="shared" si="210"/>
        <v>38.676000000000002</v>
      </c>
      <c r="BK171" s="538">
        <f t="shared" si="210"/>
        <v>57.454000000000001</v>
      </c>
      <c r="BL171" s="538">
        <f t="shared" si="210"/>
        <v>51.373000000000005</v>
      </c>
      <c r="BM171" s="538">
        <f t="shared" si="210"/>
        <v>22.44</v>
      </c>
      <c r="BN171" s="538">
        <f t="shared" si="210"/>
        <v>-2.444</v>
      </c>
      <c r="BO171" s="538">
        <f t="shared" si="210"/>
        <v>-56.488</v>
      </c>
      <c r="BP171" s="538">
        <f t="shared" si="210"/>
        <v>-61.335999999999999</v>
      </c>
      <c r="BQ171" s="538">
        <f t="shared" si="210"/>
        <v>15.036999999999999</v>
      </c>
      <c r="BR171" s="538">
        <f t="shared" si="210"/>
        <v>19.84</v>
      </c>
      <c r="BS171" s="543">
        <f t="shared" si="211"/>
        <v>40.895999999999994</v>
      </c>
      <c r="BT171" s="543">
        <f t="shared" si="211"/>
        <v>66.495000000000005</v>
      </c>
      <c r="BU171" s="543">
        <f t="shared" si="211"/>
        <v>32.579368421052628</v>
      </c>
      <c r="BV171" s="538">
        <f t="shared" si="211"/>
        <v>45.981600000000007</v>
      </c>
      <c r="BW171" s="543">
        <f t="shared" si="211"/>
        <v>62.535000000000004</v>
      </c>
      <c r="BX171" s="543">
        <f t="shared" si="211"/>
        <v>24.706</v>
      </c>
      <c r="BY171" s="538">
        <f t="shared" si="211"/>
        <v>20.43</v>
      </c>
      <c r="BZ171" s="538">
        <f t="shared" si="211"/>
        <v>7.0629999999999997</v>
      </c>
      <c r="CA171" s="538">
        <f t="shared" si="211"/>
        <v>-5.5049999999999999</v>
      </c>
      <c r="CB171" s="538"/>
      <c r="CC171" s="538"/>
      <c r="CD171" s="538"/>
      <c r="CE171" s="538"/>
      <c r="CF171" s="538"/>
      <c r="CG171" s="538"/>
      <c r="CH171" s="538"/>
      <c r="CI171" s="538"/>
      <c r="CJ171" s="538"/>
    </row>
    <row r="172" spans="1:89" ht="6" hidden="1" customHeight="1" outlineLevel="1">
      <c r="BS172" s="517"/>
      <c r="BW172" s="517"/>
      <c r="BX172" s="517"/>
    </row>
    <row r="173" spans="1:89" hidden="1" outlineLevel="1">
      <c r="A173" s="2" t="s">
        <v>43</v>
      </c>
      <c r="B173" s="32"/>
      <c r="C173" s="32"/>
      <c r="D173" s="32"/>
      <c r="E173" s="32"/>
      <c r="F173" s="32"/>
      <c r="G173" s="32"/>
      <c r="H173" s="32"/>
      <c r="I173" s="32"/>
      <c r="J173" s="32"/>
      <c r="K173" s="32"/>
      <c r="L173" s="32" t="s">
        <v>48</v>
      </c>
      <c r="M173" s="544">
        <v>283</v>
      </c>
      <c r="N173" s="538">
        <f>+SUM(BI173:BL173)</f>
        <v>-82</v>
      </c>
      <c r="O173" s="538">
        <f>+SUM(BM173:BP173)</f>
        <v>-245</v>
      </c>
      <c r="P173" s="538">
        <f>+SUM(BQ173:BT173)</f>
        <v>-209</v>
      </c>
      <c r="Q173" s="538">
        <f>+SUM(BU173:BX173)</f>
        <v>-418</v>
      </c>
      <c r="R173" s="538">
        <f>+SUM(BY173:CB173)</f>
        <v>-108</v>
      </c>
      <c r="S173" s="538">
        <f>+SUM(BZ173:CC173)</f>
        <v>-29</v>
      </c>
      <c r="T173" s="538">
        <f t="shared" ref="T173:U177" si="213">+T75*S$179</f>
        <v>0</v>
      </c>
      <c r="U173" s="538">
        <f t="shared" si="213"/>
        <v>0</v>
      </c>
      <c r="V173" s="538">
        <f t="shared" ref="V173:AA173" si="214">+V75*U$179</f>
        <v>0</v>
      </c>
      <c r="W173" s="538">
        <f t="shared" si="214"/>
        <v>0</v>
      </c>
      <c r="X173" s="538">
        <f t="shared" si="214"/>
        <v>0</v>
      </c>
      <c r="Y173" s="538">
        <f t="shared" si="214"/>
        <v>0</v>
      </c>
      <c r="Z173" s="538">
        <f t="shared" si="214"/>
        <v>0</v>
      </c>
      <c r="AA173" s="538">
        <f t="shared" si="214"/>
        <v>0</v>
      </c>
      <c r="AC173" s="32"/>
      <c r="AD173" s="32"/>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t="s">
        <v>48</v>
      </c>
      <c r="BF173" s="32" t="s">
        <v>48</v>
      </c>
      <c r="BG173" s="32" t="s">
        <v>48</v>
      </c>
      <c r="BH173" s="32" t="s">
        <v>48</v>
      </c>
      <c r="BI173" s="544">
        <v>15</v>
      </c>
      <c r="BJ173" s="544">
        <v>-56</v>
      </c>
      <c r="BK173" s="544">
        <v>-45</v>
      </c>
      <c r="BL173" s="544">
        <v>4</v>
      </c>
      <c r="BM173" s="545">
        <v>-30</v>
      </c>
      <c r="BN173" s="545">
        <v>-22</v>
      </c>
      <c r="BO173" s="545">
        <v>-93</v>
      </c>
      <c r="BP173" s="545">
        <v>-100</v>
      </c>
      <c r="BQ173" s="546">
        <v>-107</v>
      </c>
      <c r="BR173" s="545">
        <v>-53</v>
      </c>
      <c r="BS173" s="547">
        <v>2</v>
      </c>
      <c r="BT173" s="548">
        <v>-51</v>
      </c>
      <c r="BU173" s="548">
        <f>+-74+1</f>
        <v>-73</v>
      </c>
      <c r="BV173" s="547">
        <f>+-93+1</f>
        <v>-92</v>
      </c>
      <c r="BW173" s="547">
        <v>-145</v>
      </c>
      <c r="BX173" s="547">
        <v>-108</v>
      </c>
      <c r="BY173" s="548">
        <v>-79</v>
      </c>
      <c r="BZ173" s="548">
        <v>-39</v>
      </c>
      <c r="CA173" s="604">
        <v>10</v>
      </c>
      <c r="CB173" s="604"/>
      <c r="CC173" s="604"/>
      <c r="CD173" s="604"/>
      <c r="CE173" s="604"/>
      <c r="CF173" s="604"/>
      <c r="CG173" s="538"/>
      <c r="CH173" s="538"/>
      <c r="CI173" s="538"/>
      <c r="CJ173" s="538"/>
    </row>
    <row r="174" spans="1:89" hidden="1" outlineLevel="1">
      <c r="A174" s="2" t="s">
        <v>44</v>
      </c>
      <c r="B174" s="32"/>
      <c r="C174" s="32"/>
      <c r="D174" s="32"/>
      <c r="E174" s="32"/>
      <c r="F174" s="32"/>
      <c r="G174" s="32"/>
      <c r="H174" s="32"/>
      <c r="I174" s="32"/>
      <c r="J174" s="32"/>
      <c r="K174" s="32"/>
      <c r="L174" s="32" t="s">
        <v>48</v>
      </c>
      <c r="M174" s="544">
        <v>200</v>
      </c>
      <c r="N174" s="538">
        <f>+SUM(BI174:BL174)</f>
        <v>0</v>
      </c>
      <c r="O174" s="538">
        <f>+SUM(BM174:BP174)</f>
        <v>1</v>
      </c>
      <c r="P174" s="538">
        <f>+SUM(BQ174:BT174)</f>
        <v>0</v>
      </c>
      <c r="Q174" s="538">
        <f>+SUM(BU174:BX174)</f>
        <v>128</v>
      </c>
      <c r="R174" s="538">
        <f t="shared" ref="R174:S177" si="215">+R76*Q$179</f>
        <v>0</v>
      </c>
      <c r="S174" s="538">
        <f t="shared" si="215"/>
        <v>0</v>
      </c>
      <c r="T174" s="538">
        <f t="shared" si="213"/>
        <v>0</v>
      </c>
      <c r="U174" s="538">
        <f t="shared" si="213"/>
        <v>0</v>
      </c>
      <c r="V174" s="538">
        <f t="shared" ref="V174:AA174" si="216">+V76*U$179</f>
        <v>0</v>
      </c>
      <c r="W174" s="538">
        <f t="shared" si="216"/>
        <v>0</v>
      </c>
      <c r="X174" s="538">
        <f t="shared" si="216"/>
        <v>0</v>
      </c>
      <c r="Y174" s="538">
        <f t="shared" si="216"/>
        <v>0</v>
      </c>
      <c r="Z174" s="538">
        <f t="shared" si="216"/>
        <v>0</v>
      </c>
      <c r="AA174" s="538">
        <f t="shared" si="216"/>
        <v>0</v>
      </c>
      <c r="AC174" s="32"/>
      <c r="AD174" s="32"/>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c r="BD174" s="32"/>
      <c r="BE174" s="32" t="s">
        <v>48</v>
      </c>
      <c r="BF174" s="32" t="s">
        <v>48</v>
      </c>
      <c r="BG174" s="32" t="s">
        <v>48</v>
      </c>
      <c r="BH174" s="32" t="s">
        <v>48</v>
      </c>
      <c r="BI174" s="544">
        <v>0</v>
      </c>
      <c r="BJ174" s="544">
        <v>0</v>
      </c>
      <c r="BK174" s="544">
        <v>0</v>
      </c>
      <c r="BL174" s="544">
        <v>0</v>
      </c>
      <c r="BM174" s="545">
        <v>0.5</v>
      </c>
      <c r="BN174" s="545">
        <v>0</v>
      </c>
      <c r="BO174" s="545">
        <v>0</v>
      </c>
      <c r="BP174" s="545">
        <v>0.5</v>
      </c>
      <c r="BQ174" s="545">
        <v>0</v>
      </c>
      <c r="BR174" s="545">
        <v>0</v>
      </c>
      <c r="BS174" s="547">
        <v>0</v>
      </c>
      <c r="BT174" s="548">
        <v>0</v>
      </c>
      <c r="BU174" s="548">
        <v>0</v>
      </c>
      <c r="BV174" s="547">
        <v>0</v>
      </c>
      <c r="BW174" s="547">
        <v>74</v>
      </c>
      <c r="BX174" s="547">
        <v>54</v>
      </c>
      <c r="BY174" s="548">
        <v>38</v>
      </c>
      <c r="BZ174" s="548">
        <v>33</v>
      </c>
      <c r="CA174" s="604">
        <v>0</v>
      </c>
      <c r="CB174" s="604"/>
      <c r="CC174" s="604"/>
      <c r="CD174" s="604"/>
      <c r="CE174" s="604"/>
      <c r="CF174" s="604"/>
      <c r="CG174" s="538"/>
      <c r="CH174" s="538"/>
      <c r="CI174" s="538"/>
      <c r="CJ174" s="538"/>
    </row>
    <row r="175" spans="1:89" hidden="1" outlineLevel="1">
      <c r="A175" s="2" t="s">
        <v>45</v>
      </c>
      <c r="B175" s="32"/>
      <c r="C175" s="32"/>
      <c r="D175" s="32"/>
      <c r="E175" s="32"/>
      <c r="F175" s="32"/>
      <c r="G175" s="32"/>
      <c r="H175" s="32"/>
      <c r="I175" s="32"/>
      <c r="J175" s="32"/>
      <c r="K175" s="32"/>
      <c r="L175" s="32" t="s">
        <v>48</v>
      </c>
      <c r="M175" s="544">
        <v>-110</v>
      </c>
      <c r="N175" s="538">
        <f>+SUM(BI175:BL175)</f>
        <v>0</v>
      </c>
      <c r="O175" s="538">
        <f>+SUM(BM175:BP175)</f>
        <v>0</v>
      </c>
      <c r="P175" s="538">
        <f>+SUM(BQ175:BT175)</f>
        <v>0</v>
      </c>
      <c r="Q175" s="538">
        <f>+SUM(BU175:BX175)</f>
        <v>0</v>
      </c>
      <c r="R175" s="538">
        <f t="shared" si="215"/>
        <v>0</v>
      </c>
      <c r="S175" s="538">
        <f t="shared" si="215"/>
        <v>0</v>
      </c>
      <c r="T175" s="538">
        <f t="shared" si="213"/>
        <v>0</v>
      </c>
      <c r="U175" s="538">
        <f t="shared" si="213"/>
        <v>0</v>
      </c>
      <c r="V175" s="538">
        <f t="shared" ref="V175:AA175" si="217">+V77*U$179</f>
        <v>0</v>
      </c>
      <c r="W175" s="538">
        <f t="shared" si="217"/>
        <v>0</v>
      </c>
      <c r="X175" s="538">
        <f t="shared" si="217"/>
        <v>0</v>
      </c>
      <c r="Y175" s="538">
        <f t="shared" si="217"/>
        <v>0</v>
      </c>
      <c r="Z175" s="538">
        <f t="shared" si="217"/>
        <v>0</v>
      </c>
      <c r="AA175" s="538">
        <f t="shared" si="217"/>
        <v>0</v>
      </c>
      <c r="AC175" s="32"/>
      <c r="AD175" s="32"/>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32"/>
      <c r="BD175" s="32"/>
      <c r="BE175" s="32" t="s">
        <v>48</v>
      </c>
      <c r="BF175" s="32" t="s">
        <v>48</v>
      </c>
      <c r="BG175" s="32" t="s">
        <v>48</v>
      </c>
      <c r="BH175" s="32" t="s">
        <v>48</v>
      </c>
      <c r="BI175" s="544">
        <v>0</v>
      </c>
      <c r="BJ175" s="544">
        <v>0</v>
      </c>
      <c r="BK175" s="544">
        <v>0</v>
      </c>
      <c r="BL175" s="544">
        <v>0</v>
      </c>
      <c r="BM175" s="545">
        <v>0</v>
      </c>
      <c r="BN175" s="545">
        <v>0</v>
      </c>
      <c r="BO175" s="545">
        <v>0</v>
      </c>
      <c r="BP175" s="545">
        <v>0</v>
      </c>
      <c r="BQ175" s="545">
        <v>0</v>
      </c>
      <c r="BR175" s="545">
        <v>0</v>
      </c>
      <c r="BS175" s="547">
        <v>0</v>
      </c>
      <c r="BT175" s="548">
        <v>0</v>
      </c>
      <c r="BU175" s="548">
        <v>0</v>
      </c>
      <c r="BV175" s="547">
        <v>0</v>
      </c>
      <c r="BW175" s="547">
        <v>0</v>
      </c>
      <c r="BX175" s="547">
        <v>0</v>
      </c>
      <c r="BY175" s="548">
        <v>0</v>
      </c>
      <c r="BZ175" s="548">
        <v>0</v>
      </c>
      <c r="CA175" s="604">
        <v>0</v>
      </c>
      <c r="CB175" s="604"/>
      <c r="CC175" s="604"/>
      <c r="CD175" s="604"/>
      <c r="CE175" s="604"/>
      <c r="CF175" s="604"/>
      <c r="CG175" s="538"/>
      <c r="CH175" s="538"/>
      <c r="CI175" s="538"/>
      <c r="CJ175" s="538"/>
    </row>
    <row r="176" spans="1:89" hidden="1" outlineLevel="1">
      <c r="A176" s="2" t="s">
        <v>46</v>
      </c>
      <c r="B176" s="32"/>
      <c r="C176" s="32"/>
      <c r="D176" s="32"/>
      <c r="E176" s="32"/>
      <c r="F176" s="32"/>
      <c r="G176" s="32"/>
      <c r="H176" s="32"/>
      <c r="I176" s="32"/>
      <c r="J176" s="32"/>
      <c r="K176" s="32"/>
      <c r="L176" s="32" t="s">
        <v>48</v>
      </c>
      <c r="M176" s="544">
        <v>0</v>
      </c>
      <c r="N176" s="538">
        <f>+SUM(BI176:BL176)</f>
        <v>0</v>
      </c>
      <c r="O176" s="538">
        <f>+SUM(BM176:BP176)</f>
        <v>0</v>
      </c>
      <c r="P176" s="538">
        <f>+SUM(BQ176:BT176)</f>
        <v>0</v>
      </c>
      <c r="Q176" s="538">
        <f>+SUM(BU176:BX176)</f>
        <v>0</v>
      </c>
      <c r="R176" s="538">
        <f t="shared" si="215"/>
        <v>0</v>
      </c>
      <c r="S176" s="538">
        <f t="shared" si="215"/>
        <v>0</v>
      </c>
      <c r="T176" s="538">
        <f t="shared" si="213"/>
        <v>0</v>
      </c>
      <c r="U176" s="538">
        <f t="shared" si="213"/>
        <v>0</v>
      </c>
      <c r="V176" s="538">
        <f t="shared" ref="V176:AA176" si="218">+V78*U$179</f>
        <v>0</v>
      </c>
      <c r="W176" s="538">
        <f t="shared" si="218"/>
        <v>0</v>
      </c>
      <c r="X176" s="538">
        <f t="shared" si="218"/>
        <v>0</v>
      </c>
      <c r="Y176" s="538">
        <f t="shared" si="218"/>
        <v>0</v>
      </c>
      <c r="Z176" s="538">
        <f t="shared" si="218"/>
        <v>0</v>
      </c>
      <c r="AA176" s="538">
        <f t="shared" si="218"/>
        <v>0</v>
      </c>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t="s">
        <v>48</v>
      </c>
      <c r="BF176" s="32" t="s">
        <v>48</v>
      </c>
      <c r="BG176" s="32" t="s">
        <v>48</v>
      </c>
      <c r="BH176" s="32" t="s">
        <v>48</v>
      </c>
      <c r="BI176" s="544">
        <v>0</v>
      </c>
      <c r="BJ176" s="544">
        <v>0</v>
      </c>
      <c r="BK176" s="544">
        <v>0</v>
      </c>
      <c r="BL176" s="544">
        <v>0</v>
      </c>
      <c r="BM176" s="545">
        <v>0</v>
      </c>
      <c r="BN176" s="545">
        <v>0</v>
      </c>
      <c r="BO176" s="545">
        <v>0</v>
      </c>
      <c r="BP176" s="545">
        <v>0</v>
      </c>
      <c r="BQ176" s="545">
        <v>0</v>
      </c>
      <c r="BR176" s="545">
        <v>0</v>
      </c>
      <c r="BS176" s="547">
        <v>0</v>
      </c>
      <c r="BT176" s="548">
        <v>0</v>
      </c>
      <c r="BU176" s="548">
        <v>0</v>
      </c>
      <c r="BV176" s="547">
        <v>0</v>
      </c>
      <c r="BW176" s="547">
        <v>0</v>
      </c>
      <c r="BX176" s="547">
        <v>0</v>
      </c>
      <c r="BY176" s="548">
        <v>0</v>
      </c>
      <c r="BZ176" s="548">
        <v>0</v>
      </c>
      <c r="CA176" s="604">
        <v>0</v>
      </c>
      <c r="CB176" s="604"/>
      <c r="CC176" s="604"/>
      <c r="CD176" s="604"/>
      <c r="CE176" s="604"/>
      <c r="CF176" s="604"/>
      <c r="CG176" s="538"/>
      <c r="CH176" s="538"/>
      <c r="CI176" s="538"/>
      <c r="CJ176" s="538"/>
    </row>
    <row r="177" spans="1:88" hidden="1" outlineLevel="1">
      <c r="A177" s="2" t="s">
        <v>47</v>
      </c>
      <c r="B177" s="32"/>
      <c r="C177" s="32"/>
      <c r="D177" s="32"/>
      <c r="E177" s="32"/>
      <c r="F177" s="32"/>
      <c r="G177" s="32"/>
      <c r="H177" s="32"/>
      <c r="I177" s="32"/>
      <c r="J177" s="32"/>
      <c r="K177" s="32"/>
      <c r="L177" s="32" t="s">
        <v>48</v>
      </c>
      <c r="M177" s="544">
        <v>0</v>
      </c>
      <c r="N177" s="538">
        <f>+SUM(BI177:BL177)</f>
        <v>0</v>
      </c>
      <c r="O177" s="538">
        <f>+SUM(BM177:BP177)</f>
        <v>0</v>
      </c>
      <c r="P177" s="538">
        <f>+SUM(BQ177:BT177)</f>
        <v>-64.639999999999986</v>
      </c>
      <c r="Q177" s="538">
        <f>+SUM(BU177:BX177)</f>
        <v>-2.6000000000003354E-2</v>
      </c>
      <c r="R177" s="538">
        <f t="shared" si="215"/>
        <v>0</v>
      </c>
      <c r="S177" s="538">
        <f t="shared" si="215"/>
        <v>0</v>
      </c>
      <c r="T177" s="538">
        <f t="shared" si="213"/>
        <v>0</v>
      </c>
      <c r="U177" s="538">
        <f t="shared" si="213"/>
        <v>0</v>
      </c>
      <c r="V177" s="538">
        <f t="shared" ref="V177:AA177" si="219">+V79*U$179</f>
        <v>0</v>
      </c>
      <c r="W177" s="538">
        <f t="shared" si="219"/>
        <v>0</v>
      </c>
      <c r="X177" s="538">
        <f t="shared" si="219"/>
        <v>0</v>
      </c>
      <c r="Y177" s="538">
        <f t="shared" si="219"/>
        <v>0</v>
      </c>
      <c r="Z177" s="538">
        <f t="shared" si="219"/>
        <v>0</v>
      </c>
      <c r="AA177" s="538">
        <f t="shared" si="219"/>
        <v>0</v>
      </c>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t="s">
        <v>48</v>
      </c>
      <c r="BF177" s="32" t="s">
        <v>48</v>
      </c>
      <c r="BG177" s="32" t="s">
        <v>48</v>
      </c>
      <c r="BH177" s="32" t="s">
        <v>48</v>
      </c>
      <c r="BI177" s="544">
        <v>0</v>
      </c>
      <c r="BJ177" s="544">
        <v>0</v>
      </c>
      <c r="BK177" s="544">
        <v>0</v>
      </c>
      <c r="BL177" s="544">
        <v>0</v>
      </c>
      <c r="BM177" s="545">
        <v>0</v>
      </c>
      <c r="BN177" s="545">
        <v>0</v>
      </c>
      <c r="BO177" s="545">
        <v>0</v>
      </c>
      <c r="BP177" s="545">
        <v>0</v>
      </c>
      <c r="BQ177" s="549">
        <f t="shared" ref="BQ177:BW177" si="220">+BQ179-BM179-SUM(BQ170:BQ176)</f>
        <v>-14.091000000000008</v>
      </c>
      <c r="BR177" s="549">
        <f t="shared" si="220"/>
        <v>-13.079999999999984</v>
      </c>
      <c r="BS177" s="549">
        <f t="shared" si="220"/>
        <v>-15.767999999999994</v>
      </c>
      <c r="BT177" s="549">
        <f t="shared" si="220"/>
        <v>-21.701000000000008</v>
      </c>
      <c r="BU177" s="549">
        <f t="shared" si="220"/>
        <v>0.20900000000000318</v>
      </c>
      <c r="BV177" s="549">
        <f t="shared" si="220"/>
        <v>1.1999999999993349E-2</v>
      </c>
      <c r="BW177" s="549">
        <f t="shared" si="220"/>
        <v>-0.24699999999999989</v>
      </c>
      <c r="BX177" s="547">
        <v>0</v>
      </c>
      <c r="BY177" s="548">
        <v>0</v>
      </c>
      <c r="BZ177" s="548">
        <v>0</v>
      </c>
      <c r="CA177" s="604">
        <v>0</v>
      </c>
      <c r="CB177" s="604"/>
      <c r="CC177" s="604"/>
      <c r="CD177" s="604"/>
      <c r="CE177" s="604"/>
      <c r="CF177" s="604"/>
      <c r="CG177" s="538"/>
      <c r="CH177" s="538"/>
      <c r="CI177" s="538"/>
      <c r="CJ177" s="538"/>
    </row>
    <row r="178" spans="1:88" ht="6" hidden="1" customHeight="1" outlineLevel="1">
      <c r="BS178" s="517"/>
      <c r="BT178" s="517"/>
      <c r="BU178" s="517"/>
      <c r="BW178" s="517"/>
    </row>
    <row r="179" spans="1:88" s="16" customFormat="1" hidden="1" outlineLevel="1">
      <c r="A179" s="16" t="s">
        <v>60</v>
      </c>
      <c r="B179" s="539"/>
      <c r="C179" s="539"/>
      <c r="D179" s="539"/>
      <c r="E179" s="539"/>
      <c r="F179" s="539"/>
      <c r="G179" s="539"/>
      <c r="H179" s="539"/>
      <c r="I179" s="539"/>
      <c r="J179" s="539"/>
      <c r="K179" s="539"/>
      <c r="L179" s="539">
        <f>+IS!L155</f>
        <v>4042</v>
      </c>
      <c r="M179" s="539">
        <f>+IS!M155</f>
        <v>4864</v>
      </c>
      <c r="N179" s="539">
        <f>+IS!N155</f>
        <v>5164</v>
      </c>
      <c r="O179" s="550">
        <f>+IS!O155</f>
        <v>4952</v>
      </c>
      <c r="P179" s="550">
        <f>+IS!P155</f>
        <v>4540</v>
      </c>
      <c r="Q179" s="550">
        <f>+IS!Q155</f>
        <v>4327</v>
      </c>
      <c r="R179" s="550">
        <f>+Q179+SUM(R170:R171,R173:R177)</f>
        <v>4322.848</v>
      </c>
      <c r="S179" s="550">
        <f>+R179+SUM(S170:S171,S173:S177)</f>
        <v>4401.9192000000003</v>
      </c>
      <c r="T179" s="550">
        <f>+S179+SUM(T170:T171,T173:T177)</f>
        <v>4600.005564</v>
      </c>
      <c r="U179" s="550">
        <f>+T179+SUM(U170:U171,U173:U177)</f>
        <v>4830.0058422000002</v>
      </c>
      <c r="V179" s="550">
        <f t="shared" ref="V179:AA179" si="221">+U179+SUM(V170:V171,V173:V177)</f>
        <v>5061.8461226256004</v>
      </c>
      <c r="W179" s="550">
        <f t="shared" si="221"/>
        <v>5295.7034134909027</v>
      </c>
      <c r="X179" s="550">
        <f t="shared" si="221"/>
        <v>5531.7858716643268</v>
      </c>
      <c r="Y179" s="550">
        <f t="shared" si="221"/>
        <v>5770.3275420222362</v>
      </c>
      <c r="Z179" s="550">
        <f t="shared" si="221"/>
        <v>6011.5837824886776</v>
      </c>
      <c r="AA179" s="550">
        <f t="shared" si="221"/>
        <v>6255.8273379023294</v>
      </c>
      <c r="AB179" s="473"/>
      <c r="AC179" s="539"/>
      <c r="AD179" s="539"/>
      <c r="AE179" s="539"/>
      <c r="AF179" s="539"/>
      <c r="AG179" s="539"/>
      <c r="AH179" s="539"/>
      <c r="AI179" s="539"/>
      <c r="AJ179" s="539"/>
      <c r="AK179" s="539"/>
      <c r="AL179" s="539"/>
      <c r="AM179" s="539"/>
      <c r="AN179" s="539"/>
      <c r="AO179" s="539"/>
      <c r="AP179" s="539"/>
      <c r="AQ179" s="539"/>
      <c r="AR179" s="539"/>
      <c r="AS179" s="539"/>
      <c r="AT179" s="539"/>
      <c r="AU179" s="539"/>
      <c r="AV179" s="539"/>
      <c r="AW179" s="539"/>
      <c r="AX179" s="539"/>
      <c r="AY179" s="539"/>
      <c r="AZ179" s="539"/>
      <c r="BA179" s="539"/>
      <c r="BB179" s="539"/>
      <c r="BC179" s="539"/>
      <c r="BD179" s="539"/>
      <c r="BE179" s="539">
        <f>+IS!BE155</f>
        <v>1190</v>
      </c>
      <c r="BF179" s="539">
        <f>+IS!BF155</f>
        <v>1172</v>
      </c>
      <c r="BG179" s="539">
        <f>+IS!BG155</f>
        <v>1249</v>
      </c>
      <c r="BH179" s="539">
        <f>+IS!BH155</f>
        <v>1253</v>
      </c>
      <c r="BI179" s="539">
        <f>+IS!BI155</f>
        <v>1320</v>
      </c>
      <c r="BJ179" s="539">
        <f>+IS!BJ155</f>
        <v>1222</v>
      </c>
      <c r="BK179" s="539">
        <f>+IS!BK155</f>
        <v>1228</v>
      </c>
      <c r="BL179" s="539">
        <f>+IS!BL155</f>
        <v>1394</v>
      </c>
      <c r="BM179" s="539">
        <f>+IS!BM155</f>
        <v>1367</v>
      </c>
      <c r="BN179" s="539">
        <f>+IS!BN155</f>
        <v>1240</v>
      </c>
      <c r="BO179" s="539">
        <f>+IS!BO155</f>
        <v>1136</v>
      </c>
      <c r="BP179" s="539">
        <f>+IS!BP155</f>
        <v>1209</v>
      </c>
      <c r="BQ179" s="539">
        <f>+IS!BQ155</f>
        <v>1209</v>
      </c>
      <c r="BR179" s="539">
        <f>+IS!BR155</f>
        <v>1071</v>
      </c>
      <c r="BS179" s="551">
        <f>+IS!BS155</f>
        <v>1137</v>
      </c>
      <c r="BT179" s="551">
        <f>+IS!BT155</f>
        <v>1123</v>
      </c>
      <c r="BU179" s="550">
        <f>+IS!BU155</f>
        <v>1135</v>
      </c>
      <c r="BV179" s="550">
        <f>+IS!BV155</f>
        <v>1009</v>
      </c>
      <c r="BW179" s="550">
        <f>+IS!BW155</f>
        <v>1101</v>
      </c>
      <c r="BX179" s="550">
        <f>+IS!BX155</f>
        <v>1082</v>
      </c>
      <c r="BY179" s="550">
        <f>+IS!BY155</f>
        <v>1127</v>
      </c>
      <c r="BZ179" s="550">
        <f>+IS!BZ155</f>
        <v>1023</v>
      </c>
      <c r="CA179" s="550">
        <f>+IS!CA155</f>
        <v>1128</v>
      </c>
      <c r="CB179" s="550"/>
      <c r="CC179" s="550"/>
      <c r="CD179" s="550"/>
      <c r="CE179" s="550"/>
      <c r="CF179" s="550"/>
      <c r="CG179" s="550"/>
      <c r="CH179" s="550"/>
      <c r="CI179" s="550"/>
      <c r="CJ179" s="550"/>
    </row>
    <row r="180" spans="1:88" hidden="1" outlineLevel="1">
      <c r="A180" s="22" t="s">
        <v>61</v>
      </c>
      <c r="B180" s="32"/>
      <c r="C180" s="32"/>
      <c r="D180" s="32"/>
      <c r="E180" s="32"/>
      <c r="F180" s="32"/>
      <c r="G180" s="32"/>
      <c r="H180" s="32"/>
      <c r="I180" s="32"/>
      <c r="J180" s="32"/>
      <c r="K180" s="32"/>
      <c r="L180" s="32" t="s">
        <v>48</v>
      </c>
      <c r="M180" s="540">
        <f t="shared" ref="M180:U180" si="222">+L179+SUM(M170:M171,M173:M177)-M179</f>
        <v>11.788000000000466</v>
      </c>
      <c r="N180" s="540">
        <f t="shared" si="222"/>
        <v>-0.7820000000001528</v>
      </c>
      <c r="O180" s="540">
        <f t="shared" si="222"/>
        <v>1.0799999999999272</v>
      </c>
      <c r="P180" s="540">
        <f t="shared" si="222"/>
        <v>0</v>
      </c>
      <c r="Q180" s="540">
        <f t="shared" si="222"/>
        <v>0.47599999999965803</v>
      </c>
      <c r="R180" s="540">
        <f t="shared" si="222"/>
        <v>0</v>
      </c>
      <c r="S180" s="540">
        <f t="shared" si="222"/>
        <v>0</v>
      </c>
      <c r="T180" s="540">
        <f t="shared" si="222"/>
        <v>0</v>
      </c>
      <c r="U180" s="540">
        <f t="shared" si="222"/>
        <v>0</v>
      </c>
      <c r="V180" s="540">
        <f t="shared" ref="V180:AA180" si="223">+U179+SUM(V170:V171,V173:V177)-V179</f>
        <v>0</v>
      </c>
      <c r="W180" s="540">
        <f t="shared" si="223"/>
        <v>0</v>
      </c>
      <c r="X180" s="540">
        <f t="shared" si="223"/>
        <v>0</v>
      </c>
      <c r="Y180" s="540">
        <f t="shared" si="223"/>
        <v>0</v>
      </c>
      <c r="Z180" s="540">
        <f t="shared" si="223"/>
        <v>0</v>
      </c>
      <c r="AA180" s="540">
        <f t="shared" si="223"/>
        <v>0</v>
      </c>
      <c r="AB180" s="513"/>
      <c r="AC180" s="540"/>
      <c r="AD180" s="540"/>
      <c r="AE180" s="540"/>
      <c r="AF180" s="540"/>
      <c r="AG180" s="540"/>
      <c r="AH180" s="540"/>
      <c r="AI180" s="540"/>
      <c r="AJ180" s="540"/>
      <c r="AK180" s="540"/>
      <c r="AL180" s="540"/>
      <c r="AM180" s="540"/>
      <c r="AN180" s="540"/>
      <c r="AO180" s="540"/>
      <c r="AP180" s="540"/>
      <c r="AQ180" s="540"/>
      <c r="AR180" s="540"/>
      <c r="AS180" s="540"/>
      <c r="AT180" s="540"/>
      <c r="AU180" s="540"/>
      <c r="AV180" s="540"/>
      <c r="AW180" s="540"/>
      <c r="AX180" s="540"/>
      <c r="AY180" s="540"/>
      <c r="AZ180" s="540"/>
      <c r="BA180" s="540"/>
      <c r="BB180" s="540"/>
      <c r="BC180" s="540"/>
      <c r="BD180" s="540"/>
      <c r="BE180" s="540"/>
      <c r="BF180" s="540"/>
      <c r="BG180" s="540"/>
      <c r="BH180" s="540"/>
      <c r="BI180" s="540">
        <f t="shared" ref="BI180:CA180" si="224">+BE179+SUM(BI170:BI177)-BI179</f>
        <v>0.43000000000006366</v>
      </c>
      <c r="BJ180" s="540">
        <f t="shared" si="224"/>
        <v>-0.51999999999998181</v>
      </c>
      <c r="BK180" s="540">
        <f t="shared" si="224"/>
        <v>-0.26900000000000546</v>
      </c>
      <c r="BL180" s="540">
        <f t="shared" si="224"/>
        <v>-0.42300000000000182</v>
      </c>
      <c r="BM180" s="540">
        <f t="shared" si="224"/>
        <v>5.999999999994543E-2</v>
      </c>
      <c r="BN180" s="540">
        <f t="shared" si="224"/>
        <v>0.32600000000002183</v>
      </c>
      <c r="BO180" s="540">
        <f t="shared" si="224"/>
        <v>0.22800000000006548</v>
      </c>
      <c r="BP180" s="540">
        <f t="shared" si="224"/>
        <v>0.4659999999998945</v>
      </c>
      <c r="BQ180" s="540">
        <f t="shared" si="224"/>
        <v>0</v>
      </c>
      <c r="BR180" s="540">
        <f t="shared" si="224"/>
        <v>0</v>
      </c>
      <c r="BS180" s="540">
        <f t="shared" si="224"/>
        <v>0</v>
      </c>
      <c r="BT180" s="540">
        <f t="shared" si="224"/>
        <v>0</v>
      </c>
      <c r="BU180" s="540">
        <f t="shared" si="224"/>
        <v>0</v>
      </c>
      <c r="BV180" s="540">
        <f t="shared" si="224"/>
        <v>0</v>
      </c>
      <c r="BW180" s="540">
        <f t="shared" si="224"/>
        <v>0</v>
      </c>
      <c r="BX180" s="540">
        <f t="shared" si="224"/>
        <v>0.47600000000011278</v>
      </c>
      <c r="BY180" s="540">
        <f t="shared" si="224"/>
        <v>-8.500000000003638E-2</v>
      </c>
      <c r="BZ180" s="540">
        <f t="shared" si="224"/>
        <v>0.17999999999994998</v>
      </c>
      <c r="CA180" s="540">
        <f t="shared" si="224"/>
        <v>-0.48499999999989996</v>
      </c>
      <c r="CB180" s="540"/>
      <c r="CC180" s="540"/>
      <c r="CD180" s="540"/>
      <c r="CE180" s="540"/>
      <c r="CF180" s="540"/>
      <c r="CG180" s="540"/>
      <c r="CH180" s="540"/>
      <c r="CI180" s="540"/>
      <c r="CJ180" s="540"/>
    </row>
    <row r="181" spans="1:88" hidden="1" outlineLevel="1">
      <c r="BU181" s="538"/>
    </row>
    <row r="182" spans="1:88" hidden="1" outlineLevel="1">
      <c r="A182" s="25" t="s">
        <v>56</v>
      </c>
      <c r="B182" s="518"/>
      <c r="C182" s="518"/>
      <c r="D182" s="518"/>
      <c r="E182" s="518"/>
      <c r="F182" s="518"/>
      <c r="G182" s="518"/>
      <c r="H182" s="518"/>
      <c r="I182" s="518"/>
      <c r="J182" s="518"/>
      <c r="K182" s="518"/>
      <c r="L182" s="518"/>
      <c r="M182" s="518"/>
      <c r="N182" s="518"/>
      <c r="O182" s="518"/>
      <c r="P182" s="518"/>
      <c r="Q182" s="518"/>
      <c r="R182" s="518"/>
      <c r="S182" s="518"/>
      <c r="T182" s="518"/>
      <c r="U182" s="518"/>
      <c r="V182" s="518"/>
      <c r="W182" s="518"/>
      <c r="X182" s="518"/>
      <c r="Y182" s="518"/>
      <c r="Z182" s="518"/>
      <c r="AA182" s="518"/>
      <c r="AB182" s="519"/>
      <c r="AC182" s="518"/>
      <c r="AD182" s="518"/>
      <c r="AE182" s="518"/>
      <c r="AF182" s="518"/>
      <c r="AG182" s="518"/>
      <c r="AH182" s="518"/>
      <c r="AI182" s="518"/>
      <c r="AJ182" s="518"/>
      <c r="AK182" s="518"/>
      <c r="AL182" s="518"/>
      <c r="AM182" s="518"/>
      <c r="AN182" s="518"/>
      <c r="AO182" s="518"/>
      <c r="AP182" s="518"/>
      <c r="AQ182" s="518"/>
      <c r="AR182" s="518"/>
      <c r="AS182" s="518"/>
      <c r="AT182" s="518"/>
      <c r="AU182" s="518"/>
      <c r="AV182" s="518"/>
      <c r="AW182" s="518"/>
      <c r="AX182" s="518"/>
      <c r="AY182" s="518"/>
      <c r="AZ182" s="518"/>
      <c r="BA182" s="518"/>
      <c r="BB182" s="518"/>
      <c r="BC182" s="518"/>
      <c r="BD182" s="518"/>
      <c r="BE182" s="518"/>
      <c r="BF182" s="518"/>
      <c r="BG182" s="518"/>
      <c r="BH182" s="518"/>
      <c r="BI182" s="518"/>
      <c r="BJ182" s="518"/>
      <c r="BK182" s="518"/>
      <c r="BL182" s="518"/>
      <c r="BM182" s="518"/>
      <c r="BN182" s="518"/>
      <c r="BO182" s="518"/>
      <c r="BP182" s="518"/>
      <c r="BQ182" s="518"/>
      <c r="BR182" s="518"/>
      <c r="BS182" s="518"/>
      <c r="BT182" s="518"/>
      <c r="BU182" s="518"/>
      <c r="BV182" s="518"/>
      <c r="BW182" s="518"/>
      <c r="BX182" s="518"/>
      <c r="BY182" s="518"/>
      <c r="BZ182" s="518"/>
      <c r="CA182" s="518"/>
      <c r="CB182" s="518"/>
      <c r="CC182" s="518"/>
      <c r="CD182" s="518"/>
      <c r="CE182" s="518"/>
      <c r="CF182" s="518"/>
      <c r="CG182" s="518"/>
      <c r="CH182" s="518"/>
      <c r="CI182" s="518"/>
      <c r="CJ182" s="518"/>
    </row>
    <row r="183" spans="1:88" hidden="1" outlineLevel="1">
      <c r="A183" s="2" t="s">
        <v>41</v>
      </c>
      <c r="B183" s="32"/>
      <c r="C183" s="32"/>
      <c r="D183" s="32"/>
      <c r="E183" s="32"/>
      <c r="F183" s="32"/>
      <c r="G183" s="32"/>
      <c r="H183" s="32"/>
      <c r="I183" s="32"/>
      <c r="J183" s="32"/>
      <c r="K183" s="32"/>
      <c r="L183" s="32" t="s">
        <v>48</v>
      </c>
      <c r="M183" s="538">
        <f>+M86*L$192</f>
        <v>60.371999999999993</v>
      </c>
      <c r="N183" s="538">
        <f>+SUM(BI183:BL183)</f>
        <v>97.447000000000003</v>
      </c>
      <c r="O183" s="538">
        <f>+SUM(BM183:BP183)</f>
        <v>410.65999999999997</v>
      </c>
      <c r="P183" s="538">
        <f>+SUM(BQ183:BT183)</f>
        <v>30.991000000000007</v>
      </c>
      <c r="Q183" s="538">
        <f>+SUM(BU183:BX183)</f>
        <v>-145.49231062047963</v>
      </c>
      <c r="R183" s="538">
        <f t="shared" ref="R183:U184" si="225">+R86*Q$192</f>
        <v>-139.69999999999999</v>
      </c>
      <c r="S183" s="538">
        <f t="shared" si="225"/>
        <v>-59.300000000000004</v>
      </c>
      <c r="T183" s="538">
        <f t="shared" si="225"/>
        <v>23.0944</v>
      </c>
      <c r="U183" s="538">
        <f t="shared" si="225"/>
        <v>48.49824000000001</v>
      </c>
      <c r="V183" s="538">
        <f t="shared" ref="V183:AA183" si="226">+V86*U$192</f>
        <v>46.485563040000009</v>
      </c>
      <c r="W183" s="538">
        <f t="shared" si="226"/>
        <v>44.47273816036801</v>
      </c>
      <c r="X183" s="538">
        <f t="shared" si="226"/>
        <v>42.475022762204283</v>
      </c>
      <c r="Y183" s="538">
        <f t="shared" si="226"/>
        <v>40.505116156538776</v>
      </c>
      <c r="Z183" s="538">
        <f t="shared" si="226"/>
        <v>38.57341906601021</v>
      </c>
      <c r="AA183" s="538">
        <f t="shared" si="226"/>
        <v>36.688290559619801</v>
      </c>
      <c r="AC183" s="32"/>
      <c r="AD183" s="32"/>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32"/>
      <c r="BD183" s="32"/>
      <c r="BE183" s="32" t="s">
        <v>48</v>
      </c>
      <c r="BF183" s="32" t="s">
        <v>48</v>
      </c>
      <c r="BG183" s="32" t="s">
        <v>48</v>
      </c>
      <c r="BH183" s="32" t="s">
        <v>48</v>
      </c>
      <c r="BI183" s="538">
        <f t="shared" ref="BI183:BR184" si="227">+BI86*BE$192</f>
        <v>21.492000000000001</v>
      </c>
      <c r="BJ183" s="538">
        <f t="shared" si="227"/>
        <v>45.674999999999997</v>
      </c>
      <c r="BK183" s="538">
        <f t="shared" si="227"/>
        <v>-13.426</v>
      </c>
      <c r="BL183" s="538">
        <f t="shared" si="227"/>
        <v>43.706000000000003</v>
      </c>
      <c r="BM183" s="538">
        <f t="shared" si="227"/>
        <v>62.825999999999993</v>
      </c>
      <c r="BN183" s="538">
        <f t="shared" si="227"/>
        <v>118.69499999999999</v>
      </c>
      <c r="BO183" s="538">
        <f t="shared" si="227"/>
        <v>145.304</v>
      </c>
      <c r="BP183" s="538">
        <f t="shared" si="227"/>
        <v>83.835000000000008</v>
      </c>
      <c r="BQ183" s="538">
        <f t="shared" si="227"/>
        <v>48.328000000000003</v>
      </c>
      <c r="BR183" s="538">
        <f t="shared" si="227"/>
        <v>34.286999999999999</v>
      </c>
      <c r="BS183" s="538">
        <f t="shared" ref="BS183:CA184" si="228">+BS86*BO$192</f>
        <v>-21.803999999999998</v>
      </c>
      <c r="BT183" s="538">
        <f t="shared" si="228"/>
        <v>-29.82</v>
      </c>
      <c r="BU183" s="538">
        <f t="shared" si="228"/>
        <v>4.7713513513513517</v>
      </c>
      <c r="BV183" s="538">
        <f t="shared" si="228"/>
        <v>-31.943661971830984</v>
      </c>
      <c r="BW183" s="538">
        <f t="shared" si="228"/>
        <v>-54.375</v>
      </c>
      <c r="BX183" s="538">
        <f t="shared" si="228"/>
        <v>-63.944999999999993</v>
      </c>
      <c r="BY183" s="538">
        <f t="shared" si="228"/>
        <v>-28.950000000000003</v>
      </c>
      <c r="BZ183" s="538">
        <f t="shared" si="228"/>
        <v>-39.167000000000002</v>
      </c>
      <c r="CA183" s="538">
        <f t="shared" si="228"/>
        <v>-39.262</v>
      </c>
      <c r="CB183" s="538"/>
      <c r="CC183" s="538"/>
      <c r="CD183" s="538"/>
      <c r="CE183" s="538"/>
      <c r="CF183" s="538"/>
      <c r="CG183" s="538"/>
      <c r="CH183" s="538"/>
      <c r="CI183" s="538"/>
      <c r="CJ183" s="538"/>
    </row>
    <row r="184" spans="1:88" hidden="1" outlineLevel="1">
      <c r="A184" s="2" t="s">
        <v>42</v>
      </c>
      <c r="B184" s="32"/>
      <c r="C184" s="32"/>
      <c r="D184" s="32"/>
      <c r="E184" s="32"/>
      <c r="F184" s="32"/>
      <c r="G184" s="32"/>
      <c r="H184" s="32"/>
      <c r="I184" s="32"/>
      <c r="J184" s="32"/>
      <c r="K184" s="32"/>
      <c r="L184" s="32" t="s">
        <v>48</v>
      </c>
      <c r="M184" s="538">
        <f>+M87*L$192</f>
        <v>268.32</v>
      </c>
      <c r="N184" s="538">
        <f>+SUM(BI184:BL184)</f>
        <v>79.048000000000002</v>
      </c>
      <c r="O184" s="538">
        <f>+SUM(BM184:BP184)</f>
        <v>-67.605000000000018</v>
      </c>
      <c r="P184" s="538">
        <f>+SUM(BQ184:BT184)</f>
        <v>222.82599999999999</v>
      </c>
      <c r="Q184" s="538">
        <f>+SUM(BU184:BX184)</f>
        <v>325.39231062047963</v>
      </c>
      <c r="R184" s="538">
        <f t="shared" si="225"/>
        <v>139.69999999999999</v>
      </c>
      <c r="S184" s="538">
        <f t="shared" si="225"/>
        <v>106.74</v>
      </c>
      <c r="T184" s="538">
        <f t="shared" si="225"/>
        <v>92.377600000000001</v>
      </c>
      <c r="U184" s="538">
        <f t="shared" si="225"/>
        <v>109.12104000000001</v>
      </c>
      <c r="V184" s="538">
        <f t="shared" ref="V184:AA184" si="229">+V87*U$192</f>
        <v>116.2139076</v>
      </c>
      <c r="W184" s="538">
        <f t="shared" si="229"/>
        <v>123.53538377880001</v>
      </c>
      <c r="X184" s="538">
        <f t="shared" si="229"/>
        <v>131.09574926606257</v>
      </c>
      <c r="Y184" s="538">
        <f t="shared" si="229"/>
        <v>138.90643400733458</v>
      </c>
      <c r="Z184" s="538">
        <f t="shared" si="229"/>
        <v>146.97995376470888</v>
      </c>
      <c r="AA184" s="538">
        <f t="shared" si="229"/>
        <v>155.32985554209125</v>
      </c>
      <c r="AC184" s="32"/>
      <c r="AD184" s="32"/>
      <c r="AE184" s="32"/>
      <c r="AF184" s="32"/>
      <c r="AG184" s="32"/>
      <c r="AH184" s="32"/>
      <c r="AI184" s="32"/>
      <c r="AJ184" s="32"/>
      <c r="AK184" s="32"/>
      <c r="AL184" s="32"/>
      <c r="AM184" s="32"/>
      <c r="AN184" s="32"/>
      <c r="AO184" s="32"/>
      <c r="AP184" s="32"/>
      <c r="AQ184" s="32"/>
      <c r="AR184" s="32"/>
      <c r="AS184" s="32"/>
      <c r="AT184" s="32"/>
      <c r="AU184" s="32"/>
      <c r="AV184" s="32"/>
      <c r="AW184" s="32"/>
      <c r="AX184" s="32"/>
      <c r="AY184" s="32"/>
      <c r="AZ184" s="32"/>
      <c r="BA184" s="32"/>
      <c r="BB184" s="32"/>
      <c r="BC184" s="32"/>
      <c r="BD184" s="32"/>
      <c r="BE184" s="32" t="s">
        <v>48</v>
      </c>
      <c r="BF184" s="32" t="s">
        <v>48</v>
      </c>
      <c r="BG184" s="32" t="s">
        <v>48</v>
      </c>
      <c r="BH184" s="32" t="s">
        <v>48</v>
      </c>
      <c r="BI184" s="538">
        <f t="shared" si="227"/>
        <v>63.68</v>
      </c>
      <c r="BJ184" s="538">
        <f t="shared" si="227"/>
        <v>31.465</v>
      </c>
      <c r="BK184" s="538">
        <f t="shared" si="227"/>
        <v>0.95900000000000007</v>
      </c>
      <c r="BL184" s="538">
        <f t="shared" si="227"/>
        <v>-17.056000000000001</v>
      </c>
      <c r="BM184" s="538">
        <f t="shared" si="227"/>
        <v>-28.866000000000003</v>
      </c>
      <c r="BN184" s="538">
        <f t="shared" si="227"/>
        <v>-9.65</v>
      </c>
      <c r="BO184" s="538">
        <f t="shared" si="227"/>
        <v>-30.124000000000002</v>
      </c>
      <c r="BP184" s="538">
        <f t="shared" si="227"/>
        <v>1.0349999999999999</v>
      </c>
      <c r="BQ184" s="538">
        <f t="shared" si="227"/>
        <v>19.849</v>
      </c>
      <c r="BR184" s="538">
        <f t="shared" si="227"/>
        <v>31.169999999999998</v>
      </c>
      <c r="BS184" s="543">
        <f t="shared" si="228"/>
        <v>74.891999999999996</v>
      </c>
      <c r="BT184" s="543">
        <f t="shared" si="228"/>
        <v>96.914999999999992</v>
      </c>
      <c r="BU184" s="543">
        <f t="shared" si="228"/>
        <v>39.363648648648649</v>
      </c>
      <c r="BV184" s="538">
        <f t="shared" si="228"/>
        <v>82.343661971830983</v>
      </c>
      <c r="BW184" s="543">
        <f t="shared" si="228"/>
        <v>100.05000000000001</v>
      </c>
      <c r="BX184" s="543">
        <f t="shared" si="228"/>
        <v>103.63499999999999</v>
      </c>
      <c r="BY184" s="538">
        <f t="shared" si="228"/>
        <v>55.005000000000003</v>
      </c>
      <c r="BZ184" s="538">
        <f t="shared" si="228"/>
        <v>22.169999999999998</v>
      </c>
      <c r="CA184" s="538">
        <f t="shared" si="228"/>
        <v>32.229999999999997</v>
      </c>
      <c r="CB184" s="538"/>
      <c r="CC184" s="538"/>
      <c r="CD184" s="538"/>
      <c r="CE184" s="538"/>
      <c r="CF184" s="538"/>
      <c r="CG184" s="538"/>
      <c r="CH184" s="538"/>
      <c r="CI184" s="538"/>
      <c r="CJ184" s="538"/>
    </row>
    <row r="185" spans="1:88" ht="6" hidden="1" customHeight="1" outlineLevel="1">
      <c r="BO185" s="324"/>
      <c r="BS185" s="517"/>
      <c r="BW185" s="517"/>
      <c r="BX185" s="517"/>
    </row>
    <row r="186" spans="1:88" hidden="1" outlineLevel="1">
      <c r="A186" s="2" t="s">
        <v>43</v>
      </c>
      <c r="B186" s="32"/>
      <c r="C186" s="32"/>
      <c r="D186" s="32"/>
      <c r="E186" s="32"/>
      <c r="F186" s="32"/>
      <c r="G186" s="32"/>
      <c r="H186" s="32"/>
      <c r="I186" s="32"/>
      <c r="J186" s="32"/>
      <c r="K186" s="32"/>
      <c r="L186" s="32" t="s">
        <v>48</v>
      </c>
      <c r="M186" s="544">
        <v>-19</v>
      </c>
      <c r="N186" s="538">
        <f>+SUM(BI186:BL186)</f>
        <v>-177</v>
      </c>
      <c r="O186" s="538">
        <f>+SUM(BM186:BP186)</f>
        <v>-169</v>
      </c>
      <c r="P186" s="538">
        <f>+SUM(BQ186:BT186)</f>
        <v>-523</v>
      </c>
      <c r="Q186" s="538">
        <f>+SUM(BU186:BX186)</f>
        <v>-619</v>
      </c>
      <c r="R186" s="538">
        <f>+SUM(BY186:CB186)</f>
        <v>-168</v>
      </c>
      <c r="S186" s="538">
        <f>+SUM(BZ186:CC186)</f>
        <v>-110</v>
      </c>
      <c r="T186" s="538">
        <f t="shared" ref="T186:U190" si="230">+T89*S$192</f>
        <v>0</v>
      </c>
      <c r="U186" s="538">
        <f t="shared" si="230"/>
        <v>0</v>
      </c>
      <c r="V186" s="538">
        <f t="shared" ref="V186:AA186" si="231">+V89*U$192</f>
        <v>0</v>
      </c>
      <c r="W186" s="538">
        <f t="shared" si="231"/>
        <v>0</v>
      </c>
      <c r="X186" s="538">
        <f t="shared" si="231"/>
        <v>0</v>
      </c>
      <c r="Y186" s="538">
        <f t="shared" si="231"/>
        <v>0</v>
      </c>
      <c r="Z186" s="538">
        <f t="shared" si="231"/>
        <v>0</v>
      </c>
      <c r="AA186" s="538">
        <f t="shared" si="231"/>
        <v>0</v>
      </c>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t="s">
        <v>48</v>
      </c>
      <c r="BF186" s="32" t="s">
        <v>48</v>
      </c>
      <c r="BG186" s="32" t="s">
        <v>48</v>
      </c>
      <c r="BH186" s="32" t="s">
        <v>48</v>
      </c>
      <c r="BI186" s="544">
        <v>-32</v>
      </c>
      <c r="BJ186" s="544">
        <v>-72</v>
      </c>
      <c r="BK186" s="544">
        <v>-61</v>
      </c>
      <c r="BL186" s="544">
        <v>-12</v>
      </c>
      <c r="BM186" s="545">
        <v>-28</v>
      </c>
      <c r="BN186" s="545">
        <v>-38</v>
      </c>
      <c r="BO186" s="545">
        <v>-48</v>
      </c>
      <c r="BP186" s="545">
        <v>-55</v>
      </c>
      <c r="BQ186" s="546">
        <v>-87</v>
      </c>
      <c r="BR186" s="545">
        <v>-95</v>
      </c>
      <c r="BS186" s="547">
        <v>-107</v>
      </c>
      <c r="BT186" s="548">
        <v>-234</v>
      </c>
      <c r="BU186" s="548">
        <f>+-236+92</f>
        <v>-144</v>
      </c>
      <c r="BV186" s="547">
        <f>+-211+60</f>
        <v>-151</v>
      </c>
      <c r="BW186" s="547">
        <v>-185</v>
      </c>
      <c r="BX186" s="547">
        <v>-139</v>
      </c>
      <c r="BY186" s="548">
        <v>-58</v>
      </c>
      <c r="BZ186" s="548">
        <v>-74</v>
      </c>
      <c r="CA186" s="604">
        <v>-36</v>
      </c>
      <c r="CB186" s="604"/>
      <c r="CC186" s="604"/>
      <c r="CD186" s="604"/>
      <c r="CE186" s="604"/>
      <c r="CF186" s="604"/>
      <c r="CG186" s="538"/>
      <c r="CH186" s="538"/>
      <c r="CI186" s="538"/>
      <c r="CJ186" s="538"/>
    </row>
    <row r="187" spans="1:88" hidden="1" outlineLevel="1">
      <c r="A187" s="2" t="s">
        <v>44</v>
      </c>
      <c r="B187" s="32"/>
      <c r="C187" s="32"/>
      <c r="D187" s="32"/>
      <c r="E187" s="32"/>
      <c r="F187" s="32"/>
      <c r="G187" s="32"/>
      <c r="H187" s="32"/>
      <c r="I187" s="32"/>
      <c r="J187" s="32"/>
      <c r="K187" s="32"/>
      <c r="L187" s="32" t="s">
        <v>48</v>
      </c>
      <c r="M187" s="544">
        <v>75</v>
      </c>
      <c r="N187" s="538">
        <f>+SUM(BI187:BL187)</f>
        <v>0</v>
      </c>
      <c r="O187" s="538">
        <f>+SUM(BM187:BP187)</f>
        <v>88.5</v>
      </c>
      <c r="P187" s="538">
        <f>+SUM(BQ187:BT187)</f>
        <v>13</v>
      </c>
      <c r="Q187" s="538">
        <f>+SUM(BU187:BX187)</f>
        <v>0</v>
      </c>
      <c r="R187" s="538">
        <f t="shared" ref="R187:S190" si="232">+R90*Q$192</f>
        <v>0</v>
      </c>
      <c r="S187" s="538">
        <f t="shared" si="232"/>
        <v>0</v>
      </c>
      <c r="T187" s="538">
        <f t="shared" si="230"/>
        <v>0</v>
      </c>
      <c r="U187" s="538">
        <f t="shared" si="230"/>
        <v>0</v>
      </c>
      <c r="V187" s="538">
        <f t="shared" ref="V187:AA187" si="233">+V90*U$192</f>
        <v>0</v>
      </c>
      <c r="W187" s="538">
        <f t="shared" si="233"/>
        <v>0</v>
      </c>
      <c r="X187" s="538">
        <f t="shared" si="233"/>
        <v>0</v>
      </c>
      <c r="Y187" s="538">
        <f t="shared" si="233"/>
        <v>0</v>
      </c>
      <c r="Z187" s="538">
        <f t="shared" si="233"/>
        <v>0</v>
      </c>
      <c r="AA187" s="538">
        <f t="shared" si="233"/>
        <v>0</v>
      </c>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t="s">
        <v>48</v>
      </c>
      <c r="BF187" s="32" t="s">
        <v>48</v>
      </c>
      <c r="BG187" s="32" t="s">
        <v>48</v>
      </c>
      <c r="BH187" s="32" t="s">
        <v>48</v>
      </c>
      <c r="BI187" s="544">
        <v>0</v>
      </c>
      <c r="BJ187" s="544">
        <v>0</v>
      </c>
      <c r="BK187" s="544">
        <v>0</v>
      </c>
      <c r="BL187" s="544">
        <v>0</v>
      </c>
      <c r="BM187" s="545">
        <v>12</v>
      </c>
      <c r="BN187" s="545">
        <v>24</v>
      </c>
      <c r="BO187" s="545">
        <v>23</v>
      </c>
      <c r="BP187" s="545">
        <f>32-2.5</f>
        <v>29.5</v>
      </c>
      <c r="BQ187" s="552">
        <f>13</f>
        <v>13</v>
      </c>
      <c r="BR187" s="545">
        <v>0</v>
      </c>
      <c r="BS187" s="547">
        <v>0</v>
      </c>
      <c r="BT187" s="548">
        <v>0</v>
      </c>
      <c r="BU187" s="548">
        <v>0</v>
      </c>
      <c r="BV187" s="547">
        <v>0</v>
      </c>
      <c r="BW187" s="547">
        <v>0</v>
      </c>
      <c r="BX187" s="547">
        <v>0</v>
      </c>
      <c r="BY187" s="548">
        <v>0</v>
      </c>
      <c r="BZ187" s="548">
        <v>0</v>
      </c>
      <c r="CA187" s="604">
        <v>0</v>
      </c>
      <c r="CB187" s="604"/>
      <c r="CC187" s="604"/>
      <c r="CD187" s="604"/>
      <c r="CE187" s="604"/>
      <c r="CF187" s="604"/>
      <c r="CG187" s="538"/>
      <c r="CH187" s="538"/>
      <c r="CI187" s="538"/>
      <c r="CJ187" s="538"/>
    </row>
    <row r="188" spans="1:88" hidden="1" outlineLevel="1">
      <c r="A188" s="2" t="s">
        <v>45</v>
      </c>
      <c r="B188" s="32"/>
      <c r="C188" s="32"/>
      <c r="D188" s="32"/>
      <c r="E188" s="32"/>
      <c r="F188" s="32"/>
      <c r="G188" s="32"/>
      <c r="H188" s="32"/>
      <c r="I188" s="32"/>
      <c r="J188" s="32"/>
      <c r="K188" s="32"/>
      <c r="L188" s="32" t="s">
        <v>48</v>
      </c>
      <c r="M188" s="544">
        <v>0</v>
      </c>
      <c r="N188" s="538">
        <f>+SUM(BI188:BL188)</f>
        <v>0</v>
      </c>
      <c r="O188" s="538">
        <f>+SUM(BM188:BP188)</f>
        <v>-81.5</v>
      </c>
      <c r="P188" s="538">
        <f>+SUM(BQ188:BT188)</f>
        <v>-20</v>
      </c>
      <c r="Q188" s="538">
        <f>+SUM(BU188:BX188)</f>
        <v>0</v>
      </c>
      <c r="R188" s="538">
        <f t="shared" si="232"/>
        <v>0</v>
      </c>
      <c r="S188" s="538">
        <f t="shared" si="232"/>
        <v>0</v>
      </c>
      <c r="T188" s="538">
        <f t="shared" si="230"/>
        <v>0</v>
      </c>
      <c r="U188" s="538">
        <f t="shared" si="230"/>
        <v>0</v>
      </c>
      <c r="V188" s="538">
        <f t="shared" ref="V188:AA188" si="234">+V91*U$192</f>
        <v>0</v>
      </c>
      <c r="W188" s="538">
        <f t="shared" si="234"/>
        <v>0</v>
      </c>
      <c r="X188" s="538">
        <f t="shared" si="234"/>
        <v>0</v>
      </c>
      <c r="Y188" s="538">
        <f t="shared" si="234"/>
        <v>0</v>
      </c>
      <c r="Z188" s="538">
        <f t="shared" si="234"/>
        <v>0</v>
      </c>
      <c r="AA188" s="538">
        <f t="shared" si="234"/>
        <v>0</v>
      </c>
      <c r="AC188" s="32"/>
      <c r="AD188" s="32"/>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32"/>
      <c r="BD188" s="32"/>
      <c r="BE188" s="32" t="s">
        <v>48</v>
      </c>
      <c r="BF188" s="32" t="s">
        <v>48</v>
      </c>
      <c r="BG188" s="32" t="s">
        <v>48</v>
      </c>
      <c r="BH188" s="32" t="s">
        <v>48</v>
      </c>
      <c r="BI188" s="544">
        <v>0</v>
      </c>
      <c r="BJ188" s="544">
        <v>0</v>
      </c>
      <c r="BK188" s="544">
        <v>0</v>
      </c>
      <c r="BL188" s="544">
        <v>0</v>
      </c>
      <c r="BM188" s="545">
        <f>-22+18.5</f>
        <v>-3.5</v>
      </c>
      <c r="BN188" s="545">
        <f>-20-1</f>
        <v>-21</v>
      </c>
      <c r="BO188" s="545">
        <v>-28</v>
      </c>
      <c r="BP188" s="545">
        <f>-29</f>
        <v>-29</v>
      </c>
      <c r="BQ188" s="552">
        <v>-19</v>
      </c>
      <c r="BR188" s="545">
        <v>-1</v>
      </c>
      <c r="BS188" s="547">
        <v>0</v>
      </c>
      <c r="BT188" s="548">
        <v>0</v>
      </c>
      <c r="BU188" s="548">
        <v>0</v>
      </c>
      <c r="BV188" s="547">
        <v>0</v>
      </c>
      <c r="BW188" s="547">
        <v>0</v>
      </c>
      <c r="BX188" s="547">
        <v>0</v>
      </c>
      <c r="BY188" s="548">
        <v>0</v>
      </c>
      <c r="BZ188" s="548">
        <v>0</v>
      </c>
      <c r="CA188" s="604">
        <v>0</v>
      </c>
      <c r="CB188" s="604"/>
      <c r="CC188" s="604"/>
      <c r="CD188" s="604"/>
      <c r="CE188" s="604"/>
      <c r="CF188" s="604"/>
      <c r="CG188" s="538"/>
      <c r="CH188" s="538"/>
      <c r="CI188" s="538"/>
      <c r="CJ188" s="538"/>
    </row>
    <row r="189" spans="1:88" hidden="1" outlineLevel="1">
      <c r="A189" s="2" t="s">
        <v>46</v>
      </c>
      <c r="B189" s="32"/>
      <c r="C189" s="32"/>
      <c r="D189" s="32"/>
      <c r="E189" s="32"/>
      <c r="F189" s="32"/>
      <c r="G189" s="32"/>
      <c r="H189" s="32"/>
      <c r="I189" s="32"/>
      <c r="J189" s="32"/>
      <c r="K189" s="32"/>
      <c r="L189" s="32" t="s">
        <v>48</v>
      </c>
      <c r="M189" s="544">
        <v>96</v>
      </c>
      <c r="N189" s="538">
        <f>+SUM(BI189:BL189)</f>
        <v>-96</v>
      </c>
      <c r="O189" s="538">
        <f>+SUM(BM189:BP189)</f>
        <v>0</v>
      </c>
      <c r="P189" s="538">
        <f>+SUM(BQ189:BT189)</f>
        <v>0</v>
      </c>
      <c r="Q189" s="538">
        <f>+SUM(BU189:BX189)</f>
        <v>0</v>
      </c>
      <c r="R189" s="538">
        <f t="shared" si="232"/>
        <v>0</v>
      </c>
      <c r="S189" s="538">
        <f t="shared" si="232"/>
        <v>0</v>
      </c>
      <c r="T189" s="538">
        <f t="shared" si="230"/>
        <v>0</v>
      </c>
      <c r="U189" s="538">
        <f t="shared" si="230"/>
        <v>0</v>
      </c>
      <c r="V189" s="538">
        <f t="shared" ref="V189:AA189" si="235">+V92*U$192</f>
        <v>0</v>
      </c>
      <c r="W189" s="538">
        <f t="shared" si="235"/>
        <v>0</v>
      </c>
      <c r="X189" s="538">
        <f t="shared" si="235"/>
        <v>0</v>
      </c>
      <c r="Y189" s="538">
        <f t="shared" si="235"/>
        <v>0</v>
      </c>
      <c r="Z189" s="538">
        <f t="shared" si="235"/>
        <v>0</v>
      </c>
      <c r="AA189" s="538">
        <f t="shared" si="235"/>
        <v>0</v>
      </c>
      <c r="AC189" s="32"/>
      <c r="AD189" s="32"/>
      <c r="AE189" s="32"/>
      <c r="AF189" s="32"/>
      <c r="AG189" s="32"/>
      <c r="AH189" s="32"/>
      <c r="AI189" s="32"/>
      <c r="AJ189" s="32"/>
      <c r="AK189" s="32"/>
      <c r="AL189" s="32"/>
      <c r="AM189" s="32"/>
      <c r="AN189" s="32"/>
      <c r="AO189" s="32"/>
      <c r="AP189" s="32"/>
      <c r="AQ189" s="32"/>
      <c r="AR189" s="32"/>
      <c r="AS189" s="32"/>
      <c r="AT189" s="32"/>
      <c r="AU189" s="32"/>
      <c r="AV189" s="32"/>
      <c r="AW189" s="32"/>
      <c r="AX189" s="32"/>
      <c r="AY189" s="32"/>
      <c r="AZ189" s="32"/>
      <c r="BA189" s="32"/>
      <c r="BB189" s="32"/>
      <c r="BC189" s="32"/>
      <c r="BD189" s="32"/>
      <c r="BE189" s="32" t="s">
        <v>48</v>
      </c>
      <c r="BF189" s="32" t="s">
        <v>48</v>
      </c>
      <c r="BG189" s="32" t="s">
        <v>48</v>
      </c>
      <c r="BH189" s="32" t="s">
        <v>48</v>
      </c>
      <c r="BI189" s="544">
        <v>0</v>
      </c>
      <c r="BJ189" s="544">
        <v>-51</v>
      </c>
      <c r="BK189" s="544">
        <v>0</v>
      </c>
      <c r="BL189" s="544">
        <v>-45</v>
      </c>
      <c r="BM189" s="545">
        <v>0</v>
      </c>
      <c r="BN189" s="545">
        <v>0</v>
      </c>
      <c r="BO189" s="545">
        <v>0</v>
      </c>
      <c r="BP189" s="545">
        <v>0</v>
      </c>
      <c r="BQ189" s="552">
        <v>0</v>
      </c>
      <c r="BR189" s="545">
        <v>0</v>
      </c>
      <c r="BS189" s="547">
        <v>0</v>
      </c>
      <c r="BT189" s="548">
        <v>0</v>
      </c>
      <c r="BU189" s="548">
        <v>0</v>
      </c>
      <c r="BV189" s="547">
        <v>0</v>
      </c>
      <c r="BW189" s="547">
        <v>0</v>
      </c>
      <c r="BX189" s="547">
        <v>0</v>
      </c>
      <c r="BY189" s="548">
        <v>0</v>
      </c>
      <c r="BZ189" s="548">
        <v>0</v>
      </c>
      <c r="CA189" s="604">
        <v>0</v>
      </c>
      <c r="CB189" s="604"/>
      <c r="CC189" s="604"/>
      <c r="CD189" s="604"/>
      <c r="CE189" s="604"/>
      <c r="CF189" s="604"/>
      <c r="CG189" s="538"/>
      <c r="CH189" s="538"/>
      <c r="CI189" s="538"/>
      <c r="CJ189" s="538"/>
    </row>
    <row r="190" spans="1:88" hidden="1" outlineLevel="1">
      <c r="A190" s="2" t="s">
        <v>47</v>
      </c>
      <c r="B190" s="32"/>
      <c r="C190" s="32"/>
      <c r="D190" s="32"/>
      <c r="E190" s="32"/>
      <c r="F190" s="32"/>
      <c r="G190" s="32"/>
      <c r="H190" s="32"/>
      <c r="I190" s="32"/>
      <c r="J190" s="32"/>
      <c r="K190" s="32"/>
      <c r="L190" s="32" t="s">
        <v>48</v>
      </c>
      <c r="M190" s="544">
        <v>0</v>
      </c>
      <c r="N190" s="538">
        <f>+SUM(BI190:BL190)</f>
        <v>0</v>
      </c>
      <c r="O190" s="538">
        <f>+SUM(BM190:BP190)</f>
        <v>0</v>
      </c>
      <c r="P190" s="538">
        <f>+SUM(BQ190:BT190)</f>
        <v>-659.81700000000001</v>
      </c>
      <c r="Q190" s="538">
        <f>+SUM(BU190:BX190)</f>
        <v>0.46500000000000341</v>
      </c>
      <c r="R190" s="538">
        <f t="shared" si="232"/>
        <v>0</v>
      </c>
      <c r="S190" s="538">
        <f t="shared" si="232"/>
        <v>0</v>
      </c>
      <c r="T190" s="538">
        <f t="shared" si="230"/>
        <v>0</v>
      </c>
      <c r="U190" s="538">
        <f t="shared" si="230"/>
        <v>0</v>
      </c>
      <c r="V190" s="538">
        <f t="shared" ref="V190:AA190" si="236">+V93*U$192</f>
        <v>0</v>
      </c>
      <c r="W190" s="538">
        <f t="shared" si="236"/>
        <v>0</v>
      </c>
      <c r="X190" s="538">
        <f t="shared" si="236"/>
        <v>0</v>
      </c>
      <c r="Y190" s="538">
        <f t="shared" si="236"/>
        <v>0</v>
      </c>
      <c r="Z190" s="538">
        <f t="shared" si="236"/>
        <v>0</v>
      </c>
      <c r="AA190" s="538">
        <f t="shared" si="236"/>
        <v>0</v>
      </c>
      <c r="AC190" s="32"/>
      <c r="AD190" s="32"/>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32"/>
      <c r="BD190" s="32"/>
      <c r="BE190" s="32" t="s">
        <v>48</v>
      </c>
      <c r="BF190" s="32" t="s">
        <v>48</v>
      </c>
      <c r="BG190" s="32" t="s">
        <v>48</v>
      </c>
      <c r="BH190" s="32" t="s">
        <v>48</v>
      </c>
      <c r="BI190" s="544">
        <v>0</v>
      </c>
      <c r="BJ190" s="544">
        <v>0</v>
      </c>
      <c r="BK190" s="544">
        <v>0</v>
      </c>
      <c r="BL190" s="544">
        <v>0</v>
      </c>
      <c r="BM190" s="545">
        <v>0</v>
      </c>
      <c r="BN190" s="545">
        <v>0</v>
      </c>
      <c r="BO190" s="545">
        <v>0</v>
      </c>
      <c r="BP190" s="545">
        <v>0</v>
      </c>
      <c r="BQ190" s="549">
        <f t="shared" ref="BQ190:BV190" si="237">+BQ192-BM192-SUM(BQ183:BQ189)</f>
        <v>-159.17700000000002</v>
      </c>
      <c r="BR190" s="549">
        <f t="shared" si="237"/>
        <v>-168.45699999999999</v>
      </c>
      <c r="BS190" s="549">
        <f t="shared" si="237"/>
        <v>-169.08799999999999</v>
      </c>
      <c r="BT190" s="549">
        <f t="shared" si="237"/>
        <v>-163.095</v>
      </c>
      <c r="BU190" s="549">
        <f t="shared" si="237"/>
        <v>-0.13499999999999091</v>
      </c>
      <c r="BV190" s="549">
        <f t="shared" si="237"/>
        <v>-0.40000000000000568</v>
      </c>
      <c r="BW190" s="543">
        <v>0</v>
      </c>
      <c r="BX190" s="547">
        <v>1</v>
      </c>
      <c r="BY190" s="548">
        <v>0</v>
      </c>
      <c r="BZ190" s="548">
        <v>0</v>
      </c>
      <c r="CA190" s="604">
        <v>0</v>
      </c>
      <c r="CB190" s="604"/>
      <c r="CC190" s="604"/>
      <c r="CD190" s="604"/>
      <c r="CE190" s="604"/>
      <c r="CF190" s="604"/>
      <c r="CG190" s="538"/>
      <c r="CH190" s="538"/>
      <c r="CI190" s="538"/>
      <c r="CJ190" s="538"/>
    </row>
    <row r="191" spans="1:88" ht="6" hidden="1" customHeight="1" outlineLevel="1">
      <c r="BO191" s="324"/>
      <c r="BR191" s="324"/>
      <c r="BW191" s="517"/>
    </row>
    <row r="192" spans="1:88" s="16" customFormat="1" hidden="1" outlineLevel="1">
      <c r="A192" s="16" t="s">
        <v>60</v>
      </c>
      <c r="B192" s="539"/>
      <c r="C192" s="539"/>
      <c r="D192" s="539"/>
      <c r="E192" s="539"/>
      <c r="F192" s="539"/>
      <c r="G192" s="539"/>
      <c r="H192" s="539"/>
      <c r="I192" s="539"/>
      <c r="J192" s="539"/>
      <c r="K192" s="539"/>
      <c r="L192" s="539">
        <f>+IS!L156</f>
        <v>3354</v>
      </c>
      <c r="M192" s="539">
        <f>+IS!M156</f>
        <v>3836</v>
      </c>
      <c r="N192" s="539">
        <f>+IS!N156</f>
        <v>3735</v>
      </c>
      <c r="O192" s="550">
        <f>+IS!O156</f>
        <v>3915</v>
      </c>
      <c r="P192" s="550">
        <f>+IS!P156</f>
        <v>2979</v>
      </c>
      <c r="Q192" s="550">
        <f>+IS!Q156</f>
        <v>2540</v>
      </c>
      <c r="R192" s="550">
        <f>+Q192+SUM(R183:R184,R186:R190)</f>
        <v>2372</v>
      </c>
      <c r="S192" s="550">
        <f>+R192+SUM(S183:S184,S186:S190)</f>
        <v>2309.44</v>
      </c>
      <c r="T192" s="550">
        <f>+S192+SUM(T183:T184,T186:T190)</f>
        <v>2424.9120000000003</v>
      </c>
      <c r="U192" s="550">
        <f>+T192+SUM(U183:U184,U186:U190)</f>
        <v>2582.5312800000002</v>
      </c>
      <c r="V192" s="550">
        <f t="shared" ref="V192:AA192" si="238">+U192+SUM(V183:V184,V186:V190)</f>
        <v>2745.2307506400002</v>
      </c>
      <c r="W192" s="550">
        <f t="shared" si="238"/>
        <v>2913.2388725791684</v>
      </c>
      <c r="X192" s="550">
        <f t="shared" si="238"/>
        <v>3086.8096446074351</v>
      </c>
      <c r="Y192" s="550">
        <f t="shared" si="238"/>
        <v>3266.2211947713085</v>
      </c>
      <c r="Z192" s="550">
        <f t="shared" si="238"/>
        <v>3451.7745676020277</v>
      </c>
      <c r="AA192" s="550">
        <f t="shared" si="238"/>
        <v>3643.7927137037386</v>
      </c>
      <c r="AB192" s="473"/>
      <c r="AC192" s="539"/>
      <c r="AD192" s="539"/>
      <c r="AE192" s="539"/>
      <c r="AF192" s="539"/>
      <c r="AG192" s="539"/>
      <c r="AH192" s="539"/>
      <c r="AI192" s="539"/>
      <c r="AJ192" s="539"/>
      <c r="AK192" s="539"/>
      <c r="AL192" s="539"/>
      <c r="AM192" s="539"/>
      <c r="AN192" s="539"/>
      <c r="AO192" s="539"/>
      <c r="AP192" s="539"/>
      <c r="AQ192" s="539"/>
      <c r="AR192" s="539"/>
      <c r="AS192" s="539"/>
      <c r="AT192" s="539"/>
      <c r="AU192" s="539"/>
      <c r="AV192" s="539"/>
      <c r="AW192" s="539"/>
      <c r="AX192" s="539"/>
      <c r="AY192" s="539"/>
      <c r="AZ192" s="539"/>
      <c r="BA192" s="539"/>
      <c r="BB192" s="539"/>
      <c r="BC192" s="539"/>
      <c r="BD192" s="539"/>
      <c r="BE192" s="539">
        <f>+IS!BE156</f>
        <v>796</v>
      </c>
      <c r="BF192" s="539">
        <f>+IS!BF156</f>
        <v>1015</v>
      </c>
      <c r="BG192" s="539">
        <f>+IS!BG156</f>
        <v>959</v>
      </c>
      <c r="BH192" s="539">
        <f>+IS!BH156</f>
        <v>1066</v>
      </c>
      <c r="BI192" s="539">
        <f>+IS!BI156</f>
        <v>849</v>
      </c>
      <c r="BJ192" s="539">
        <f>+IS!BJ156</f>
        <v>965</v>
      </c>
      <c r="BK192" s="539">
        <f>+IS!BK156</f>
        <v>886</v>
      </c>
      <c r="BL192" s="539">
        <f>+IS!BL156</f>
        <v>1035</v>
      </c>
      <c r="BM192" s="539">
        <f>+IS!BM156</f>
        <v>863</v>
      </c>
      <c r="BN192" s="539">
        <f>+IS!BN156</f>
        <v>1039</v>
      </c>
      <c r="BO192" s="539">
        <f>+IS!BO156</f>
        <v>948</v>
      </c>
      <c r="BP192" s="539">
        <f>+IS!BP156</f>
        <v>1065</v>
      </c>
      <c r="BQ192" s="539">
        <f>+IS!BQ156</f>
        <v>679</v>
      </c>
      <c r="BR192" s="539">
        <f>+IS!BR156</f>
        <v>840</v>
      </c>
      <c r="BS192" s="551">
        <f>+IS!BS156</f>
        <v>725</v>
      </c>
      <c r="BT192" s="551">
        <f>+IS!BT156</f>
        <v>735</v>
      </c>
      <c r="BU192" s="550">
        <f>+IS!BU156</f>
        <v>579</v>
      </c>
      <c r="BV192" s="550">
        <f>+IS!BV156</f>
        <v>739</v>
      </c>
      <c r="BW192" s="550">
        <f>+IS!BW156</f>
        <v>586</v>
      </c>
      <c r="BX192" s="550">
        <f>+IS!BX156</f>
        <v>636</v>
      </c>
      <c r="BY192" s="550">
        <f>+IS!BY156</f>
        <v>547</v>
      </c>
      <c r="BZ192" s="550">
        <f>+IS!BZ156</f>
        <v>648</v>
      </c>
      <c r="CA192" s="550">
        <f>+IS!CA156</f>
        <v>543</v>
      </c>
      <c r="CB192" s="550"/>
      <c r="CC192" s="550"/>
      <c r="CD192" s="550"/>
      <c r="CE192" s="550"/>
      <c r="CF192" s="550"/>
      <c r="CG192" s="550"/>
      <c r="CH192" s="550"/>
      <c r="CI192" s="550"/>
      <c r="CJ192" s="550"/>
    </row>
    <row r="193" spans="1:89" hidden="1" outlineLevel="1">
      <c r="A193" s="22" t="s">
        <v>61</v>
      </c>
      <c r="B193" s="32"/>
      <c r="C193" s="32"/>
      <c r="D193" s="32"/>
      <c r="E193" s="32"/>
      <c r="F193" s="32"/>
      <c r="G193" s="32"/>
      <c r="H193" s="32"/>
      <c r="I193" s="32"/>
      <c r="J193" s="32"/>
      <c r="K193" s="32"/>
      <c r="L193" s="32" t="s">
        <v>48</v>
      </c>
      <c r="M193" s="540">
        <f t="shared" ref="M193:U193" si="239">+L192+SUM(M183:M184,M186:M190)-M192</f>
        <v>-1.3079999999999927</v>
      </c>
      <c r="N193" s="540">
        <f t="shared" si="239"/>
        <v>4.4949999999998909</v>
      </c>
      <c r="O193" s="540">
        <f t="shared" si="239"/>
        <v>1.0549999999998363</v>
      </c>
      <c r="P193" s="540">
        <f t="shared" si="239"/>
        <v>0</v>
      </c>
      <c r="Q193" s="540">
        <f t="shared" si="239"/>
        <v>0.36499999999978172</v>
      </c>
      <c r="R193" s="540">
        <f t="shared" si="239"/>
        <v>0</v>
      </c>
      <c r="S193" s="540">
        <f t="shared" si="239"/>
        <v>0</v>
      </c>
      <c r="T193" s="540">
        <f t="shared" si="239"/>
        <v>0</v>
      </c>
      <c r="U193" s="540">
        <f t="shared" si="239"/>
        <v>0</v>
      </c>
      <c r="V193" s="540">
        <f t="shared" ref="V193:AA193" si="240">+U192+SUM(V183:V184,V186:V190)-V192</f>
        <v>0</v>
      </c>
      <c r="W193" s="540">
        <f t="shared" si="240"/>
        <v>0</v>
      </c>
      <c r="X193" s="540">
        <f t="shared" si="240"/>
        <v>0</v>
      </c>
      <c r="Y193" s="540">
        <f t="shared" si="240"/>
        <v>0</v>
      </c>
      <c r="Z193" s="540">
        <f t="shared" si="240"/>
        <v>0</v>
      </c>
      <c r="AA193" s="540">
        <f t="shared" si="240"/>
        <v>0</v>
      </c>
      <c r="AB193" s="513"/>
      <c r="AC193" s="540"/>
      <c r="AD193" s="540"/>
      <c r="AE193" s="540"/>
      <c r="AF193" s="540"/>
      <c r="AG193" s="540"/>
      <c r="AH193" s="540"/>
      <c r="AI193" s="540"/>
      <c r="AJ193" s="540"/>
      <c r="AK193" s="540"/>
      <c r="AL193" s="540"/>
      <c r="AM193" s="540"/>
      <c r="AN193" s="540"/>
      <c r="AO193" s="540"/>
      <c r="AP193" s="540"/>
      <c r="AQ193" s="540"/>
      <c r="AR193" s="540"/>
      <c r="AS193" s="540"/>
      <c r="AT193" s="540"/>
      <c r="AU193" s="540"/>
      <c r="AV193" s="540"/>
      <c r="AW193" s="540"/>
      <c r="AX193" s="540"/>
      <c r="AY193" s="540"/>
      <c r="AZ193" s="540"/>
      <c r="BA193" s="540"/>
      <c r="BB193" s="540"/>
      <c r="BC193" s="540"/>
      <c r="BD193" s="540"/>
      <c r="BE193" s="540"/>
      <c r="BF193" s="540"/>
      <c r="BG193" s="540"/>
      <c r="BH193" s="540"/>
      <c r="BI193" s="540">
        <f t="shared" ref="BI193:CA193" si="241">+BE192+SUM(BI183:BI190)-BI192</f>
        <v>0.17200000000002547</v>
      </c>
      <c r="BJ193" s="540">
        <f t="shared" si="241"/>
        <v>4.1399999999999864</v>
      </c>
      <c r="BK193" s="540">
        <f t="shared" si="241"/>
        <v>-0.46699999999998454</v>
      </c>
      <c r="BL193" s="540">
        <f t="shared" si="241"/>
        <v>0.65000000000009095</v>
      </c>
      <c r="BM193" s="540">
        <f t="shared" si="241"/>
        <v>0.46000000000003638</v>
      </c>
      <c r="BN193" s="540">
        <f t="shared" si="241"/>
        <v>4.500000000007276E-2</v>
      </c>
      <c r="BO193" s="540">
        <f t="shared" si="241"/>
        <v>0.18000000000006366</v>
      </c>
      <c r="BP193" s="540">
        <f t="shared" si="241"/>
        <v>0.36999999999989086</v>
      </c>
      <c r="BQ193" s="540">
        <f t="shared" si="241"/>
        <v>0</v>
      </c>
      <c r="BR193" s="540">
        <f t="shared" si="241"/>
        <v>0</v>
      </c>
      <c r="BS193" s="540">
        <f t="shared" si="241"/>
        <v>0</v>
      </c>
      <c r="BT193" s="540">
        <f t="shared" si="241"/>
        <v>0</v>
      </c>
      <c r="BU193" s="540">
        <f t="shared" si="241"/>
        <v>0</v>
      </c>
      <c r="BV193" s="540">
        <f t="shared" si="241"/>
        <v>0</v>
      </c>
      <c r="BW193" s="540">
        <f t="shared" si="241"/>
        <v>-0.32500000000004547</v>
      </c>
      <c r="BX193" s="540">
        <f t="shared" si="241"/>
        <v>0.69000000000005457</v>
      </c>
      <c r="BY193" s="540">
        <f t="shared" si="241"/>
        <v>5.4999999999949978E-2</v>
      </c>
      <c r="BZ193" s="540">
        <f t="shared" si="241"/>
        <v>3.0000000000427463E-3</v>
      </c>
      <c r="CA193" s="540">
        <f t="shared" si="241"/>
        <v>-3.2000000000039108E-2</v>
      </c>
      <c r="CB193" s="540"/>
      <c r="CC193" s="540"/>
      <c r="CD193" s="540"/>
      <c r="CE193" s="540"/>
      <c r="CF193" s="540"/>
      <c r="CG193" s="540"/>
      <c r="CH193" s="540"/>
      <c r="CI193" s="540"/>
      <c r="CJ193" s="540"/>
    </row>
    <row r="194" spans="1:89" hidden="1" outlineLevel="1">
      <c r="BI194" s="499"/>
      <c r="BJ194" s="499"/>
      <c r="BK194" s="33">
        <f t="shared" ref="BK194:BQ194" si="242">+(BK160-BK173)/BK186</f>
        <v>0.21324717285945069</v>
      </c>
      <c r="BL194" s="33">
        <f t="shared" si="242"/>
        <v>0.21324717285945072</v>
      </c>
      <c r="BM194" s="33">
        <f t="shared" si="242"/>
        <v>0.21324717285945077</v>
      </c>
      <c r="BN194" s="33">
        <f t="shared" si="242"/>
        <v>0.21324717285945075</v>
      </c>
      <c r="BO194" s="33">
        <f t="shared" si="242"/>
        <v>0.21324717285945086</v>
      </c>
      <c r="BP194" s="33">
        <f t="shared" si="242"/>
        <v>0.21324717285945072</v>
      </c>
      <c r="BQ194" s="33">
        <f t="shared" si="242"/>
        <v>0.21324717285945072</v>
      </c>
      <c r="BR194" s="33">
        <f>+(BR160-BR173)/BR186</f>
        <v>0.21324717285945069</v>
      </c>
      <c r="BS194" s="33">
        <f t="shared" ref="BS194:BX194" si="243">+(BS160-BS173)/BS186</f>
        <v>0.21324717285945072</v>
      </c>
      <c r="BT194" s="33">
        <f t="shared" si="243"/>
        <v>0.21324717285945072</v>
      </c>
      <c r="BU194" s="33">
        <f t="shared" si="243"/>
        <v>0.21324717285945066</v>
      </c>
      <c r="BV194" s="33">
        <f t="shared" si="243"/>
        <v>0.21324717285945072</v>
      </c>
      <c r="BW194" s="33">
        <f t="shared" si="243"/>
        <v>0.21324717285945069</v>
      </c>
      <c r="BX194" s="33">
        <f t="shared" si="243"/>
        <v>0.21324717285945066</v>
      </c>
      <c r="CG194" s="33"/>
      <c r="CH194" s="33"/>
      <c r="CI194" s="33"/>
      <c r="CJ194" s="33"/>
    </row>
    <row r="195" spans="1:89" collapsed="1">
      <c r="A195" s="25" t="s">
        <v>57</v>
      </c>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699"/>
      <c r="CH195" s="699"/>
      <c r="CI195" s="699"/>
      <c r="CJ195" s="699"/>
    </row>
    <row r="196" spans="1:89">
      <c r="A196" s="2" t="s">
        <v>41</v>
      </c>
      <c r="M196" s="538">
        <f t="shared" ref="M196:P197" si="244">+M170+M183+M210-M157</f>
        <v>-1.9890652234868185</v>
      </c>
      <c r="N196" s="538">
        <f t="shared" si="244"/>
        <v>280.47318830197571</v>
      </c>
      <c r="O196" s="538">
        <f t="shared" si="244"/>
        <v>689.33741720206217</v>
      </c>
      <c r="P196" s="538">
        <f t="shared" si="244"/>
        <v>-292.19208873883724</v>
      </c>
      <c r="Q196" s="499">
        <f t="shared" ref="Q196:U197" si="245">+P$205*Q58</f>
        <v>-400.35599999999999</v>
      </c>
      <c r="R196" s="538">
        <f t="shared" ref="R196:R203" si="246">+SUM(BY196:CB196)</f>
        <v>118.95700000000002</v>
      </c>
      <c r="S196" s="538">
        <f>+SUM(CC196:CF196)</f>
        <v>121.39499999999998</v>
      </c>
      <c r="T196" s="499">
        <f t="shared" si="245"/>
        <v>96.570000000000007</v>
      </c>
      <c r="U196" s="499">
        <f t="shared" ca="1" si="245"/>
        <v>104.99600000000001</v>
      </c>
      <c r="V196" s="499">
        <f t="shared" ref="V196:AA196" ca="1" si="247">+U$205*V58</f>
        <v>95.913846000000021</v>
      </c>
      <c r="W196" s="499">
        <f t="shared" ca="1" si="247"/>
        <v>87.530975859600019</v>
      </c>
      <c r="X196" s="499">
        <f t="shared" ca="1" si="247"/>
        <v>80.597647261761111</v>
      </c>
      <c r="Y196" s="499">
        <f t="shared" ca="1" si="247"/>
        <v>74.154751937303203</v>
      </c>
      <c r="Z196" s="499">
        <f t="shared" ca="1" si="247"/>
        <v>68.178242289441059</v>
      </c>
      <c r="AA196" s="499">
        <f t="shared" ca="1" si="247"/>
        <v>62.643151464009833</v>
      </c>
      <c r="BI196" s="538">
        <f t="shared" ref="BI196:BX196" si="248">+BI170+BI183+BI210-BI157</f>
        <v>170.55617356086964</v>
      </c>
      <c r="BJ196" s="538">
        <f t="shared" si="248"/>
        <v>-38.268097645974308</v>
      </c>
      <c r="BK196" s="538">
        <f t="shared" si="248"/>
        <v>50.447162189268766</v>
      </c>
      <c r="BL196" s="538">
        <f t="shared" si="248"/>
        <v>97.737950197811671</v>
      </c>
      <c r="BM196" s="538">
        <f t="shared" si="248"/>
        <v>84.28389038410549</v>
      </c>
      <c r="BN196" s="538">
        <f t="shared" si="248"/>
        <v>199.39043229143033</v>
      </c>
      <c r="BO196" s="538">
        <f t="shared" si="248"/>
        <v>238.30579690529504</v>
      </c>
      <c r="BP196" s="538">
        <f t="shared" si="248"/>
        <v>167.3572976212314</v>
      </c>
      <c r="BQ196" s="538">
        <f t="shared" si="248"/>
        <v>61.015952161255697</v>
      </c>
      <c r="BR196" s="538">
        <f t="shared" si="248"/>
        <v>-31.159302397099538</v>
      </c>
      <c r="BS196" s="538">
        <f t="shared" si="248"/>
        <v>-194.71216547185935</v>
      </c>
      <c r="BT196" s="538">
        <f t="shared" si="248"/>
        <v>-127.33657303113401</v>
      </c>
      <c r="BU196" s="538">
        <f>+BU170+BU183+BU210-BU157</f>
        <v>-127.91861469454891</v>
      </c>
      <c r="BV196" s="538">
        <f t="shared" si="248"/>
        <v>-115.55219348703108</v>
      </c>
      <c r="BW196" s="538">
        <f t="shared" si="248"/>
        <v>-94.714407564316303</v>
      </c>
      <c r="BX196" s="538">
        <f t="shared" si="248"/>
        <v>-77.072063295635971</v>
      </c>
      <c r="BY196" s="538">
        <f t="shared" ref="BY196:CB197" si="249">+BU$205*BY58</f>
        <v>-9.92</v>
      </c>
      <c r="BZ196" s="538">
        <f t="shared" si="249"/>
        <v>13.608000000000001</v>
      </c>
      <c r="CA196" s="538">
        <f t="shared" si="249"/>
        <v>58.275000000000006</v>
      </c>
      <c r="CB196" s="538">
        <f t="shared" si="249"/>
        <v>56.994000000000007</v>
      </c>
      <c r="CC196" s="538">
        <f t="shared" ref="CC196:CF197" si="250">+BY$205*CC58</f>
        <v>30.744999999999997</v>
      </c>
      <c r="CD196" s="538">
        <f>+BZ$205*CD58</f>
        <v>-17.664000000000001</v>
      </c>
      <c r="CE196" s="538">
        <f t="shared" si="250"/>
        <v>103.178</v>
      </c>
      <c r="CF196" s="538">
        <f t="shared" si="250"/>
        <v>5.1360000000000001</v>
      </c>
      <c r="CG196" s="538">
        <f t="shared" ref="CG196:CI197" si="251">+CC$205*CG58</f>
        <v>4.5760000000000005</v>
      </c>
      <c r="CH196" s="538">
        <f t="shared" si="251"/>
        <v>42.54</v>
      </c>
      <c r="CI196" s="538">
        <f t="shared" si="251"/>
        <v>12.14</v>
      </c>
      <c r="CJ196" s="538">
        <f>+T196-SUM(CG196:CI196)</f>
        <v>37.314000000000007</v>
      </c>
    </row>
    <row r="197" spans="1:89">
      <c r="A197" s="2" t="s">
        <v>42</v>
      </c>
      <c r="M197" s="538">
        <f t="shared" si="244"/>
        <v>804.73009041524483</v>
      </c>
      <c r="N197" s="538">
        <f t="shared" si="244"/>
        <v>172.10160841958964</v>
      </c>
      <c r="O197" s="538">
        <f t="shared" si="244"/>
        <v>-374.18912089118453</v>
      </c>
      <c r="P197" s="538">
        <f t="shared" si="244"/>
        <v>336.42845425189086</v>
      </c>
      <c r="Q197" s="499">
        <f t="shared" si="245"/>
        <v>339.69600000000003</v>
      </c>
      <c r="R197" s="538">
        <f t="shared" si="246"/>
        <v>-37.502000000000002</v>
      </c>
      <c r="S197" s="538">
        <f>+SUM(CC197:CF197)</f>
        <v>-5.4730000000000025</v>
      </c>
      <c r="T197" s="499">
        <f t="shared" si="245"/>
        <v>0</v>
      </c>
      <c r="U197" s="499">
        <f t="shared" ca="1" si="245"/>
        <v>52.498000000000005</v>
      </c>
      <c r="V197" s="499">
        <f t="shared" ref="V197:AA197" ca="1" si="252">+U$205*V59</f>
        <v>53.285470000000004</v>
      </c>
      <c r="W197" s="499">
        <f t="shared" ca="1" si="252"/>
        <v>162.09439974</v>
      </c>
      <c r="X197" s="499">
        <f t="shared" ca="1" si="252"/>
        <v>165.83878037399401</v>
      </c>
      <c r="Y197" s="499">
        <f t="shared" ca="1" si="252"/>
        <v>169.53532678853034</v>
      </c>
      <c r="Z197" s="499">
        <f t="shared" ca="1" si="252"/>
        <v>173.19067796941783</v>
      </c>
      <c r="AA197" s="499">
        <f t="shared" ca="1" si="252"/>
        <v>176.81121177330073</v>
      </c>
      <c r="BI197" s="538">
        <f t="shared" ref="BI197:BX197" si="253">+BI171+BI184+BI211-BI158</f>
        <v>141.77354083796513</v>
      </c>
      <c r="BJ197" s="538">
        <f t="shared" si="253"/>
        <v>131.67030735657306</v>
      </c>
      <c r="BK197" s="538">
        <f t="shared" si="253"/>
        <v>-26.974237128398105</v>
      </c>
      <c r="BL197" s="538">
        <f t="shared" si="253"/>
        <v>-74.368002646550451</v>
      </c>
      <c r="BM197" s="538">
        <f t="shared" si="253"/>
        <v>-62.208332692033622</v>
      </c>
      <c r="BN197" s="538">
        <f t="shared" si="253"/>
        <v>-126.11978280600445</v>
      </c>
      <c r="BO197" s="538">
        <f t="shared" si="253"/>
        <v>-109.58816344539669</v>
      </c>
      <c r="BP197" s="538">
        <f t="shared" si="253"/>
        <v>-76.272841947749768</v>
      </c>
      <c r="BQ197" s="538">
        <f t="shared" si="253"/>
        <v>-51.756724464623602</v>
      </c>
      <c r="BR197" s="538">
        <f t="shared" si="253"/>
        <v>12.080049747477574</v>
      </c>
      <c r="BS197" s="538">
        <f t="shared" si="253"/>
        <v>154.7617351199259</v>
      </c>
      <c r="BT197" s="538">
        <f t="shared" si="253"/>
        <v>221.34339384911098</v>
      </c>
      <c r="BU197" s="538">
        <f t="shared" si="253"/>
        <v>107.31564645489206</v>
      </c>
      <c r="BV197" s="538">
        <f t="shared" si="253"/>
        <v>65.619035608296585</v>
      </c>
      <c r="BW197" s="538">
        <f t="shared" si="253"/>
        <v>90.651945050854394</v>
      </c>
      <c r="BX197" s="538">
        <f t="shared" si="253"/>
        <v>78.582651927489195</v>
      </c>
      <c r="BY197" s="538">
        <f t="shared" si="249"/>
        <v>19.84</v>
      </c>
      <c r="BZ197" s="538">
        <f t="shared" si="249"/>
        <v>11.34</v>
      </c>
      <c r="CA197" s="538">
        <f t="shared" si="249"/>
        <v>-27.972000000000001</v>
      </c>
      <c r="CB197" s="538">
        <f t="shared" si="249"/>
        <v>-40.71</v>
      </c>
      <c r="CC197" s="538">
        <f t="shared" si="250"/>
        <v>-7.0949999999999998</v>
      </c>
      <c r="CD197" s="538">
        <f t="shared" si="250"/>
        <v>2.2080000000000002</v>
      </c>
      <c r="CE197" s="538">
        <f t="shared" si="250"/>
        <v>-31.402000000000001</v>
      </c>
      <c r="CF197" s="538">
        <f t="shared" si="250"/>
        <v>30.815999999999999</v>
      </c>
      <c r="CG197" s="538">
        <f t="shared" si="251"/>
        <v>11.44</v>
      </c>
      <c r="CH197" s="538">
        <f t="shared" si="251"/>
        <v>14.889000000000001</v>
      </c>
      <c r="CI197" s="538">
        <f t="shared" si="251"/>
        <v>-12.14</v>
      </c>
      <c r="CJ197" s="538">
        <f>+T197-SUM(CG197:CI197)</f>
        <v>-14.189</v>
      </c>
    </row>
    <row r="198" spans="1:89">
      <c r="A198" s="87"/>
      <c r="M198" s="538"/>
      <c r="N198" s="538"/>
      <c r="O198" s="538"/>
      <c r="P198" s="538"/>
      <c r="S198" s="158"/>
      <c r="BI198" s="538"/>
      <c r="BJ198" s="538"/>
      <c r="BK198" s="538"/>
      <c r="BL198" s="538"/>
      <c r="BM198" s="538"/>
      <c r="BN198" s="538"/>
      <c r="BO198" s="538"/>
      <c r="BP198" s="538"/>
      <c r="BQ198" s="538"/>
      <c r="BR198" s="538"/>
      <c r="BS198" s="538"/>
      <c r="BT198" s="538"/>
      <c r="BU198" s="538"/>
      <c r="CG198" s="91"/>
      <c r="CH198" s="91"/>
      <c r="CI198" s="91"/>
      <c r="CJ198" s="91"/>
    </row>
    <row r="199" spans="1:89">
      <c r="A199" s="2" t="s">
        <v>43</v>
      </c>
      <c r="M199" s="538">
        <f t="shared" ref="M199:P203" si="254">+M173+M186+M213-M160</f>
        <v>662.05169628432964</v>
      </c>
      <c r="N199" s="538">
        <f t="shared" si="254"/>
        <v>-977.2552504038772</v>
      </c>
      <c r="O199" s="538">
        <f t="shared" si="254"/>
        <v>157.03877221324717</v>
      </c>
      <c r="P199" s="538">
        <f t="shared" si="254"/>
        <v>-375.47172859450728</v>
      </c>
      <c r="Q199" s="548">
        <v>-1961</v>
      </c>
      <c r="R199" s="538">
        <f t="shared" si="246"/>
        <v>-429</v>
      </c>
      <c r="S199" s="538">
        <f>+SUM(CC199:CF199)</f>
        <v>95</v>
      </c>
      <c r="T199" s="499">
        <f>+SUM(CG199:CJ199)</f>
        <v>746.03</v>
      </c>
      <c r="U199" s="499">
        <f t="shared" ref="T199:U203" ca="1" si="255">+T$205*U61</f>
        <v>0</v>
      </c>
      <c r="V199" s="499">
        <f t="shared" ref="V199:AA199" ca="1" si="256">+U$205*V61</f>
        <v>0</v>
      </c>
      <c r="W199" s="499">
        <f t="shared" ca="1" si="256"/>
        <v>0</v>
      </c>
      <c r="X199" s="499">
        <f t="shared" ca="1" si="256"/>
        <v>0</v>
      </c>
      <c r="Y199" s="499">
        <f t="shared" ca="1" si="256"/>
        <v>0</v>
      </c>
      <c r="Z199" s="499">
        <f t="shared" ca="1" si="256"/>
        <v>0</v>
      </c>
      <c r="AA199" s="499">
        <f t="shared" ca="1" si="256"/>
        <v>0</v>
      </c>
      <c r="BI199" s="538">
        <f t="shared" ref="BI199:BX199" si="257">+BI173+BI186+BI213-BI160</f>
        <v>-132.17609046849759</v>
      </c>
      <c r="BJ199" s="538">
        <f t="shared" si="257"/>
        <v>-397.64620355411955</v>
      </c>
      <c r="BK199" s="538">
        <f t="shared" si="257"/>
        <v>-365.9919224555735</v>
      </c>
      <c r="BL199" s="538">
        <f t="shared" si="257"/>
        <v>-81.441033925686597</v>
      </c>
      <c r="BM199" s="538">
        <f t="shared" si="257"/>
        <v>-14.029079159935378</v>
      </c>
      <c r="BN199" s="538">
        <f t="shared" si="257"/>
        <v>-0.89660743134087184</v>
      </c>
      <c r="BO199" s="538">
        <f t="shared" si="257"/>
        <v>80.235864297253642</v>
      </c>
      <c r="BP199" s="538">
        <f t="shared" si="257"/>
        <v>91.72859450726979</v>
      </c>
      <c r="BQ199" s="538">
        <f t="shared" si="257"/>
        <v>69.552504038772213</v>
      </c>
      <c r="BR199" s="538">
        <f t="shared" si="257"/>
        <v>97.258481421647815</v>
      </c>
      <c r="BS199" s="538">
        <f t="shared" si="257"/>
        <v>-63.182552504038775</v>
      </c>
      <c r="BT199" s="538">
        <f t="shared" si="257"/>
        <v>-479.10016155088852</v>
      </c>
      <c r="BU199" s="538">
        <f t="shared" si="257"/>
        <v>-550.2924071082391</v>
      </c>
      <c r="BV199" s="538">
        <f t="shared" si="257"/>
        <v>-535.79967689822297</v>
      </c>
      <c r="BW199" s="538">
        <f t="shared" si="257"/>
        <v>-476.54927302100162</v>
      </c>
      <c r="BX199" s="538">
        <f t="shared" si="257"/>
        <v>-398.35864297253636</v>
      </c>
      <c r="BY199" s="31">
        <f>+-107+1</f>
        <v>-106</v>
      </c>
      <c r="BZ199" s="31">
        <f>+-64+1</f>
        <v>-63</v>
      </c>
      <c r="CA199" s="687">
        <f>+-101+2</f>
        <v>-99</v>
      </c>
      <c r="CB199" s="687">
        <f>+-169+8</f>
        <v>-161</v>
      </c>
      <c r="CC199" s="687">
        <f>+-121+4</f>
        <v>-117</v>
      </c>
      <c r="CD199" s="687">
        <v>-83</v>
      </c>
      <c r="CE199" s="687">
        <v>93</v>
      </c>
      <c r="CF199" s="687">
        <v>202</v>
      </c>
      <c r="CG199" s="538">
        <f>+CC$205*CG61</f>
        <v>297.44</v>
      </c>
      <c r="CH199" s="538">
        <f>+CD$205*CH61</f>
        <v>212.70000000000002</v>
      </c>
      <c r="CI199" s="538">
        <f>+CE$205*CI61</f>
        <v>109.25999999999999</v>
      </c>
      <c r="CJ199" s="538">
        <f>+CF$205*CJ61</f>
        <v>126.63</v>
      </c>
    </row>
    <row r="200" spans="1:89">
      <c r="A200" s="2" t="s">
        <v>44</v>
      </c>
      <c r="M200" s="538">
        <f t="shared" si="254"/>
        <v>251.47398144413069</v>
      </c>
      <c r="N200" s="538">
        <f t="shared" si="254"/>
        <v>0</v>
      </c>
      <c r="O200" s="538">
        <f t="shared" si="254"/>
        <v>36.130000000000003</v>
      </c>
      <c r="P200" s="538">
        <f t="shared" si="254"/>
        <v>4.9399999999999995</v>
      </c>
      <c r="Q200" s="548">
        <v>0</v>
      </c>
      <c r="R200" s="538">
        <f t="shared" si="246"/>
        <v>16</v>
      </c>
      <c r="S200" s="538">
        <f>+SUM(CC200:CF200)</f>
        <v>59</v>
      </c>
      <c r="T200" s="499">
        <f t="shared" ca="1" si="255"/>
        <v>0</v>
      </c>
      <c r="U200" s="499">
        <f t="shared" ca="1" si="255"/>
        <v>0</v>
      </c>
      <c r="V200" s="499">
        <f t="shared" ref="V200:AA200" ca="1" si="258">+U$205*V62</f>
        <v>0</v>
      </c>
      <c r="W200" s="499">
        <f t="shared" ca="1" si="258"/>
        <v>0</v>
      </c>
      <c r="X200" s="499">
        <f t="shared" ca="1" si="258"/>
        <v>0</v>
      </c>
      <c r="Y200" s="499">
        <f t="shared" ca="1" si="258"/>
        <v>0</v>
      </c>
      <c r="Z200" s="499">
        <f t="shared" ca="1" si="258"/>
        <v>0</v>
      </c>
      <c r="AA200" s="499">
        <f t="shared" ca="1" si="258"/>
        <v>0</v>
      </c>
      <c r="BI200" s="538">
        <f t="shared" ref="BI200:BX200" si="259">+BI174+BI187+BI214-BI161</f>
        <v>0</v>
      </c>
      <c r="BJ200" s="538">
        <f t="shared" si="259"/>
        <v>0</v>
      </c>
      <c r="BK200" s="538">
        <f t="shared" si="259"/>
        <v>0</v>
      </c>
      <c r="BL200" s="538">
        <f t="shared" si="259"/>
        <v>0</v>
      </c>
      <c r="BM200" s="538">
        <f t="shared" si="259"/>
        <v>6.5600000000000005</v>
      </c>
      <c r="BN200" s="538">
        <f t="shared" si="259"/>
        <v>9.620000000000001</v>
      </c>
      <c r="BO200" s="538">
        <f t="shared" si="259"/>
        <v>8.74</v>
      </c>
      <c r="BP200" s="538">
        <f t="shared" si="259"/>
        <v>11.21</v>
      </c>
      <c r="BQ200" s="538">
        <f t="shared" si="259"/>
        <v>4.9399999999999995</v>
      </c>
      <c r="BR200" s="538">
        <f t="shared" si="259"/>
        <v>0</v>
      </c>
      <c r="BS200" s="538">
        <f t="shared" si="259"/>
        <v>0</v>
      </c>
      <c r="BT200" s="538">
        <f t="shared" si="259"/>
        <v>0</v>
      </c>
      <c r="BU200" s="538">
        <f t="shared" si="259"/>
        <v>0</v>
      </c>
      <c r="BV200" s="538">
        <f t="shared" si="259"/>
        <v>0</v>
      </c>
      <c r="BW200" s="538">
        <f t="shared" si="259"/>
        <v>0</v>
      </c>
      <c r="BX200" s="538">
        <f t="shared" si="259"/>
        <v>0</v>
      </c>
      <c r="BY200" s="687">
        <v>0</v>
      </c>
      <c r="BZ200" s="687">
        <v>0</v>
      </c>
      <c r="CA200" s="687">
        <v>0</v>
      </c>
      <c r="CB200" s="687">
        <v>16</v>
      </c>
      <c r="CC200" s="687">
        <v>14</v>
      </c>
      <c r="CD200" s="687">
        <v>16</v>
      </c>
      <c r="CE200" s="687">
        <v>20</v>
      </c>
      <c r="CF200" s="687">
        <v>9</v>
      </c>
      <c r="CG200" s="708">
        <v>0</v>
      </c>
      <c r="CH200" s="708">
        <v>0</v>
      </c>
      <c r="CI200" s="708">
        <v>0</v>
      </c>
      <c r="CJ200" s="708">
        <v>0</v>
      </c>
    </row>
    <row r="201" spans="1:89">
      <c r="A201" s="2" t="s">
        <v>45</v>
      </c>
      <c r="M201" s="538">
        <f t="shared" si="254"/>
        <v>-105</v>
      </c>
      <c r="N201" s="538">
        <f t="shared" si="254"/>
        <v>-58</v>
      </c>
      <c r="O201" s="538">
        <f t="shared" si="254"/>
        <v>-227.47</v>
      </c>
      <c r="P201" s="538">
        <f t="shared" si="254"/>
        <v>-19.600000000000001</v>
      </c>
      <c r="Q201" s="548">
        <v>0</v>
      </c>
      <c r="R201" s="538">
        <f t="shared" si="246"/>
        <v>0</v>
      </c>
      <c r="S201" s="538">
        <f>+SUM(CC201:CF201)</f>
        <v>0</v>
      </c>
      <c r="T201" s="716">
        <v>0</v>
      </c>
      <c r="U201" s="499">
        <f t="shared" ca="1" si="255"/>
        <v>0</v>
      </c>
      <c r="V201" s="499">
        <f t="shared" ref="V201:AA201" ca="1" si="260">+U$205*V63</f>
        <v>0</v>
      </c>
      <c r="W201" s="499">
        <f t="shared" ca="1" si="260"/>
        <v>0</v>
      </c>
      <c r="X201" s="499">
        <f t="shared" ca="1" si="260"/>
        <v>0</v>
      </c>
      <c r="Y201" s="499">
        <f t="shared" ca="1" si="260"/>
        <v>0</v>
      </c>
      <c r="Z201" s="499">
        <f t="shared" ca="1" si="260"/>
        <v>0</v>
      </c>
      <c r="AA201" s="499">
        <f t="shared" ca="1" si="260"/>
        <v>0</v>
      </c>
      <c r="BI201" s="538">
        <f t="shared" ref="BI201:BX201" si="261">+BI175+BI188+BI215-BI162</f>
        <v>3</v>
      </c>
      <c r="BJ201" s="538">
        <f t="shared" si="261"/>
        <v>-21</v>
      </c>
      <c r="BK201" s="538">
        <f t="shared" si="261"/>
        <v>-12</v>
      </c>
      <c r="BL201" s="538">
        <f t="shared" si="261"/>
        <v>-28</v>
      </c>
      <c r="BM201" s="538">
        <f t="shared" si="261"/>
        <v>-50.33</v>
      </c>
      <c r="BN201" s="538">
        <f t="shared" si="261"/>
        <v>-85.98</v>
      </c>
      <c r="BO201" s="538">
        <f t="shared" si="261"/>
        <v>-70.64</v>
      </c>
      <c r="BP201" s="538">
        <f t="shared" si="261"/>
        <v>-20.52</v>
      </c>
      <c r="BQ201" s="538">
        <f t="shared" si="261"/>
        <v>-11.22</v>
      </c>
      <c r="BR201" s="538">
        <f t="shared" si="261"/>
        <v>-3.38</v>
      </c>
      <c r="BS201" s="538">
        <f t="shared" si="261"/>
        <v>-3</v>
      </c>
      <c r="BT201" s="538">
        <f t="shared" si="261"/>
        <v>-2</v>
      </c>
      <c r="BU201" s="538">
        <f t="shared" si="261"/>
        <v>0</v>
      </c>
      <c r="BV201" s="538">
        <f t="shared" si="261"/>
        <v>0</v>
      </c>
      <c r="BW201" s="538">
        <f t="shared" si="261"/>
        <v>0</v>
      </c>
      <c r="BX201" s="538">
        <f t="shared" si="261"/>
        <v>0</v>
      </c>
      <c r="BY201" s="687">
        <v>0</v>
      </c>
      <c r="BZ201" s="687">
        <v>0</v>
      </c>
      <c r="CA201" s="687">
        <v>0</v>
      </c>
      <c r="CB201" s="687">
        <v>0</v>
      </c>
      <c r="CC201" s="687">
        <v>0</v>
      </c>
      <c r="CD201" s="687">
        <v>0</v>
      </c>
      <c r="CE201" s="687">
        <v>0</v>
      </c>
      <c r="CF201" s="687">
        <v>0</v>
      </c>
      <c r="CG201" s="708">
        <f>+CF201</f>
        <v>0</v>
      </c>
      <c r="CH201" s="708">
        <f>+CG201*0.5</f>
        <v>0</v>
      </c>
      <c r="CI201" s="538">
        <f t="shared" ref="CG201:CI203" ca="1" si="262">+CE$205*CI63</f>
        <v>0</v>
      </c>
      <c r="CJ201" s="538">
        <v>0</v>
      </c>
    </row>
    <row r="202" spans="1:89">
      <c r="A202" s="2" t="s">
        <v>46</v>
      </c>
      <c r="M202" s="538">
        <f t="shared" si="254"/>
        <v>485.60669624848731</v>
      </c>
      <c r="N202" s="538">
        <f t="shared" si="254"/>
        <v>-527.48</v>
      </c>
      <c r="O202" s="538">
        <f t="shared" si="254"/>
        <v>38</v>
      </c>
      <c r="P202" s="538">
        <f t="shared" si="254"/>
        <v>-38</v>
      </c>
      <c r="Q202" s="548">
        <v>0</v>
      </c>
      <c r="R202" s="538">
        <f t="shared" si="246"/>
        <v>0</v>
      </c>
      <c r="S202" s="538">
        <f>+SUM(CC202:CF202)</f>
        <v>0</v>
      </c>
      <c r="T202" s="499">
        <f t="shared" si="255"/>
        <v>0</v>
      </c>
      <c r="U202" s="499">
        <f t="shared" ca="1" si="255"/>
        <v>0</v>
      </c>
      <c r="V202" s="499">
        <f t="shared" ref="V202:AA202" ca="1" si="263">+U$205*V64</f>
        <v>0</v>
      </c>
      <c r="W202" s="499">
        <f t="shared" ca="1" si="263"/>
        <v>0</v>
      </c>
      <c r="X202" s="499">
        <f t="shared" ca="1" si="263"/>
        <v>0</v>
      </c>
      <c r="Y202" s="499">
        <f t="shared" ca="1" si="263"/>
        <v>0</v>
      </c>
      <c r="Z202" s="499">
        <f t="shared" ca="1" si="263"/>
        <v>0</v>
      </c>
      <c r="AA202" s="499">
        <f t="shared" ca="1" si="263"/>
        <v>0</v>
      </c>
      <c r="BI202" s="538">
        <f t="shared" ref="BI202:BX202" si="264">+BI176+BI189+BI216-BI163</f>
        <v>0</v>
      </c>
      <c r="BJ202" s="538">
        <f t="shared" si="264"/>
        <v>-293.38</v>
      </c>
      <c r="BK202" s="538">
        <f t="shared" si="264"/>
        <v>0</v>
      </c>
      <c r="BL202" s="538">
        <f t="shared" si="264"/>
        <v>-234.1</v>
      </c>
      <c r="BM202" s="538">
        <f t="shared" si="264"/>
        <v>0</v>
      </c>
      <c r="BN202" s="538">
        <f t="shared" si="264"/>
        <v>0</v>
      </c>
      <c r="BO202" s="538">
        <f t="shared" si="264"/>
        <v>19</v>
      </c>
      <c r="BP202" s="538">
        <f t="shared" si="264"/>
        <v>19</v>
      </c>
      <c r="BQ202" s="538">
        <f t="shared" si="264"/>
        <v>0</v>
      </c>
      <c r="BR202" s="538">
        <f t="shared" si="264"/>
        <v>0</v>
      </c>
      <c r="BS202" s="538">
        <f t="shared" si="264"/>
        <v>-19</v>
      </c>
      <c r="BT202" s="538">
        <f t="shared" si="264"/>
        <v>-19</v>
      </c>
      <c r="BU202" s="538">
        <f t="shared" si="264"/>
        <v>0</v>
      </c>
      <c r="BV202" s="538">
        <f t="shared" si="264"/>
        <v>0</v>
      </c>
      <c r="BW202" s="538">
        <f t="shared" si="264"/>
        <v>0</v>
      </c>
      <c r="BX202" s="538">
        <f t="shared" si="264"/>
        <v>0</v>
      </c>
      <c r="BY202" s="687">
        <v>0</v>
      </c>
      <c r="BZ202" s="687">
        <v>0</v>
      </c>
      <c r="CA202" s="687">
        <v>0</v>
      </c>
      <c r="CB202" s="687">
        <v>0</v>
      </c>
      <c r="CC202" s="687">
        <v>0</v>
      </c>
      <c r="CD202" s="687">
        <v>0</v>
      </c>
      <c r="CE202" s="687">
        <v>0</v>
      </c>
      <c r="CF202" s="687">
        <v>0</v>
      </c>
      <c r="CG202" s="538">
        <f t="shared" si="262"/>
        <v>0</v>
      </c>
      <c r="CH202" s="538">
        <f t="shared" si="262"/>
        <v>0</v>
      </c>
      <c r="CI202" s="538">
        <f t="shared" si="262"/>
        <v>0</v>
      </c>
      <c r="CJ202" s="538">
        <f>+T202-SUM(CG202:CI202)</f>
        <v>0</v>
      </c>
    </row>
    <row r="203" spans="1:89">
      <c r="A203" s="2" t="s">
        <v>47</v>
      </c>
      <c r="M203" s="538">
        <f t="shared" si="254"/>
        <v>-1</v>
      </c>
      <c r="N203" s="538">
        <f t="shared" si="254"/>
        <v>26.254453682311574</v>
      </c>
      <c r="O203" s="538">
        <f t="shared" si="254"/>
        <v>-5.6860685241243445</v>
      </c>
      <c r="P203" s="538">
        <f t="shared" si="254"/>
        <v>-3030.8046369185463</v>
      </c>
      <c r="Q203" s="548">
        <v>0</v>
      </c>
      <c r="R203" s="538">
        <f t="shared" si="246"/>
        <v>0</v>
      </c>
      <c r="S203" s="538">
        <f>+SUM(CC203:CF203)</f>
        <v>0</v>
      </c>
      <c r="T203" s="499">
        <f t="shared" si="255"/>
        <v>0</v>
      </c>
      <c r="U203" s="499">
        <f t="shared" ca="1" si="255"/>
        <v>0</v>
      </c>
      <c r="V203" s="499">
        <f t="shared" ref="V203:AA203" ca="1" si="265">+U$205*V65</f>
        <v>0</v>
      </c>
      <c r="W203" s="499">
        <f t="shared" ca="1" si="265"/>
        <v>0</v>
      </c>
      <c r="X203" s="499">
        <f t="shared" ca="1" si="265"/>
        <v>0</v>
      </c>
      <c r="Y203" s="499">
        <f t="shared" ca="1" si="265"/>
        <v>0</v>
      </c>
      <c r="Z203" s="499">
        <f t="shared" ca="1" si="265"/>
        <v>0</v>
      </c>
      <c r="AA203" s="499">
        <f t="shared" ca="1" si="265"/>
        <v>0</v>
      </c>
      <c r="BI203" s="538">
        <f t="shared" ref="BI203:BX203" si="266">+BI177+BI190+BI217-BI164</f>
        <v>-12.115623930337279</v>
      </c>
      <c r="BJ203" s="538">
        <f t="shared" si="266"/>
        <v>10.286993843520808</v>
      </c>
      <c r="BK203" s="538">
        <f t="shared" si="266"/>
        <v>27.146997394702616</v>
      </c>
      <c r="BL203" s="538">
        <f t="shared" si="266"/>
        <v>0.93608637442542886</v>
      </c>
      <c r="BM203" s="538">
        <f t="shared" si="266"/>
        <v>6.0575214678636513</v>
      </c>
      <c r="BN203" s="538">
        <f t="shared" si="266"/>
        <v>-9.3930420540848871</v>
      </c>
      <c r="BO203" s="538">
        <f t="shared" si="266"/>
        <v>-5.0834977571517967</v>
      </c>
      <c r="BP203" s="538">
        <f t="shared" si="266"/>
        <v>2.7329498192486881</v>
      </c>
      <c r="BQ203" s="538">
        <f t="shared" si="266"/>
        <v>-724.68589756286315</v>
      </c>
      <c r="BR203" s="538">
        <f t="shared" si="266"/>
        <v>-796.3584029915628</v>
      </c>
      <c r="BS203" s="538">
        <f t="shared" si="266"/>
        <v>-676.75689965493746</v>
      </c>
      <c r="BT203" s="538">
        <f t="shared" si="266"/>
        <v>-833.00343670918323</v>
      </c>
      <c r="BU203" s="538">
        <f t="shared" si="266"/>
        <v>50.109541175354835</v>
      </c>
      <c r="BV203" s="538">
        <f t="shared" si="266"/>
        <v>44.472008996494274</v>
      </c>
      <c r="BW203" s="538">
        <f t="shared" si="266"/>
        <v>90.936618045373294</v>
      </c>
      <c r="BX203" s="538">
        <f t="shared" si="266"/>
        <v>68.664831782777725</v>
      </c>
      <c r="BY203" s="687">
        <v>0</v>
      </c>
      <c r="BZ203" s="687">
        <v>0</v>
      </c>
      <c r="CA203" s="687">
        <v>0</v>
      </c>
      <c r="CB203" s="687">
        <v>0</v>
      </c>
      <c r="CC203" s="687">
        <v>0</v>
      </c>
      <c r="CD203" s="687">
        <v>0</v>
      </c>
      <c r="CE203" s="687">
        <v>0</v>
      </c>
      <c r="CF203" s="687">
        <v>0</v>
      </c>
      <c r="CG203" s="538">
        <f t="shared" si="262"/>
        <v>0</v>
      </c>
      <c r="CH203" s="538">
        <f t="shared" si="262"/>
        <v>0</v>
      </c>
      <c r="CI203" s="538">
        <f t="shared" si="262"/>
        <v>0</v>
      </c>
      <c r="CJ203" s="538">
        <f>+T203-SUM(CG203:CI203)</f>
        <v>0</v>
      </c>
    </row>
    <row r="204" spans="1:89">
      <c r="BU204" s="538"/>
    </row>
    <row r="205" spans="1:89" s="16" customFormat="1">
      <c r="A205" s="682" t="s">
        <v>60</v>
      </c>
      <c r="B205" s="684"/>
      <c r="C205" s="684"/>
      <c r="D205" s="684"/>
      <c r="E205" s="684"/>
      <c r="F205" s="684"/>
      <c r="G205" s="684"/>
      <c r="H205" s="684"/>
      <c r="I205" s="684"/>
      <c r="J205" s="684"/>
      <c r="K205" s="684"/>
      <c r="L205" s="685">
        <f>+IS!L142</f>
        <v>14592.61840913209</v>
      </c>
      <c r="M205" s="685">
        <f>+IS!M142</f>
        <v>16331.679999999998</v>
      </c>
      <c r="N205" s="685">
        <f>+IS!N142</f>
        <v>15236.3</v>
      </c>
      <c r="O205" s="685">
        <f>+IS!O142</f>
        <v>15546.7</v>
      </c>
      <c r="P205" s="685">
        <f>+IS!P142</f>
        <v>12132</v>
      </c>
      <c r="Q205" s="685">
        <f>+IS!Q142</f>
        <v>9793</v>
      </c>
      <c r="R205" s="685">
        <f>+IS!R142</f>
        <v>9384</v>
      </c>
      <c r="S205" s="685">
        <f>+IS!S142</f>
        <v>9657</v>
      </c>
      <c r="T205" s="550">
        <f t="shared" ref="T205:AA205" ca="1" si="267">+S205+SUM(T196:T197,T199:T203)</f>
        <v>10499.6</v>
      </c>
      <c r="U205" s="550">
        <f t="shared" ca="1" si="267"/>
        <v>10657.094000000001</v>
      </c>
      <c r="V205" s="550">
        <f t="shared" ca="1" si="267"/>
        <v>10806.293316000001</v>
      </c>
      <c r="W205" s="550">
        <f t="shared" ca="1" si="267"/>
        <v>11055.918691599602</v>
      </c>
      <c r="X205" s="550">
        <f t="shared" ca="1" si="267"/>
        <v>11302.355119235357</v>
      </c>
      <c r="Y205" s="550">
        <f t="shared" ca="1" si="267"/>
        <v>11546.04519796119</v>
      </c>
      <c r="Z205" s="550">
        <f t="shared" ca="1" si="267"/>
        <v>11787.414118220049</v>
      </c>
      <c r="AA205" s="550">
        <f t="shared" ca="1" si="267"/>
        <v>12026.868481457359</v>
      </c>
      <c r="AB205" s="473"/>
      <c r="AC205" s="686"/>
      <c r="AD205" s="686"/>
      <c r="AE205" s="686"/>
      <c r="AF205" s="686"/>
      <c r="AG205" s="686"/>
      <c r="AH205" s="686"/>
      <c r="AI205" s="686"/>
      <c r="AJ205" s="686"/>
      <c r="AK205" s="686"/>
      <c r="AL205" s="686"/>
      <c r="AM205" s="686"/>
      <c r="AN205" s="686"/>
      <c r="AO205" s="686"/>
      <c r="AP205" s="686"/>
      <c r="AQ205" s="686"/>
      <c r="AR205" s="686"/>
      <c r="AS205" s="686"/>
      <c r="AT205" s="686"/>
      <c r="AU205" s="686"/>
      <c r="AV205" s="686"/>
      <c r="AW205" s="686"/>
      <c r="AX205" s="686"/>
      <c r="AY205" s="686"/>
      <c r="AZ205" s="686"/>
      <c r="BA205" s="686"/>
      <c r="BB205" s="686"/>
      <c r="BC205" s="686"/>
      <c r="BD205" s="686"/>
      <c r="BE205" s="685">
        <f>+IS!BE142</f>
        <v>3648.4799999999996</v>
      </c>
      <c r="BF205" s="685">
        <f>+IS!BF142</f>
        <v>4298.7</v>
      </c>
      <c r="BG205" s="685">
        <f>+IS!BG142</f>
        <v>3820.42</v>
      </c>
      <c r="BH205" s="685">
        <f>+IS!BH142</f>
        <v>4564.08</v>
      </c>
      <c r="BI205" s="685">
        <f>+IS!BI142</f>
        <v>3816.62</v>
      </c>
      <c r="BJ205" s="685">
        <f>+IS!BJ142</f>
        <v>3681.7</v>
      </c>
      <c r="BK205" s="685">
        <f>+IS!BK142</f>
        <v>3494.6800000000003</v>
      </c>
      <c r="BL205" s="685">
        <f>+IS!BL142</f>
        <v>4243.3</v>
      </c>
      <c r="BM205" s="685">
        <f>+IS!BM142</f>
        <v>3785.9400000000005</v>
      </c>
      <c r="BN205" s="685">
        <f>+IS!BN142</f>
        <v>3667.8199999999997</v>
      </c>
      <c r="BO205" s="685">
        <f>+IS!BO142</f>
        <v>3655.24</v>
      </c>
      <c r="BP205" s="685">
        <f>+IS!BP142</f>
        <v>4437.7</v>
      </c>
      <c r="BQ205" s="685">
        <f>+IS!BQ142</f>
        <v>3133.7858341725414</v>
      </c>
      <c r="BR205" s="685">
        <f>+IS!BR142</f>
        <v>2946.2608257804632</v>
      </c>
      <c r="BS205" s="685">
        <f>+IS!BS142</f>
        <v>2853.3501174890898</v>
      </c>
      <c r="BT205" s="685">
        <f>+IS!BT142</f>
        <v>3198.6032225579056</v>
      </c>
      <c r="BU205" s="685">
        <f>+IS!BU142</f>
        <v>2480</v>
      </c>
      <c r="BV205" s="685">
        <f>+IS!BV142</f>
        <v>2268</v>
      </c>
      <c r="BW205" s="685">
        <f>+IS!BW142</f>
        <v>2331</v>
      </c>
      <c r="BX205" s="685">
        <f>+IS!BX142</f>
        <v>2714</v>
      </c>
      <c r="BY205" s="685">
        <f>+IS!BY142</f>
        <v>2365</v>
      </c>
      <c r="BZ205" s="685">
        <f>+IS!BZ142</f>
        <v>2208</v>
      </c>
      <c r="CA205" s="685">
        <f>+IS!CA142</f>
        <v>2243</v>
      </c>
      <c r="CB205" s="685">
        <f>+IS!CB142</f>
        <v>2568</v>
      </c>
      <c r="CC205" s="685">
        <f>+IS!CC142</f>
        <v>2288</v>
      </c>
      <c r="CD205" s="685">
        <f>+IS!CD142</f>
        <v>2127</v>
      </c>
      <c r="CE205" s="685">
        <f>+IS!CE142</f>
        <v>2428</v>
      </c>
      <c r="CF205" s="685">
        <f>+IS!CF142</f>
        <v>2814</v>
      </c>
      <c r="CG205" s="550">
        <f>+CC205+SUM(CG196:CG197,CG199:CG203)</f>
        <v>2601.4560000000001</v>
      </c>
      <c r="CH205" s="550">
        <f>+CD205+SUM(CH196:CH197,CH199:CH203)</f>
        <v>2397.1289999999999</v>
      </c>
      <c r="CI205" s="550">
        <f ca="1">+CE205+SUM(CI196:CI197,CI199:CI203)</f>
        <v>2537.2600000000002</v>
      </c>
      <c r="CJ205" s="550">
        <f>+CF205+SUM(CJ196:CJ197,CJ199:CJ203)</f>
        <v>2963.7550000000001</v>
      </c>
      <c r="CK205" s="731"/>
    </row>
    <row r="206" spans="1:89">
      <c r="A206" s="22" t="s">
        <v>61</v>
      </c>
      <c r="N206" s="540">
        <f>+M205+SUM(N196:N197,N199:N203)-N205</f>
        <v>11.473999999998341</v>
      </c>
      <c r="O206" s="540">
        <f>+N205+SUM(O196:O197,O199:O203)-O205</f>
        <v>2.760999999998603</v>
      </c>
      <c r="P206" s="540">
        <f>+O205+SUM(P196:P197,P199:P203)-P205</f>
        <v>0</v>
      </c>
      <c r="Q206" s="540">
        <f>+P205+SUM(Q196:Q197,Q199:Q203)-Q205</f>
        <v>317.34000000000015</v>
      </c>
      <c r="BI206" s="540">
        <f>+BE205+SUM(BI196:BI203)-BI205</f>
        <v>2.8979999999996835</v>
      </c>
      <c r="BJ206" s="540">
        <f>+BF205+SUM(BJ196:BJ203)-BJ205</f>
        <v>8.6630000000000109</v>
      </c>
      <c r="BK206" s="540">
        <f>+BG205+SUM(BK196:BK203)-BK205</f>
        <v>-1.6320000000005166</v>
      </c>
      <c r="BL206" s="540">
        <f>+BH205+SUM(BL196:BL203)-BL205</f>
        <v>1.5450000000000728</v>
      </c>
      <c r="BM206" s="540">
        <f t="shared" ref="BM206:BX206" si="268">+BI205+SUM(BM196:BM203)-BM205</f>
        <v>1.0139999999996689</v>
      </c>
      <c r="BN206" s="540">
        <f t="shared" si="268"/>
        <v>0.50100000000020373</v>
      </c>
      <c r="BO206" s="540">
        <f t="shared" si="268"/>
        <v>0.41000000000076398</v>
      </c>
      <c r="BP206" s="540">
        <f t="shared" si="268"/>
        <v>0.83600000000024011</v>
      </c>
      <c r="BQ206" s="540">
        <f t="shared" si="268"/>
        <v>0</v>
      </c>
      <c r="BR206" s="540">
        <f t="shared" si="268"/>
        <v>0</v>
      </c>
      <c r="BS206" s="540">
        <f t="shared" si="268"/>
        <v>0</v>
      </c>
      <c r="BT206" s="540">
        <f t="shared" si="268"/>
        <v>0</v>
      </c>
      <c r="BU206" s="540">
        <f t="shared" si="268"/>
        <v>133</v>
      </c>
      <c r="BV206" s="540">
        <f t="shared" si="268"/>
        <v>137</v>
      </c>
      <c r="BW206" s="540">
        <f t="shared" si="268"/>
        <v>132.67499999999973</v>
      </c>
      <c r="BX206" s="540">
        <f t="shared" si="268"/>
        <v>156.42000000000007</v>
      </c>
      <c r="BY206" s="540">
        <f t="shared" ref="BY206:CF206" si="269">+BU205+SUM(BY196:BY203)-BY205</f>
        <v>18.920000000000073</v>
      </c>
      <c r="BZ206" s="540">
        <f t="shared" si="269"/>
        <v>21.947999999999865</v>
      </c>
      <c r="CA206" s="540">
        <f t="shared" si="269"/>
        <v>19.302999999999884</v>
      </c>
      <c r="CB206" s="540">
        <f t="shared" si="269"/>
        <v>17.284000000000106</v>
      </c>
      <c r="CC206" s="540">
        <f t="shared" si="269"/>
        <v>-2.3499999999999091</v>
      </c>
      <c r="CD206" s="540">
        <f t="shared" si="269"/>
        <v>-1.456000000000131</v>
      </c>
      <c r="CE206" s="540">
        <f t="shared" si="269"/>
        <v>-0.22400000000016007</v>
      </c>
      <c r="CF206" s="540">
        <f t="shared" si="269"/>
        <v>0.95200000000022555</v>
      </c>
      <c r="CG206" s="540">
        <f>+CC205+SUM(CG196:CG203)-CG205</f>
        <v>0</v>
      </c>
      <c r="CH206" s="540">
        <f>+CD205+SUM(CH196:CH203)-CH205</f>
        <v>0</v>
      </c>
      <c r="CI206" s="540">
        <f ca="1">+CE205+SUM(CI196:CI203)-CI205</f>
        <v>0</v>
      </c>
      <c r="CJ206" s="540">
        <f>+CF205+SUM(CJ196:CJ203)-CJ205</f>
        <v>0</v>
      </c>
    </row>
    <row r="207" spans="1:89" hidden="1">
      <c r="BU207" s="538"/>
    </row>
    <row r="208" spans="1:89" hidden="1"/>
    <row r="209" spans="1:88" hidden="1" outlineLevel="1">
      <c r="A209" s="25" t="s">
        <v>571</v>
      </c>
      <c r="B209" s="518"/>
      <c r="C209" s="518"/>
      <c r="D209" s="518"/>
      <c r="E209" s="518"/>
      <c r="F209" s="518"/>
      <c r="G209" s="518"/>
      <c r="H209" s="518"/>
      <c r="I209" s="518"/>
      <c r="J209" s="518"/>
      <c r="K209" s="518"/>
      <c r="L209" s="518"/>
      <c r="M209" s="518"/>
      <c r="N209" s="518"/>
      <c r="O209" s="518"/>
      <c r="P209" s="518"/>
      <c r="Q209" s="518"/>
      <c r="R209" s="518"/>
      <c r="S209" s="518"/>
      <c r="T209" s="518"/>
      <c r="U209" s="518"/>
      <c r="V209" s="518"/>
      <c r="W209" s="518"/>
      <c r="X209" s="518"/>
      <c r="Y209" s="518"/>
      <c r="Z209" s="518"/>
      <c r="AA209" s="518"/>
      <c r="AB209" s="519"/>
      <c r="AC209" s="518"/>
      <c r="AD209" s="518"/>
      <c r="AE209" s="518"/>
      <c r="AF209" s="518"/>
      <c r="AG209" s="518"/>
      <c r="AH209" s="518"/>
      <c r="AI209" s="518"/>
      <c r="AJ209" s="518"/>
      <c r="AK209" s="518"/>
      <c r="AL209" s="518"/>
      <c r="AM209" s="518"/>
      <c r="AN209" s="518"/>
      <c r="AO209" s="518"/>
      <c r="AP209" s="518"/>
      <c r="AQ209" s="518"/>
      <c r="AR209" s="518"/>
      <c r="AS209" s="518"/>
      <c r="AT209" s="518"/>
      <c r="AU209" s="518"/>
      <c r="AV209" s="518"/>
      <c r="AW209" s="518"/>
      <c r="AX209" s="518"/>
      <c r="AY209" s="518"/>
      <c r="AZ209" s="518"/>
      <c r="BA209" s="518"/>
      <c r="BB209" s="518"/>
      <c r="BC209" s="518"/>
      <c r="BD209" s="518"/>
      <c r="BE209" s="518"/>
      <c r="BF209" s="518"/>
      <c r="BG209" s="518"/>
      <c r="BH209" s="518"/>
      <c r="BI209" s="518"/>
      <c r="BJ209" s="518"/>
      <c r="BK209" s="518"/>
      <c r="BL209" s="518"/>
      <c r="BM209" s="518"/>
      <c r="BN209" s="518"/>
      <c r="BO209" s="518"/>
      <c r="BP209" s="518"/>
      <c r="BQ209" s="518"/>
      <c r="BR209" s="518"/>
      <c r="BS209" s="518"/>
      <c r="BT209" s="518"/>
      <c r="BU209" s="518"/>
      <c r="BV209" s="518"/>
      <c r="BW209" s="518"/>
      <c r="BX209" s="518"/>
      <c r="BY209" s="518"/>
      <c r="BZ209" s="518"/>
      <c r="CA209" s="518"/>
      <c r="CB209" s="518"/>
      <c r="CC209" s="518"/>
      <c r="CD209" s="518"/>
      <c r="CE209" s="518"/>
      <c r="CF209" s="518"/>
      <c r="CG209" s="518"/>
      <c r="CH209" s="518"/>
      <c r="CI209" s="518"/>
      <c r="CJ209" s="518"/>
    </row>
    <row r="210" spans="1:88" hidden="1" outlineLevel="1">
      <c r="A210" s="2" t="s">
        <v>41</v>
      </c>
      <c r="B210" s="32"/>
      <c r="C210" s="32"/>
      <c r="D210" s="32"/>
      <c r="E210" s="32"/>
      <c r="F210" s="32"/>
      <c r="G210" s="32"/>
      <c r="H210" s="32"/>
      <c r="I210" s="32"/>
      <c r="J210" s="32"/>
      <c r="K210" s="32"/>
      <c r="L210" s="32" t="s">
        <v>48</v>
      </c>
      <c r="M210" s="538">
        <f>+M100*L$219</f>
        <v>-39.332999999999998</v>
      </c>
      <c r="N210" s="538">
        <f>+SUM(BI210:BL210)</f>
        <v>220.196</v>
      </c>
      <c r="O210" s="538">
        <f>+SUM(BM210:BP210)</f>
        <v>435.31799999999998</v>
      </c>
      <c r="P210" s="538">
        <f>+SUM(BQ210:BT210)</f>
        <v>-311.36200000000002</v>
      </c>
      <c r="Q210" s="538">
        <f>+SUM(BU210:BX210)</f>
        <v>-325.26099999999997</v>
      </c>
      <c r="R210" s="538">
        <f t="shared" ref="R210:AA210" si="270">+R100*Q$219</f>
        <v>183.6</v>
      </c>
      <c r="S210" s="538">
        <f t="shared" si="270"/>
        <v>133.91745</v>
      </c>
      <c r="T210" s="538">
        <f t="shared" si="270"/>
        <v>43.560848327352112</v>
      </c>
      <c r="U210" s="538">
        <f t="shared" si="270"/>
        <v>87.992913621251262</v>
      </c>
      <c r="V210" s="538">
        <f t="shared" si="270"/>
        <v>80.381526593013035</v>
      </c>
      <c r="W210" s="538">
        <f t="shared" si="270"/>
        <v>73.356181168783692</v>
      </c>
      <c r="X210" s="538">
        <f t="shared" si="270"/>
        <v>66.885432427885291</v>
      </c>
      <c r="Y210" s="538">
        <f t="shared" si="270"/>
        <v>60.936708953181608</v>
      </c>
      <c r="Z210" s="538">
        <f t="shared" si="270"/>
        <v>55.477078420850404</v>
      </c>
      <c r="AA210" s="538">
        <f t="shared" si="270"/>
        <v>50.473845371989746</v>
      </c>
      <c r="AC210" s="32"/>
      <c r="AD210" s="32"/>
      <c r="AE210" s="32"/>
      <c r="AF210" s="32"/>
      <c r="AG210" s="32"/>
      <c r="AH210" s="32"/>
      <c r="AI210" s="32"/>
      <c r="AJ210" s="32"/>
      <c r="AK210" s="32"/>
      <c r="AL210" s="32"/>
      <c r="AM210" s="32"/>
      <c r="AN210" s="32"/>
      <c r="AO210" s="32"/>
      <c r="AP210" s="32"/>
      <c r="AQ210" s="32"/>
      <c r="AR210" s="32"/>
      <c r="AS210" s="32"/>
      <c r="AT210" s="32"/>
      <c r="AU210" s="32"/>
      <c r="AV210" s="32"/>
      <c r="AW210" s="32"/>
      <c r="AX210" s="32"/>
      <c r="AY210" s="32"/>
      <c r="AZ210" s="32"/>
      <c r="BA210" s="32"/>
      <c r="BB210" s="32"/>
      <c r="BC210" s="32"/>
      <c r="BD210" s="32"/>
      <c r="BE210" s="32" t="s">
        <v>48</v>
      </c>
      <c r="BF210" s="32" t="s">
        <v>48</v>
      </c>
      <c r="BG210" s="32" t="s">
        <v>48</v>
      </c>
      <c r="BH210" s="32" t="s">
        <v>48</v>
      </c>
      <c r="BI210" s="538">
        <f t="shared" ref="BI210:BR211" si="271">+BI100*BE$219</f>
        <v>157.262</v>
      </c>
      <c r="BJ210" s="538">
        <f t="shared" si="271"/>
        <v>-66.521000000000001</v>
      </c>
      <c r="BK210" s="538">
        <f t="shared" si="271"/>
        <v>58.752000000000002</v>
      </c>
      <c r="BL210" s="538">
        <f t="shared" si="271"/>
        <v>70.703000000000003</v>
      </c>
      <c r="BM210" s="538">
        <f t="shared" si="271"/>
        <v>45.421999999999997</v>
      </c>
      <c r="BN210" s="538">
        <f t="shared" si="271"/>
        <v>125.97</v>
      </c>
      <c r="BO210" s="538">
        <f t="shared" si="271"/>
        <v>148.42599999999999</v>
      </c>
      <c r="BP210" s="538">
        <f t="shared" si="271"/>
        <v>115.5</v>
      </c>
      <c r="BQ210" s="538">
        <f t="shared" si="271"/>
        <v>31.121999999999996</v>
      </c>
      <c r="BR210" s="538">
        <f t="shared" si="271"/>
        <v>-52.368000000000002</v>
      </c>
      <c r="BS210" s="538">
        <f t="shared" ref="BS210:CA211" si="272">+BS100*BO$219</f>
        <v>-181.22499999999999</v>
      </c>
      <c r="BT210" s="538">
        <f t="shared" si="272"/>
        <v>-108.89100000000001</v>
      </c>
      <c r="BU210" s="538">
        <f t="shared" si="272"/>
        <v>-130.87</v>
      </c>
      <c r="BV210" s="538">
        <f t="shared" si="272"/>
        <v>-95.792999999999992</v>
      </c>
      <c r="BW210" s="538">
        <f t="shared" si="272"/>
        <v>-61.08</v>
      </c>
      <c r="BX210" s="538">
        <f t="shared" si="272"/>
        <v>-37.518000000000001</v>
      </c>
      <c r="BY210" s="538">
        <f t="shared" si="272"/>
        <v>21.212999999999997</v>
      </c>
      <c r="BZ210" s="538">
        <f t="shared" si="272"/>
        <v>14.595000000000001</v>
      </c>
      <c r="CA210" s="538">
        <f t="shared" si="272"/>
        <v>71.709000000000003</v>
      </c>
      <c r="CB210" s="538">
        <f>+R210-SUM(BY210:CA210)</f>
        <v>76.082999999999998</v>
      </c>
      <c r="CC210" s="538">
        <f t="shared" ref="CC210:CE211" si="273">+CC100*BY$219</f>
        <v>34.335000000000001</v>
      </c>
      <c r="CD210" s="538">
        <f t="shared" si="273"/>
        <v>31.02</v>
      </c>
      <c r="CE210" s="538">
        <f t="shared" si="273"/>
        <v>31.56</v>
      </c>
      <c r="CF210" s="538">
        <f>+S210-SUM(CC210:CE210)</f>
        <v>37.002449999999996</v>
      </c>
      <c r="CG210" s="538">
        <f t="shared" ref="CG210:CI211" si="274">+CG100*CC$219</f>
        <v>17.891968500000004</v>
      </c>
      <c r="CH210" s="538">
        <f t="shared" si="274"/>
        <v>15.997014000000004</v>
      </c>
      <c r="CI210" s="538">
        <f t="shared" si="274"/>
        <v>16.616340000000005</v>
      </c>
      <c r="CJ210" s="538">
        <f>+T210-SUM(CG210:CI210)</f>
        <v>-6.944474172647908</v>
      </c>
    </row>
    <row r="211" spans="1:88" hidden="1" outlineLevel="1">
      <c r="A211" s="2" t="s">
        <v>42</v>
      </c>
      <c r="B211" s="32"/>
      <c r="C211" s="32"/>
      <c r="D211" s="32"/>
      <c r="E211" s="32"/>
      <c r="F211" s="32"/>
      <c r="G211" s="32"/>
      <c r="H211" s="32"/>
      <c r="I211" s="32"/>
      <c r="J211" s="32"/>
      <c r="K211" s="32"/>
      <c r="L211" s="32" t="s">
        <v>48</v>
      </c>
      <c r="M211" s="538">
        <f>+M101*L$219</f>
        <v>616.21699999999998</v>
      </c>
      <c r="N211" s="538">
        <f>+SUM(BI211:BL211)</f>
        <v>116.56500000000003</v>
      </c>
      <c r="O211" s="538">
        <f>+SUM(BM211:BP211)</f>
        <v>-326.69200000000001</v>
      </c>
      <c r="P211" s="538">
        <f>+SUM(BQ211:BT211)</f>
        <v>179.87799999999999</v>
      </c>
      <c r="Q211" s="538">
        <f t="shared" ref="Q211:Q217" si="275">+SUM(BU211:BX211)</f>
        <v>113.559</v>
      </c>
      <c r="R211" s="538">
        <f t="shared" ref="R211:AA211" si="276">+R101*Q$219</f>
        <v>-128.52000000000001</v>
      </c>
      <c r="S211" s="538">
        <f t="shared" si="276"/>
        <v>0</v>
      </c>
      <c r="T211" s="538">
        <f t="shared" si="276"/>
        <v>43.560848327352112</v>
      </c>
      <c r="U211" s="538">
        <f t="shared" si="276"/>
        <v>43.996456810625631</v>
      </c>
      <c r="V211" s="538">
        <f t="shared" si="276"/>
        <v>44.656403662785017</v>
      </c>
      <c r="W211" s="538">
        <f t="shared" si="276"/>
        <v>45.281593314064004</v>
      </c>
      <c r="X211" s="538">
        <f t="shared" si="276"/>
        <v>45.874782186478242</v>
      </c>
      <c r="Y211" s="538">
        <f t="shared" si="276"/>
        <v>46.438583259550057</v>
      </c>
      <c r="Z211" s="538">
        <f t="shared" si="276"/>
        <v>46.975459720613721</v>
      </c>
      <c r="AA211" s="538">
        <f t="shared" si="276"/>
        <v>47.487722411321037</v>
      </c>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t="s">
        <v>48</v>
      </c>
      <c r="BF211" s="32" t="s">
        <v>48</v>
      </c>
      <c r="BG211" s="32" t="s">
        <v>48</v>
      </c>
      <c r="BH211" s="32" t="s">
        <v>48</v>
      </c>
      <c r="BI211" s="538">
        <f t="shared" si="271"/>
        <v>97.034000000000006</v>
      </c>
      <c r="BJ211" s="538">
        <f t="shared" si="271"/>
        <v>109.56400000000001</v>
      </c>
      <c r="BK211" s="538">
        <f t="shared" si="271"/>
        <v>-27.648</v>
      </c>
      <c r="BL211" s="538">
        <f t="shared" si="271"/>
        <v>-62.384999999999998</v>
      </c>
      <c r="BM211" s="538">
        <f t="shared" si="271"/>
        <v>-41.928000000000004</v>
      </c>
      <c r="BN211" s="538">
        <f t="shared" si="271"/>
        <v>-119.33999999999999</v>
      </c>
      <c r="BO211" s="538">
        <f t="shared" si="271"/>
        <v>-88.424000000000007</v>
      </c>
      <c r="BP211" s="538">
        <f t="shared" si="271"/>
        <v>-77</v>
      </c>
      <c r="BQ211" s="538">
        <f t="shared" si="271"/>
        <v>-65.701999999999998</v>
      </c>
      <c r="BR211" s="549">
        <f t="shared" si="271"/>
        <v>-9.8190000000000008</v>
      </c>
      <c r="BS211" s="538">
        <f t="shared" si="272"/>
        <v>102.145</v>
      </c>
      <c r="BT211" s="538">
        <f t="shared" si="272"/>
        <v>153.25399999999999</v>
      </c>
      <c r="BU211" s="538">
        <f t="shared" si="272"/>
        <v>79.66</v>
      </c>
      <c r="BV211" s="538">
        <f t="shared" si="272"/>
        <v>7.7670000000000003</v>
      </c>
      <c r="BW211" s="538">
        <f t="shared" si="272"/>
        <v>20.36</v>
      </c>
      <c r="BX211" s="543">
        <f t="shared" si="272"/>
        <v>5.7720000000000002</v>
      </c>
      <c r="BY211" s="538">
        <f t="shared" si="272"/>
        <v>-16.498999999999999</v>
      </c>
      <c r="BZ211" s="538">
        <f t="shared" si="272"/>
        <v>-16.68</v>
      </c>
      <c r="CA211" s="538">
        <f t="shared" si="272"/>
        <v>-49.978999999999999</v>
      </c>
      <c r="CB211" s="538">
        <f>+R211-SUM(BY211:CA211)</f>
        <v>-45.362000000000009</v>
      </c>
      <c r="CC211" s="538">
        <f t="shared" si="273"/>
        <v>0</v>
      </c>
      <c r="CD211" s="538">
        <f t="shared" si="273"/>
        <v>0</v>
      </c>
      <c r="CE211" s="538">
        <f t="shared" si="273"/>
        <v>0</v>
      </c>
      <c r="CF211" s="538">
        <f>+S211-SUM(CC211:CE211)</f>
        <v>0</v>
      </c>
      <c r="CG211" s="538">
        <f t="shared" si="274"/>
        <v>11.044425000000002</v>
      </c>
      <c r="CH211" s="538">
        <f t="shared" si="274"/>
        <v>9.8747000000000007</v>
      </c>
      <c r="CI211" s="538">
        <f t="shared" si="274"/>
        <v>10.257000000000001</v>
      </c>
      <c r="CJ211" s="538">
        <f>+T211-SUM(CG211:CI211)</f>
        <v>12.384723327352109</v>
      </c>
    </row>
    <row r="212" spans="1:88" ht="6" hidden="1" customHeight="1" outlineLevel="1">
      <c r="BR212" s="324"/>
      <c r="BS212" s="517"/>
      <c r="BW212" s="517"/>
      <c r="BX212" s="517"/>
    </row>
    <row r="213" spans="1:88" hidden="1" outlineLevel="1">
      <c r="A213" s="2" t="s">
        <v>43</v>
      </c>
      <c r="B213" s="32"/>
      <c r="C213" s="32"/>
      <c r="D213" s="32"/>
      <c r="E213" s="32"/>
      <c r="F213" s="32"/>
      <c r="G213" s="32"/>
      <c r="H213" s="32"/>
      <c r="I213" s="32"/>
      <c r="J213" s="32"/>
      <c r="K213" s="32"/>
      <c r="L213" s="32" t="s">
        <v>48</v>
      </c>
      <c r="M213" s="544">
        <v>677</v>
      </c>
      <c r="N213" s="538">
        <f>+SUM(BI213:BL213)</f>
        <v>-838</v>
      </c>
      <c r="O213" s="538">
        <f>+SUM(BM213:BP213)</f>
        <v>290</v>
      </c>
      <c r="P213" s="538">
        <f>+SUM(BQ213:BT213)</f>
        <v>36</v>
      </c>
      <c r="Q213" s="538">
        <f t="shared" si="275"/>
        <v>-1474</v>
      </c>
      <c r="R213" s="538">
        <f>+SUM(BY213:CB213)</f>
        <v>-307.25</v>
      </c>
      <c r="S213" s="538">
        <f>+SUM(CC213:CF213)</f>
        <v>-349.57778452957717</v>
      </c>
      <c r="T213" s="538">
        <f t="shared" ref="T213:AA217" si="277">+T103*S$219</f>
        <v>0</v>
      </c>
      <c r="U213" s="538">
        <f t="shared" si="277"/>
        <v>0</v>
      </c>
      <c r="V213" s="538">
        <f t="shared" si="277"/>
        <v>0</v>
      </c>
      <c r="W213" s="538">
        <f t="shared" si="277"/>
        <v>0</v>
      </c>
      <c r="X213" s="538">
        <f t="shared" si="277"/>
        <v>0</v>
      </c>
      <c r="Y213" s="538">
        <f t="shared" si="277"/>
        <v>0</v>
      </c>
      <c r="Z213" s="538">
        <f t="shared" si="277"/>
        <v>0</v>
      </c>
      <c r="AA213" s="538">
        <f t="shared" si="277"/>
        <v>0</v>
      </c>
      <c r="AC213" s="32"/>
      <c r="AD213" s="32"/>
      <c r="AE213" s="32"/>
      <c r="AF213" s="32"/>
      <c r="AG213" s="32"/>
      <c r="AH213" s="32"/>
      <c r="AI213" s="32"/>
      <c r="AJ213" s="32"/>
      <c r="AK213" s="32"/>
      <c r="AL213" s="32"/>
      <c r="AM213" s="32"/>
      <c r="AN213" s="32"/>
      <c r="AO213" s="32"/>
      <c r="AP213" s="32"/>
      <c r="AQ213" s="32"/>
      <c r="AR213" s="32"/>
      <c r="AS213" s="32"/>
      <c r="AT213" s="32"/>
      <c r="AU213" s="32"/>
      <c r="AV213" s="32"/>
      <c r="AW213" s="32"/>
      <c r="AX213" s="32"/>
      <c r="AY213" s="32"/>
      <c r="AZ213" s="32"/>
      <c r="BA213" s="32"/>
      <c r="BB213" s="32"/>
      <c r="BC213" s="32"/>
      <c r="BD213" s="32"/>
      <c r="BE213" s="32" t="s">
        <v>48</v>
      </c>
      <c r="BF213" s="32" t="s">
        <v>48</v>
      </c>
      <c r="BG213" s="32" t="s">
        <v>48</v>
      </c>
      <c r="BH213" s="32" t="s">
        <v>48</v>
      </c>
      <c r="BI213" s="544">
        <v>-107</v>
      </c>
      <c r="BJ213" s="544">
        <v>-341</v>
      </c>
      <c r="BK213" s="544">
        <v>-318</v>
      </c>
      <c r="BL213" s="544">
        <v>-72</v>
      </c>
      <c r="BM213" s="545">
        <v>8</v>
      </c>
      <c r="BN213" s="545">
        <v>29</v>
      </c>
      <c r="BO213" s="545">
        <v>118</v>
      </c>
      <c r="BP213" s="545">
        <v>135</v>
      </c>
      <c r="BQ213" s="546">
        <v>138</v>
      </c>
      <c r="BR213" s="545">
        <v>172</v>
      </c>
      <c r="BS213" s="547">
        <v>21</v>
      </c>
      <c r="BT213" s="548">
        <v>-295</v>
      </c>
      <c r="BU213" s="548">
        <f>+-562+125</f>
        <v>-437</v>
      </c>
      <c r="BV213" s="547">
        <f>+-571+154</f>
        <v>-417</v>
      </c>
      <c r="BW213" s="547">
        <v>-331</v>
      </c>
      <c r="BX213" s="547">
        <v>-289</v>
      </c>
      <c r="BY213" s="548">
        <v>-73</v>
      </c>
      <c r="BZ213" s="548">
        <v>-15</v>
      </c>
      <c r="CA213" s="604">
        <v>-91</v>
      </c>
      <c r="CB213" s="604">
        <f t="shared" ref="CB213:CJ213" si="278">+CB103*BX$219</f>
        <v>-128.25</v>
      </c>
      <c r="CC213" s="604">
        <f t="shared" si="278"/>
        <v>-114.45</v>
      </c>
      <c r="CD213" s="604">
        <f t="shared" si="278"/>
        <v>-124.08</v>
      </c>
      <c r="CE213" s="604">
        <f t="shared" si="278"/>
        <v>-84.16</v>
      </c>
      <c r="CF213" s="604">
        <f t="shared" si="278"/>
        <v>-26.887784529577171</v>
      </c>
      <c r="CG213" s="538">
        <f t="shared" si="278"/>
        <v>-110.44425000000001</v>
      </c>
      <c r="CH213" s="538">
        <f t="shared" si="278"/>
        <v>-118.49639999999999</v>
      </c>
      <c r="CI213" s="538">
        <f t="shared" si="278"/>
        <v>-82.056000000000012</v>
      </c>
      <c r="CJ213" s="538">
        <f t="shared" si="278"/>
        <v>-26.998003026879669</v>
      </c>
    </row>
    <row r="214" spans="1:88" hidden="1" outlineLevel="1">
      <c r="A214" s="2" t="s">
        <v>44</v>
      </c>
      <c r="B214" s="32"/>
      <c r="C214" s="32"/>
      <c r="D214" s="32"/>
      <c r="E214" s="32"/>
      <c r="F214" s="32"/>
      <c r="G214" s="32"/>
      <c r="H214" s="32"/>
      <c r="I214" s="32"/>
      <c r="J214" s="32"/>
      <c r="K214" s="32"/>
      <c r="L214" s="32" t="s">
        <v>48</v>
      </c>
      <c r="M214" s="544">
        <v>201</v>
      </c>
      <c r="N214" s="538">
        <f>+SUM(BI214:BL214)</f>
        <v>0</v>
      </c>
      <c r="O214" s="538">
        <f>+SUM(BM214:BP214)</f>
        <v>2.5</v>
      </c>
      <c r="P214" s="538">
        <f>+SUM(BQ214:BT214)</f>
        <v>0</v>
      </c>
      <c r="Q214" s="538">
        <f t="shared" si="275"/>
        <v>0</v>
      </c>
      <c r="R214" s="538">
        <f t="shared" ref="R214:S217" si="279">+R104*Q$219</f>
        <v>0</v>
      </c>
      <c r="S214" s="538">
        <f t="shared" si="279"/>
        <v>0</v>
      </c>
      <c r="T214" s="538">
        <f t="shared" si="277"/>
        <v>0</v>
      </c>
      <c r="U214" s="538">
        <f t="shared" si="277"/>
        <v>0</v>
      </c>
      <c r="V214" s="538">
        <f t="shared" si="277"/>
        <v>0</v>
      </c>
      <c r="W214" s="538">
        <f t="shared" si="277"/>
        <v>0</v>
      </c>
      <c r="X214" s="538">
        <f t="shared" si="277"/>
        <v>0</v>
      </c>
      <c r="Y214" s="538">
        <f t="shared" si="277"/>
        <v>0</v>
      </c>
      <c r="Z214" s="538">
        <f t="shared" si="277"/>
        <v>0</v>
      </c>
      <c r="AA214" s="538">
        <f t="shared" si="277"/>
        <v>0</v>
      </c>
      <c r="AC214" s="32"/>
      <c r="AD214" s="32"/>
      <c r="AE214" s="32"/>
      <c r="AF214" s="32"/>
      <c r="AG214" s="32"/>
      <c r="AH214" s="32"/>
      <c r="AI214" s="32"/>
      <c r="AJ214" s="32"/>
      <c r="AK214" s="32"/>
      <c r="AL214" s="32"/>
      <c r="AM214" s="32"/>
      <c r="AN214" s="32"/>
      <c r="AO214" s="32"/>
      <c r="AP214" s="32"/>
      <c r="AQ214" s="32"/>
      <c r="AR214" s="32"/>
      <c r="AS214" s="32"/>
      <c r="AT214" s="32"/>
      <c r="AU214" s="32"/>
      <c r="AV214" s="32"/>
      <c r="AW214" s="32"/>
      <c r="AX214" s="32"/>
      <c r="AY214" s="32"/>
      <c r="AZ214" s="32"/>
      <c r="BA214" s="32"/>
      <c r="BB214" s="32"/>
      <c r="BC214" s="32"/>
      <c r="BD214" s="32"/>
      <c r="BE214" s="32" t="s">
        <v>48</v>
      </c>
      <c r="BF214" s="32" t="s">
        <v>48</v>
      </c>
      <c r="BG214" s="32" t="s">
        <v>48</v>
      </c>
      <c r="BH214" s="32" t="s">
        <v>48</v>
      </c>
      <c r="BI214" s="544">
        <v>0</v>
      </c>
      <c r="BJ214" s="544">
        <v>0</v>
      </c>
      <c r="BK214" s="544">
        <v>0</v>
      </c>
      <c r="BL214" s="544">
        <v>0</v>
      </c>
      <c r="BM214" s="545">
        <v>2</v>
      </c>
      <c r="BN214" s="545">
        <v>0.5</v>
      </c>
      <c r="BO214" s="545">
        <v>0</v>
      </c>
      <c r="BP214" s="545">
        <v>0</v>
      </c>
      <c r="BQ214" s="545">
        <v>0</v>
      </c>
      <c r="BR214" s="545">
        <v>0</v>
      </c>
      <c r="BS214" s="547">
        <v>0</v>
      </c>
      <c r="BT214" s="548">
        <v>0</v>
      </c>
      <c r="BU214" s="548">
        <v>0</v>
      </c>
      <c r="BV214" s="547">
        <v>0</v>
      </c>
      <c r="BW214" s="547">
        <v>0</v>
      </c>
      <c r="BX214" s="547">
        <v>0</v>
      </c>
      <c r="BY214" s="548">
        <v>0</v>
      </c>
      <c r="BZ214" s="548">
        <v>0</v>
      </c>
      <c r="CA214" s="604">
        <v>0</v>
      </c>
      <c r="CB214" s="604">
        <f>+R214-SUM(BY214:CA214)</f>
        <v>0</v>
      </c>
      <c r="CC214" s="604">
        <f t="shared" ref="CC214:CE217" si="280">+CC104*BY$219</f>
        <v>0</v>
      </c>
      <c r="CD214" s="604">
        <f t="shared" si="280"/>
        <v>0</v>
      </c>
      <c r="CE214" s="604">
        <f t="shared" si="280"/>
        <v>0</v>
      </c>
      <c r="CF214" s="604">
        <f>+S214-SUM(CC214:CE214)</f>
        <v>0</v>
      </c>
      <c r="CG214" s="538">
        <f t="shared" ref="CG214:CI217" si="281">+CG104*CC$219</f>
        <v>0</v>
      </c>
      <c r="CH214" s="538">
        <f t="shared" si="281"/>
        <v>0</v>
      </c>
      <c r="CI214" s="538">
        <f t="shared" si="281"/>
        <v>0</v>
      </c>
      <c r="CJ214" s="538">
        <f>+T214-SUM(CG214:CI214)</f>
        <v>0</v>
      </c>
    </row>
    <row r="215" spans="1:88" hidden="1" outlineLevel="1">
      <c r="A215" s="2" t="s">
        <v>45</v>
      </c>
      <c r="B215" s="32"/>
      <c r="C215" s="32"/>
      <c r="D215" s="32"/>
      <c r="E215" s="32"/>
      <c r="F215" s="32"/>
      <c r="G215" s="32"/>
      <c r="H215" s="32"/>
      <c r="I215" s="32"/>
      <c r="J215" s="32"/>
      <c r="K215" s="32"/>
      <c r="L215" s="32" t="s">
        <v>48</v>
      </c>
      <c r="M215" s="544">
        <v>-105</v>
      </c>
      <c r="N215" s="538">
        <f>+SUM(BI215:BL215)</f>
        <v>-58</v>
      </c>
      <c r="O215" s="538">
        <f>+SUM(BM215:BP215)</f>
        <v>-196.5</v>
      </c>
      <c r="P215" s="538">
        <f>+SUM(BQ215:BT215)</f>
        <v>-12</v>
      </c>
      <c r="Q215" s="538">
        <f t="shared" si="275"/>
        <v>0</v>
      </c>
      <c r="R215" s="538">
        <f t="shared" si="279"/>
        <v>0</v>
      </c>
      <c r="S215" s="538">
        <f t="shared" si="279"/>
        <v>0</v>
      </c>
      <c r="T215" s="538">
        <f t="shared" si="277"/>
        <v>0</v>
      </c>
      <c r="U215" s="538">
        <f t="shared" si="277"/>
        <v>0</v>
      </c>
      <c r="V215" s="538">
        <f t="shared" si="277"/>
        <v>0</v>
      </c>
      <c r="W215" s="538">
        <f t="shared" si="277"/>
        <v>0</v>
      </c>
      <c r="X215" s="538">
        <f t="shared" si="277"/>
        <v>0</v>
      </c>
      <c r="Y215" s="538">
        <f t="shared" si="277"/>
        <v>0</v>
      </c>
      <c r="Z215" s="538">
        <f t="shared" si="277"/>
        <v>0</v>
      </c>
      <c r="AA215" s="538">
        <f t="shared" si="277"/>
        <v>0</v>
      </c>
      <c r="AC215" s="32"/>
      <c r="AD215" s="32"/>
      <c r="AE215" s="32"/>
      <c r="AF215" s="32"/>
      <c r="AG215" s="32"/>
      <c r="AH215" s="32"/>
      <c r="AI215" s="32"/>
      <c r="AJ215" s="32"/>
      <c r="AK215" s="32"/>
      <c r="AL215" s="32"/>
      <c r="AM215" s="32"/>
      <c r="AN215" s="32"/>
      <c r="AO215" s="32"/>
      <c r="AP215" s="32"/>
      <c r="AQ215" s="32"/>
      <c r="AR215" s="32"/>
      <c r="AS215" s="32"/>
      <c r="AT215" s="32"/>
      <c r="AU215" s="32"/>
      <c r="AV215" s="32"/>
      <c r="AW215" s="32"/>
      <c r="AX215" s="32"/>
      <c r="AY215" s="32"/>
      <c r="AZ215" s="32"/>
      <c r="BA215" s="32"/>
      <c r="BB215" s="32"/>
      <c r="BC215" s="32"/>
      <c r="BD215" s="32"/>
      <c r="BE215" s="32" t="s">
        <v>48</v>
      </c>
      <c r="BF215" s="32" t="s">
        <v>48</v>
      </c>
      <c r="BG215" s="32" t="s">
        <v>48</v>
      </c>
      <c r="BH215" s="32" t="s">
        <v>48</v>
      </c>
      <c r="BI215" s="544">
        <f>-46+49</f>
        <v>3</v>
      </c>
      <c r="BJ215" s="544">
        <f>-99+78</f>
        <v>-21</v>
      </c>
      <c r="BK215" s="544">
        <f>-72+60</f>
        <v>-12</v>
      </c>
      <c r="BL215" s="544">
        <f>-38+10</f>
        <v>-28</v>
      </c>
      <c r="BM215" s="545">
        <v>-49</v>
      </c>
      <c r="BN215" s="545">
        <v>-78</v>
      </c>
      <c r="BO215" s="545">
        <v>-60</v>
      </c>
      <c r="BP215" s="545">
        <f>3.5-13</f>
        <v>-9.5</v>
      </c>
      <c r="BQ215" s="552">
        <v>-4</v>
      </c>
      <c r="BR215" s="545">
        <v>-3</v>
      </c>
      <c r="BS215" s="547">
        <v>-3</v>
      </c>
      <c r="BT215" s="548">
        <v>-2</v>
      </c>
      <c r="BU215" s="548">
        <v>0</v>
      </c>
      <c r="BV215" s="547">
        <v>0</v>
      </c>
      <c r="BW215" s="547">
        <v>0</v>
      </c>
      <c r="BX215" s="547">
        <v>0</v>
      </c>
      <c r="BY215" s="548">
        <v>0</v>
      </c>
      <c r="BZ215" s="548">
        <v>0</v>
      </c>
      <c r="CA215" s="604">
        <v>0</v>
      </c>
      <c r="CB215" s="604">
        <f>+R215-SUM(BY215:CA215)</f>
        <v>0</v>
      </c>
      <c r="CC215" s="604">
        <f t="shared" si="280"/>
        <v>0</v>
      </c>
      <c r="CD215" s="604">
        <f t="shared" si="280"/>
        <v>0</v>
      </c>
      <c r="CE215" s="604">
        <f t="shared" si="280"/>
        <v>0</v>
      </c>
      <c r="CF215" s="604">
        <f>+S215-SUM(CC215:CE215)</f>
        <v>0</v>
      </c>
      <c r="CG215" s="538">
        <f t="shared" si="281"/>
        <v>0</v>
      </c>
      <c r="CH215" s="538">
        <f t="shared" si="281"/>
        <v>0</v>
      </c>
      <c r="CI215" s="538">
        <f t="shared" si="281"/>
        <v>0</v>
      </c>
      <c r="CJ215" s="538">
        <f>+T215-SUM(CG215:CI215)</f>
        <v>0</v>
      </c>
    </row>
    <row r="216" spans="1:88" hidden="1" outlineLevel="1">
      <c r="A216" s="2" t="s">
        <v>46</v>
      </c>
      <c r="B216" s="32"/>
      <c r="C216" s="32"/>
      <c r="D216" s="32"/>
      <c r="E216" s="32"/>
      <c r="F216" s="32"/>
      <c r="G216" s="32"/>
      <c r="H216" s="32"/>
      <c r="I216" s="32"/>
      <c r="J216" s="32"/>
      <c r="K216" s="32"/>
      <c r="L216" s="32" t="s">
        <v>48</v>
      </c>
      <c r="M216" s="544">
        <f>466-45</f>
        <v>421</v>
      </c>
      <c r="N216" s="538">
        <f>+SUM(BI216:BL216)</f>
        <v>-491</v>
      </c>
      <c r="O216" s="538">
        <f>+SUM(BM216:BP216)</f>
        <v>38</v>
      </c>
      <c r="P216" s="538">
        <f>+SUM(BQ216:BT216)</f>
        <v>-38</v>
      </c>
      <c r="Q216" s="538">
        <f t="shared" si="275"/>
        <v>0</v>
      </c>
      <c r="R216" s="538">
        <f t="shared" si="279"/>
        <v>0</v>
      </c>
      <c r="S216" s="538">
        <f t="shared" si="279"/>
        <v>0</v>
      </c>
      <c r="T216" s="538">
        <f t="shared" si="277"/>
        <v>0</v>
      </c>
      <c r="U216" s="538">
        <f t="shared" si="277"/>
        <v>0</v>
      </c>
      <c r="V216" s="538">
        <f t="shared" si="277"/>
        <v>0</v>
      </c>
      <c r="W216" s="538">
        <f t="shared" si="277"/>
        <v>0</v>
      </c>
      <c r="X216" s="538">
        <f t="shared" si="277"/>
        <v>0</v>
      </c>
      <c r="Y216" s="538">
        <f t="shared" si="277"/>
        <v>0</v>
      </c>
      <c r="Z216" s="538">
        <f t="shared" si="277"/>
        <v>0</v>
      </c>
      <c r="AA216" s="538">
        <f t="shared" si="277"/>
        <v>0</v>
      </c>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t="s">
        <v>48</v>
      </c>
      <c r="BF216" s="32" t="s">
        <v>48</v>
      </c>
      <c r="BG216" s="32" t="s">
        <v>48</v>
      </c>
      <c r="BH216" s="32" t="s">
        <v>48</v>
      </c>
      <c r="BI216" s="544">
        <v>0</v>
      </c>
      <c r="BJ216" s="544">
        <v>-274</v>
      </c>
      <c r="BK216" s="544">
        <v>0</v>
      </c>
      <c r="BL216" s="544">
        <v>-217</v>
      </c>
      <c r="BM216" s="545">
        <v>0</v>
      </c>
      <c r="BN216" s="545">
        <v>0</v>
      </c>
      <c r="BO216" s="545">
        <v>19</v>
      </c>
      <c r="BP216" s="545">
        <v>19</v>
      </c>
      <c r="BQ216" s="552">
        <v>0</v>
      </c>
      <c r="BR216" s="545">
        <v>0</v>
      </c>
      <c r="BS216" s="547">
        <v>-19</v>
      </c>
      <c r="BT216" s="548">
        <v>-19</v>
      </c>
      <c r="BU216" s="548">
        <v>0</v>
      </c>
      <c r="BV216" s="547">
        <v>0</v>
      </c>
      <c r="BW216" s="547">
        <v>0</v>
      </c>
      <c r="BX216" s="547">
        <v>0</v>
      </c>
      <c r="BY216" s="548">
        <v>0</v>
      </c>
      <c r="BZ216" s="548">
        <v>0</v>
      </c>
      <c r="CA216" s="604">
        <v>0</v>
      </c>
      <c r="CB216" s="604">
        <f>+R216-SUM(BY216:CA216)</f>
        <v>0</v>
      </c>
      <c r="CC216" s="604">
        <f t="shared" si="280"/>
        <v>0</v>
      </c>
      <c r="CD216" s="604">
        <f t="shared" si="280"/>
        <v>0</v>
      </c>
      <c r="CE216" s="604">
        <f t="shared" si="280"/>
        <v>0</v>
      </c>
      <c r="CF216" s="604">
        <f>+S216-SUM(CC216:CE216)</f>
        <v>0</v>
      </c>
      <c r="CG216" s="538">
        <f t="shared" si="281"/>
        <v>0</v>
      </c>
      <c r="CH216" s="538">
        <f t="shared" si="281"/>
        <v>0</v>
      </c>
      <c r="CI216" s="538">
        <f t="shared" si="281"/>
        <v>0</v>
      </c>
      <c r="CJ216" s="538">
        <f>+T216-SUM(CG216:CI216)</f>
        <v>0</v>
      </c>
    </row>
    <row r="217" spans="1:88" hidden="1" outlineLevel="1">
      <c r="A217" s="2" t="s">
        <v>47</v>
      </c>
      <c r="B217" s="32"/>
      <c r="C217" s="32"/>
      <c r="D217" s="32"/>
      <c r="E217" s="32"/>
      <c r="F217" s="32"/>
      <c r="G217" s="32"/>
      <c r="H217" s="32"/>
      <c r="I217" s="32"/>
      <c r="J217" s="32"/>
      <c r="K217" s="32"/>
      <c r="L217" s="32" t="s">
        <v>48</v>
      </c>
      <c r="M217" s="544">
        <v>-1</v>
      </c>
      <c r="N217" s="538">
        <f>+SUM(BI217:BL217)</f>
        <v>1</v>
      </c>
      <c r="O217" s="538">
        <f>+SUM(BM217:BP217)</f>
        <v>0</v>
      </c>
      <c r="P217" s="538">
        <f>+SUM(BQ217:BT217)</f>
        <v>-3048.5159999999996</v>
      </c>
      <c r="Q217" s="538">
        <f t="shared" si="275"/>
        <v>0.95600000000007412</v>
      </c>
      <c r="R217" s="538">
        <f t="shared" si="279"/>
        <v>0</v>
      </c>
      <c r="S217" s="538">
        <f t="shared" si="279"/>
        <v>0</v>
      </c>
      <c r="T217" s="538">
        <f t="shared" si="277"/>
        <v>0</v>
      </c>
      <c r="U217" s="538">
        <f t="shared" si="277"/>
        <v>0</v>
      </c>
      <c r="V217" s="538">
        <f t="shared" si="277"/>
        <v>0</v>
      </c>
      <c r="W217" s="538">
        <f t="shared" si="277"/>
        <v>0</v>
      </c>
      <c r="X217" s="538">
        <f t="shared" si="277"/>
        <v>0</v>
      </c>
      <c r="Y217" s="538">
        <f t="shared" si="277"/>
        <v>0</v>
      </c>
      <c r="Z217" s="538">
        <f t="shared" si="277"/>
        <v>0</v>
      </c>
      <c r="AA217" s="538">
        <f t="shared" si="277"/>
        <v>0</v>
      </c>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t="s">
        <v>48</v>
      </c>
      <c r="BF217" s="32" t="s">
        <v>48</v>
      </c>
      <c r="BG217" s="32" t="s">
        <v>48</v>
      </c>
      <c r="BH217" s="32" t="s">
        <v>48</v>
      </c>
      <c r="BI217" s="544">
        <v>0</v>
      </c>
      <c r="BJ217" s="544">
        <v>0</v>
      </c>
      <c r="BK217" s="544">
        <v>0</v>
      </c>
      <c r="BL217" s="544">
        <v>1</v>
      </c>
      <c r="BM217" s="545">
        <v>0</v>
      </c>
      <c r="BN217" s="545">
        <v>0</v>
      </c>
      <c r="BO217" s="545">
        <v>0</v>
      </c>
      <c r="BP217" s="545">
        <v>0</v>
      </c>
      <c r="BQ217" s="549">
        <f t="shared" ref="BQ217:BW217" si="282">+BQ219-BM219-SUM(BQ210:BQ216)</f>
        <v>-712.42</v>
      </c>
      <c r="BR217" s="549">
        <f t="shared" si="282"/>
        <v>-790.81299999999999</v>
      </c>
      <c r="BS217" s="549">
        <f t="shared" si="282"/>
        <v>-669.92</v>
      </c>
      <c r="BT217" s="549">
        <f t="shared" si="282"/>
        <v>-875.36300000000006</v>
      </c>
      <c r="BU217" s="549">
        <f t="shared" si="282"/>
        <v>0.21000000000003638</v>
      </c>
      <c r="BV217" s="549">
        <f t="shared" si="282"/>
        <v>1.0260000000000105</v>
      </c>
      <c r="BW217" s="549">
        <f t="shared" si="282"/>
        <v>-0.27999999999997272</v>
      </c>
      <c r="BX217" s="547">
        <v>0</v>
      </c>
      <c r="BY217" s="548">
        <v>0</v>
      </c>
      <c r="BZ217" s="548">
        <v>0</v>
      </c>
      <c r="CA217" s="604">
        <v>0</v>
      </c>
      <c r="CB217" s="604">
        <f>+R217-SUM(BY217:CA217)</f>
        <v>0</v>
      </c>
      <c r="CC217" s="604">
        <f t="shared" si="280"/>
        <v>0</v>
      </c>
      <c r="CD217" s="604">
        <f t="shared" si="280"/>
        <v>0</v>
      </c>
      <c r="CE217" s="604">
        <f t="shared" si="280"/>
        <v>0</v>
      </c>
      <c r="CF217" s="604">
        <f>+S217-SUM(CC217:CE217)</f>
        <v>0</v>
      </c>
      <c r="CG217" s="538">
        <f t="shared" si="281"/>
        <v>0</v>
      </c>
      <c r="CH217" s="538">
        <f t="shared" si="281"/>
        <v>0</v>
      </c>
      <c r="CI217" s="538">
        <f t="shared" si="281"/>
        <v>0</v>
      </c>
      <c r="CJ217" s="538">
        <f>+T217-SUM(CG217:CI217)</f>
        <v>0</v>
      </c>
    </row>
    <row r="218" spans="1:88" ht="6" hidden="1" customHeight="1" outlineLevel="1">
      <c r="BR218" s="324"/>
      <c r="BX218" s="517"/>
    </row>
    <row r="219" spans="1:88" s="16" customFormat="1" hidden="1" outlineLevel="1">
      <c r="A219" s="16" t="s">
        <v>60</v>
      </c>
      <c r="B219" s="539"/>
      <c r="C219" s="539"/>
      <c r="D219" s="539"/>
      <c r="E219" s="539"/>
      <c r="F219" s="539"/>
      <c r="G219" s="539"/>
      <c r="H219" s="539"/>
      <c r="I219" s="539"/>
      <c r="J219" s="539"/>
      <c r="K219" s="539"/>
      <c r="L219" s="539">
        <f>+IS!L157</f>
        <v>13111</v>
      </c>
      <c r="M219" s="539">
        <f>+IS!M157</f>
        <v>14874</v>
      </c>
      <c r="N219" s="539">
        <f>+IS!N157</f>
        <v>13817</v>
      </c>
      <c r="O219" s="550">
        <f>+IS!O157</f>
        <v>14059</v>
      </c>
      <c r="P219" s="550">
        <f>+IS!P157</f>
        <v>10865</v>
      </c>
      <c r="Q219" s="550">
        <f>+IS!Q157</f>
        <v>9180</v>
      </c>
      <c r="R219" s="550">
        <f t="shared" ref="R219:AA219" si="283">+Q219+SUM(R210:R211,R213:R217)</f>
        <v>8927.83</v>
      </c>
      <c r="S219" s="550">
        <f t="shared" si="283"/>
        <v>8712.1696654704228</v>
      </c>
      <c r="T219" s="550">
        <f t="shared" si="283"/>
        <v>8799.2913621251264</v>
      </c>
      <c r="U219" s="550">
        <f t="shared" si="283"/>
        <v>8931.2807325570029</v>
      </c>
      <c r="V219" s="550">
        <f t="shared" si="283"/>
        <v>9056.3186628128005</v>
      </c>
      <c r="W219" s="550">
        <f t="shared" si="283"/>
        <v>9174.9564372956484</v>
      </c>
      <c r="X219" s="550">
        <f t="shared" si="283"/>
        <v>9287.7166519100119</v>
      </c>
      <c r="Y219" s="550">
        <f t="shared" si="283"/>
        <v>9395.0919441227434</v>
      </c>
      <c r="Z219" s="550">
        <f t="shared" si="283"/>
        <v>9497.5444822642075</v>
      </c>
      <c r="AA219" s="550">
        <f t="shared" si="283"/>
        <v>9595.5060500475192</v>
      </c>
      <c r="AB219" s="473"/>
      <c r="AC219" s="539"/>
      <c r="AD219" s="539"/>
      <c r="AE219" s="539"/>
      <c r="AF219" s="539"/>
      <c r="AG219" s="539"/>
      <c r="AH219" s="539"/>
      <c r="AI219" s="539"/>
      <c r="AJ219" s="539"/>
      <c r="AK219" s="539"/>
      <c r="AL219" s="539"/>
      <c r="AM219" s="539"/>
      <c r="AN219" s="539"/>
      <c r="AO219" s="539"/>
      <c r="AP219" s="539"/>
      <c r="AQ219" s="539"/>
      <c r="AR219" s="539"/>
      <c r="AS219" s="539"/>
      <c r="AT219" s="539"/>
      <c r="AU219" s="539"/>
      <c r="AV219" s="539"/>
      <c r="AW219" s="539"/>
      <c r="AX219" s="539"/>
      <c r="AY219" s="539"/>
      <c r="AZ219" s="539"/>
      <c r="BA219" s="539"/>
      <c r="BB219" s="539"/>
      <c r="BC219" s="539"/>
      <c r="BD219" s="539"/>
      <c r="BE219" s="539">
        <f>+IS!BE157</f>
        <v>3346</v>
      </c>
      <c r="BF219" s="539">
        <f>+IS!BF157</f>
        <v>3913</v>
      </c>
      <c r="BG219" s="539">
        <f>+IS!BG157</f>
        <v>3456</v>
      </c>
      <c r="BH219" s="539">
        <f>+IS!BH157</f>
        <v>4159</v>
      </c>
      <c r="BI219" s="539">
        <f>+IS!BI157</f>
        <v>3494</v>
      </c>
      <c r="BJ219" s="539">
        <f>+IS!BJ157</f>
        <v>3315</v>
      </c>
      <c r="BK219" s="539">
        <f>+IS!BK157</f>
        <v>3158</v>
      </c>
      <c r="BL219" s="539">
        <f>+IS!BL157</f>
        <v>3850</v>
      </c>
      <c r="BM219" s="539">
        <f>+IS!BM157</f>
        <v>3458</v>
      </c>
      <c r="BN219" s="539">
        <f>+IS!BN157</f>
        <v>3273</v>
      </c>
      <c r="BO219" s="539">
        <f>+IS!BO157</f>
        <v>3295</v>
      </c>
      <c r="BP219" s="539">
        <f>+IS!BP157</f>
        <v>4033</v>
      </c>
      <c r="BQ219" s="539">
        <f>+IS!BQ157</f>
        <v>2845</v>
      </c>
      <c r="BR219" s="539">
        <f>+IS!BR157</f>
        <v>2589</v>
      </c>
      <c r="BS219" s="551">
        <f>+IS!BS157</f>
        <v>2545</v>
      </c>
      <c r="BT219" s="551">
        <f>+IS!BT157</f>
        <v>2886</v>
      </c>
      <c r="BU219" s="550">
        <f>+IS!BU157</f>
        <v>2357</v>
      </c>
      <c r="BV219" s="550">
        <f>+IS!BV157</f>
        <v>2085</v>
      </c>
      <c r="BW219" s="550">
        <f>+IS!BW157</f>
        <v>2173</v>
      </c>
      <c r="BX219" s="550">
        <f>+IS!BX157</f>
        <v>2565</v>
      </c>
      <c r="BY219" s="550">
        <f>+IS!BY157</f>
        <v>2289</v>
      </c>
      <c r="BZ219" s="550">
        <f>+IS!BZ157</f>
        <v>2068</v>
      </c>
      <c r="CA219" s="550">
        <f>+IS!CA157</f>
        <v>2104</v>
      </c>
      <c r="CB219" s="550">
        <f t="shared" ref="CB219:CJ219" si="284">+BX219+SUM(CB210:CB211,CB213:CB217)</f>
        <v>2467.471</v>
      </c>
      <c r="CC219" s="550">
        <f t="shared" si="284"/>
        <v>2208.8850000000002</v>
      </c>
      <c r="CD219" s="550">
        <f t="shared" si="284"/>
        <v>1974.94</v>
      </c>
      <c r="CE219" s="550">
        <f t="shared" si="284"/>
        <v>2051.4</v>
      </c>
      <c r="CF219" s="550">
        <f t="shared" si="284"/>
        <v>2477.585665470423</v>
      </c>
      <c r="CG219" s="550">
        <f t="shared" si="284"/>
        <v>2127.3771435000003</v>
      </c>
      <c r="CH219" s="550">
        <f t="shared" si="284"/>
        <v>1882.3153139999999</v>
      </c>
      <c r="CI219" s="550">
        <f t="shared" si="284"/>
        <v>1996.2173400000001</v>
      </c>
      <c r="CJ219" s="550">
        <f t="shared" si="284"/>
        <v>2456.0279115982476</v>
      </c>
    </row>
    <row r="220" spans="1:88" hidden="1" outlineLevel="1">
      <c r="A220" s="22" t="s">
        <v>61</v>
      </c>
      <c r="B220" s="32"/>
      <c r="C220" s="32"/>
      <c r="D220" s="32"/>
      <c r="E220" s="32"/>
      <c r="F220" s="32"/>
      <c r="G220" s="32"/>
      <c r="H220" s="32"/>
      <c r="I220" s="32"/>
      <c r="J220" s="32"/>
      <c r="K220" s="32"/>
      <c r="L220" s="32" t="s">
        <v>48</v>
      </c>
      <c r="M220" s="540">
        <f t="shared" ref="M220:AA220" si="285">+L219+SUM(M210:M211,M213:M217)-M219</f>
        <v>6.8840000000000146</v>
      </c>
      <c r="N220" s="540">
        <f t="shared" si="285"/>
        <v>7.761000000000422</v>
      </c>
      <c r="O220" s="540">
        <f t="shared" si="285"/>
        <v>0.62600000000020373</v>
      </c>
      <c r="P220" s="540">
        <f t="shared" si="285"/>
        <v>0</v>
      </c>
      <c r="Q220" s="540">
        <f t="shared" si="285"/>
        <v>0.25400000000081491</v>
      </c>
      <c r="R220" s="540">
        <f t="shared" si="285"/>
        <v>0</v>
      </c>
      <c r="S220" s="540">
        <f t="shared" si="285"/>
        <v>0</v>
      </c>
      <c r="T220" s="540">
        <f t="shared" si="285"/>
        <v>0</v>
      </c>
      <c r="U220" s="540">
        <f t="shared" si="285"/>
        <v>0</v>
      </c>
      <c r="V220" s="540">
        <f t="shared" si="285"/>
        <v>0</v>
      </c>
      <c r="W220" s="540">
        <f t="shared" si="285"/>
        <v>0</v>
      </c>
      <c r="X220" s="540">
        <f t="shared" si="285"/>
        <v>0</v>
      </c>
      <c r="Y220" s="540">
        <f t="shared" si="285"/>
        <v>0</v>
      </c>
      <c r="Z220" s="540">
        <f t="shared" si="285"/>
        <v>0</v>
      </c>
      <c r="AA220" s="540">
        <f t="shared" si="285"/>
        <v>0</v>
      </c>
      <c r="AB220" s="513"/>
      <c r="AC220" s="540"/>
      <c r="AD220" s="540"/>
      <c r="AE220" s="540"/>
      <c r="AF220" s="540"/>
      <c r="AG220" s="540"/>
      <c r="AH220" s="540"/>
      <c r="AI220" s="540"/>
      <c r="AJ220" s="540"/>
      <c r="AK220" s="540"/>
      <c r="AL220" s="540"/>
      <c r="AM220" s="540"/>
      <c r="AN220" s="540"/>
      <c r="AO220" s="540"/>
      <c r="AP220" s="540"/>
      <c r="AQ220" s="540"/>
      <c r="AR220" s="540"/>
      <c r="AS220" s="540"/>
      <c r="AT220" s="540"/>
      <c r="AU220" s="540"/>
      <c r="AV220" s="540"/>
      <c r="AW220" s="540"/>
      <c r="AX220" s="540"/>
      <c r="AY220" s="540"/>
      <c r="AZ220" s="540"/>
      <c r="BA220" s="540"/>
      <c r="BB220" s="540"/>
      <c r="BC220" s="540"/>
      <c r="BD220" s="540"/>
      <c r="BE220" s="540"/>
      <c r="BF220" s="540"/>
      <c r="BG220" s="540"/>
      <c r="BH220" s="540"/>
      <c r="BI220" s="540">
        <f t="shared" ref="BI220:CB220" si="286">+BE219+SUM(BI210:BI217)-BI219</f>
        <v>2.2959999999998217</v>
      </c>
      <c r="BJ220" s="540">
        <f t="shared" si="286"/>
        <v>5.0430000000001201</v>
      </c>
      <c r="BK220" s="540">
        <f t="shared" si="286"/>
        <v>-0.89600000000018554</v>
      </c>
      <c r="BL220" s="540">
        <f t="shared" si="286"/>
        <v>1.318000000000211</v>
      </c>
      <c r="BM220" s="540">
        <f t="shared" si="286"/>
        <v>0.49400000000014188</v>
      </c>
      <c r="BN220" s="540">
        <f t="shared" si="286"/>
        <v>0.13000000000010914</v>
      </c>
      <c r="BO220" s="540">
        <f t="shared" si="286"/>
        <v>1.9999999999527063E-3</v>
      </c>
      <c r="BP220" s="540">
        <f t="shared" si="286"/>
        <v>0</v>
      </c>
      <c r="BQ220" s="540">
        <f t="shared" si="286"/>
        <v>0</v>
      </c>
      <c r="BR220" s="540">
        <f t="shared" si="286"/>
        <v>0</v>
      </c>
      <c r="BS220" s="540">
        <f t="shared" si="286"/>
        <v>0</v>
      </c>
      <c r="BT220" s="540">
        <f t="shared" si="286"/>
        <v>0</v>
      </c>
      <c r="BU220" s="540">
        <f t="shared" si="286"/>
        <v>0</v>
      </c>
      <c r="BV220" s="540">
        <f t="shared" si="286"/>
        <v>0</v>
      </c>
      <c r="BW220" s="540">
        <f t="shared" si="286"/>
        <v>0</v>
      </c>
      <c r="BX220" s="540">
        <f t="shared" si="286"/>
        <v>0.25399999999990541</v>
      </c>
      <c r="BY220" s="540">
        <f t="shared" si="286"/>
        <v>-0.28600000000005821</v>
      </c>
      <c r="BZ220" s="540">
        <f t="shared" si="286"/>
        <v>-8.500000000003638E-2</v>
      </c>
      <c r="CA220" s="540">
        <f t="shared" si="286"/>
        <v>-0.26999999999998181</v>
      </c>
      <c r="CB220" s="540">
        <f t="shared" si="286"/>
        <v>0</v>
      </c>
      <c r="CC220" s="540">
        <f t="shared" ref="CC220:CJ220" si="287">+BY219+SUM(CC210:CC217)-CC219</f>
        <v>0</v>
      </c>
      <c r="CD220" s="540">
        <f t="shared" si="287"/>
        <v>0</v>
      </c>
      <c r="CE220" s="540">
        <f t="shared" si="287"/>
        <v>0</v>
      </c>
      <c r="CF220" s="540">
        <f t="shared" si="287"/>
        <v>0</v>
      </c>
      <c r="CG220" s="540">
        <f t="shared" si="287"/>
        <v>0</v>
      </c>
      <c r="CH220" s="540">
        <f t="shared" si="287"/>
        <v>0</v>
      </c>
      <c r="CI220" s="540">
        <f t="shared" si="287"/>
        <v>0</v>
      </c>
      <c r="CJ220" s="540">
        <f t="shared" si="287"/>
        <v>0</v>
      </c>
    </row>
    <row r="221" spans="1:88" collapsed="1">
      <c r="BU221" s="538"/>
    </row>
    <row r="222" spans="1:88">
      <c r="A222" s="25" t="s">
        <v>58</v>
      </c>
      <c r="B222" s="518"/>
      <c r="C222" s="518"/>
      <c r="D222" s="518"/>
      <c r="E222" s="518"/>
      <c r="F222" s="518"/>
      <c r="G222" s="518"/>
      <c r="H222" s="518"/>
      <c r="I222" s="518"/>
      <c r="J222" s="518"/>
      <c r="K222" s="518"/>
      <c r="L222" s="518"/>
      <c r="M222" s="518"/>
      <c r="N222" s="518"/>
      <c r="O222" s="518"/>
      <c r="P222" s="518"/>
      <c r="Q222" s="518"/>
      <c r="R222" s="518"/>
      <c r="S222" s="518"/>
      <c r="T222" s="518"/>
      <c r="U222" s="518"/>
      <c r="V222" s="518"/>
      <c r="W222" s="518"/>
      <c r="X222" s="518"/>
      <c r="Y222" s="518"/>
      <c r="Z222" s="518"/>
      <c r="AA222" s="518"/>
      <c r="AB222" s="519"/>
      <c r="AC222" s="518"/>
      <c r="AD222" s="518"/>
      <c r="AE222" s="518"/>
      <c r="AF222" s="518"/>
      <c r="AG222" s="518"/>
      <c r="AH222" s="518"/>
      <c r="AI222" s="518"/>
      <c r="AJ222" s="518"/>
      <c r="AK222" s="518"/>
      <c r="AL222" s="518"/>
      <c r="AM222" s="518"/>
      <c r="AN222" s="518"/>
      <c r="AO222" s="518"/>
      <c r="AP222" s="518"/>
      <c r="AQ222" s="518"/>
      <c r="AR222" s="518"/>
      <c r="AS222" s="518"/>
      <c r="AT222" s="518"/>
      <c r="AU222" s="518"/>
      <c r="AV222" s="518"/>
      <c r="AW222" s="518"/>
      <c r="AX222" s="518"/>
      <c r="AY222" s="518"/>
      <c r="AZ222" s="518"/>
      <c r="BA222" s="518"/>
      <c r="BB222" s="518"/>
      <c r="BC222" s="518"/>
      <c r="BD222" s="518"/>
      <c r="BE222" s="518"/>
      <c r="BF222" s="518"/>
      <c r="BG222" s="518"/>
      <c r="BH222" s="518"/>
      <c r="BI222" s="518"/>
      <c r="BJ222" s="518"/>
      <c r="BK222" s="518"/>
      <c r="BL222" s="518"/>
      <c r="BM222" s="518"/>
      <c r="BN222" s="518"/>
      <c r="BO222" s="518"/>
      <c r="BP222" s="518"/>
      <c r="BQ222" s="518"/>
      <c r="BR222" s="518"/>
      <c r="BS222" s="518"/>
      <c r="BT222" s="518"/>
      <c r="BU222" s="518"/>
      <c r="BV222" s="518"/>
      <c r="BW222" s="518"/>
      <c r="BX222" s="518"/>
      <c r="BY222" s="518"/>
      <c r="BZ222" s="518"/>
      <c r="CA222" s="518"/>
      <c r="CB222" s="518"/>
      <c r="CC222" s="518"/>
      <c r="CD222" s="518"/>
      <c r="CE222" s="518"/>
      <c r="CF222" s="518"/>
      <c r="CG222" s="518"/>
      <c r="CH222" s="518"/>
      <c r="CI222" s="518"/>
      <c r="CJ222" s="518"/>
    </row>
    <row r="223" spans="1:88">
      <c r="A223" s="2" t="s">
        <v>41</v>
      </c>
      <c r="B223" s="32"/>
      <c r="C223" s="32"/>
      <c r="D223" s="32"/>
      <c r="E223" s="32"/>
      <c r="F223" s="32"/>
      <c r="G223" s="32"/>
      <c r="H223" s="32"/>
      <c r="I223" s="32"/>
      <c r="J223" s="32"/>
      <c r="K223" s="32"/>
      <c r="L223" s="32" t="s">
        <v>48</v>
      </c>
      <c r="M223" s="538">
        <f>+M114*L$232</f>
        <v>-64.41</v>
      </c>
      <c r="N223" s="538">
        <f>+SUM(BI223:BL223)</f>
        <v>-82.328000000000003</v>
      </c>
      <c r="O223" s="538">
        <f>+SUM(BM223:BP223)</f>
        <v>162.09800000000001</v>
      </c>
      <c r="P223" s="538">
        <f>+SUM(BQ223:BT223)</f>
        <v>47.354999999999997</v>
      </c>
      <c r="Q223" s="538">
        <f>+SUM(BU223:BX223)</f>
        <v>39.400999999999996</v>
      </c>
      <c r="R223" s="538">
        <f t="shared" ref="R223:R230" si="288">+SUM(BY223:CB223)</f>
        <v>98.100999999999985</v>
      </c>
      <c r="S223" s="538">
        <f>+SUM(CC223:CF223)</f>
        <v>-122.89999999999999</v>
      </c>
      <c r="T223" s="538">
        <f t="shared" ref="T223:AA223" si="289">+T114*S$232</f>
        <v>67.97</v>
      </c>
      <c r="U223" s="538">
        <f t="shared" si="289"/>
        <v>68.798585712314647</v>
      </c>
      <c r="V223" s="538">
        <f t="shared" si="289"/>
        <v>104.74584674699906</v>
      </c>
      <c r="W223" s="538">
        <f t="shared" si="289"/>
        <v>96.156687313745152</v>
      </c>
      <c r="X223" s="538">
        <f t="shared" si="289"/>
        <v>88.14202742614448</v>
      </c>
      <c r="Y223" s="538">
        <f t="shared" si="289"/>
        <v>80.688296876852576</v>
      </c>
      <c r="Z223" s="538">
        <f t="shared" si="289"/>
        <v>73.776658398826712</v>
      </c>
      <c r="AA223" s="538">
        <f t="shared" si="289"/>
        <v>67.38445320700761</v>
      </c>
      <c r="AC223" s="32"/>
      <c r="AD223" s="32"/>
      <c r="AE223" s="32"/>
      <c r="AF223" s="32"/>
      <c r="AG223" s="32"/>
      <c r="AH223" s="32"/>
      <c r="AI223" s="32"/>
      <c r="AJ223" s="32"/>
      <c r="AK223" s="32"/>
      <c r="AL223" s="32"/>
      <c r="AM223" s="32"/>
      <c r="AN223" s="32"/>
      <c r="AO223" s="32"/>
      <c r="AP223" s="32"/>
      <c r="AQ223" s="32"/>
      <c r="AR223" s="32"/>
      <c r="AS223" s="32"/>
      <c r="AT223" s="32"/>
      <c r="AU223" s="32"/>
      <c r="AV223" s="32"/>
      <c r="AW223" s="32"/>
      <c r="AX223" s="32"/>
      <c r="AY223" s="32"/>
      <c r="AZ223" s="32"/>
      <c r="BA223" s="32"/>
      <c r="BB223" s="32"/>
      <c r="BC223" s="32"/>
      <c r="BD223" s="32"/>
      <c r="BE223" s="32" t="s">
        <v>48</v>
      </c>
      <c r="BF223" s="32" t="s">
        <v>48</v>
      </c>
      <c r="BG223" s="32" t="s">
        <v>48</v>
      </c>
      <c r="BH223" s="32" t="s">
        <v>48</v>
      </c>
      <c r="BI223" s="538">
        <f t="shared" ref="BI223:BR224" si="290">+BI114*BE$232</f>
        <v>-20.826000000000001</v>
      </c>
      <c r="BJ223" s="538">
        <f t="shared" si="290"/>
        <v>-39.552</v>
      </c>
      <c r="BK223" s="538">
        <f t="shared" si="290"/>
        <v>-3.47</v>
      </c>
      <c r="BL223" s="538">
        <f t="shared" si="290"/>
        <v>-18.48</v>
      </c>
      <c r="BM223" s="538">
        <f t="shared" si="290"/>
        <v>14.706</v>
      </c>
      <c r="BN223" s="538">
        <f t="shared" si="290"/>
        <v>53.92</v>
      </c>
      <c r="BO223" s="538">
        <f t="shared" si="290"/>
        <v>35.36</v>
      </c>
      <c r="BP223" s="538">
        <f t="shared" si="290"/>
        <v>58.112000000000002</v>
      </c>
      <c r="BQ223" s="538">
        <f t="shared" si="290"/>
        <v>16.580000000000002</v>
      </c>
      <c r="BR223" s="538">
        <f t="shared" si="290"/>
        <v>27.263999999999999</v>
      </c>
      <c r="BS223" s="538">
        <f t="shared" ref="BS223:CB224" si="291">+BS114*BO$232</f>
        <v>5.3550000000000004</v>
      </c>
      <c r="BT223" s="538">
        <f t="shared" si="291"/>
        <v>-1.8440000000000001</v>
      </c>
      <c r="BU223" s="538">
        <f t="shared" si="291"/>
        <v>-6.6680000000000001</v>
      </c>
      <c r="BV223" s="538">
        <f t="shared" si="291"/>
        <v>8.6150000000000002</v>
      </c>
      <c r="BW223" s="538">
        <f t="shared" si="291"/>
        <v>3.52</v>
      </c>
      <c r="BX223" s="538">
        <f t="shared" si="291"/>
        <v>33.933999999999997</v>
      </c>
      <c r="BY223" s="538">
        <f t="shared" si="291"/>
        <v>37.003999999999998</v>
      </c>
      <c r="BZ223" s="538">
        <f t="shared" si="291"/>
        <v>17.13</v>
      </c>
      <c r="CA223" s="538">
        <f t="shared" si="291"/>
        <v>42.143999999999998</v>
      </c>
      <c r="CB223" s="538">
        <f t="shared" si="291"/>
        <v>1.823</v>
      </c>
      <c r="CC223" s="538">
        <f t="shared" ref="CC223:CF224" si="292">+CC114*BY$232</f>
        <v>-23.45</v>
      </c>
      <c r="CD223" s="538">
        <f t="shared" si="292"/>
        <v>-113.52000000000001</v>
      </c>
      <c r="CE223" s="538">
        <f t="shared" si="292"/>
        <v>12.271000000000001</v>
      </c>
      <c r="CF223" s="538">
        <f t="shared" si="292"/>
        <v>1.7989999999999999</v>
      </c>
      <c r="CG223" s="538">
        <f t="shared" ref="CG223:CI224" si="293">+CG114*CC$232</f>
        <v>-3.2960000000000003</v>
      </c>
      <c r="CH223" s="538">
        <f t="shared" si="293"/>
        <v>44.044000000000004</v>
      </c>
      <c r="CI223" s="538">
        <f t="shared" si="293"/>
        <v>8.875</v>
      </c>
      <c r="CJ223" s="538">
        <f>+T223-SUM(CG223:CI223)</f>
        <v>18.346999999999994</v>
      </c>
    </row>
    <row r="224" spans="1:88">
      <c r="A224" s="2" t="s">
        <v>42</v>
      </c>
      <c r="B224" s="32"/>
      <c r="C224" s="32"/>
      <c r="D224" s="32"/>
      <c r="E224" s="32"/>
      <c r="F224" s="32"/>
      <c r="G224" s="32"/>
      <c r="H224" s="32"/>
      <c r="I224" s="32"/>
      <c r="J224" s="32"/>
      <c r="K224" s="32"/>
      <c r="L224" s="32" t="s">
        <v>48</v>
      </c>
      <c r="M224" s="538">
        <f>+M115*L$232</f>
        <v>225.43500000000003</v>
      </c>
      <c r="N224" s="538">
        <f>+SUM(BI224:BL224)</f>
        <v>247.57300000000001</v>
      </c>
      <c r="O224" s="538">
        <f>+SUM(BM224:BP224)</f>
        <v>14.600999999999997</v>
      </c>
      <c r="P224" s="538">
        <f>+SUM(BQ224:BT224)</f>
        <v>8.872999999999994</v>
      </c>
      <c r="Q224" s="538">
        <f t="shared" ref="Q224:Q230" si="294">+SUM(BU224:BX224)</f>
        <v>17.763000000000002</v>
      </c>
      <c r="R224" s="538">
        <f t="shared" si="288"/>
        <v>-17.686000000000003</v>
      </c>
      <c r="S224" s="538">
        <f>+SUM(CC224:CF224)</f>
        <v>-45.106999999999999</v>
      </c>
      <c r="T224" s="538">
        <f t="shared" ref="T224:AA224" si="295">+T115*S$232</f>
        <v>-33.984999999999999</v>
      </c>
      <c r="U224" s="538">
        <f t="shared" si="295"/>
        <v>34.399292856157324</v>
      </c>
      <c r="V224" s="538">
        <f t="shared" si="295"/>
        <v>34.915282248999688</v>
      </c>
      <c r="W224" s="538">
        <f t="shared" si="295"/>
        <v>35.613587893979684</v>
      </c>
      <c r="X224" s="538">
        <f t="shared" si="295"/>
        <v>36.27243927001831</v>
      </c>
      <c r="Y224" s="538">
        <f t="shared" si="295"/>
        <v>36.894511603499126</v>
      </c>
      <c r="Z224" s="538">
        <f t="shared" si="295"/>
        <v>37.482425645900882</v>
      </c>
      <c r="AA224" s="538">
        <f t="shared" si="295"/>
        <v>38.038721066124516</v>
      </c>
      <c r="AC224" s="32"/>
      <c r="AD224" s="32"/>
      <c r="AE224" s="32"/>
      <c r="AF224" s="32"/>
      <c r="AG224" s="32"/>
      <c r="AH224" s="32"/>
      <c r="AI224" s="32"/>
      <c r="AJ224" s="32"/>
      <c r="AK224" s="32"/>
      <c r="AL224" s="32"/>
      <c r="AM224" s="32"/>
      <c r="AN224" s="32"/>
      <c r="AO224" s="32"/>
      <c r="AP224" s="32"/>
      <c r="AQ224" s="32"/>
      <c r="AR224" s="32"/>
      <c r="AS224" s="32"/>
      <c r="AT224" s="32"/>
      <c r="AU224" s="32"/>
      <c r="AV224" s="32"/>
      <c r="AW224" s="32"/>
      <c r="AX224" s="32"/>
      <c r="AY224" s="32"/>
      <c r="AZ224" s="32"/>
      <c r="BA224" s="32"/>
      <c r="BB224" s="32"/>
      <c r="BC224" s="32"/>
      <c r="BD224" s="32"/>
      <c r="BE224" s="32" t="s">
        <v>48</v>
      </c>
      <c r="BF224" s="32" t="s">
        <v>48</v>
      </c>
      <c r="BG224" s="32" t="s">
        <v>48</v>
      </c>
      <c r="BH224" s="32" t="s">
        <v>48</v>
      </c>
      <c r="BI224" s="538">
        <f t="shared" si="290"/>
        <v>56.070000000000007</v>
      </c>
      <c r="BJ224" s="538">
        <f t="shared" si="290"/>
        <v>88.992000000000004</v>
      </c>
      <c r="BK224" s="538">
        <f t="shared" si="290"/>
        <v>43.375</v>
      </c>
      <c r="BL224" s="538">
        <f t="shared" si="290"/>
        <v>59.136000000000003</v>
      </c>
      <c r="BM224" s="538">
        <f t="shared" si="290"/>
        <v>24.509999999999998</v>
      </c>
      <c r="BN224" s="538">
        <f t="shared" si="290"/>
        <v>-15.164999999999999</v>
      </c>
      <c r="BO224" s="538">
        <f t="shared" si="290"/>
        <v>7.0720000000000001</v>
      </c>
      <c r="BP224" s="538">
        <f t="shared" si="290"/>
        <v>-1.8160000000000001</v>
      </c>
      <c r="BQ224" s="538">
        <f t="shared" si="290"/>
        <v>24.869999999999997</v>
      </c>
      <c r="BR224" s="538">
        <f t="shared" si="290"/>
        <v>18.744</v>
      </c>
      <c r="BS224" s="543">
        <f t="shared" si="291"/>
        <v>-8.9250000000000007</v>
      </c>
      <c r="BT224" s="543">
        <f t="shared" si="291"/>
        <v>-25.815999999999999</v>
      </c>
      <c r="BU224" s="543">
        <f t="shared" si="291"/>
        <v>1.667</v>
      </c>
      <c r="BV224" s="538">
        <f t="shared" si="291"/>
        <v>-3.4460000000000002</v>
      </c>
      <c r="BW224" s="543">
        <f t="shared" si="291"/>
        <v>7.04</v>
      </c>
      <c r="BX224" s="543">
        <f t="shared" si="291"/>
        <v>12.502000000000001</v>
      </c>
      <c r="BY224" s="538">
        <f t="shared" si="291"/>
        <v>8.41</v>
      </c>
      <c r="BZ224" s="538">
        <f t="shared" si="291"/>
        <v>-1.7130000000000001</v>
      </c>
      <c r="CA224" s="538">
        <f t="shared" si="291"/>
        <v>-29.852000000000004</v>
      </c>
      <c r="CB224" s="538">
        <f t="shared" si="291"/>
        <v>5.4690000000000003</v>
      </c>
      <c r="CC224" s="538">
        <f t="shared" si="292"/>
        <v>-8.375</v>
      </c>
      <c r="CD224" s="538">
        <f t="shared" si="292"/>
        <v>-25.8</v>
      </c>
      <c r="CE224" s="538">
        <f t="shared" si="292"/>
        <v>5.2590000000000003</v>
      </c>
      <c r="CF224" s="538">
        <f t="shared" si="292"/>
        <v>-16.190999999999999</v>
      </c>
      <c r="CG224" s="538">
        <f t="shared" si="293"/>
        <v>-8.24</v>
      </c>
      <c r="CH224" s="538">
        <f t="shared" si="293"/>
        <v>-7.8650000000000002</v>
      </c>
      <c r="CI224" s="538">
        <f t="shared" si="293"/>
        <v>-8.875</v>
      </c>
      <c r="CJ224" s="538">
        <f>+T224-SUM(CG224:CI224)</f>
        <v>-9.004999999999999</v>
      </c>
    </row>
    <row r="225" spans="1:90" ht="6" customHeight="1">
      <c r="S225" s="158"/>
      <c r="BS225" s="517"/>
      <c r="BW225" s="517"/>
      <c r="BX225" s="517"/>
      <c r="CA225" s="517"/>
      <c r="CB225" s="517"/>
      <c r="CC225" s="517"/>
      <c r="CD225" s="517"/>
      <c r="CE225" s="517"/>
      <c r="CF225" s="517"/>
    </row>
    <row r="226" spans="1:90">
      <c r="A226" s="2" t="s">
        <v>43</v>
      </c>
      <c r="B226" s="32"/>
      <c r="C226" s="32"/>
      <c r="D226" s="32"/>
      <c r="E226" s="32"/>
      <c r="F226" s="32"/>
      <c r="G226" s="32"/>
      <c r="H226" s="32"/>
      <c r="I226" s="32"/>
      <c r="J226" s="32"/>
      <c r="K226" s="32"/>
      <c r="L226" s="32" t="s">
        <v>48</v>
      </c>
      <c r="M226" s="544">
        <v>45</v>
      </c>
      <c r="N226" s="538">
        <f>+SUM(BI226:BL226)</f>
        <v>-10</v>
      </c>
      <c r="O226" s="538">
        <f>+SUM(BM226:BP226)</f>
        <v>-34.789294755547822</v>
      </c>
      <c r="P226" s="538">
        <f>+SUM(BQ226:BT226)</f>
        <v>-71</v>
      </c>
      <c r="Q226" s="538">
        <f t="shared" si="294"/>
        <v>-135</v>
      </c>
      <c r="R226" s="538">
        <f t="shared" si="288"/>
        <v>-25</v>
      </c>
      <c r="S226" s="538">
        <f>+SUM(CC226:CF226)</f>
        <v>18</v>
      </c>
      <c r="T226" s="499">
        <f>+SUM(CG226:CJ226)</f>
        <v>48.873571231465547</v>
      </c>
      <c r="U226" s="538">
        <f t="shared" ref="T226:AA230" si="296">+U117*T$232</f>
        <v>0</v>
      </c>
      <c r="V226" s="538">
        <f t="shared" si="296"/>
        <v>0</v>
      </c>
      <c r="W226" s="538">
        <f t="shared" si="296"/>
        <v>0</v>
      </c>
      <c r="X226" s="538">
        <f t="shared" si="296"/>
        <v>0</v>
      </c>
      <c r="Y226" s="538">
        <f t="shared" si="296"/>
        <v>0</v>
      </c>
      <c r="Z226" s="538">
        <f t="shared" si="296"/>
        <v>0</v>
      </c>
      <c r="AA226" s="538">
        <f t="shared" si="296"/>
        <v>0</v>
      </c>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t="s">
        <v>48</v>
      </c>
      <c r="BF226" s="32" t="s">
        <v>48</v>
      </c>
      <c r="BG226" s="32" t="s">
        <v>48</v>
      </c>
      <c r="BH226" s="32" t="s">
        <v>48</v>
      </c>
      <c r="BI226" s="544">
        <v>-1</v>
      </c>
      <c r="BJ226" s="544">
        <v>-13</v>
      </c>
      <c r="BK226" s="544">
        <v>-6</v>
      </c>
      <c r="BL226" s="544">
        <v>10</v>
      </c>
      <c r="BM226" s="545">
        <v>-1.7892947555478238</v>
      </c>
      <c r="BN226" s="545">
        <v>-3</v>
      </c>
      <c r="BO226" s="545">
        <v>-12</v>
      </c>
      <c r="BP226" s="545">
        <v>-18</v>
      </c>
      <c r="BQ226" s="546">
        <v>-20</v>
      </c>
      <c r="BR226" s="545">
        <v>-16</v>
      </c>
      <c r="BS226" s="547">
        <v>-12</v>
      </c>
      <c r="BT226" s="548">
        <v>-23</v>
      </c>
      <c r="BU226" s="548">
        <v>-24</v>
      </c>
      <c r="BV226" s="538">
        <v>-26</v>
      </c>
      <c r="BW226" s="547">
        <v>-43</v>
      </c>
      <c r="BX226" s="547">
        <v>-42</v>
      </c>
      <c r="BY226" s="548">
        <v>-16</v>
      </c>
      <c r="BZ226" s="548">
        <v>-9</v>
      </c>
      <c r="CA226" s="547">
        <v>-1</v>
      </c>
      <c r="CB226" s="547">
        <v>1</v>
      </c>
      <c r="CC226" s="547">
        <v>5</v>
      </c>
      <c r="CD226" s="547">
        <v>-8</v>
      </c>
      <c r="CE226" s="547">
        <v>10</v>
      </c>
      <c r="CF226" s="547">
        <v>11</v>
      </c>
      <c r="CG226" s="538">
        <f>+CG117*CC$232</f>
        <v>14.59678453350838</v>
      </c>
      <c r="CH226" s="538">
        <f>+CH117*CD$232</f>
        <v>18.14578669795717</v>
      </c>
      <c r="CI226" s="538">
        <f>+CI117*CE$232</f>
        <v>5.3250000000000002</v>
      </c>
      <c r="CJ226" s="538">
        <f>+CJ117*CF$232</f>
        <v>10.806000000000001</v>
      </c>
    </row>
    <row r="227" spans="1:90">
      <c r="A227" s="2" t="s">
        <v>44</v>
      </c>
      <c r="B227" s="32"/>
      <c r="C227" s="32"/>
      <c r="D227" s="32"/>
      <c r="E227" s="32"/>
      <c r="F227" s="32"/>
      <c r="G227" s="32"/>
      <c r="H227" s="32"/>
      <c r="I227" s="32"/>
      <c r="J227" s="32"/>
      <c r="K227" s="32"/>
      <c r="L227" s="32" t="s">
        <v>48</v>
      </c>
      <c r="M227" s="544">
        <v>117</v>
      </c>
      <c r="N227" s="538">
        <f>+SUM(BI227:BL227)</f>
        <v>0</v>
      </c>
      <c r="O227" s="538">
        <f>+SUM(BM227:BP227)</f>
        <v>0.5</v>
      </c>
      <c r="P227" s="538">
        <f>+SUM(BQ227:BT227)</f>
        <v>0</v>
      </c>
      <c r="Q227" s="538">
        <f t="shared" si="294"/>
        <v>37.338000000000001</v>
      </c>
      <c r="R227" s="538">
        <f t="shared" si="288"/>
        <v>5</v>
      </c>
      <c r="S227" s="538">
        <f>+SUM(CC227:CF227)</f>
        <v>0</v>
      </c>
      <c r="T227" s="538">
        <f t="shared" si="296"/>
        <v>0</v>
      </c>
      <c r="U227" s="538">
        <f t="shared" si="296"/>
        <v>0</v>
      </c>
      <c r="V227" s="538">
        <f t="shared" si="296"/>
        <v>0</v>
      </c>
      <c r="W227" s="538">
        <f t="shared" si="296"/>
        <v>0</v>
      </c>
      <c r="X227" s="538">
        <f t="shared" si="296"/>
        <v>0</v>
      </c>
      <c r="Y227" s="538">
        <f t="shared" si="296"/>
        <v>0</v>
      </c>
      <c r="Z227" s="538">
        <f t="shared" si="296"/>
        <v>0</v>
      </c>
      <c r="AA227" s="538">
        <f t="shared" si="296"/>
        <v>0</v>
      </c>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t="s">
        <v>48</v>
      </c>
      <c r="BF227" s="32" t="s">
        <v>48</v>
      </c>
      <c r="BG227" s="32" t="s">
        <v>48</v>
      </c>
      <c r="BH227" s="32" t="s">
        <v>48</v>
      </c>
      <c r="BI227" s="544">
        <v>0</v>
      </c>
      <c r="BJ227" s="544">
        <v>0</v>
      </c>
      <c r="BK227" s="544">
        <v>0</v>
      </c>
      <c r="BL227" s="544">
        <v>0</v>
      </c>
      <c r="BM227" s="545">
        <v>0</v>
      </c>
      <c r="BN227" s="545">
        <v>0.5</v>
      </c>
      <c r="BO227" s="545">
        <v>0</v>
      </c>
      <c r="BP227" s="545">
        <v>0</v>
      </c>
      <c r="BQ227" s="545">
        <v>0</v>
      </c>
      <c r="BR227" s="545">
        <v>0</v>
      </c>
      <c r="BS227" s="547">
        <v>0</v>
      </c>
      <c r="BT227" s="548">
        <v>0</v>
      </c>
      <c r="BU227" s="548">
        <v>5</v>
      </c>
      <c r="BV227" s="538">
        <v>10.338000000000001</v>
      </c>
      <c r="BW227" s="547">
        <v>10</v>
      </c>
      <c r="BX227" s="547">
        <v>12</v>
      </c>
      <c r="BY227" s="548">
        <v>5</v>
      </c>
      <c r="BZ227" s="548">
        <v>0</v>
      </c>
      <c r="CA227" s="547">
        <v>0</v>
      </c>
      <c r="CB227" s="547">
        <v>0</v>
      </c>
      <c r="CC227" s="547">
        <v>0</v>
      </c>
      <c r="CD227" s="547">
        <v>0</v>
      </c>
      <c r="CE227" s="547">
        <v>0</v>
      </c>
      <c r="CF227" s="547">
        <v>0</v>
      </c>
      <c r="CG227" s="538">
        <f t="shared" ref="CG227:CI230" si="297">+CG118*CC$232</f>
        <v>0</v>
      </c>
      <c r="CH227" s="538">
        <f t="shared" si="297"/>
        <v>0</v>
      </c>
      <c r="CI227" s="538">
        <f t="shared" si="297"/>
        <v>0</v>
      </c>
      <c r="CJ227" s="538">
        <f>+T227-SUM(CG227:CI227)</f>
        <v>0</v>
      </c>
    </row>
    <row r="228" spans="1:90">
      <c r="A228" s="2" t="s">
        <v>45</v>
      </c>
      <c r="B228" s="32"/>
      <c r="C228" s="32"/>
      <c r="D228" s="32"/>
      <c r="E228" s="32"/>
      <c r="F228" s="32"/>
      <c r="G228" s="32"/>
      <c r="H228" s="32"/>
      <c r="I228" s="32"/>
      <c r="J228" s="32"/>
      <c r="K228" s="32"/>
      <c r="L228" s="32" t="s">
        <v>48</v>
      </c>
      <c r="M228" s="544">
        <v>0</v>
      </c>
      <c r="N228" s="538">
        <f>+SUM(BI228:BL228)</f>
        <v>-14</v>
      </c>
      <c r="O228" s="538">
        <f>+SUM(BM228:BP228)</f>
        <v>-53</v>
      </c>
      <c r="P228" s="538">
        <f>+SUM(BQ228:BT228)</f>
        <v>-39</v>
      </c>
      <c r="Q228" s="538">
        <f t="shared" si="294"/>
        <v>0</v>
      </c>
      <c r="R228" s="538">
        <f t="shared" si="288"/>
        <v>0</v>
      </c>
      <c r="S228" s="538">
        <f>+SUM(CC228:CF228)</f>
        <v>0</v>
      </c>
      <c r="T228" s="538">
        <f t="shared" si="296"/>
        <v>0</v>
      </c>
      <c r="U228" s="538">
        <f t="shared" si="296"/>
        <v>0</v>
      </c>
      <c r="V228" s="538">
        <f t="shared" si="296"/>
        <v>0</v>
      </c>
      <c r="W228" s="538">
        <f t="shared" si="296"/>
        <v>0</v>
      </c>
      <c r="X228" s="538">
        <f t="shared" si="296"/>
        <v>0</v>
      </c>
      <c r="Y228" s="538">
        <f t="shared" si="296"/>
        <v>0</v>
      </c>
      <c r="Z228" s="538">
        <f t="shared" si="296"/>
        <v>0</v>
      </c>
      <c r="AA228" s="538">
        <f t="shared" si="296"/>
        <v>0</v>
      </c>
      <c r="AC228" s="32"/>
      <c r="AD228" s="32"/>
      <c r="AE228" s="32"/>
      <c r="AF228" s="32"/>
      <c r="AG228" s="32"/>
      <c r="AH228" s="32"/>
      <c r="AI228" s="32"/>
      <c r="AJ228" s="32"/>
      <c r="AK228" s="32"/>
      <c r="AL228" s="32"/>
      <c r="AM228" s="32"/>
      <c r="AN228" s="32"/>
      <c r="AO228" s="32"/>
      <c r="AP228" s="32"/>
      <c r="AQ228" s="32"/>
      <c r="AR228" s="32"/>
      <c r="AS228" s="32"/>
      <c r="AT228" s="32"/>
      <c r="AU228" s="32"/>
      <c r="AV228" s="32"/>
      <c r="AW228" s="32"/>
      <c r="AX228" s="32"/>
      <c r="AY228" s="32"/>
      <c r="AZ228" s="32"/>
      <c r="BA228" s="32"/>
      <c r="BB228" s="32"/>
      <c r="BC228" s="32"/>
      <c r="BD228" s="32"/>
      <c r="BE228" s="32" t="s">
        <v>48</v>
      </c>
      <c r="BF228" s="32" t="s">
        <v>48</v>
      </c>
      <c r="BG228" s="32" t="s">
        <v>48</v>
      </c>
      <c r="BH228" s="32" t="s">
        <v>48</v>
      </c>
      <c r="BI228" s="544">
        <f>-15+13</f>
        <v>-2</v>
      </c>
      <c r="BJ228" s="544">
        <f>-16+17</f>
        <v>1</v>
      </c>
      <c r="BK228" s="544">
        <f>-14+13</f>
        <v>-1</v>
      </c>
      <c r="BL228" s="544">
        <f>-16+4</f>
        <v>-12</v>
      </c>
      <c r="BM228" s="545">
        <v>-13</v>
      </c>
      <c r="BN228" s="545">
        <v>-17</v>
      </c>
      <c r="BO228" s="545">
        <v>-13</v>
      </c>
      <c r="BP228" s="545">
        <f>8-18</f>
        <v>-10</v>
      </c>
      <c r="BQ228" s="552">
        <v>-12</v>
      </c>
      <c r="BR228" s="545">
        <v>-10</v>
      </c>
      <c r="BS228" s="547">
        <v>-9</v>
      </c>
      <c r="BT228" s="548">
        <v>-8</v>
      </c>
      <c r="BU228" s="548">
        <v>0</v>
      </c>
      <c r="BV228" s="538">
        <v>0</v>
      </c>
      <c r="BW228" s="547">
        <v>0</v>
      </c>
      <c r="BX228" s="547">
        <v>0</v>
      </c>
      <c r="BY228" s="548">
        <v>0</v>
      </c>
      <c r="BZ228" s="548">
        <v>0</v>
      </c>
      <c r="CA228" s="547">
        <v>0</v>
      </c>
      <c r="CB228" s="547">
        <v>0</v>
      </c>
      <c r="CC228" s="547">
        <v>0</v>
      </c>
      <c r="CD228" s="547">
        <v>0</v>
      </c>
      <c r="CE228" s="547">
        <v>0</v>
      </c>
      <c r="CF228" s="547">
        <v>0</v>
      </c>
      <c r="CG228" s="538">
        <f t="shared" si="297"/>
        <v>0</v>
      </c>
      <c r="CH228" s="538">
        <f t="shared" si="297"/>
        <v>0</v>
      </c>
      <c r="CI228" s="538">
        <f t="shared" si="297"/>
        <v>0</v>
      </c>
      <c r="CJ228" s="538">
        <f>+T228-SUM(CG228:CI228)</f>
        <v>0</v>
      </c>
    </row>
    <row r="229" spans="1:90">
      <c r="A229" s="2" t="s">
        <v>46</v>
      </c>
      <c r="B229" s="32"/>
      <c r="C229" s="32"/>
      <c r="D229" s="32"/>
      <c r="E229" s="32"/>
      <c r="F229" s="32"/>
      <c r="G229" s="32"/>
      <c r="H229" s="32"/>
      <c r="I229" s="32"/>
      <c r="J229" s="32"/>
      <c r="K229" s="32"/>
      <c r="L229" s="32" t="s">
        <v>48</v>
      </c>
      <c r="M229" s="544">
        <v>69</v>
      </c>
      <c r="N229" s="538">
        <f>+SUM(BI229:BL229)</f>
        <v>-68</v>
      </c>
      <c r="O229" s="538">
        <f>+SUM(BM229:BP229)</f>
        <v>0</v>
      </c>
      <c r="P229" s="538">
        <f>+SUM(BQ229:BT229)</f>
        <v>0</v>
      </c>
      <c r="Q229" s="538">
        <f t="shared" si="294"/>
        <v>78</v>
      </c>
      <c r="R229" s="538">
        <f t="shared" si="288"/>
        <v>-57</v>
      </c>
      <c r="S229" s="538">
        <f>+SUM(CC229:CF229)</f>
        <v>0</v>
      </c>
      <c r="T229" s="538">
        <f t="shared" si="296"/>
        <v>0</v>
      </c>
      <c r="U229" s="538">
        <f t="shared" si="296"/>
        <v>0</v>
      </c>
      <c r="V229" s="538">
        <f t="shared" si="296"/>
        <v>0</v>
      </c>
      <c r="W229" s="538">
        <f t="shared" si="296"/>
        <v>0</v>
      </c>
      <c r="X229" s="538">
        <f t="shared" si="296"/>
        <v>0</v>
      </c>
      <c r="Y229" s="538">
        <f t="shared" si="296"/>
        <v>0</v>
      </c>
      <c r="Z229" s="538">
        <f t="shared" si="296"/>
        <v>0</v>
      </c>
      <c r="AA229" s="538">
        <f t="shared" si="296"/>
        <v>0</v>
      </c>
      <c r="AC229" s="32"/>
      <c r="AD229" s="32"/>
      <c r="AE229" s="32"/>
      <c r="AF229" s="32"/>
      <c r="AG229" s="32"/>
      <c r="AH229" s="32"/>
      <c r="AI229" s="32"/>
      <c r="AJ229" s="32"/>
      <c r="AK229" s="32"/>
      <c r="AL229" s="32"/>
      <c r="AM229" s="32"/>
      <c r="AN229" s="32"/>
      <c r="AO229" s="32"/>
      <c r="AP229" s="32"/>
      <c r="AQ229" s="32"/>
      <c r="AR229" s="32"/>
      <c r="AS229" s="32"/>
      <c r="AT229" s="32"/>
      <c r="AU229" s="32"/>
      <c r="AV229" s="32"/>
      <c r="AW229" s="32"/>
      <c r="AX229" s="32"/>
      <c r="AY229" s="32"/>
      <c r="AZ229" s="32"/>
      <c r="BA229" s="32"/>
      <c r="BB229" s="32"/>
      <c r="BC229" s="32"/>
      <c r="BD229" s="32"/>
      <c r="BE229" s="32" t="s">
        <v>48</v>
      </c>
      <c r="BF229" s="32" t="s">
        <v>48</v>
      </c>
      <c r="BG229" s="32" t="s">
        <v>48</v>
      </c>
      <c r="BH229" s="32" t="s">
        <v>48</v>
      </c>
      <c r="BI229" s="544">
        <v>0</v>
      </c>
      <c r="BJ229" s="544">
        <v>0</v>
      </c>
      <c r="BK229" s="544">
        <v>0</v>
      </c>
      <c r="BL229" s="544">
        <v>-68</v>
      </c>
      <c r="BM229" s="545">
        <v>0</v>
      </c>
      <c r="BN229" s="545">
        <v>0</v>
      </c>
      <c r="BO229" s="545">
        <v>0</v>
      </c>
      <c r="BP229" s="545">
        <v>0</v>
      </c>
      <c r="BQ229" s="545">
        <v>0</v>
      </c>
      <c r="BR229" s="545">
        <v>0</v>
      </c>
      <c r="BS229" s="547">
        <v>0</v>
      </c>
      <c r="BT229" s="548">
        <v>0</v>
      </c>
      <c r="BU229" s="548">
        <v>39</v>
      </c>
      <c r="BV229" s="538">
        <v>0</v>
      </c>
      <c r="BW229" s="547">
        <v>19</v>
      </c>
      <c r="BX229" s="547">
        <v>20</v>
      </c>
      <c r="BY229" s="548">
        <v>-38</v>
      </c>
      <c r="BZ229" s="548">
        <v>0</v>
      </c>
      <c r="CA229" s="547">
        <v>-19</v>
      </c>
      <c r="CB229" s="547">
        <v>0</v>
      </c>
      <c r="CC229" s="547">
        <v>0</v>
      </c>
      <c r="CD229" s="547">
        <v>0</v>
      </c>
      <c r="CE229" s="547">
        <v>0</v>
      </c>
      <c r="CF229" s="547">
        <v>0</v>
      </c>
      <c r="CG229" s="538">
        <f t="shared" si="297"/>
        <v>0</v>
      </c>
      <c r="CH229" s="538">
        <f t="shared" si="297"/>
        <v>0</v>
      </c>
      <c r="CI229" s="538">
        <f t="shared" si="297"/>
        <v>0</v>
      </c>
      <c r="CJ229" s="538">
        <f>+T229-SUM(CG229:CI229)</f>
        <v>0</v>
      </c>
    </row>
    <row r="230" spans="1:90">
      <c r="A230" s="2" t="s">
        <v>47</v>
      </c>
      <c r="B230" s="32"/>
      <c r="C230" s="32"/>
      <c r="D230" s="32"/>
      <c r="E230" s="32"/>
      <c r="F230" s="32"/>
      <c r="G230" s="32"/>
      <c r="H230" s="32"/>
      <c r="I230" s="32"/>
      <c r="J230" s="32"/>
      <c r="K230" s="32"/>
      <c r="L230" s="32" t="s">
        <v>48</v>
      </c>
      <c r="M230" s="553">
        <v>0</v>
      </c>
      <c r="N230" s="538">
        <f>+SUM(BI230:BL230)</f>
        <v>0</v>
      </c>
      <c r="O230" s="538">
        <f>+SUM(BM230:BP230)</f>
        <v>0</v>
      </c>
      <c r="P230" s="538">
        <f>+SUM(BQ230:BT230)</f>
        <v>-1.2280000000000015</v>
      </c>
      <c r="Q230" s="538">
        <f t="shared" si="294"/>
        <v>-6.6000000000002501E-2</v>
      </c>
      <c r="R230" s="538">
        <f t="shared" si="288"/>
        <v>0</v>
      </c>
      <c r="S230" s="538">
        <f>+SUM(CC230:CF230)</f>
        <v>0</v>
      </c>
      <c r="T230" s="538">
        <f t="shared" si="296"/>
        <v>0</v>
      </c>
      <c r="U230" s="538">
        <f t="shared" si="296"/>
        <v>0</v>
      </c>
      <c r="V230" s="538">
        <f t="shared" si="296"/>
        <v>0</v>
      </c>
      <c r="W230" s="538">
        <f t="shared" si="296"/>
        <v>0</v>
      </c>
      <c r="X230" s="538">
        <f t="shared" si="296"/>
        <v>0</v>
      </c>
      <c r="Y230" s="538">
        <f t="shared" si="296"/>
        <v>0</v>
      </c>
      <c r="Z230" s="538">
        <f t="shared" si="296"/>
        <v>0</v>
      </c>
      <c r="AA230" s="538">
        <f t="shared" si="296"/>
        <v>0</v>
      </c>
      <c r="AC230" s="32"/>
      <c r="AD230" s="32"/>
      <c r="AE230" s="32"/>
      <c r="AF230" s="32"/>
      <c r="AG230" s="32"/>
      <c r="AH230" s="32"/>
      <c r="AI230" s="32"/>
      <c r="AJ230" s="32"/>
      <c r="AK230" s="32"/>
      <c r="AL230" s="32"/>
      <c r="AM230" s="32"/>
      <c r="AN230" s="32"/>
      <c r="AO230" s="32"/>
      <c r="AP230" s="32"/>
      <c r="AQ230" s="32"/>
      <c r="AR230" s="32"/>
      <c r="AS230" s="32"/>
      <c r="AT230" s="32"/>
      <c r="AU230" s="32"/>
      <c r="AV230" s="32"/>
      <c r="AW230" s="32"/>
      <c r="AX230" s="32"/>
      <c r="AY230" s="32"/>
      <c r="AZ230" s="32"/>
      <c r="BA230" s="32"/>
      <c r="BB230" s="32"/>
      <c r="BC230" s="32"/>
      <c r="BD230" s="32"/>
      <c r="BE230" s="32" t="s">
        <v>48</v>
      </c>
      <c r="BF230" s="32" t="s">
        <v>48</v>
      </c>
      <c r="BG230" s="32" t="s">
        <v>48</v>
      </c>
      <c r="BH230" s="32" t="s">
        <v>48</v>
      </c>
      <c r="BI230" s="553">
        <v>0</v>
      </c>
      <c r="BJ230" s="553">
        <v>0</v>
      </c>
      <c r="BK230" s="553">
        <v>0</v>
      </c>
      <c r="BL230" s="553">
        <v>0</v>
      </c>
      <c r="BM230" s="549">
        <v>0</v>
      </c>
      <c r="BN230" s="549">
        <v>0</v>
      </c>
      <c r="BO230" s="549">
        <v>0</v>
      </c>
      <c r="BP230" s="549">
        <v>0</v>
      </c>
      <c r="BQ230" s="549">
        <f t="shared" ref="BQ230:BW230" si="298">+BQ232-BM232-SUM(BQ223:BQ229)</f>
        <v>-0.45000000000000284</v>
      </c>
      <c r="BR230" s="549">
        <f t="shared" si="298"/>
        <v>-1.0079999999999956</v>
      </c>
      <c r="BS230" s="549">
        <f t="shared" si="298"/>
        <v>-0.42999999999999972</v>
      </c>
      <c r="BT230" s="549">
        <f t="shared" si="298"/>
        <v>0.65999999999999659</v>
      </c>
      <c r="BU230" s="549">
        <f t="shared" si="298"/>
        <v>1.0000000000012221E-3</v>
      </c>
      <c r="BV230" s="549">
        <f t="shared" si="298"/>
        <v>0.49299999999999855</v>
      </c>
      <c r="BW230" s="549">
        <f t="shared" si="298"/>
        <v>-0.56000000000000227</v>
      </c>
      <c r="BX230" s="547">
        <v>0</v>
      </c>
      <c r="BY230" s="548">
        <v>0</v>
      </c>
      <c r="BZ230" s="548">
        <v>0</v>
      </c>
      <c r="CA230" s="547">
        <v>0</v>
      </c>
      <c r="CB230" s="547">
        <v>0</v>
      </c>
      <c r="CC230" s="547">
        <v>0</v>
      </c>
      <c r="CD230" s="547">
        <v>0</v>
      </c>
      <c r="CE230" s="547">
        <v>0</v>
      </c>
      <c r="CF230" s="547">
        <v>0</v>
      </c>
      <c r="CG230" s="538">
        <f t="shared" si="297"/>
        <v>0</v>
      </c>
      <c r="CH230" s="538">
        <f t="shared" si="297"/>
        <v>0</v>
      </c>
      <c r="CI230" s="538">
        <f t="shared" si="297"/>
        <v>0</v>
      </c>
      <c r="CJ230" s="538">
        <f>+T230-SUM(CG230:CI230)</f>
        <v>0</v>
      </c>
      <c r="CL230" s="726"/>
    </row>
    <row r="231" spans="1:90" ht="6" customHeight="1">
      <c r="BS231" s="517"/>
      <c r="BT231" s="517"/>
      <c r="BU231" s="517"/>
      <c r="BX231" s="517"/>
      <c r="BY231" s="324"/>
      <c r="CA231" s="517"/>
      <c r="CB231" s="517"/>
      <c r="CC231" s="517"/>
      <c r="CD231" s="517"/>
      <c r="CE231" s="517"/>
    </row>
    <row r="232" spans="1:90" s="16" customFormat="1">
      <c r="A232" s="16" t="s">
        <v>60</v>
      </c>
      <c r="B232" s="539"/>
      <c r="C232" s="539"/>
      <c r="D232" s="539"/>
      <c r="E232" s="539"/>
      <c r="F232" s="539"/>
      <c r="G232" s="539"/>
      <c r="H232" s="539"/>
      <c r="I232" s="539"/>
      <c r="J232" s="539"/>
      <c r="K232" s="539"/>
      <c r="L232" s="539">
        <f>+IS!L158</f>
        <v>6441</v>
      </c>
      <c r="M232" s="539">
        <f>+IS!M158</f>
        <v>6833</v>
      </c>
      <c r="N232" s="539">
        <f>+IS!N158</f>
        <v>6903</v>
      </c>
      <c r="O232" s="550">
        <f>+IS!O158</f>
        <v>6991</v>
      </c>
      <c r="P232" s="550">
        <f>+IS!P158</f>
        <v>6936</v>
      </c>
      <c r="Q232" s="550">
        <f>+IS!Q143</f>
        <v>6960</v>
      </c>
      <c r="R232" s="550">
        <f>+IS!R143</f>
        <v>6947</v>
      </c>
      <c r="S232" s="550">
        <f>+IS!S143</f>
        <v>6797</v>
      </c>
      <c r="T232" s="550">
        <f t="shared" ref="T232:AA232" si="299">+S232+SUM(T223:T224,T226:T230)</f>
        <v>6879.8585712314652</v>
      </c>
      <c r="U232" s="550">
        <f t="shared" si="299"/>
        <v>6983.0564497999376</v>
      </c>
      <c r="V232" s="550">
        <f t="shared" si="299"/>
        <v>7122.7175787959368</v>
      </c>
      <c r="W232" s="550">
        <f t="shared" si="299"/>
        <v>7254.4878540036616</v>
      </c>
      <c r="X232" s="550">
        <f t="shared" si="299"/>
        <v>7378.9023206998245</v>
      </c>
      <c r="Y232" s="550">
        <f t="shared" si="299"/>
        <v>7496.485129180176</v>
      </c>
      <c r="Z232" s="550">
        <f t="shared" si="299"/>
        <v>7607.7442132249034</v>
      </c>
      <c r="AA232" s="550">
        <f t="shared" si="299"/>
        <v>7713.1673874980352</v>
      </c>
      <c r="AB232" s="473"/>
      <c r="AC232" s="539"/>
      <c r="AD232" s="539"/>
      <c r="AE232" s="539"/>
      <c r="AF232" s="539"/>
      <c r="AG232" s="539"/>
      <c r="AH232" s="539"/>
      <c r="AI232" s="539"/>
      <c r="AJ232" s="539"/>
      <c r="AK232" s="539"/>
      <c r="AL232" s="539"/>
      <c r="AM232" s="539"/>
      <c r="AN232" s="539"/>
      <c r="AO232" s="539"/>
      <c r="AP232" s="539"/>
      <c r="AQ232" s="539"/>
      <c r="AR232" s="539"/>
      <c r="AS232" s="539"/>
      <c r="AT232" s="539"/>
      <c r="AU232" s="539"/>
      <c r="AV232" s="539"/>
      <c r="AW232" s="539"/>
      <c r="AX232" s="539"/>
      <c r="AY232" s="539"/>
      <c r="AZ232" s="539"/>
      <c r="BA232" s="539"/>
      <c r="BB232" s="539"/>
      <c r="BC232" s="539"/>
      <c r="BD232" s="539"/>
      <c r="BE232" s="539">
        <f>+IS!BE158</f>
        <v>1602</v>
      </c>
      <c r="BF232" s="539">
        <f>+IS!BF158</f>
        <v>1648</v>
      </c>
      <c r="BG232" s="539">
        <f>+IS!BG158</f>
        <v>1735</v>
      </c>
      <c r="BH232" s="539">
        <f>+IS!BH158</f>
        <v>1848</v>
      </c>
      <c r="BI232" s="539">
        <f>+IS!BI158</f>
        <v>1634</v>
      </c>
      <c r="BJ232" s="539">
        <f>+IS!BJ158</f>
        <v>1685</v>
      </c>
      <c r="BK232" s="539">
        <f>+IS!BK158</f>
        <v>1768</v>
      </c>
      <c r="BL232" s="539">
        <f>+IS!BL158</f>
        <v>1816</v>
      </c>
      <c r="BM232" s="539">
        <f>+IS!BM158</f>
        <v>1658</v>
      </c>
      <c r="BN232" s="539">
        <f>+IS!BN158</f>
        <v>1704</v>
      </c>
      <c r="BO232" s="539">
        <f>+IS!BO158</f>
        <v>1785</v>
      </c>
      <c r="BP232" s="539">
        <f>+IS!BP158</f>
        <v>1844</v>
      </c>
      <c r="BQ232" s="539">
        <f>+IS!BQ158</f>
        <v>1667</v>
      </c>
      <c r="BR232" s="539">
        <f>+IS!BR158</f>
        <v>1723</v>
      </c>
      <c r="BS232" s="551">
        <f>+IS!BS158</f>
        <v>1760</v>
      </c>
      <c r="BT232" s="551">
        <f>+IS!BT158</f>
        <v>1786</v>
      </c>
      <c r="BU232" s="550">
        <f>+IS!BU158</f>
        <v>1682</v>
      </c>
      <c r="BV232" s="550">
        <f>+IS!BV158</f>
        <v>1713</v>
      </c>
      <c r="BW232" s="550">
        <f>+IS!BW158</f>
        <v>1756</v>
      </c>
      <c r="BX232" s="550">
        <f>+IS!BX158</f>
        <v>1823</v>
      </c>
      <c r="BY232" s="550">
        <f>+IS!BY158</f>
        <v>1675</v>
      </c>
      <c r="BZ232" s="550">
        <f>+IS!BZ158</f>
        <v>1720</v>
      </c>
      <c r="CA232" s="550">
        <f>+IS!CA158</f>
        <v>1753</v>
      </c>
      <c r="CB232" s="550">
        <f>+IS!CB158</f>
        <v>1799</v>
      </c>
      <c r="CC232" s="550">
        <f>+IS!CC143</f>
        <v>1648</v>
      </c>
      <c r="CD232" s="550">
        <f>+IS!CD143</f>
        <v>1573</v>
      </c>
      <c r="CE232" s="550">
        <f>+IS!CE143</f>
        <v>1775</v>
      </c>
      <c r="CF232" s="550">
        <f>+IS!CF143</f>
        <v>1801</v>
      </c>
      <c r="CG232" s="550">
        <f>+CC232+SUM(CG223:CG224,CG226:CG230)</f>
        <v>1651.0607845335085</v>
      </c>
      <c r="CH232" s="550">
        <f>+CD232+SUM(CH223:CH224,CH226:CH230)</f>
        <v>1627.3247866979573</v>
      </c>
      <c r="CI232" s="550">
        <f>+CE232+SUM(CI223:CI224,CI226:CI230)</f>
        <v>1780.325</v>
      </c>
      <c r="CJ232" s="550">
        <f>+CF232+SUM(CJ223:CJ224,CJ226:CJ230)</f>
        <v>1821.1479999999999</v>
      </c>
    </row>
    <row r="233" spans="1:90" hidden="1" outlineLevel="1">
      <c r="A233" s="22" t="s">
        <v>61</v>
      </c>
      <c r="B233" s="32"/>
      <c r="C233" s="32"/>
      <c r="D233" s="32"/>
      <c r="E233" s="32"/>
      <c r="F233" s="32"/>
      <c r="G233" s="32"/>
      <c r="H233" s="32"/>
      <c r="I233" s="32"/>
      <c r="J233" s="32"/>
      <c r="K233" s="32"/>
      <c r="L233" s="32" t="s">
        <v>48</v>
      </c>
      <c r="M233" s="540">
        <f t="shared" ref="M233:R233" si="300">+L232+SUM(M223:M224,M226:M230)-M232</f>
        <v>2.4999999999636202E-2</v>
      </c>
      <c r="N233" s="540">
        <f t="shared" si="300"/>
        <v>3.2449999999998909</v>
      </c>
      <c r="O233" s="540">
        <f t="shared" si="300"/>
        <v>1.4097052444521978</v>
      </c>
      <c r="P233" s="540">
        <f t="shared" si="300"/>
        <v>0</v>
      </c>
      <c r="Q233" s="540">
        <f t="shared" si="300"/>
        <v>13.435999999999694</v>
      </c>
      <c r="R233" s="540">
        <f t="shared" si="300"/>
        <v>16.414999999999964</v>
      </c>
      <c r="AB233" s="513"/>
      <c r="BI233" s="540">
        <f t="shared" ref="BI233:CB233" si="301">+BE232+SUM(BI223:BI230)-BI232</f>
        <v>0.24399999999991451</v>
      </c>
      <c r="BJ233" s="540">
        <f t="shared" si="301"/>
        <v>0.44000000000005457</v>
      </c>
      <c r="BK233" s="540">
        <f t="shared" si="301"/>
        <v>-9.5000000000027285E-2</v>
      </c>
      <c r="BL233" s="540">
        <f t="shared" si="301"/>
        <v>2.6559999999999491</v>
      </c>
      <c r="BM233" s="540">
        <f t="shared" si="301"/>
        <v>0.42670524445225055</v>
      </c>
      <c r="BN233" s="540">
        <f t="shared" si="301"/>
        <v>0.25500000000010914</v>
      </c>
      <c r="BO233" s="540">
        <f t="shared" si="301"/>
        <v>0.43200000000001637</v>
      </c>
      <c r="BP233" s="540">
        <f t="shared" si="301"/>
        <v>0.29600000000004911</v>
      </c>
      <c r="BQ233" s="540">
        <f t="shared" si="301"/>
        <v>0</v>
      </c>
      <c r="BR233" s="540">
        <f t="shared" si="301"/>
        <v>0</v>
      </c>
      <c r="BS233" s="554">
        <f t="shared" si="301"/>
        <v>0</v>
      </c>
      <c r="BT233" s="540">
        <f t="shared" si="301"/>
        <v>0</v>
      </c>
      <c r="BU233" s="540">
        <f t="shared" si="301"/>
        <v>0</v>
      </c>
      <c r="BV233" s="540">
        <f t="shared" si="301"/>
        <v>0</v>
      </c>
      <c r="BW233" s="540">
        <f t="shared" si="301"/>
        <v>0</v>
      </c>
      <c r="BX233" s="554">
        <f t="shared" si="301"/>
        <v>-0.56400000000007822</v>
      </c>
      <c r="BY233" s="540">
        <f t="shared" si="301"/>
        <v>3.4139999999999873</v>
      </c>
      <c r="BZ233" s="540">
        <f t="shared" si="301"/>
        <v>-0.58300000000008367</v>
      </c>
      <c r="CA233" s="540">
        <f t="shared" si="301"/>
        <v>-4.7080000000000837</v>
      </c>
      <c r="CB233" s="540">
        <f t="shared" si="301"/>
        <v>32.291999999999916</v>
      </c>
      <c r="CC233" s="540">
        <f t="shared" ref="CC233:CJ233" si="302">+BY232+SUM(CC223:CC230)-CC232</f>
        <v>0.17499999999995453</v>
      </c>
      <c r="CD233" s="540">
        <f t="shared" si="302"/>
        <v>-0.31999999999993634</v>
      </c>
      <c r="CE233" s="540">
        <f t="shared" si="302"/>
        <v>5.5299999999999727</v>
      </c>
      <c r="CF233" s="540">
        <f t="shared" si="302"/>
        <v>-5.3920000000000528</v>
      </c>
      <c r="CG233" s="540">
        <f t="shared" si="302"/>
        <v>0</v>
      </c>
      <c r="CH233" s="540">
        <f t="shared" si="302"/>
        <v>0</v>
      </c>
      <c r="CI233" s="540">
        <f t="shared" si="302"/>
        <v>0</v>
      </c>
      <c r="CJ233" s="540">
        <f t="shared" si="302"/>
        <v>0</v>
      </c>
    </row>
    <row r="234" spans="1:90" collapsed="1">
      <c r="Q234" s="500"/>
      <c r="BQ234" s="555"/>
      <c r="BR234" s="500"/>
      <c r="BS234" s="500"/>
      <c r="BT234" s="500"/>
      <c r="BU234" s="499"/>
      <c r="BX234" s="517"/>
    </row>
    <row r="235" spans="1:90">
      <c r="N235" s="33">
        <f>+N258/M258-1</f>
        <v>0.12346688470973022</v>
      </c>
      <c r="O235" s="33">
        <f>+O258/N258-1</f>
        <v>-4.5851528384279527E-2</v>
      </c>
      <c r="P235" s="33">
        <f>+P258/O258-1</f>
        <v>-0.10221205186880244</v>
      </c>
      <c r="BL235" s="500"/>
    </row>
    <row r="236" spans="1:90">
      <c r="A236" s="16" t="s">
        <v>62</v>
      </c>
      <c r="AB236" s="473"/>
    </row>
    <row r="237" spans="1:90">
      <c r="A237" s="25" t="s">
        <v>54</v>
      </c>
      <c r="B237" s="518"/>
      <c r="C237" s="518"/>
      <c r="D237" s="518"/>
      <c r="E237" s="518"/>
      <c r="F237" s="518"/>
      <c r="G237" s="518"/>
      <c r="H237" s="518"/>
      <c r="I237" s="518"/>
      <c r="J237" s="518"/>
      <c r="K237" s="518"/>
      <c r="L237" s="518"/>
      <c r="M237" s="518"/>
      <c r="N237" s="518"/>
      <c r="O237" s="518"/>
      <c r="P237" s="518"/>
      <c r="Q237" s="518"/>
      <c r="R237" s="518"/>
      <c r="S237" s="518"/>
      <c r="T237" s="518"/>
      <c r="U237" s="518"/>
      <c r="V237" s="518"/>
      <c r="W237" s="518"/>
      <c r="X237" s="518"/>
      <c r="Y237" s="518"/>
      <c r="Z237" s="518"/>
      <c r="AA237" s="518"/>
      <c r="AB237" s="519"/>
      <c r="AC237" s="518"/>
      <c r="AD237" s="518"/>
      <c r="AE237" s="518"/>
      <c r="AF237" s="518"/>
      <c r="AG237" s="518"/>
      <c r="AH237" s="518"/>
      <c r="AI237" s="518"/>
      <c r="AJ237" s="518"/>
      <c r="AK237" s="518"/>
      <c r="AL237" s="518"/>
      <c r="AM237" s="518"/>
      <c r="AN237" s="518"/>
      <c r="AO237" s="518"/>
      <c r="AP237" s="518"/>
      <c r="AQ237" s="518"/>
      <c r="AR237" s="518"/>
      <c r="AS237" s="518"/>
      <c r="AT237" s="518"/>
      <c r="AU237" s="518"/>
      <c r="AV237" s="518"/>
      <c r="AW237" s="518"/>
      <c r="AX237" s="518"/>
      <c r="AY237" s="518"/>
      <c r="AZ237" s="518"/>
      <c r="BA237" s="518"/>
      <c r="BB237" s="518"/>
      <c r="BC237" s="518"/>
      <c r="BD237" s="518"/>
      <c r="BE237" s="518"/>
      <c r="BF237" s="518"/>
      <c r="BG237" s="518"/>
      <c r="BH237" s="518"/>
      <c r="BI237" s="518"/>
      <c r="BJ237" s="518"/>
      <c r="BK237" s="518"/>
      <c r="BL237" s="518"/>
      <c r="BM237" s="520"/>
      <c r="BN237" s="520"/>
      <c r="BO237" s="518"/>
      <c r="BP237" s="518"/>
      <c r="BQ237" s="518"/>
      <c r="BR237" s="518"/>
      <c r="BS237" s="518"/>
      <c r="BT237" s="518"/>
      <c r="BU237" s="518"/>
      <c r="BV237" s="518"/>
      <c r="BW237" s="518"/>
      <c r="BX237" s="518"/>
      <c r="BY237" s="518"/>
      <c r="BZ237" s="518"/>
      <c r="CA237" s="518"/>
      <c r="CB237" s="518"/>
      <c r="CC237" s="518"/>
      <c r="CD237" s="518"/>
      <c r="CE237" s="518"/>
      <c r="CF237" s="518"/>
      <c r="CG237" s="518"/>
      <c r="CH237" s="518"/>
      <c r="CI237" s="518"/>
      <c r="CJ237" s="518"/>
    </row>
    <row r="238" spans="1:90" s="28" customFormat="1">
      <c r="A238" s="28" t="s">
        <v>63</v>
      </c>
      <c r="B238" s="556"/>
      <c r="C238" s="556"/>
      <c r="D238" s="556"/>
      <c r="E238" s="556"/>
      <c r="F238" s="556"/>
      <c r="G238" s="556"/>
      <c r="H238" s="556"/>
      <c r="I238" s="556"/>
      <c r="J238" s="556"/>
      <c r="K238" s="556"/>
      <c r="L238" s="556"/>
      <c r="M238" s="557">
        <v>1175</v>
      </c>
      <c r="N238" s="557">
        <v>1208</v>
      </c>
      <c r="O238" s="557">
        <v>1288</v>
      </c>
      <c r="P238" s="557">
        <v>1322</v>
      </c>
      <c r="Q238" s="557">
        <v>1605</v>
      </c>
      <c r="R238" s="557">
        <v>734</v>
      </c>
      <c r="S238" s="556">
        <v>779</v>
      </c>
      <c r="T238" s="556"/>
      <c r="U238" s="556"/>
      <c r="V238" s="556"/>
      <c r="W238" s="556"/>
      <c r="X238" s="556"/>
      <c r="Y238" s="556"/>
      <c r="Z238" s="556"/>
      <c r="AA238" s="556"/>
      <c r="AB238" s="558"/>
      <c r="AC238" s="556"/>
      <c r="AD238" s="556"/>
      <c r="AE238" s="556"/>
      <c r="AF238" s="556"/>
      <c r="AG238" s="556"/>
      <c r="AH238" s="556"/>
      <c r="AI238" s="556"/>
      <c r="AJ238" s="556"/>
      <c r="AK238" s="556"/>
      <c r="AL238" s="556"/>
      <c r="AM238" s="556"/>
      <c r="AN238" s="556"/>
      <c r="AO238" s="556"/>
      <c r="AP238" s="556"/>
      <c r="AQ238" s="556"/>
      <c r="AR238" s="556"/>
      <c r="AS238" s="556"/>
      <c r="AT238" s="556"/>
      <c r="AU238" s="556"/>
      <c r="AV238" s="556"/>
      <c r="AW238" s="556"/>
      <c r="AX238" s="556"/>
      <c r="AY238" s="556"/>
      <c r="AZ238" s="556"/>
      <c r="BA238" s="556"/>
      <c r="BB238" s="556"/>
      <c r="BC238" s="556"/>
      <c r="BD238" s="556"/>
      <c r="BE238" s="556"/>
      <c r="BF238" s="556"/>
      <c r="BG238" s="556"/>
      <c r="BH238" s="556"/>
      <c r="BI238" s="557">
        <v>260</v>
      </c>
      <c r="BJ238" s="557">
        <v>309</v>
      </c>
      <c r="BK238" s="557">
        <v>311</v>
      </c>
      <c r="BL238" s="556">
        <f>N238-SUM(BI238:BK238)</f>
        <v>328</v>
      </c>
      <c r="BM238" s="557">
        <v>290</v>
      </c>
      <c r="BN238" s="557">
        <v>334</v>
      </c>
      <c r="BO238" s="557">
        <v>329</v>
      </c>
      <c r="BP238" s="556">
        <f>+O238-SUM(BM238:BO238)</f>
        <v>335</v>
      </c>
      <c r="BQ238" s="557">
        <v>327</v>
      </c>
      <c r="BR238" s="557">
        <v>333</v>
      </c>
      <c r="BS238" s="557">
        <v>338</v>
      </c>
      <c r="BT238" s="558">
        <f>P238-SUM(BQ238:BS238)</f>
        <v>324</v>
      </c>
      <c r="BU238" s="557">
        <v>309</v>
      </c>
      <c r="BV238" s="557">
        <v>407</v>
      </c>
      <c r="BW238" s="557">
        <v>428</v>
      </c>
      <c r="BX238" s="558">
        <f>+Q238-SUM(BU238:BW238)</f>
        <v>461</v>
      </c>
      <c r="BY238" s="557">
        <f>370-BZ238</f>
        <v>174</v>
      </c>
      <c r="BZ238" s="557">
        <v>196</v>
      </c>
      <c r="CA238" s="557">
        <v>191</v>
      </c>
      <c r="CB238" s="557">
        <f>+R238-SUM(BY238:CA238)</f>
        <v>173</v>
      </c>
      <c r="CC238" s="557">
        <v>170</v>
      </c>
      <c r="CD238" s="557">
        <v>200</v>
      </c>
      <c r="CE238" s="557">
        <v>210</v>
      </c>
      <c r="CF238" s="557"/>
      <c r="CG238" s="557"/>
      <c r="CH238" s="557"/>
      <c r="CI238" s="557"/>
      <c r="CJ238" s="557"/>
    </row>
    <row r="239" spans="1:90" s="28" customFormat="1">
      <c r="A239" s="28" t="s">
        <v>64</v>
      </c>
      <c r="B239" s="556"/>
      <c r="C239" s="556"/>
      <c r="D239" s="556"/>
      <c r="E239" s="556"/>
      <c r="F239" s="556"/>
      <c r="G239" s="556"/>
      <c r="H239" s="556"/>
      <c r="I239" s="556"/>
      <c r="J239" s="556"/>
      <c r="K239" s="556"/>
      <c r="L239" s="556"/>
      <c r="M239" s="557">
        <v>1096</v>
      </c>
      <c r="N239" s="557">
        <v>1127</v>
      </c>
      <c r="O239" s="557">
        <v>1143</v>
      </c>
      <c r="P239" s="557">
        <v>1054</v>
      </c>
      <c r="Q239" s="557">
        <v>840</v>
      </c>
      <c r="R239" s="557">
        <v>743</v>
      </c>
      <c r="S239" s="556">
        <v>862</v>
      </c>
      <c r="T239" s="556"/>
      <c r="U239" s="556"/>
      <c r="V239" s="556"/>
      <c r="W239" s="556"/>
      <c r="X239" s="556"/>
      <c r="Y239" s="556"/>
      <c r="Z239" s="556"/>
      <c r="AA239" s="556"/>
      <c r="AB239" s="558"/>
      <c r="AC239" s="556"/>
      <c r="AD239" s="556"/>
      <c r="AE239" s="556"/>
      <c r="AF239" s="556"/>
      <c r="AG239" s="556"/>
      <c r="AH239" s="556"/>
      <c r="AI239" s="556"/>
      <c r="AJ239" s="556"/>
      <c r="AK239" s="556"/>
      <c r="AL239" s="556"/>
      <c r="AM239" s="556"/>
      <c r="AN239" s="556"/>
      <c r="AO239" s="556"/>
      <c r="AP239" s="556"/>
      <c r="AQ239" s="556"/>
      <c r="AR239" s="556"/>
      <c r="AS239" s="556"/>
      <c r="AT239" s="556"/>
      <c r="AU239" s="556"/>
      <c r="AV239" s="556"/>
      <c r="AW239" s="556"/>
      <c r="AX239" s="556"/>
      <c r="AY239" s="556"/>
      <c r="AZ239" s="556"/>
      <c r="BA239" s="556"/>
      <c r="BB239" s="556"/>
      <c r="BC239" s="556"/>
      <c r="BD239" s="556"/>
      <c r="BE239" s="556"/>
      <c r="BF239" s="556"/>
      <c r="BG239" s="556"/>
      <c r="BH239" s="556"/>
      <c r="BI239" s="557">
        <v>382</v>
      </c>
      <c r="BJ239" s="557">
        <v>255</v>
      </c>
      <c r="BK239" s="557">
        <v>237</v>
      </c>
      <c r="BL239" s="556">
        <f>N239-SUM(BI239:BK239)</f>
        <v>253</v>
      </c>
      <c r="BM239" s="557">
        <v>378</v>
      </c>
      <c r="BN239" s="557">
        <v>270</v>
      </c>
      <c r="BO239" s="557">
        <v>253</v>
      </c>
      <c r="BP239" s="556">
        <f>+O239-SUM(BM239:BO239)</f>
        <v>242</v>
      </c>
      <c r="BQ239" s="557">
        <v>324</v>
      </c>
      <c r="BR239" s="557">
        <v>256</v>
      </c>
      <c r="BS239" s="557">
        <v>253</v>
      </c>
      <c r="BT239" s="558">
        <f>P239-SUM(BQ239:BS239)</f>
        <v>221</v>
      </c>
      <c r="BU239" s="557">
        <v>294</v>
      </c>
      <c r="BV239" s="557">
        <v>202</v>
      </c>
      <c r="BW239" s="557">
        <v>184</v>
      </c>
      <c r="BX239" s="558">
        <f>+Q239-SUM(BU239:BW239)</f>
        <v>160</v>
      </c>
      <c r="BY239" s="557">
        <f>453-BZ239</f>
        <v>274</v>
      </c>
      <c r="BZ239" s="557">
        <v>179</v>
      </c>
      <c r="CA239" s="557">
        <v>185</v>
      </c>
      <c r="CB239" s="557">
        <f>+R239-SUM(BY239:CA239)</f>
        <v>105</v>
      </c>
      <c r="CC239" s="557">
        <v>259</v>
      </c>
      <c r="CD239" s="557">
        <v>194</v>
      </c>
      <c r="CE239" s="557">
        <v>207</v>
      </c>
      <c r="CF239" s="557"/>
      <c r="CG239" s="557"/>
      <c r="CH239" s="557"/>
      <c r="CI239" s="557"/>
      <c r="CJ239" s="557"/>
    </row>
    <row r="240" spans="1:90" s="28" customFormat="1">
      <c r="A240" s="28" t="s">
        <v>65</v>
      </c>
      <c r="B240" s="556"/>
      <c r="C240" s="556"/>
      <c r="D240" s="556"/>
      <c r="E240" s="556"/>
      <c r="F240" s="556"/>
      <c r="G240" s="556"/>
      <c r="H240" s="556"/>
      <c r="I240" s="556"/>
      <c r="J240" s="556"/>
      <c r="K240" s="556"/>
      <c r="L240" s="556"/>
      <c r="M240" s="557">
        <v>1550</v>
      </c>
      <c r="N240" s="557">
        <v>1433</v>
      </c>
      <c r="O240" s="557">
        <v>1380</v>
      </c>
      <c r="P240" s="557">
        <v>1176</v>
      </c>
      <c r="Q240" s="557">
        <v>1091</v>
      </c>
      <c r="R240" s="557">
        <v>938</v>
      </c>
      <c r="S240" s="556">
        <v>919</v>
      </c>
      <c r="T240" s="556"/>
      <c r="U240" s="556"/>
      <c r="V240" s="556"/>
      <c r="W240" s="556"/>
      <c r="X240" s="556"/>
      <c r="Y240" s="556"/>
      <c r="Z240" s="556"/>
      <c r="AA240" s="556"/>
      <c r="AB240" s="558"/>
      <c r="AC240" s="556"/>
      <c r="AD240" s="556"/>
      <c r="AE240" s="556"/>
      <c r="AF240" s="556"/>
      <c r="AG240" s="556"/>
      <c r="AH240" s="556"/>
      <c r="AI240" s="556"/>
      <c r="AJ240" s="556"/>
      <c r="AK240" s="556"/>
      <c r="AL240" s="556"/>
      <c r="AM240" s="556"/>
      <c r="AN240" s="556"/>
      <c r="AO240" s="556"/>
      <c r="AP240" s="556"/>
      <c r="AQ240" s="556"/>
      <c r="AR240" s="556"/>
      <c r="AS240" s="556"/>
      <c r="AT240" s="556"/>
      <c r="AU240" s="556"/>
      <c r="AV240" s="556"/>
      <c r="AW240" s="556"/>
      <c r="AX240" s="556"/>
      <c r="AY240" s="556"/>
      <c r="AZ240" s="556"/>
      <c r="BA240" s="556"/>
      <c r="BB240" s="556"/>
      <c r="BC240" s="556"/>
      <c r="BD240" s="556"/>
      <c r="BE240" s="556"/>
      <c r="BF240" s="556"/>
      <c r="BG240" s="556"/>
      <c r="BH240" s="556"/>
      <c r="BI240" s="557">
        <v>334</v>
      </c>
      <c r="BJ240" s="557">
        <v>371</v>
      </c>
      <c r="BK240" s="557">
        <v>364</v>
      </c>
      <c r="BL240" s="556">
        <f>N240-SUM(BI240:BK240)</f>
        <v>364</v>
      </c>
      <c r="BM240" s="557">
        <v>333</v>
      </c>
      <c r="BN240" s="557">
        <v>363</v>
      </c>
      <c r="BO240" s="557">
        <v>353</v>
      </c>
      <c r="BP240" s="556">
        <f>+O240-SUM(BM240:BO240)</f>
        <v>331</v>
      </c>
      <c r="BQ240" s="557">
        <v>286</v>
      </c>
      <c r="BR240" s="557">
        <v>293</v>
      </c>
      <c r="BS240" s="557">
        <v>314</v>
      </c>
      <c r="BT240" s="558">
        <f>P240-SUM(BQ240:BS240)</f>
        <v>283</v>
      </c>
      <c r="BU240" s="557">
        <v>295</v>
      </c>
      <c r="BV240" s="557">
        <v>295</v>
      </c>
      <c r="BW240" s="557">
        <v>262</v>
      </c>
      <c r="BX240" s="558">
        <f>+Q240-SUM(BU240:BW240)</f>
        <v>239</v>
      </c>
      <c r="BY240" s="557">
        <f>454-BZ240</f>
        <v>204</v>
      </c>
      <c r="BZ240" s="557">
        <v>250</v>
      </c>
      <c r="CA240" s="557">
        <v>247</v>
      </c>
      <c r="CB240" s="557">
        <f>+R240-SUM(BY240:CA240)</f>
        <v>237</v>
      </c>
      <c r="CC240" s="557">
        <v>213</v>
      </c>
      <c r="CD240" s="557">
        <v>241</v>
      </c>
      <c r="CE240" s="557">
        <v>247</v>
      </c>
      <c r="CF240" s="557"/>
      <c r="CG240" s="557"/>
      <c r="CH240" s="557"/>
      <c r="CI240" s="557"/>
      <c r="CJ240" s="557"/>
    </row>
    <row r="241" spans="1:88" s="28" customFormat="1">
      <c r="A241" s="28" t="s">
        <v>66</v>
      </c>
      <c r="B241" s="556"/>
      <c r="C241" s="556"/>
      <c r="D241" s="556"/>
      <c r="E241" s="556"/>
      <c r="F241" s="556"/>
      <c r="G241" s="556"/>
      <c r="H241" s="556"/>
      <c r="I241" s="556"/>
      <c r="J241" s="556"/>
      <c r="K241" s="556"/>
      <c r="L241" s="556"/>
      <c r="M241" s="557">
        <v>960</v>
      </c>
      <c r="N241" s="557">
        <v>953</v>
      </c>
      <c r="O241" s="557">
        <v>907</v>
      </c>
      <c r="P241" s="557">
        <v>940</v>
      </c>
      <c r="Q241" s="557">
        <v>767</v>
      </c>
      <c r="R241" s="557">
        <v>657</v>
      </c>
      <c r="S241" s="556">
        <v>665</v>
      </c>
      <c r="T241" s="556"/>
      <c r="U241" s="556"/>
      <c r="V241" s="556"/>
      <c r="W241" s="556"/>
      <c r="X241" s="556"/>
      <c r="Y241" s="556"/>
      <c r="Z241" s="556"/>
      <c r="AA241" s="556"/>
      <c r="AB241" s="558"/>
      <c r="AC241" s="556"/>
      <c r="AD241" s="556"/>
      <c r="AE241" s="556"/>
      <c r="AF241" s="556"/>
      <c r="AG241" s="556"/>
      <c r="AH241" s="556"/>
      <c r="AI241" s="556"/>
      <c r="AJ241" s="556"/>
      <c r="AK241" s="556"/>
      <c r="AL241" s="556"/>
      <c r="AM241" s="556"/>
      <c r="AN241" s="556"/>
      <c r="AO241" s="556"/>
      <c r="AP241" s="556"/>
      <c r="AQ241" s="556"/>
      <c r="AR241" s="556"/>
      <c r="AS241" s="556"/>
      <c r="AT241" s="556"/>
      <c r="AU241" s="556"/>
      <c r="AV241" s="556"/>
      <c r="AW241" s="556"/>
      <c r="AX241" s="556"/>
      <c r="AY241" s="556"/>
      <c r="AZ241" s="556"/>
      <c r="BA241" s="556"/>
      <c r="BB241" s="556"/>
      <c r="BC241" s="556"/>
      <c r="BD241" s="556"/>
      <c r="BE241" s="556"/>
      <c r="BF241" s="556"/>
      <c r="BG241" s="556"/>
      <c r="BH241" s="556"/>
      <c r="BI241" s="557">
        <v>241</v>
      </c>
      <c r="BJ241" s="557">
        <v>229</v>
      </c>
      <c r="BK241" s="557">
        <v>208</v>
      </c>
      <c r="BL241" s="556">
        <f>N241-SUM(BI241:BK241)</f>
        <v>275</v>
      </c>
      <c r="BM241" s="557">
        <v>243</v>
      </c>
      <c r="BN241" s="557">
        <v>212</v>
      </c>
      <c r="BO241" s="557">
        <v>211</v>
      </c>
      <c r="BP241" s="556">
        <f>+O241-SUM(BM241:BO241)</f>
        <v>241</v>
      </c>
      <c r="BQ241" s="557">
        <v>255</v>
      </c>
      <c r="BR241" s="557">
        <v>197</v>
      </c>
      <c r="BS241" s="557">
        <v>232</v>
      </c>
      <c r="BT241" s="558">
        <f>P241-SUM(BQ241:BS241)</f>
        <v>256</v>
      </c>
      <c r="BU241" s="557">
        <v>214</v>
      </c>
      <c r="BV241" s="557">
        <v>178</v>
      </c>
      <c r="BW241" s="557">
        <v>178</v>
      </c>
      <c r="BX241" s="558">
        <f>+Q241-SUM(BU241:BW241)</f>
        <v>197</v>
      </c>
      <c r="BY241" s="557">
        <f>322-BZ241</f>
        <v>184</v>
      </c>
      <c r="BZ241" s="557">
        <v>138</v>
      </c>
      <c r="CA241" s="557">
        <v>164</v>
      </c>
      <c r="CB241" s="557">
        <f>+R241-SUM(BY241:CA241)</f>
        <v>171</v>
      </c>
      <c r="CC241" s="557">
        <v>193</v>
      </c>
      <c r="CD241" s="557">
        <v>129</v>
      </c>
      <c r="CE241" s="557">
        <v>155</v>
      </c>
      <c r="CF241" s="557"/>
      <c r="CG241" s="557"/>
      <c r="CH241" s="557"/>
      <c r="CI241" s="557"/>
      <c r="CJ241" s="557"/>
    </row>
    <row r="242" spans="1:88" s="28" customFormat="1">
      <c r="A242" s="28" t="s">
        <v>67</v>
      </c>
      <c r="B242" s="556"/>
      <c r="C242" s="556"/>
      <c r="D242" s="556"/>
      <c r="E242" s="556"/>
      <c r="F242" s="556"/>
      <c r="G242" s="556"/>
      <c r="H242" s="556"/>
      <c r="I242" s="556"/>
      <c r="J242" s="556"/>
      <c r="K242" s="556"/>
      <c r="L242" s="556"/>
      <c r="M242" s="557">
        <v>622</v>
      </c>
      <c r="N242" s="557">
        <v>675</v>
      </c>
      <c r="O242" s="557">
        <v>664</v>
      </c>
      <c r="P242" s="557">
        <v>661</v>
      </c>
      <c r="Q242" s="557">
        <v>685</v>
      </c>
      <c r="R242" s="557">
        <v>320</v>
      </c>
      <c r="S242" s="556">
        <v>341</v>
      </c>
      <c r="T242" s="556"/>
      <c r="U242" s="556"/>
      <c r="V242" s="556"/>
      <c r="W242" s="556"/>
      <c r="X242" s="556"/>
      <c r="Y242" s="556"/>
      <c r="Z242" s="556"/>
      <c r="AA242" s="556"/>
      <c r="AB242" s="558"/>
      <c r="AC242" s="556"/>
      <c r="AD242" s="556"/>
      <c r="AE242" s="556"/>
      <c r="AF242" s="556"/>
      <c r="AG242" s="556"/>
      <c r="AH242" s="556"/>
      <c r="AI242" s="556"/>
      <c r="AJ242" s="556"/>
      <c r="AK242" s="556"/>
      <c r="AL242" s="556"/>
      <c r="AM242" s="556"/>
      <c r="AN242" s="556"/>
      <c r="AO242" s="556"/>
      <c r="AP242" s="556"/>
      <c r="AQ242" s="556"/>
      <c r="AR242" s="556"/>
      <c r="AS242" s="556"/>
      <c r="AT242" s="556"/>
      <c r="AU242" s="556"/>
      <c r="AV242" s="556"/>
      <c r="AW242" s="556"/>
      <c r="AX242" s="556"/>
      <c r="AY242" s="556"/>
      <c r="AZ242" s="556"/>
      <c r="BA242" s="556"/>
      <c r="BB242" s="556"/>
      <c r="BC242" s="556"/>
      <c r="BD242" s="556"/>
      <c r="BE242" s="556"/>
      <c r="BF242" s="556"/>
      <c r="BG242" s="556"/>
      <c r="BH242" s="556"/>
      <c r="BI242" s="557">
        <v>153</v>
      </c>
      <c r="BJ242" s="557">
        <v>176</v>
      </c>
      <c r="BK242" s="557">
        <v>166</v>
      </c>
      <c r="BL242" s="556">
        <f>N242-SUM(BI242:BK242)</f>
        <v>180</v>
      </c>
      <c r="BM242" s="557">
        <v>154</v>
      </c>
      <c r="BN242" s="557">
        <v>160</v>
      </c>
      <c r="BO242" s="557">
        <v>162</v>
      </c>
      <c r="BP242" s="556">
        <f>+O242-SUM(BM242:BO242)</f>
        <v>188</v>
      </c>
      <c r="BQ242" s="557">
        <v>164</v>
      </c>
      <c r="BR242" s="557">
        <v>163</v>
      </c>
      <c r="BS242" s="557">
        <v>178</v>
      </c>
      <c r="BT242" s="558">
        <f>P242-SUM(BQ242:BS242)</f>
        <v>156</v>
      </c>
      <c r="BU242" s="557">
        <v>145</v>
      </c>
      <c r="BV242" s="557">
        <v>158</v>
      </c>
      <c r="BW242" s="557">
        <v>181</v>
      </c>
      <c r="BX242" s="558">
        <f>+Q242-SUM(BU242:BW242)</f>
        <v>201</v>
      </c>
      <c r="BY242" s="557">
        <f>159-BZ242</f>
        <v>79</v>
      </c>
      <c r="BZ242" s="557">
        <v>80</v>
      </c>
      <c r="CA242" s="557">
        <v>81</v>
      </c>
      <c r="CB242" s="557">
        <f>+R242-SUM(BY242:CA242)</f>
        <v>80</v>
      </c>
      <c r="CC242" s="557">
        <v>75</v>
      </c>
      <c r="CD242" s="557">
        <v>84</v>
      </c>
      <c r="CE242" s="557">
        <v>89</v>
      </c>
      <c r="CF242" s="557"/>
      <c r="CG242" s="557"/>
      <c r="CH242" s="557"/>
      <c r="CI242" s="557"/>
      <c r="CJ242" s="557"/>
    </row>
    <row r="243" spans="1:88" s="492" customFormat="1">
      <c r="A243" s="494" t="s">
        <v>189</v>
      </c>
      <c r="B243" s="559"/>
      <c r="C243" s="559"/>
      <c r="D243" s="559"/>
      <c r="E243" s="559"/>
      <c r="F243" s="559"/>
      <c r="G243" s="559"/>
      <c r="H243" s="559"/>
      <c r="I243" s="559"/>
      <c r="J243" s="559"/>
      <c r="K243" s="559"/>
      <c r="L243" s="559"/>
      <c r="M243" s="559"/>
      <c r="N243" s="559"/>
      <c r="O243" s="539">
        <f>+SUM(O238:O242)</f>
        <v>5382</v>
      </c>
      <c r="P243" s="539">
        <f>+SUM(P238:P242)</f>
        <v>5153</v>
      </c>
      <c r="Q243" s="539">
        <f>+SUM(Q238:Q242)</f>
        <v>4988</v>
      </c>
      <c r="R243" s="539">
        <f>+SUM(R238:R242)</f>
        <v>3392</v>
      </c>
      <c r="S243" s="539">
        <f>+SUM(S238:S242)</f>
        <v>3566</v>
      </c>
      <c r="T243" s="559"/>
      <c r="U243" s="559"/>
      <c r="V243" s="559"/>
      <c r="W243" s="559"/>
      <c r="X243" s="559"/>
      <c r="Y243" s="559"/>
      <c r="Z243" s="559"/>
      <c r="AA243" s="559"/>
      <c r="AB243" s="560"/>
      <c r="AC243" s="559"/>
      <c r="AD243" s="559"/>
      <c r="AE243" s="559"/>
      <c r="AF243" s="559"/>
      <c r="AG243" s="559"/>
      <c r="AH243" s="559"/>
      <c r="AI243" s="559"/>
      <c r="AJ243" s="559"/>
      <c r="AK243" s="559"/>
      <c r="AL243" s="559"/>
      <c r="AM243" s="559"/>
      <c r="AN243" s="559"/>
      <c r="AO243" s="559"/>
      <c r="AP243" s="559"/>
      <c r="AQ243" s="559"/>
      <c r="AR243" s="559"/>
      <c r="AS243" s="559"/>
      <c r="AT243" s="559"/>
      <c r="AU243" s="559"/>
      <c r="AV243" s="559"/>
      <c r="AW243" s="559"/>
      <c r="AX243" s="559"/>
      <c r="AY243" s="559"/>
      <c r="AZ243" s="559"/>
      <c r="BA243" s="559"/>
      <c r="BB243" s="559"/>
      <c r="BC243" s="559"/>
      <c r="BD243" s="559"/>
      <c r="BE243" s="559"/>
      <c r="BF243" s="559"/>
      <c r="BG243" s="559"/>
      <c r="BH243" s="559"/>
      <c r="BI243" s="559"/>
      <c r="BJ243" s="559"/>
      <c r="BK243" s="559"/>
      <c r="BL243" s="559"/>
      <c r="BM243" s="559"/>
      <c r="BN243" s="559"/>
      <c r="BO243" s="559"/>
      <c r="BP243" s="559"/>
      <c r="BQ243" s="559"/>
      <c r="BR243" s="559"/>
      <c r="BS243" s="559"/>
      <c r="BT243" s="559"/>
      <c r="BU243" s="539">
        <f t="shared" ref="BU243:CE243" si="303">+SUM(BU238:BU242)</f>
        <v>1257</v>
      </c>
      <c r="BV243" s="539">
        <f t="shared" si="303"/>
        <v>1240</v>
      </c>
      <c r="BW243" s="539">
        <f t="shared" si="303"/>
        <v>1233</v>
      </c>
      <c r="BX243" s="539">
        <f t="shared" si="303"/>
        <v>1258</v>
      </c>
      <c r="BY243" s="539">
        <f t="shared" si="303"/>
        <v>915</v>
      </c>
      <c r="BZ243" s="539">
        <f t="shared" si="303"/>
        <v>843</v>
      </c>
      <c r="CA243" s="539">
        <f t="shared" si="303"/>
        <v>868</v>
      </c>
      <c r="CB243" s="539">
        <f t="shared" si="303"/>
        <v>766</v>
      </c>
      <c r="CC243" s="539">
        <f t="shared" si="303"/>
        <v>910</v>
      </c>
      <c r="CD243" s="539">
        <f t="shared" si="303"/>
        <v>848</v>
      </c>
      <c r="CE243" s="539">
        <f t="shared" si="303"/>
        <v>908</v>
      </c>
      <c r="CF243" s="559"/>
      <c r="CG243" s="559"/>
      <c r="CH243" s="559"/>
      <c r="CI243" s="559"/>
      <c r="CJ243" s="559"/>
    </row>
    <row r="244" spans="1:88" s="492" customFormat="1">
      <c r="A244" s="492" t="s">
        <v>68</v>
      </c>
      <c r="B244" s="559"/>
      <c r="C244" s="559"/>
      <c r="D244" s="559"/>
      <c r="E244" s="559"/>
      <c r="F244" s="559"/>
      <c r="G244" s="559"/>
      <c r="H244" s="559"/>
      <c r="I244" s="559"/>
      <c r="J244" s="559"/>
      <c r="K244" s="559"/>
      <c r="L244" s="559"/>
      <c r="M244" s="559"/>
      <c r="N244" s="559"/>
      <c r="O244" s="539"/>
      <c r="P244" s="539"/>
      <c r="Q244" s="539"/>
      <c r="R244" s="539"/>
      <c r="S244" s="539"/>
      <c r="T244" s="559"/>
      <c r="U244" s="559"/>
      <c r="V244" s="559"/>
      <c r="W244" s="559"/>
      <c r="X244" s="559"/>
      <c r="Y244" s="559"/>
      <c r="Z244" s="559"/>
      <c r="AA244" s="559"/>
      <c r="AB244" s="560"/>
      <c r="AC244" s="559"/>
      <c r="AD244" s="559"/>
      <c r="AE244" s="559"/>
      <c r="AF244" s="559"/>
      <c r="AG244" s="559"/>
      <c r="AH244" s="559"/>
      <c r="AI244" s="559"/>
      <c r="AJ244" s="559"/>
      <c r="AK244" s="559"/>
      <c r="AL244" s="559"/>
      <c r="AM244" s="559"/>
      <c r="AN244" s="559"/>
      <c r="AO244" s="559"/>
      <c r="AP244" s="559"/>
      <c r="AQ244" s="559"/>
      <c r="AR244" s="559"/>
      <c r="AS244" s="559"/>
      <c r="AT244" s="559"/>
      <c r="AU244" s="559"/>
      <c r="AV244" s="559"/>
      <c r="AW244" s="559"/>
      <c r="AX244" s="559"/>
      <c r="AY244" s="559"/>
      <c r="AZ244" s="559"/>
      <c r="BA244" s="559"/>
      <c r="BB244" s="559"/>
      <c r="BC244" s="559"/>
      <c r="BD244" s="559"/>
      <c r="BE244" s="559"/>
      <c r="BF244" s="559"/>
      <c r="BG244" s="559"/>
      <c r="BH244" s="559"/>
      <c r="BI244" s="559"/>
      <c r="BJ244" s="559"/>
      <c r="BK244" s="559"/>
      <c r="BL244" s="559"/>
      <c r="BM244" s="559"/>
      <c r="BN244" s="559"/>
      <c r="BO244" s="559"/>
      <c r="BP244" s="559"/>
      <c r="BQ244" s="559"/>
      <c r="BR244" s="559"/>
      <c r="BS244" s="559"/>
      <c r="BT244" s="559"/>
      <c r="BU244" s="559"/>
      <c r="BV244" s="559"/>
      <c r="BW244" s="559"/>
      <c r="BX244" s="559"/>
      <c r="BY244" s="559"/>
      <c r="BZ244" s="559"/>
      <c r="CA244" s="559"/>
      <c r="CB244" s="559"/>
      <c r="CC244" s="559"/>
      <c r="CD244" s="559"/>
      <c r="CE244" s="559"/>
      <c r="CF244" s="559"/>
      <c r="CG244" s="559"/>
      <c r="CH244" s="559"/>
      <c r="CI244" s="559"/>
      <c r="CJ244" s="559"/>
    </row>
    <row r="245" spans="1:88" s="493" customFormat="1">
      <c r="A245" s="493" t="s">
        <v>63</v>
      </c>
      <c r="B245" s="561"/>
      <c r="C245" s="561"/>
      <c r="D245" s="561"/>
      <c r="E245" s="561"/>
      <c r="F245" s="561"/>
      <c r="G245" s="561"/>
      <c r="H245" s="561"/>
      <c r="I245" s="561"/>
      <c r="J245" s="561"/>
      <c r="K245" s="561"/>
      <c r="L245" s="561"/>
      <c r="M245" s="561"/>
      <c r="N245" s="561">
        <f t="shared" ref="N245:S249" si="304">+N238/M238-1</f>
        <v>2.8085106382978786E-2</v>
      </c>
      <c r="O245" s="561">
        <f t="shared" si="304"/>
        <v>6.6225165562913801E-2</v>
      </c>
      <c r="P245" s="561">
        <f t="shared" si="304"/>
        <v>2.6397515527950333E-2</v>
      </c>
      <c r="Q245" s="561">
        <f t="shared" si="304"/>
        <v>0.21406959152798799</v>
      </c>
      <c r="R245" s="561">
        <f t="shared" si="304"/>
        <v>-0.54267912772585669</v>
      </c>
      <c r="S245" s="561">
        <f t="shared" si="304"/>
        <v>6.1307901907357021E-2</v>
      </c>
      <c r="T245" s="561"/>
      <c r="U245" s="561"/>
      <c r="V245" s="561"/>
      <c r="W245" s="561"/>
      <c r="X245" s="561"/>
      <c r="Y245" s="561"/>
      <c r="Z245" s="561"/>
      <c r="AA245" s="561"/>
      <c r="AB245" s="562"/>
      <c r="AC245" s="561"/>
      <c r="AD245" s="561"/>
      <c r="AE245" s="561"/>
      <c r="AF245" s="561"/>
      <c r="AG245" s="561"/>
      <c r="AH245" s="561"/>
      <c r="AI245" s="561"/>
      <c r="AJ245" s="561"/>
      <c r="AK245" s="561"/>
      <c r="AL245" s="561"/>
      <c r="AM245" s="561"/>
      <c r="AN245" s="561"/>
      <c r="AO245" s="561"/>
      <c r="AP245" s="561"/>
      <c r="AQ245" s="561"/>
      <c r="AR245" s="561"/>
      <c r="AS245" s="561"/>
      <c r="AT245" s="561"/>
      <c r="AU245" s="561"/>
      <c r="AV245" s="561"/>
      <c r="AW245" s="561"/>
      <c r="AX245" s="561"/>
      <c r="AY245" s="561"/>
      <c r="AZ245" s="561"/>
      <c r="BA245" s="561"/>
      <c r="BB245" s="561"/>
      <c r="BC245" s="561"/>
      <c r="BD245" s="561"/>
      <c r="BE245" s="561"/>
      <c r="BF245" s="561"/>
      <c r="BG245" s="561"/>
      <c r="BH245" s="561"/>
      <c r="BI245" s="561"/>
      <c r="BJ245" s="561"/>
      <c r="BK245" s="561"/>
      <c r="BL245" s="561"/>
      <c r="BM245" s="561">
        <f t="shared" ref="BM245:CE249" si="305">+BM238/BI238-1</f>
        <v>0.11538461538461542</v>
      </c>
      <c r="BN245" s="561">
        <f t="shared" si="305"/>
        <v>8.0906148867313954E-2</v>
      </c>
      <c r="BO245" s="561">
        <f t="shared" si="305"/>
        <v>5.7877813504823239E-2</v>
      </c>
      <c r="BP245" s="561">
        <f t="shared" si="305"/>
        <v>2.1341463414634054E-2</v>
      </c>
      <c r="BQ245" s="561">
        <f t="shared" si="305"/>
        <v>0.12758620689655165</v>
      </c>
      <c r="BR245" s="561">
        <f t="shared" si="305"/>
        <v>-2.9940119760478723E-3</v>
      </c>
      <c r="BS245" s="561">
        <f t="shared" si="305"/>
        <v>2.7355623100304038E-2</v>
      </c>
      <c r="BT245" s="561">
        <f t="shared" si="305"/>
        <v>-3.2835820895522394E-2</v>
      </c>
      <c r="BU245" s="561">
        <f t="shared" si="305"/>
        <v>-5.5045871559633031E-2</v>
      </c>
      <c r="BV245" s="561">
        <f t="shared" si="305"/>
        <v>0.22222222222222232</v>
      </c>
      <c r="BW245" s="561">
        <f t="shared" si="305"/>
        <v>0.26627218934911245</v>
      </c>
      <c r="BX245" s="561">
        <f t="shared" si="305"/>
        <v>0.42283950617283961</v>
      </c>
      <c r="BY245" s="561">
        <f t="shared" si="305"/>
        <v>-0.43689320388349517</v>
      </c>
      <c r="BZ245" s="561">
        <f t="shared" si="305"/>
        <v>-0.51842751842751844</v>
      </c>
      <c r="CA245" s="561">
        <f t="shared" si="305"/>
        <v>-0.55373831775700932</v>
      </c>
      <c r="CB245" s="561">
        <f t="shared" si="305"/>
        <v>-0.62472885032537961</v>
      </c>
      <c r="CC245" s="561">
        <f t="shared" si="305"/>
        <v>-2.2988505747126409E-2</v>
      </c>
      <c r="CD245" s="561">
        <f t="shared" si="305"/>
        <v>2.0408163265306145E-2</v>
      </c>
      <c r="CE245" s="561">
        <f t="shared" si="305"/>
        <v>9.9476439790575855E-2</v>
      </c>
      <c r="CF245" s="561"/>
      <c r="CG245" s="561"/>
      <c r="CH245" s="561"/>
      <c r="CI245" s="561"/>
      <c r="CJ245" s="561"/>
    </row>
    <row r="246" spans="1:88" s="493" customFormat="1">
      <c r="A246" s="493" t="s">
        <v>64</v>
      </c>
      <c r="B246" s="561"/>
      <c r="C246" s="561"/>
      <c r="D246" s="561"/>
      <c r="E246" s="561"/>
      <c r="F246" s="561"/>
      <c r="G246" s="561"/>
      <c r="H246" s="561"/>
      <c r="I246" s="561"/>
      <c r="J246" s="561"/>
      <c r="K246" s="561"/>
      <c r="L246" s="561"/>
      <c r="M246" s="561"/>
      <c r="N246" s="561">
        <f t="shared" si="304"/>
        <v>2.8284671532846639E-2</v>
      </c>
      <c r="O246" s="561">
        <f t="shared" si="304"/>
        <v>1.419698314108242E-2</v>
      </c>
      <c r="P246" s="561">
        <f t="shared" si="304"/>
        <v>-7.7865266841644742E-2</v>
      </c>
      <c r="Q246" s="561">
        <f t="shared" si="304"/>
        <v>-0.20303605313092976</v>
      </c>
      <c r="R246" s="561">
        <f t="shared" si="304"/>
        <v>-0.11547619047619051</v>
      </c>
      <c r="S246" s="561">
        <f t="shared" si="304"/>
        <v>0.16016150740242252</v>
      </c>
      <c r="T246" s="561"/>
      <c r="U246" s="561"/>
      <c r="V246" s="561"/>
      <c r="W246" s="561"/>
      <c r="X246" s="561"/>
      <c r="Y246" s="561"/>
      <c r="Z246" s="561"/>
      <c r="AA246" s="561"/>
      <c r="AB246" s="562"/>
      <c r="AC246" s="561"/>
      <c r="AD246" s="561"/>
      <c r="AE246" s="561"/>
      <c r="AF246" s="561"/>
      <c r="AG246" s="561"/>
      <c r="AH246" s="561"/>
      <c r="AI246" s="561"/>
      <c r="AJ246" s="561"/>
      <c r="AK246" s="561"/>
      <c r="AL246" s="561"/>
      <c r="AM246" s="561"/>
      <c r="AN246" s="561"/>
      <c r="AO246" s="561"/>
      <c r="AP246" s="561"/>
      <c r="AQ246" s="561"/>
      <c r="AR246" s="561"/>
      <c r="AS246" s="561"/>
      <c r="AT246" s="561"/>
      <c r="AU246" s="561"/>
      <c r="AV246" s="561"/>
      <c r="AW246" s="561"/>
      <c r="AX246" s="561"/>
      <c r="AY246" s="561"/>
      <c r="AZ246" s="561"/>
      <c r="BA246" s="561"/>
      <c r="BB246" s="561"/>
      <c r="BC246" s="561"/>
      <c r="BD246" s="561"/>
      <c r="BE246" s="561"/>
      <c r="BF246" s="561"/>
      <c r="BG246" s="561"/>
      <c r="BH246" s="561"/>
      <c r="BI246" s="561"/>
      <c r="BJ246" s="561"/>
      <c r="BK246" s="561"/>
      <c r="BL246" s="561"/>
      <c r="BM246" s="561">
        <f t="shared" si="305"/>
        <v>-1.0471204188481686E-2</v>
      </c>
      <c r="BN246" s="561">
        <f t="shared" si="305"/>
        <v>5.8823529411764719E-2</v>
      </c>
      <c r="BO246" s="561">
        <f t="shared" si="305"/>
        <v>6.7510548523206815E-2</v>
      </c>
      <c r="BP246" s="561">
        <f t="shared" si="305"/>
        <v>-4.3478260869565188E-2</v>
      </c>
      <c r="BQ246" s="561">
        <f t="shared" si="305"/>
        <v>-0.1428571428571429</v>
      </c>
      <c r="BR246" s="561">
        <f t="shared" si="305"/>
        <v>-5.1851851851851816E-2</v>
      </c>
      <c r="BS246" s="561">
        <f t="shared" si="305"/>
        <v>0</v>
      </c>
      <c r="BT246" s="561">
        <f t="shared" si="305"/>
        <v>-8.6776859504132275E-2</v>
      </c>
      <c r="BU246" s="561">
        <f t="shared" si="305"/>
        <v>-9.259259259259256E-2</v>
      </c>
      <c r="BV246" s="561">
        <f t="shared" si="305"/>
        <v>-0.2109375</v>
      </c>
      <c r="BW246" s="561">
        <f t="shared" si="305"/>
        <v>-0.27272727272727271</v>
      </c>
      <c r="BX246" s="561">
        <f t="shared" si="305"/>
        <v>-0.27601809954751133</v>
      </c>
      <c r="BY246" s="561">
        <f t="shared" si="305"/>
        <v>-6.8027210884353706E-2</v>
      </c>
      <c r="BZ246" s="561">
        <f t="shared" si="305"/>
        <v>-0.11386138613861385</v>
      </c>
      <c r="CA246" s="561">
        <f t="shared" si="305"/>
        <v>5.4347826086955653E-3</v>
      </c>
      <c r="CB246" s="561">
        <f t="shared" si="305"/>
        <v>-0.34375</v>
      </c>
      <c r="CC246" s="561">
        <f t="shared" si="305"/>
        <v>-5.4744525547445244E-2</v>
      </c>
      <c r="CD246" s="561">
        <f t="shared" si="305"/>
        <v>8.3798882681564324E-2</v>
      </c>
      <c r="CE246" s="561">
        <f t="shared" si="305"/>
        <v>0.11891891891891881</v>
      </c>
      <c r="CF246" s="561"/>
      <c r="CG246" s="561"/>
      <c r="CH246" s="561"/>
      <c r="CI246" s="561"/>
      <c r="CJ246" s="561"/>
    </row>
    <row r="247" spans="1:88" s="493" customFormat="1">
      <c r="A247" s="493" t="s">
        <v>65</v>
      </c>
      <c r="B247" s="561"/>
      <c r="C247" s="561"/>
      <c r="D247" s="561"/>
      <c r="E247" s="561"/>
      <c r="F247" s="561"/>
      <c r="G247" s="561"/>
      <c r="H247" s="561"/>
      <c r="I247" s="561"/>
      <c r="J247" s="561"/>
      <c r="K247" s="561"/>
      <c r="L247" s="561"/>
      <c r="M247" s="561"/>
      <c r="N247" s="561">
        <f t="shared" si="304"/>
        <v>-7.5483870967741895E-2</v>
      </c>
      <c r="O247" s="561">
        <f t="shared" si="304"/>
        <v>-3.6985345429169536E-2</v>
      </c>
      <c r="P247" s="561">
        <f t="shared" si="304"/>
        <v>-0.14782608695652177</v>
      </c>
      <c r="Q247" s="561">
        <f t="shared" si="304"/>
        <v>-7.2278911564625847E-2</v>
      </c>
      <c r="R247" s="561">
        <f t="shared" si="304"/>
        <v>-0.14023831347387716</v>
      </c>
      <c r="S247" s="561">
        <f t="shared" si="304"/>
        <v>-2.025586353944564E-2</v>
      </c>
      <c r="T247" s="561"/>
      <c r="U247" s="561"/>
      <c r="V247" s="561"/>
      <c r="W247" s="561"/>
      <c r="X247" s="561"/>
      <c r="Y247" s="561"/>
      <c r="Z247" s="561"/>
      <c r="AA247" s="561"/>
      <c r="AB247" s="562"/>
      <c r="AC247" s="561"/>
      <c r="AD247" s="561"/>
      <c r="AE247" s="561"/>
      <c r="AF247" s="561"/>
      <c r="AG247" s="561"/>
      <c r="AH247" s="561"/>
      <c r="AI247" s="561"/>
      <c r="AJ247" s="561"/>
      <c r="AK247" s="561"/>
      <c r="AL247" s="561"/>
      <c r="AM247" s="561"/>
      <c r="AN247" s="561"/>
      <c r="AO247" s="561"/>
      <c r="AP247" s="561"/>
      <c r="AQ247" s="561"/>
      <c r="AR247" s="561"/>
      <c r="AS247" s="561"/>
      <c r="AT247" s="561"/>
      <c r="AU247" s="561"/>
      <c r="AV247" s="561"/>
      <c r="AW247" s="561"/>
      <c r="AX247" s="561"/>
      <c r="AY247" s="561"/>
      <c r="AZ247" s="561"/>
      <c r="BA247" s="561"/>
      <c r="BB247" s="561"/>
      <c r="BC247" s="561"/>
      <c r="BD247" s="561"/>
      <c r="BE247" s="561"/>
      <c r="BF247" s="561"/>
      <c r="BG247" s="561"/>
      <c r="BH247" s="561"/>
      <c r="BI247" s="561"/>
      <c r="BJ247" s="561"/>
      <c r="BK247" s="561"/>
      <c r="BL247" s="561"/>
      <c r="BM247" s="561">
        <f t="shared" si="305"/>
        <v>-2.9940119760478723E-3</v>
      </c>
      <c r="BN247" s="561">
        <f t="shared" si="305"/>
        <v>-2.1563342318059342E-2</v>
      </c>
      <c r="BO247" s="561">
        <f t="shared" si="305"/>
        <v>-3.0219780219780223E-2</v>
      </c>
      <c r="BP247" s="561">
        <f t="shared" si="305"/>
        <v>-9.065934065934067E-2</v>
      </c>
      <c r="BQ247" s="561">
        <f t="shared" si="305"/>
        <v>-0.14114114114114118</v>
      </c>
      <c r="BR247" s="561">
        <f t="shared" si="305"/>
        <v>-0.19283746556473824</v>
      </c>
      <c r="BS247" s="561">
        <f t="shared" si="305"/>
        <v>-0.11048158640226624</v>
      </c>
      <c r="BT247" s="561">
        <f t="shared" si="305"/>
        <v>-0.14501510574018128</v>
      </c>
      <c r="BU247" s="561">
        <f t="shared" si="305"/>
        <v>3.1468531468531458E-2</v>
      </c>
      <c r="BV247" s="561">
        <f t="shared" si="305"/>
        <v>6.8259385665530026E-3</v>
      </c>
      <c r="BW247" s="561">
        <f t="shared" si="305"/>
        <v>-0.16560509554140124</v>
      </c>
      <c r="BX247" s="561">
        <f t="shared" si="305"/>
        <v>-0.15547703180212014</v>
      </c>
      <c r="BY247" s="561">
        <f t="shared" si="305"/>
        <v>-0.30847457627118646</v>
      </c>
      <c r="BZ247" s="561">
        <f t="shared" si="305"/>
        <v>-0.15254237288135597</v>
      </c>
      <c r="CA247" s="561">
        <f t="shared" si="305"/>
        <v>-5.7251908396946605E-2</v>
      </c>
      <c r="CB247" s="561">
        <f t="shared" si="305"/>
        <v>-8.3682008368201055E-3</v>
      </c>
      <c r="CC247" s="561">
        <f t="shared" si="305"/>
        <v>4.4117647058823595E-2</v>
      </c>
      <c r="CD247" s="561">
        <f t="shared" si="305"/>
        <v>-3.6000000000000032E-2</v>
      </c>
      <c r="CE247" s="561">
        <f t="shared" si="305"/>
        <v>0</v>
      </c>
      <c r="CF247" s="561"/>
      <c r="CG247" s="561"/>
      <c r="CH247" s="561"/>
      <c r="CI247" s="561"/>
      <c r="CJ247" s="561"/>
    </row>
    <row r="248" spans="1:88" s="493" customFormat="1">
      <c r="A248" s="493" t="s">
        <v>66</v>
      </c>
      <c r="B248" s="561"/>
      <c r="C248" s="561"/>
      <c r="D248" s="561"/>
      <c r="E248" s="561"/>
      <c r="F248" s="561"/>
      <c r="G248" s="561"/>
      <c r="H248" s="561"/>
      <c r="I248" s="561"/>
      <c r="J248" s="561"/>
      <c r="K248" s="561"/>
      <c r="L248" s="561"/>
      <c r="M248" s="561"/>
      <c r="N248" s="561">
        <f t="shared" si="304"/>
        <v>-7.2916666666666963E-3</v>
      </c>
      <c r="O248" s="561">
        <f t="shared" si="304"/>
        <v>-4.8268625393494191E-2</v>
      </c>
      <c r="P248" s="561">
        <f t="shared" si="304"/>
        <v>3.6383682469680156E-2</v>
      </c>
      <c r="Q248" s="561">
        <f t="shared" si="304"/>
        <v>-0.18404255319148932</v>
      </c>
      <c r="R248" s="561">
        <f t="shared" si="304"/>
        <v>-0.14341590612777055</v>
      </c>
      <c r="S248" s="561">
        <f t="shared" si="304"/>
        <v>1.2176560121765601E-2</v>
      </c>
      <c r="T248" s="561"/>
      <c r="U248" s="561"/>
      <c r="V248" s="561"/>
      <c r="W248" s="561"/>
      <c r="X248" s="561"/>
      <c r="Y248" s="561"/>
      <c r="Z248" s="561"/>
      <c r="AA248" s="561"/>
      <c r="AB248" s="562"/>
      <c r="AC248" s="561"/>
      <c r="AD248" s="561"/>
      <c r="AE248" s="561"/>
      <c r="AF248" s="561"/>
      <c r="AG248" s="561"/>
      <c r="AH248" s="561"/>
      <c r="AI248" s="561"/>
      <c r="AJ248" s="561"/>
      <c r="AK248" s="561"/>
      <c r="AL248" s="561"/>
      <c r="AM248" s="561"/>
      <c r="AN248" s="561"/>
      <c r="AO248" s="561"/>
      <c r="AP248" s="561"/>
      <c r="AQ248" s="561"/>
      <c r="AR248" s="561"/>
      <c r="AS248" s="561"/>
      <c r="AT248" s="561"/>
      <c r="AU248" s="561"/>
      <c r="AV248" s="561"/>
      <c r="AW248" s="561"/>
      <c r="AX248" s="561"/>
      <c r="AY248" s="561"/>
      <c r="AZ248" s="561"/>
      <c r="BA248" s="561"/>
      <c r="BB248" s="561"/>
      <c r="BC248" s="561"/>
      <c r="BD248" s="561"/>
      <c r="BE248" s="561"/>
      <c r="BF248" s="561"/>
      <c r="BG248" s="561"/>
      <c r="BH248" s="561"/>
      <c r="BI248" s="561"/>
      <c r="BJ248" s="561"/>
      <c r="BK248" s="561"/>
      <c r="BL248" s="561"/>
      <c r="BM248" s="561">
        <f t="shared" si="305"/>
        <v>8.2987551867219622E-3</v>
      </c>
      <c r="BN248" s="561">
        <f t="shared" si="305"/>
        <v>-7.423580786026196E-2</v>
      </c>
      <c r="BO248" s="561">
        <f t="shared" si="305"/>
        <v>1.4423076923076872E-2</v>
      </c>
      <c r="BP248" s="561">
        <f t="shared" si="305"/>
        <v>-0.12363636363636366</v>
      </c>
      <c r="BQ248" s="561">
        <f t="shared" si="305"/>
        <v>4.9382716049382713E-2</v>
      </c>
      <c r="BR248" s="561">
        <f t="shared" si="305"/>
        <v>-7.0754716981132115E-2</v>
      </c>
      <c r="BS248" s="561">
        <f t="shared" si="305"/>
        <v>9.9526066350710929E-2</v>
      </c>
      <c r="BT248" s="561">
        <f t="shared" si="305"/>
        <v>6.2240663900414939E-2</v>
      </c>
      <c r="BU248" s="561">
        <f t="shared" si="305"/>
        <v>-0.16078431372549018</v>
      </c>
      <c r="BV248" s="561">
        <f t="shared" si="305"/>
        <v>-9.6446700507614169E-2</v>
      </c>
      <c r="BW248" s="561">
        <f t="shared" si="305"/>
        <v>-0.23275862068965514</v>
      </c>
      <c r="BX248" s="561">
        <f t="shared" si="305"/>
        <v>-0.23046875</v>
      </c>
      <c r="BY248" s="561">
        <f t="shared" si="305"/>
        <v>-0.14018691588785048</v>
      </c>
      <c r="BZ248" s="561">
        <f t="shared" si="305"/>
        <v>-0.2247191011235955</v>
      </c>
      <c r="CA248" s="561">
        <f t="shared" si="305"/>
        <v>-7.8651685393258397E-2</v>
      </c>
      <c r="CB248" s="561">
        <f t="shared" si="305"/>
        <v>-0.13197969543147203</v>
      </c>
      <c r="CC248" s="561">
        <f t="shared" si="305"/>
        <v>4.8913043478260976E-2</v>
      </c>
      <c r="CD248" s="561">
        <f t="shared" si="305"/>
        <v>-6.5217391304347783E-2</v>
      </c>
      <c r="CE248" s="561">
        <f t="shared" si="305"/>
        <v>-5.4878048780487854E-2</v>
      </c>
      <c r="CF248" s="561"/>
      <c r="CG248" s="561"/>
      <c r="CH248" s="561"/>
      <c r="CI248" s="561"/>
      <c r="CJ248" s="561"/>
    </row>
    <row r="249" spans="1:88" s="493" customFormat="1">
      <c r="A249" s="493" t="s">
        <v>67</v>
      </c>
      <c r="B249" s="561"/>
      <c r="C249" s="561"/>
      <c r="D249" s="561"/>
      <c r="E249" s="561"/>
      <c r="F249" s="561"/>
      <c r="G249" s="561"/>
      <c r="H249" s="561"/>
      <c r="I249" s="561"/>
      <c r="J249" s="561"/>
      <c r="K249" s="561"/>
      <c r="L249" s="561"/>
      <c r="M249" s="561"/>
      <c r="N249" s="561">
        <f t="shared" si="304"/>
        <v>8.5209003215434009E-2</v>
      </c>
      <c r="O249" s="561">
        <f t="shared" si="304"/>
        <v>-1.6296296296296253E-2</v>
      </c>
      <c r="P249" s="561">
        <f t="shared" si="304"/>
        <v>-4.5180722891565717E-3</v>
      </c>
      <c r="Q249" s="561">
        <f t="shared" si="304"/>
        <v>3.6308623298033194E-2</v>
      </c>
      <c r="R249" s="561">
        <f t="shared" si="304"/>
        <v>-0.53284671532846717</v>
      </c>
      <c r="S249" s="561">
        <f t="shared" si="304"/>
        <v>6.5625000000000044E-2</v>
      </c>
      <c r="T249" s="561"/>
      <c r="U249" s="561"/>
      <c r="V249" s="561"/>
      <c r="W249" s="561"/>
      <c r="X249" s="561"/>
      <c r="Y249" s="561"/>
      <c r="Z249" s="561"/>
      <c r="AA249" s="561"/>
      <c r="AB249" s="562"/>
      <c r="AC249" s="561"/>
      <c r="AD249" s="561"/>
      <c r="AE249" s="561"/>
      <c r="AF249" s="561"/>
      <c r="AG249" s="561"/>
      <c r="AH249" s="561"/>
      <c r="AI249" s="561"/>
      <c r="AJ249" s="561"/>
      <c r="AK249" s="561"/>
      <c r="AL249" s="561"/>
      <c r="AM249" s="561"/>
      <c r="AN249" s="561"/>
      <c r="AO249" s="561"/>
      <c r="AP249" s="561"/>
      <c r="AQ249" s="561"/>
      <c r="AR249" s="561"/>
      <c r="AS249" s="561"/>
      <c r="AT249" s="561"/>
      <c r="AU249" s="561"/>
      <c r="AV249" s="561"/>
      <c r="AW249" s="561"/>
      <c r="AX249" s="561"/>
      <c r="AY249" s="561"/>
      <c r="AZ249" s="561"/>
      <c r="BA249" s="561"/>
      <c r="BB249" s="561"/>
      <c r="BC249" s="561"/>
      <c r="BD249" s="561"/>
      <c r="BE249" s="561"/>
      <c r="BF249" s="561"/>
      <c r="BG249" s="561"/>
      <c r="BH249" s="561"/>
      <c r="BI249" s="561"/>
      <c r="BJ249" s="561"/>
      <c r="BK249" s="561"/>
      <c r="BL249" s="561"/>
      <c r="BM249" s="561">
        <f t="shared" si="305"/>
        <v>6.5359477124182774E-3</v>
      </c>
      <c r="BN249" s="561">
        <f t="shared" si="305"/>
        <v>-9.0909090909090939E-2</v>
      </c>
      <c r="BO249" s="561">
        <f t="shared" si="305"/>
        <v>-2.4096385542168641E-2</v>
      </c>
      <c r="BP249" s="561">
        <f t="shared" si="305"/>
        <v>4.4444444444444509E-2</v>
      </c>
      <c r="BQ249" s="561">
        <f t="shared" si="305"/>
        <v>6.4935064935064846E-2</v>
      </c>
      <c r="BR249" s="561">
        <f t="shared" si="305"/>
        <v>1.8750000000000044E-2</v>
      </c>
      <c r="BS249" s="561">
        <f t="shared" si="305"/>
        <v>9.8765432098765427E-2</v>
      </c>
      <c r="BT249" s="561">
        <f t="shared" si="305"/>
        <v>-0.17021276595744683</v>
      </c>
      <c r="BU249" s="561">
        <f t="shared" si="305"/>
        <v>-0.11585365853658536</v>
      </c>
      <c r="BV249" s="561">
        <f t="shared" si="305"/>
        <v>-3.0674846625766916E-2</v>
      </c>
      <c r="BW249" s="561">
        <f t="shared" si="305"/>
        <v>1.6853932584269593E-2</v>
      </c>
      <c r="BX249" s="561">
        <f t="shared" si="305"/>
        <v>0.28846153846153855</v>
      </c>
      <c r="BY249" s="561">
        <f t="shared" si="305"/>
        <v>-0.45517241379310347</v>
      </c>
      <c r="BZ249" s="561">
        <f t="shared" si="305"/>
        <v>-0.49367088607594933</v>
      </c>
      <c r="CA249" s="561">
        <f t="shared" si="305"/>
        <v>-0.55248618784530379</v>
      </c>
      <c r="CB249" s="561">
        <f t="shared" si="305"/>
        <v>-0.60199004975124382</v>
      </c>
      <c r="CC249" s="561">
        <f t="shared" si="305"/>
        <v>-5.0632911392405111E-2</v>
      </c>
      <c r="CD249" s="561">
        <f t="shared" si="305"/>
        <v>5.0000000000000044E-2</v>
      </c>
      <c r="CE249" s="561">
        <f t="shared" si="305"/>
        <v>9.8765432098765427E-2</v>
      </c>
      <c r="CF249" s="561"/>
      <c r="CG249" s="561"/>
      <c r="CH249" s="561"/>
      <c r="CI249" s="561"/>
      <c r="CJ249" s="561"/>
    </row>
    <row r="250" spans="1:88" s="493" customFormat="1">
      <c r="A250" s="492" t="s">
        <v>69</v>
      </c>
      <c r="B250" s="561"/>
      <c r="C250" s="561"/>
      <c r="D250" s="561"/>
      <c r="E250" s="561"/>
      <c r="F250" s="561"/>
      <c r="G250" s="561"/>
      <c r="H250" s="561"/>
      <c r="I250" s="561"/>
      <c r="J250" s="561"/>
      <c r="K250" s="561"/>
      <c r="L250" s="561"/>
      <c r="M250" s="561"/>
      <c r="N250" s="561"/>
      <c r="O250" s="561"/>
      <c r="P250" s="561"/>
      <c r="Q250" s="561"/>
      <c r="R250" s="561"/>
      <c r="S250" s="561"/>
      <c r="T250" s="561"/>
      <c r="U250" s="561"/>
      <c r="V250" s="561"/>
      <c r="W250" s="561"/>
      <c r="X250" s="561"/>
      <c r="Y250" s="561"/>
      <c r="Z250" s="561"/>
      <c r="AA250" s="561"/>
      <c r="AB250" s="562"/>
      <c r="AC250" s="561"/>
      <c r="AD250" s="561"/>
      <c r="AE250" s="561"/>
      <c r="AF250" s="561"/>
      <c r="AG250" s="561"/>
      <c r="AH250" s="561"/>
      <c r="AI250" s="561"/>
      <c r="AJ250" s="561"/>
      <c r="AK250" s="561"/>
      <c r="AL250" s="561"/>
      <c r="AM250" s="561"/>
      <c r="AN250" s="561"/>
      <c r="AO250" s="561"/>
      <c r="AP250" s="561"/>
      <c r="AQ250" s="561"/>
      <c r="AR250" s="561"/>
      <c r="AS250" s="561"/>
      <c r="AT250" s="561"/>
      <c r="AU250" s="561"/>
      <c r="AV250" s="561"/>
      <c r="AW250" s="561"/>
      <c r="AX250" s="561"/>
      <c r="AY250" s="561"/>
      <c r="AZ250" s="561"/>
      <c r="BA250" s="561"/>
      <c r="BB250" s="561"/>
      <c r="BC250" s="561"/>
      <c r="BD250" s="561"/>
      <c r="BE250" s="561"/>
      <c r="BF250" s="561"/>
      <c r="BG250" s="561"/>
      <c r="BH250" s="561"/>
      <c r="BI250" s="561"/>
      <c r="BJ250" s="561"/>
      <c r="BK250" s="561"/>
      <c r="BL250" s="561"/>
      <c r="BM250" s="561"/>
      <c r="BN250" s="561"/>
      <c r="BO250" s="561"/>
      <c r="BP250" s="561"/>
      <c r="BQ250" s="561"/>
      <c r="BR250" s="561"/>
      <c r="BS250" s="561"/>
      <c r="BT250" s="561"/>
      <c r="BU250" s="561"/>
      <c r="BV250" s="561"/>
      <c r="BW250" s="561"/>
      <c r="BX250" s="561"/>
      <c r="BY250" s="561"/>
      <c r="BZ250" s="561"/>
      <c r="CA250" s="561"/>
      <c r="CB250" s="561"/>
      <c r="CC250" s="561"/>
      <c r="CD250" s="561"/>
      <c r="CE250" s="561"/>
      <c r="CF250" s="561"/>
      <c r="CG250" s="561"/>
      <c r="CH250" s="561"/>
      <c r="CI250" s="561"/>
      <c r="CJ250" s="561"/>
    </row>
    <row r="251" spans="1:88" s="493" customFormat="1">
      <c r="A251" s="493" t="s">
        <v>63</v>
      </c>
      <c r="B251" s="561"/>
      <c r="C251" s="561"/>
      <c r="D251" s="561"/>
      <c r="E251" s="561"/>
      <c r="F251" s="561"/>
      <c r="G251" s="561"/>
      <c r="H251" s="561"/>
      <c r="I251" s="561"/>
      <c r="J251" s="561"/>
      <c r="K251" s="561"/>
      <c r="L251" s="561"/>
      <c r="M251" s="563">
        <f>M238/SUM($M$238:$M$242)</f>
        <v>0.21747177493984823</v>
      </c>
      <c r="N251" s="563">
        <f>N238/SUM($N$238:$N$242)</f>
        <v>0.22386953298739806</v>
      </c>
      <c r="O251" s="563">
        <f t="shared" ref="O251:R255" si="306">O238/SUM($O$238:$O$242)</f>
        <v>0.23931623931623933</v>
      </c>
      <c r="P251" s="563">
        <f t="shared" si="306"/>
        <v>0.24563359345968042</v>
      </c>
      <c r="Q251" s="563">
        <f t="shared" si="306"/>
        <v>0.29821627647714605</v>
      </c>
      <c r="R251" s="563">
        <f t="shared" si="306"/>
        <v>0.13638052768487552</v>
      </c>
      <c r="S251" s="563">
        <f>S238/SUM($O$238:$O$242)</f>
        <v>0.14474173169825344</v>
      </c>
      <c r="T251" s="561"/>
      <c r="U251" s="561"/>
      <c r="V251" s="561"/>
      <c r="W251" s="561"/>
      <c r="X251" s="561"/>
      <c r="Y251" s="561"/>
      <c r="Z251" s="561"/>
      <c r="AA251" s="561"/>
      <c r="AB251" s="562"/>
      <c r="AC251" s="561"/>
      <c r="AD251" s="561"/>
      <c r="AE251" s="561"/>
      <c r="AF251" s="561"/>
      <c r="AG251" s="561"/>
      <c r="AH251" s="561"/>
      <c r="AI251" s="561"/>
      <c r="AJ251" s="561"/>
      <c r="AK251" s="561"/>
      <c r="AL251" s="561"/>
      <c r="AM251" s="561"/>
      <c r="AN251" s="561"/>
      <c r="AO251" s="561"/>
      <c r="AP251" s="561"/>
      <c r="AQ251" s="561"/>
      <c r="AR251" s="561"/>
      <c r="AS251" s="561"/>
      <c r="AT251" s="561"/>
      <c r="AU251" s="561"/>
      <c r="AV251" s="561"/>
      <c r="AW251" s="561"/>
      <c r="AX251" s="561"/>
      <c r="AY251" s="561"/>
      <c r="AZ251" s="561"/>
      <c r="BA251" s="561"/>
      <c r="BB251" s="561"/>
      <c r="BC251" s="561"/>
      <c r="BD251" s="561"/>
      <c r="BE251" s="561"/>
      <c r="BF251" s="561"/>
      <c r="BG251" s="561"/>
      <c r="BH251" s="561"/>
      <c r="BI251" s="563">
        <f t="shared" ref="BI251:CB251" si="307">+BI238/SUM(BI$238:BI$242)</f>
        <v>0.18978102189781021</v>
      </c>
      <c r="BJ251" s="563">
        <f t="shared" si="307"/>
        <v>0.23059701492537313</v>
      </c>
      <c r="BK251" s="563">
        <f t="shared" si="307"/>
        <v>0.24183514774494558</v>
      </c>
      <c r="BL251" s="563">
        <f t="shared" si="307"/>
        <v>0.23428571428571429</v>
      </c>
      <c r="BM251" s="563">
        <f t="shared" si="307"/>
        <v>0.20743919885550788</v>
      </c>
      <c r="BN251" s="563">
        <f t="shared" si="307"/>
        <v>0.24943988050784166</v>
      </c>
      <c r="BO251" s="563">
        <f t="shared" si="307"/>
        <v>0.25152905198776759</v>
      </c>
      <c r="BP251" s="563">
        <f t="shared" si="307"/>
        <v>0.2505609573672401</v>
      </c>
      <c r="BQ251" s="563">
        <f t="shared" si="307"/>
        <v>0.24115044247787609</v>
      </c>
      <c r="BR251" s="563">
        <f t="shared" si="307"/>
        <v>0.26811594202898553</v>
      </c>
      <c r="BS251" s="563">
        <f t="shared" si="307"/>
        <v>0.25703422053231939</v>
      </c>
      <c r="BT251" s="563">
        <f t="shared" si="307"/>
        <v>0.26129032258064516</v>
      </c>
      <c r="BU251" s="563">
        <f t="shared" si="307"/>
        <v>0.24582338902147971</v>
      </c>
      <c r="BV251" s="563">
        <f t="shared" si="307"/>
        <v>0.32822580645161292</v>
      </c>
      <c r="BW251" s="563">
        <f t="shared" si="307"/>
        <v>0.34712084347120842</v>
      </c>
      <c r="BX251" s="563">
        <f t="shared" si="307"/>
        <v>0.36645468998410174</v>
      </c>
      <c r="BY251" s="563">
        <f t="shared" si="307"/>
        <v>0.1901639344262295</v>
      </c>
      <c r="BZ251" s="563">
        <f t="shared" si="307"/>
        <v>0.23250296559905101</v>
      </c>
      <c r="CA251" s="563">
        <f t="shared" si="307"/>
        <v>0.22004608294930875</v>
      </c>
      <c r="CB251" s="563">
        <f t="shared" si="307"/>
        <v>0.2258485639686684</v>
      </c>
      <c r="CC251" s="563">
        <f t="shared" ref="CC251:CD255" si="308">+CC238/SUM(CC$238:CC$242)</f>
        <v>0.18681318681318682</v>
      </c>
      <c r="CD251" s="563">
        <f t="shared" si="308"/>
        <v>0.23584905660377359</v>
      </c>
      <c r="CE251" s="563">
        <f>+CE238/SUM(CE$238:CE$242)</f>
        <v>0.23127753303964757</v>
      </c>
      <c r="CF251" s="563"/>
      <c r="CG251" s="563"/>
      <c r="CH251" s="563"/>
      <c r="CI251" s="563"/>
      <c r="CJ251" s="563"/>
    </row>
    <row r="252" spans="1:88" s="493" customFormat="1">
      <c r="A252" s="493" t="s">
        <v>64</v>
      </c>
      <c r="B252" s="561"/>
      <c r="C252" s="561"/>
      <c r="D252" s="561"/>
      <c r="E252" s="561"/>
      <c r="F252" s="561"/>
      <c r="G252" s="561"/>
      <c r="H252" s="561"/>
      <c r="I252" s="561"/>
      <c r="J252" s="561"/>
      <c r="K252" s="561"/>
      <c r="L252" s="561"/>
      <c r="M252" s="563">
        <f>M239/SUM($M$238:$M$242)</f>
        <v>0.20285026836942438</v>
      </c>
      <c r="N252" s="563">
        <f>N239/SUM($N$238:$N$242)</f>
        <v>0.20885841363973315</v>
      </c>
      <c r="O252" s="563">
        <f t="shared" si="306"/>
        <v>0.21237458193979933</v>
      </c>
      <c r="P252" s="563">
        <f t="shared" si="306"/>
        <v>0.19583797844667411</v>
      </c>
      <c r="Q252" s="563">
        <f t="shared" si="306"/>
        <v>0.15607580824972128</v>
      </c>
      <c r="R252" s="563">
        <f t="shared" si="306"/>
        <v>0.1380527684875511</v>
      </c>
      <c r="S252" s="563">
        <f>S239/SUM($O$238:$O$242)</f>
        <v>0.16016350798959494</v>
      </c>
      <c r="T252" s="561"/>
      <c r="U252" s="561"/>
      <c r="V252" s="561"/>
      <c r="W252" s="561"/>
      <c r="X252" s="561"/>
      <c r="Y252" s="561"/>
      <c r="Z252" s="561"/>
      <c r="AA252" s="561"/>
      <c r="AB252" s="562"/>
      <c r="AC252" s="561"/>
      <c r="AD252" s="561"/>
      <c r="AE252" s="561"/>
      <c r="AF252" s="561"/>
      <c r="AG252" s="561"/>
      <c r="AH252" s="561"/>
      <c r="AI252" s="561"/>
      <c r="AJ252" s="561"/>
      <c r="AK252" s="561"/>
      <c r="AL252" s="561"/>
      <c r="AM252" s="561"/>
      <c r="AN252" s="561"/>
      <c r="AO252" s="561"/>
      <c r="AP252" s="561"/>
      <c r="AQ252" s="561"/>
      <c r="AR252" s="561"/>
      <c r="AS252" s="561"/>
      <c r="AT252" s="561"/>
      <c r="AU252" s="561"/>
      <c r="AV252" s="561"/>
      <c r="AW252" s="561"/>
      <c r="AX252" s="561"/>
      <c r="AY252" s="561"/>
      <c r="AZ252" s="561"/>
      <c r="BA252" s="561"/>
      <c r="BB252" s="561"/>
      <c r="BC252" s="561"/>
      <c r="BD252" s="561"/>
      <c r="BE252" s="561"/>
      <c r="BF252" s="561"/>
      <c r="BG252" s="561"/>
      <c r="BH252" s="561"/>
      <c r="BI252" s="563">
        <f t="shared" ref="BI252:CB252" si="309">+BI239/SUM(BI$238:BI$242)</f>
        <v>0.27883211678832115</v>
      </c>
      <c r="BJ252" s="563">
        <f t="shared" si="309"/>
        <v>0.19029850746268656</v>
      </c>
      <c r="BK252" s="563">
        <f t="shared" si="309"/>
        <v>0.18429237947122862</v>
      </c>
      <c r="BL252" s="563">
        <f t="shared" si="309"/>
        <v>0.18071428571428572</v>
      </c>
      <c r="BM252" s="563">
        <f t="shared" si="309"/>
        <v>0.27038626609442062</v>
      </c>
      <c r="BN252" s="563">
        <f t="shared" si="309"/>
        <v>0.20164301717699776</v>
      </c>
      <c r="BO252" s="563">
        <f t="shared" si="309"/>
        <v>0.19342507645259938</v>
      </c>
      <c r="BP252" s="563">
        <f t="shared" si="309"/>
        <v>0.18100224382946897</v>
      </c>
      <c r="BQ252" s="563">
        <f t="shared" si="309"/>
        <v>0.23893805309734514</v>
      </c>
      <c r="BR252" s="563">
        <f t="shared" si="309"/>
        <v>0.20611916264090177</v>
      </c>
      <c r="BS252" s="563">
        <f t="shared" si="309"/>
        <v>0.19239543726235742</v>
      </c>
      <c r="BT252" s="563">
        <f t="shared" si="309"/>
        <v>0.1782258064516129</v>
      </c>
      <c r="BU252" s="563">
        <f t="shared" si="309"/>
        <v>0.23389021479713604</v>
      </c>
      <c r="BV252" s="563">
        <f t="shared" si="309"/>
        <v>0.16290322580645161</v>
      </c>
      <c r="BW252" s="563">
        <f t="shared" si="309"/>
        <v>0.14922952149229521</v>
      </c>
      <c r="BX252" s="563">
        <f t="shared" si="309"/>
        <v>0.12718600953895071</v>
      </c>
      <c r="BY252" s="563">
        <f t="shared" si="309"/>
        <v>0.29945355191256828</v>
      </c>
      <c r="BZ252" s="563">
        <f t="shared" si="309"/>
        <v>0.21233689205219455</v>
      </c>
      <c r="CA252" s="563">
        <f t="shared" si="309"/>
        <v>0.21313364055299538</v>
      </c>
      <c r="CB252" s="563">
        <f t="shared" si="309"/>
        <v>0.13707571801566579</v>
      </c>
      <c r="CC252" s="563">
        <f t="shared" si="308"/>
        <v>0.2846153846153846</v>
      </c>
      <c r="CD252" s="563">
        <f t="shared" si="308"/>
        <v>0.22877358490566038</v>
      </c>
      <c r="CE252" s="563">
        <f>+CE239/SUM(CE$238:CE$242)</f>
        <v>0.22797356828193832</v>
      </c>
      <c r="CF252" s="563"/>
      <c r="CG252" s="563"/>
      <c r="CH252" s="563"/>
      <c r="CI252" s="563"/>
      <c r="CJ252" s="563"/>
    </row>
    <row r="253" spans="1:88" s="493" customFormat="1">
      <c r="A253" s="493" t="s">
        <v>65</v>
      </c>
      <c r="B253" s="561"/>
      <c r="C253" s="561"/>
      <c r="D253" s="561"/>
      <c r="E253" s="561"/>
      <c r="F253" s="561"/>
      <c r="G253" s="561"/>
      <c r="H253" s="561"/>
      <c r="I253" s="561"/>
      <c r="J253" s="561"/>
      <c r="K253" s="561"/>
      <c r="L253" s="561"/>
      <c r="M253" s="563">
        <f>M240/SUM($M$238:$M$242)</f>
        <v>0.28687766055894875</v>
      </c>
      <c r="N253" s="563">
        <f>N240/SUM($N$238:$N$242)</f>
        <v>0.26556708673091178</v>
      </c>
      <c r="O253" s="563">
        <f t="shared" si="306"/>
        <v>0.25641025641025639</v>
      </c>
      <c r="P253" s="563">
        <f t="shared" si="306"/>
        <v>0.21850613154960982</v>
      </c>
      <c r="Q253" s="563">
        <f t="shared" si="306"/>
        <v>0.20271274619100707</v>
      </c>
      <c r="R253" s="563">
        <f t="shared" si="306"/>
        <v>0.17428465254552211</v>
      </c>
      <c r="S253" s="563">
        <f>S240/SUM($O$238:$O$242)</f>
        <v>0.17075436640654032</v>
      </c>
      <c r="T253" s="561"/>
      <c r="U253" s="561"/>
      <c r="V253" s="561"/>
      <c r="W253" s="561"/>
      <c r="X253" s="561"/>
      <c r="Y253" s="561"/>
      <c r="Z253" s="561"/>
      <c r="AA253" s="561"/>
      <c r="AB253" s="562"/>
      <c r="AC253" s="561"/>
      <c r="AD253" s="561"/>
      <c r="AE253" s="561"/>
      <c r="AF253" s="561"/>
      <c r="AG253" s="561"/>
      <c r="AH253" s="561"/>
      <c r="AI253" s="561"/>
      <c r="AJ253" s="561"/>
      <c r="AK253" s="561"/>
      <c r="AL253" s="561"/>
      <c r="AM253" s="561"/>
      <c r="AN253" s="561"/>
      <c r="AO253" s="561"/>
      <c r="AP253" s="561"/>
      <c r="AQ253" s="561"/>
      <c r="AR253" s="561"/>
      <c r="AS253" s="561"/>
      <c r="AT253" s="561"/>
      <c r="AU253" s="561"/>
      <c r="AV253" s="561"/>
      <c r="AW253" s="561"/>
      <c r="AX253" s="561"/>
      <c r="AY253" s="561"/>
      <c r="AZ253" s="561"/>
      <c r="BA253" s="561"/>
      <c r="BB253" s="561"/>
      <c r="BC253" s="561"/>
      <c r="BD253" s="561"/>
      <c r="BE253" s="561"/>
      <c r="BF253" s="561"/>
      <c r="BG253" s="561"/>
      <c r="BH253" s="561"/>
      <c r="BI253" s="563">
        <f t="shared" ref="BI253:CB253" si="310">+BI240/SUM(BI$238:BI$242)</f>
        <v>0.24379562043795622</v>
      </c>
      <c r="BJ253" s="563">
        <f t="shared" si="310"/>
        <v>0.27686567164179104</v>
      </c>
      <c r="BK253" s="563">
        <f t="shared" si="310"/>
        <v>0.28304821150855364</v>
      </c>
      <c r="BL253" s="563">
        <f t="shared" si="310"/>
        <v>0.26</v>
      </c>
      <c r="BM253" s="563">
        <f t="shared" si="310"/>
        <v>0.23819742489270387</v>
      </c>
      <c r="BN253" s="563">
        <f t="shared" si="310"/>
        <v>0.27109783420463029</v>
      </c>
      <c r="BO253" s="563">
        <f t="shared" si="310"/>
        <v>0.2698776758409786</v>
      </c>
      <c r="BP253" s="563">
        <f t="shared" si="310"/>
        <v>0.2475691847419596</v>
      </c>
      <c r="BQ253" s="563">
        <f t="shared" si="310"/>
        <v>0.21091445427728614</v>
      </c>
      <c r="BR253" s="563">
        <f t="shared" si="310"/>
        <v>0.2359098228663446</v>
      </c>
      <c r="BS253" s="563">
        <f t="shared" si="310"/>
        <v>0.23878326996197718</v>
      </c>
      <c r="BT253" s="563">
        <f t="shared" si="310"/>
        <v>0.22822580645161292</v>
      </c>
      <c r="BU253" s="563">
        <f t="shared" si="310"/>
        <v>0.2346857597454256</v>
      </c>
      <c r="BV253" s="563">
        <f t="shared" si="310"/>
        <v>0.23790322580645162</v>
      </c>
      <c r="BW253" s="563">
        <f t="shared" si="310"/>
        <v>0.21248986212489862</v>
      </c>
      <c r="BX253" s="563">
        <f t="shared" si="310"/>
        <v>0.18998410174880764</v>
      </c>
      <c r="BY253" s="563">
        <f t="shared" si="310"/>
        <v>0.22295081967213115</v>
      </c>
      <c r="BZ253" s="563">
        <f t="shared" si="310"/>
        <v>0.29655990510083036</v>
      </c>
      <c r="CA253" s="563">
        <f t="shared" si="310"/>
        <v>0.28456221198156684</v>
      </c>
      <c r="CB253" s="563">
        <f t="shared" si="310"/>
        <v>0.3093994778067885</v>
      </c>
      <c r="CC253" s="563">
        <f t="shared" si="308"/>
        <v>0.23406593406593407</v>
      </c>
      <c r="CD253" s="563">
        <f t="shared" si="308"/>
        <v>0.28419811320754718</v>
      </c>
      <c r="CE253" s="563">
        <f>+CE240/SUM(CE$238:CE$242)</f>
        <v>0.27202643171806168</v>
      </c>
      <c r="CF253" s="563"/>
      <c r="CG253" s="563"/>
      <c r="CH253" s="563"/>
      <c r="CI253" s="563"/>
      <c r="CJ253" s="563"/>
    </row>
    <row r="254" spans="1:88" s="493" customFormat="1">
      <c r="A254" s="493" t="s">
        <v>66</v>
      </c>
      <c r="B254" s="561"/>
      <c r="C254" s="561"/>
      <c r="D254" s="561"/>
      <c r="E254" s="561"/>
      <c r="F254" s="561"/>
      <c r="G254" s="561"/>
      <c r="H254" s="561"/>
      <c r="I254" s="561"/>
      <c r="J254" s="561"/>
      <c r="K254" s="561"/>
      <c r="L254" s="561"/>
      <c r="M254" s="563">
        <f>M241/SUM($M$238:$M$242)</f>
        <v>0.17767906718489729</v>
      </c>
      <c r="N254" s="563">
        <f>N241/SUM($N$238:$N$242)</f>
        <v>0.17661230541141587</v>
      </c>
      <c r="O254" s="563">
        <f t="shared" si="306"/>
        <v>0.16852471200297287</v>
      </c>
      <c r="P254" s="563">
        <f t="shared" si="306"/>
        <v>0.17465626161278336</v>
      </c>
      <c r="Q254" s="563">
        <f t="shared" si="306"/>
        <v>0.14251207729468598</v>
      </c>
      <c r="R254" s="563">
        <f t="shared" si="306"/>
        <v>0.12207357859531773</v>
      </c>
      <c r="S254" s="563">
        <f>S241/SUM($O$238:$O$242)</f>
        <v>0.12356001486436269</v>
      </c>
      <c r="T254" s="561"/>
      <c r="U254" s="561"/>
      <c r="V254" s="561"/>
      <c r="W254" s="561"/>
      <c r="X254" s="561"/>
      <c r="Y254" s="561"/>
      <c r="Z254" s="561"/>
      <c r="AA254" s="561"/>
      <c r="AB254" s="562"/>
      <c r="AC254" s="561"/>
      <c r="AD254" s="561"/>
      <c r="AE254" s="561"/>
      <c r="AF254" s="561"/>
      <c r="AG254" s="561"/>
      <c r="AH254" s="561"/>
      <c r="AI254" s="561"/>
      <c r="AJ254" s="561"/>
      <c r="AK254" s="561"/>
      <c r="AL254" s="561"/>
      <c r="AM254" s="561"/>
      <c r="AN254" s="561"/>
      <c r="AO254" s="561"/>
      <c r="AP254" s="561"/>
      <c r="AQ254" s="561"/>
      <c r="AR254" s="561"/>
      <c r="AS254" s="561"/>
      <c r="AT254" s="561"/>
      <c r="AU254" s="561"/>
      <c r="AV254" s="561"/>
      <c r="AW254" s="561"/>
      <c r="AX254" s="561"/>
      <c r="AY254" s="561"/>
      <c r="AZ254" s="561"/>
      <c r="BA254" s="561"/>
      <c r="BB254" s="561"/>
      <c r="BC254" s="561"/>
      <c r="BD254" s="561"/>
      <c r="BE254" s="561"/>
      <c r="BF254" s="561"/>
      <c r="BG254" s="561"/>
      <c r="BH254" s="561"/>
      <c r="BI254" s="563">
        <f t="shared" ref="BI254:CB254" si="311">+BI241/SUM(BI$238:BI$242)</f>
        <v>0.17591240875912409</v>
      </c>
      <c r="BJ254" s="563">
        <f t="shared" si="311"/>
        <v>0.17089552238805969</v>
      </c>
      <c r="BK254" s="563">
        <f t="shared" si="311"/>
        <v>0.16174183514774496</v>
      </c>
      <c r="BL254" s="563">
        <f t="shared" si="311"/>
        <v>0.19642857142857142</v>
      </c>
      <c r="BM254" s="563">
        <f t="shared" si="311"/>
        <v>0.17381974248927037</v>
      </c>
      <c r="BN254" s="563">
        <f t="shared" si="311"/>
        <v>0.15832710978342046</v>
      </c>
      <c r="BO254" s="563">
        <f t="shared" si="311"/>
        <v>0.16131498470948014</v>
      </c>
      <c r="BP254" s="563">
        <f t="shared" si="311"/>
        <v>0.18025430067314885</v>
      </c>
      <c r="BQ254" s="563">
        <f t="shared" si="311"/>
        <v>0.18805309734513273</v>
      </c>
      <c r="BR254" s="563">
        <f t="shared" si="311"/>
        <v>0.15861513687600645</v>
      </c>
      <c r="BS254" s="563">
        <f t="shared" si="311"/>
        <v>0.17642585551330797</v>
      </c>
      <c r="BT254" s="563">
        <f t="shared" si="311"/>
        <v>0.20645161290322581</v>
      </c>
      <c r="BU254" s="563">
        <f t="shared" si="311"/>
        <v>0.17024661893396978</v>
      </c>
      <c r="BV254" s="563">
        <f t="shared" si="311"/>
        <v>0.1435483870967742</v>
      </c>
      <c r="BW254" s="563">
        <f t="shared" si="311"/>
        <v>0.14436334144363341</v>
      </c>
      <c r="BX254" s="563">
        <f t="shared" si="311"/>
        <v>0.15659777424483307</v>
      </c>
      <c r="BY254" s="563">
        <f t="shared" si="311"/>
        <v>0.20109289617486339</v>
      </c>
      <c r="BZ254" s="563">
        <f t="shared" si="311"/>
        <v>0.16370106761565836</v>
      </c>
      <c r="CA254" s="563">
        <f t="shared" si="311"/>
        <v>0.1889400921658986</v>
      </c>
      <c r="CB254" s="563">
        <f t="shared" si="311"/>
        <v>0.22323759791122716</v>
      </c>
      <c r="CC254" s="563">
        <f t="shared" si="308"/>
        <v>0.21208791208791208</v>
      </c>
      <c r="CD254" s="563">
        <f t="shared" si="308"/>
        <v>0.15212264150943397</v>
      </c>
      <c r="CE254" s="563">
        <f>+CE241/SUM(CE$238:CE$242)</f>
        <v>0.17070484581497797</v>
      </c>
      <c r="CF254" s="563"/>
      <c r="CG254" s="563"/>
      <c r="CH254" s="563"/>
      <c r="CI254" s="563"/>
      <c r="CJ254" s="563"/>
    </row>
    <row r="255" spans="1:88" s="493" customFormat="1">
      <c r="A255" s="493" t="s">
        <v>67</v>
      </c>
      <c r="B255" s="561"/>
      <c r="C255" s="561"/>
      <c r="D255" s="561"/>
      <c r="E255" s="561"/>
      <c r="F255" s="561"/>
      <c r="G255" s="561"/>
      <c r="H255" s="561"/>
      <c r="I255" s="561"/>
      <c r="J255" s="561"/>
      <c r="K255" s="561"/>
      <c r="L255" s="561"/>
      <c r="M255" s="563">
        <f>M242/SUM($M$238:$M$242)</f>
        <v>0.11512122894688136</v>
      </c>
      <c r="N255" s="563">
        <f>N242/SUM($N$238:$N$242)</f>
        <v>0.12509266123054114</v>
      </c>
      <c r="O255" s="563">
        <f t="shared" si="306"/>
        <v>0.12337421033073206</v>
      </c>
      <c r="P255" s="563">
        <f t="shared" si="306"/>
        <v>0.12281679672984021</v>
      </c>
      <c r="Q255" s="563">
        <f t="shared" si="306"/>
        <v>0.1272761055369751</v>
      </c>
      <c r="R255" s="563">
        <f t="shared" si="306"/>
        <v>5.9457450761798585E-2</v>
      </c>
      <c r="S255" s="563">
        <f>S242/SUM($O$238:$O$242)</f>
        <v>6.3359345968041617E-2</v>
      </c>
      <c r="T255" s="561"/>
      <c r="U255" s="561"/>
      <c r="V255" s="561"/>
      <c r="W255" s="561"/>
      <c r="X255" s="561"/>
      <c r="Y255" s="561"/>
      <c r="Z255" s="561"/>
      <c r="AA255" s="561"/>
      <c r="AB255" s="562"/>
      <c r="AC255" s="561"/>
      <c r="AD255" s="561"/>
      <c r="AE255" s="561"/>
      <c r="AF255" s="561"/>
      <c r="AG255" s="561"/>
      <c r="AH255" s="561"/>
      <c r="AI255" s="561"/>
      <c r="AJ255" s="561"/>
      <c r="AK255" s="561"/>
      <c r="AL255" s="561"/>
      <c r="AM255" s="561"/>
      <c r="AN255" s="561"/>
      <c r="AO255" s="561"/>
      <c r="AP255" s="561"/>
      <c r="AQ255" s="561"/>
      <c r="AR255" s="561"/>
      <c r="AS255" s="561"/>
      <c r="AT255" s="561"/>
      <c r="AU255" s="561"/>
      <c r="AV255" s="561"/>
      <c r="AW255" s="561"/>
      <c r="AX255" s="561"/>
      <c r="AY255" s="561"/>
      <c r="AZ255" s="561"/>
      <c r="BA255" s="561"/>
      <c r="BB255" s="561"/>
      <c r="BC255" s="561"/>
      <c r="BD255" s="561"/>
      <c r="BE255" s="561"/>
      <c r="BF255" s="561"/>
      <c r="BG255" s="561"/>
      <c r="BH255" s="561"/>
      <c r="BI255" s="563">
        <f t="shared" ref="BI255:CB255" si="312">+BI242/SUM(BI$238:BI$242)</f>
        <v>0.11167883211678832</v>
      </c>
      <c r="BJ255" s="563">
        <f t="shared" si="312"/>
        <v>0.13134328358208955</v>
      </c>
      <c r="BK255" s="563">
        <f t="shared" si="312"/>
        <v>0.12908242612752721</v>
      </c>
      <c r="BL255" s="563">
        <f t="shared" si="312"/>
        <v>0.12857142857142856</v>
      </c>
      <c r="BM255" s="563">
        <f t="shared" si="312"/>
        <v>0.11015736766809728</v>
      </c>
      <c r="BN255" s="563">
        <f t="shared" si="312"/>
        <v>0.11949215832710978</v>
      </c>
      <c r="BO255" s="563">
        <f t="shared" si="312"/>
        <v>0.12385321100917432</v>
      </c>
      <c r="BP255" s="563">
        <f t="shared" si="312"/>
        <v>0.1406133133881825</v>
      </c>
      <c r="BQ255" s="563">
        <f t="shared" si="312"/>
        <v>0.12094395280235988</v>
      </c>
      <c r="BR255" s="563">
        <f t="shared" si="312"/>
        <v>0.13123993558776167</v>
      </c>
      <c r="BS255" s="563">
        <f t="shared" si="312"/>
        <v>0.13536121673003804</v>
      </c>
      <c r="BT255" s="563">
        <f t="shared" si="312"/>
        <v>0.12580645161290321</v>
      </c>
      <c r="BU255" s="563">
        <f t="shared" si="312"/>
        <v>0.11535401750198886</v>
      </c>
      <c r="BV255" s="563">
        <f t="shared" si="312"/>
        <v>0.12741935483870967</v>
      </c>
      <c r="BW255" s="563">
        <f t="shared" si="312"/>
        <v>0.14679643146796431</v>
      </c>
      <c r="BX255" s="563">
        <f t="shared" si="312"/>
        <v>0.15977742448330684</v>
      </c>
      <c r="BY255" s="563">
        <f t="shared" si="312"/>
        <v>8.6338797814207655E-2</v>
      </c>
      <c r="BZ255" s="563">
        <f t="shared" si="312"/>
        <v>9.4899169632265717E-2</v>
      </c>
      <c r="CA255" s="563">
        <f t="shared" si="312"/>
        <v>9.3317972350230413E-2</v>
      </c>
      <c r="CB255" s="563">
        <f t="shared" si="312"/>
        <v>0.10443864229765012</v>
      </c>
      <c r="CC255" s="563">
        <f t="shared" si="308"/>
        <v>8.2417582417582416E-2</v>
      </c>
      <c r="CD255" s="563">
        <f t="shared" si="308"/>
        <v>9.9056603773584911E-2</v>
      </c>
      <c r="CE255" s="563">
        <f>+CE242/SUM(CE$238:CE$242)</f>
        <v>9.8017621145374448E-2</v>
      </c>
      <c r="CF255" s="563"/>
      <c r="CG255" s="563"/>
      <c r="CH255" s="563"/>
      <c r="CI255" s="563"/>
      <c r="CJ255" s="563"/>
    </row>
    <row r="256" spans="1:88" s="493" customFormat="1">
      <c r="B256" s="561"/>
      <c r="C256" s="561"/>
      <c r="D256" s="561"/>
      <c r="E256" s="561"/>
      <c r="F256" s="561"/>
      <c r="G256" s="561"/>
      <c r="H256" s="561"/>
      <c r="I256" s="561"/>
      <c r="J256" s="561"/>
      <c r="K256" s="561"/>
      <c r="L256" s="561"/>
      <c r="M256" s="561"/>
      <c r="N256" s="561"/>
      <c r="O256" s="561"/>
      <c r="P256" s="561"/>
      <c r="Q256" s="561"/>
      <c r="R256" s="561"/>
      <c r="S256" s="561"/>
      <c r="T256" s="561"/>
      <c r="U256" s="561"/>
      <c r="V256" s="561"/>
      <c r="W256" s="561"/>
      <c r="X256" s="561"/>
      <c r="Y256" s="561"/>
      <c r="Z256" s="561"/>
      <c r="AA256" s="561"/>
      <c r="AB256" s="562"/>
      <c r="AC256" s="561"/>
      <c r="AD256" s="561"/>
      <c r="AE256" s="561"/>
      <c r="AF256" s="561"/>
      <c r="AG256" s="561"/>
      <c r="AH256" s="561"/>
      <c r="AI256" s="561"/>
      <c r="AJ256" s="561"/>
      <c r="AK256" s="561"/>
      <c r="AL256" s="561"/>
      <c r="AM256" s="561"/>
      <c r="AN256" s="561"/>
      <c r="AO256" s="561"/>
      <c r="AP256" s="561"/>
      <c r="AQ256" s="561"/>
      <c r="AR256" s="561"/>
      <c r="AS256" s="561"/>
      <c r="AT256" s="561"/>
      <c r="AU256" s="561"/>
      <c r="AV256" s="561"/>
      <c r="AW256" s="561"/>
      <c r="AX256" s="561"/>
      <c r="AY256" s="561"/>
      <c r="AZ256" s="561"/>
      <c r="BA256" s="561"/>
      <c r="BB256" s="561"/>
      <c r="BC256" s="561"/>
      <c r="BD256" s="561"/>
      <c r="BE256" s="561"/>
      <c r="BF256" s="561"/>
      <c r="BG256" s="561"/>
      <c r="BH256" s="561"/>
      <c r="BI256" s="561"/>
      <c r="BJ256" s="561"/>
      <c r="BK256" s="561"/>
      <c r="BL256" s="561"/>
      <c r="BM256" s="561"/>
      <c r="BN256" s="561"/>
      <c r="BO256" s="561"/>
      <c r="BP256" s="561"/>
      <c r="BQ256" s="561"/>
      <c r="BR256" s="561"/>
      <c r="BS256" s="561"/>
      <c r="BT256" s="561"/>
      <c r="BU256" s="561"/>
      <c r="BV256" s="561"/>
      <c r="BW256" s="561"/>
      <c r="BX256" s="561"/>
      <c r="BY256" s="561"/>
      <c r="BZ256" s="561"/>
      <c r="CA256" s="561"/>
      <c r="CB256" s="561"/>
      <c r="CC256" s="561"/>
      <c r="CD256" s="561"/>
      <c r="CE256" s="561"/>
      <c r="CF256" s="561"/>
      <c r="CG256" s="561"/>
      <c r="CH256" s="561"/>
      <c r="CI256" s="561"/>
      <c r="CJ256" s="561"/>
    </row>
    <row r="257" spans="1:88" hidden="1" outlineLevel="1">
      <c r="A257" s="25" t="s">
        <v>55</v>
      </c>
      <c r="B257" s="518"/>
      <c r="C257" s="518"/>
      <c r="D257" s="518"/>
      <c r="E257" s="518"/>
      <c r="F257" s="518"/>
      <c r="G257" s="518"/>
      <c r="H257" s="518"/>
      <c r="I257" s="518"/>
      <c r="J257" s="518"/>
      <c r="K257" s="518"/>
      <c r="L257" s="518"/>
      <c r="M257" s="518"/>
      <c r="N257" s="518"/>
      <c r="O257" s="518"/>
      <c r="P257" s="518"/>
      <c r="Q257" s="518"/>
      <c r="R257" s="518"/>
      <c r="S257" s="518"/>
      <c r="T257" s="518"/>
      <c r="U257" s="518"/>
      <c r="V257" s="518"/>
      <c r="W257" s="518"/>
      <c r="X257" s="518"/>
      <c r="Y257" s="518"/>
      <c r="Z257" s="518"/>
      <c r="AA257" s="518"/>
      <c r="AB257" s="519"/>
      <c r="AC257" s="518"/>
      <c r="AD257" s="518"/>
      <c r="AE257" s="518"/>
      <c r="AF257" s="518"/>
      <c r="AG257" s="518"/>
      <c r="AH257" s="518"/>
      <c r="AI257" s="518"/>
      <c r="AJ257" s="518"/>
      <c r="AK257" s="518"/>
      <c r="AL257" s="518"/>
      <c r="AM257" s="518"/>
      <c r="AN257" s="518"/>
      <c r="AO257" s="518"/>
      <c r="AP257" s="518"/>
      <c r="AQ257" s="518"/>
      <c r="AR257" s="518"/>
      <c r="AS257" s="518"/>
      <c r="AT257" s="518"/>
      <c r="AU257" s="518"/>
      <c r="AV257" s="518"/>
      <c r="AW257" s="518"/>
      <c r="AX257" s="518"/>
      <c r="AY257" s="518"/>
      <c r="AZ257" s="518"/>
      <c r="BA257" s="518"/>
      <c r="BB257" s="518"/>
      <c r="BC257" s="518"/>
      <c r="BD257" s="518"/>
      <c r="BE257" s="518"/>
      <c r="BF257" s="518"/>
      <c r="BG257" s="518"/>
      <c r="BH257" s="518"/>
      <c r="BI257" s="518"/>
      <c r="BJ257" s="518"/>
      <c r="BK257" s="518"/>
      <c r="BL257" s="518"/>
      <c r="BM257" s="520"/>
      <c r="BN257" s="520"/>
      <c r="BO257" s="518"/>
      <c r="BP257" s="518"/>
      <c r="BQ257" s="518"/>
      <c r="BR257" s="518"/>
      <c r="BS257" s="518"/>
      <c r="BT257" s="518"/>
      <c r="BU257" s="518"/>
      <c r="BV257" s="518"/>
      <c r="BW257" s="518"/>
      <c r="BX257" s="518"/>
      <c r="BY257" s="518"/>
      <c r="BZ257" s="518"/>
      <c r="CA257" s="518"/>
      <c r="CB257" s="518"/>
      <c r="CC257" s="518"/>
      <c r="CD257" s="518"/>
      <c r="CE257" s="518"/>
      <c r="CF257" s="518"/>
      <c r="CG257" s="518"/>
      <c r="CH257" s="518"/>
      <c r="CI257" s="518"/>
      <c r="CJ257" s="518"/>
    </row>
    <row r="258" spans="1:88" s="28" customFormat="1" hidden="1" outlineLevel="1">
      <c r="A258" s="28" t="s">
        <v>63</v>
      </c>
      <c r="B258" s="556"/>
      <c r="C258" s="556"/>
      <c r="D258" s="556"/>
      <c r="E258" s="556"/>
      <c r="F258" s="556"/>
      <c r="G258" s="556"/>
      <c r="H258" s="556"/>
      <c r="I258" s="556"/>
      <c r="J258" s="556"/>
      <c r="K258" s="556"/>
      <c r="L258" s="556"/>
      <c r="M258" s="564">
        <v>1223</v>
      </c>
      <c r="N258" s="564">
        <v>1374</v>
      </c>
      <c r="O258" s="564">
        <v>1311</v>
      </c>
      <c r="P258" s="564">
        <v>1177</v>
      </c>
      <c r="Q258" s="564">
        <v>1264</v>
      </c>
      <c r="R258" s="556"/>
      <c r="S258" s="556"/>
      <c r="T258" s="556"/>
      <c r="U258" s="556"/>
      <c r="V258" s="556"/>
      <c r="W258" s="556"/>
      <c r="X258" s="556"/>
      <c r="Y258" s="556"/>
      <c r="Z258" s="556"/>
      <c r="AA258" s="556"/>
      <c r="AB258" s="558"/>
      <c r="AC258" s="556"/>
      <c r="AD258" s="556"/>
      <c r="AE258" s="556"/>
      <c r="AF258" s="556"/>
      <c r="AG258" s="556"/>
      <c r="AH258" s="556"/>
      <c r="AI258" s="556"/>
      <c r="AJ258" s="556"/>
      <c r="AK258" s="556"/>
      <c r="AL258" s="556"/>
      <c r="AM258" s="556"/>
      <c r="AN258" s="556"/>
      <c r="AO258" s="556"/>
      <c r="AP258" s="556"/>
      <c r="AQ258" s="556"/>
      <c r="AR258" s="556"/>
      <c r="AS258" s="556"/>
      <c r="AT258" s="556"/>
      <c r="AU258" s="556"/>
      <c r="AV258" s="556"/>
      <c r="AW258" s="556"/>
      <c r="AX258" s="556"/>
      <c r="AY258" s="556"/>
      <c r="AZ258" s="556"/>
      <c r="BA258" s="556"/>
      <c r="BB258" s="556"/>
      <c r="BC258" s="556"/>
      <c r="BD258" s="556"/>
      <c r="BE258" s="556"/>
      <c r="BF258" s="556"/>
      <c r="BG258" s="556"/>
      <c r="BH258" s="556"/>
      <c r="BI258" s="557">
        <v>360</v>
      </c>
      <c r="BJ258" s="557">
        <v>340</v>
      </c>
      <c r="BK258" s="557">
        <v>336</v>
      </c>
      <c r="BL258" s="556">
        <f>N258-SUM(BI258:BK258)</f>
        <v>338</v>
      </c>
      <c r="BM258" s="557">
        <v>388</v>
      </c>
      <c r="BN258" s="557">
        <v>355</v>
      </c>
      <c r="BO258" s="557">
        <v>285</v>
      </c>
      <c r="BP258" s="556">
        <f>+O258-SUM(BM258:BO258)</f>
        <v>283</v>
      </c>
      <c r="BQ258" s="557">
        <v>331</v>
      </c>
      <c r="BR258" s="557">
        <v>273</v>
      </c>
      <c r="BS258" s="557">
        <v>294</v>
      </c>
      <c r="BT258" s="558">
        <f>P258-SUM(BQ258:BS258)</f>
        <v>279</v>
      </c>
      <c r="BU258" s="557">
        <v>316</v>
      </c>
      <c r="BV258" s="557">
        <v>268</v>
      </c>
      <c r="BW258" s="557">
        <v>356</v>
      </c>
      <c r="BX258" s="558">
        <f>+Q258-SUM(BU258:BW258)</f>
        <v>324</v>
      </c>
      <c r="BY258" s="557">
        <v>336</v>
      </c>
      <c r="BZ258" s="557">
        <v>295</v>
      </c>
      <c r="CA258" s="557">
        <v>360</v>
      </c>
      <c r="CB258" s="557"/>
      <c r="CC258" s="557"/>
      <c r="CD258" s="557"/>
      <c r="CE258" s="557"/>
      <c r="CF258" s="557"/>
      <c r="CG258" s="557"/>
      <c r="CH258" s="557"/>
      <c r="CI258" s="557"/>
      <c r="CJ258" s="557"/>
    </row>
    <row r="259" spans="1:88" s="28" customFormat="1" hidden="1" outlineLevel="1">
      <c r="A259" s="28" t="s">
        <v>64</v>
      </c>
      <c r="B259" s="556"/>
      <c r="C259" s="556"/>
      <c r="D259" s="556"/>
      <c r="E259" s="556"/>
      <c r="F259" s="556"/>
      <c r="G259" s="556"/>
      <c r="H259" s="556"/>
      <c r="I259" s="556"/>
      <c r="J259" s="556"/>
      <c r="K259" s="556"/>
      <c r="L259" s="556"/>
      <c r="M259" s="564">
        <v>1614</v>
      </c>
      <c r="N259" s="564">
        <v>1686</v>
      </c>
      <c r="O259" s="564">
        <v>1632</v>
      </c>
      <c r="P259" s="564">
        <v>1555</v>
      </c>
      <c r="Q259" s="564">
        <v>1444</v>
      </c>
      <c r="R259" s="556"/>
      <c r="S259" s="556"/>
      <c r="T259" s="556"/>
      <c r="U259" s="556"/>
      <c r="V259" s="556"/>
      <c r="W259" s="556"/>
      <c r="X259" s="556"/>
      <c r="Y259" s="556"/>
      <c r="Z259" s="556"/>
      <c r="AA259" s="556"/>
      <c r="AB259" s="558"/>
      <c r="AC259" s="556"/>
      <c r="AD259" s="556"/>
      <c r="AE259" s="556"/>
      <c r="AF259" s="556"/>
      <c r="AG259" s="556"/>
      <c r="AH259" s="556"/>
      <c r="AI259" s="556"/>
      <c r="AJ259" s="556"/>
      <c r="AK259" s="556"/>
      <c r="AL259" s="556"/>
      <c r="AM259" s="556"/>
      <c r="AN259" s="556"/>
      <c r="AO259" s="556"/>
      <c r="AP259" s="556"/>
      <c r="AQ259" s="556"/>
      <c r="AR259" s="556"/>
      <c r="AS259" s="556"/>
      <c r="AT259" s="556"/>
      <c r="AU259" s="556"/>
      <c r="AV259" s="556"/>
      <c r="AW259" s="556"/>
      <c r="AX259" s="556"/>
      <c r="AY259" s="556"/>
      <c r="AZ259" s="556"/>
      <c r="BA259" s="556"/>
      <c r="BB259" s="556"/>
      <c r="BC259" s="556"/>
      <c r="BD259" s="556"/>
      <c r="BE259" s="556"/>
      <c r="BF259" s="556"/>
      <c r="BG259" s="556"/>
      <c r="BH259" s="556"/>
      <c r="BI259" s="557">
        <v>453</v>
      </c>
      <c r="BJ259" s="557">
        <v>353</v>
      </c>
      <c r="BK259" s="557">
        <v>395</v>
      </c>
      <c r="BL259" s="556">
        <f>N259-SUM(BI259:BK259)</f>
        <v>485</v>
      </c>
      <c r="BM259" s="557">
        <v>449</v>
      </c>
      <c r="BN259" s="557">
        <v>363</v>
      </c>
      <c r="BO259" s="557">
        <v>378</v>
      </c>
      <c r="BP259" s="556">
        <f>+O259-SUM(BM259:BO259)</f>
        <v>442</v>
      </c>
      <c r="BQ259" s="557">
        <v>418</v>
      </c>
      <c r="BR259" s="557">
        <v>329</v>
      </c>
      <c r="BS259" s="557">
        <v>408</v>
      </c>
      <c r="BT259" s="558">
        <f>P259-SUM(BQ259:BS259)</f>
        <v>400</v>
      </c>
      <c r="BU259" s="557">
        <v>402</v>
      </c>
      <c r="BV259" s="557">
        <v>302</v>
      </c>
      <c r="BW259" s="557">
        <v>370</v>
      </c>
      <c r="BX259" s="558">
        <f>+Q259-SUM(BU259:BW259)</f>
        <v>370</v>
      </c>
      <c r="BY259" s="557">
        <v>393</v>
      </c>
      <c r="BZ259" s="557">
        <v>307</v>
      </c>
      <c r="CA259" s="557">
        <v>388</v>
      </c>
      <c r="CB259" s="557"/>
      <c r="CC259" s="557"/>
      <c r="CD259" s="557"/>
      <c r="CE259" s="557"/>
      <c r="CF259" s="557"/>
      <c r="CG259" s="557"/>
      <c r="CH259" s="557"/>
      <c r="CI259" s="557"/>
      <c r="CJ259" s="557"/>
    </row>
    <row r="260" spans="1:88" s="28" customFormat="1" hidden="1" outlineLevel="1">
      <c r="A260" s="28" t="s">
        <v>65</v>
      </c>
      <c r="B260" s="556"/>
      <c r="C260" s="556"/>
      <c r="D260" s="556"/>
      <c r="E260" s="556"/>
      <c r="F260" s="556"/>
      <c r="G260" s="556"/>
      <c r="H260" s="556"/>
      <c r="I260" s="556"/>
      <c r="J260" s="556"/>
      <c r="K260" s="556"/>
      <c r="L260" s="556"/>
      <c r="M260" s="564">
        <v>914</v>
      </c>
      <c r="N260" s="564">
        <v>899</v>
      </c>
      <c r="O260" s="564">
        <v>849</v>
      </c>
      <c r="P260" s="564">
        <v>776</v>
      </c>
      <c r="Q260" s="564">
        <v>717</v>
      </c>
      <c r="R260" s="556"/>
      <c r="S260" s="556"/>
      <c r="T260" s="556"/>
      <c r="U260" s="556"/>
      <c r="V260" s="556"/>
      <c r="W260" s="556"/>
      <c r="X260" s="556"/>
      <c r="Y260" s="556"/>
      <c r="Z260" s="556"/>
      <c r="AA260" s="556"/>
      <c r="AB260" s="558"/>
      <c r="AC260" s="556"/>
      <c r="AD260" s="556"/>
      <c r="AE260" s="556"/>
      <c r="AF260" s="556"/>
      <c r="AG260" s="556"/>
      <c r="AH260" s="556"/>
      <c r="AI260" s="556"/>
      <c r="AJ260" s="556"/>
      <c r="AK260" s="556"/>
      <c r="AL260" s="556"/>
      <c r="AM260" s="556"/>
      <c r="AN260" s="556"/>
      <c r="AO260" s="556"/>
      <c r="AP260" s="556"/>
      <c r="AQ260" s="556"/>
      <c r="AR260" s="556"/>
      <c r="AS260" s="556"/>
      <c r="AT260" s="556"/>
      <c r="AU260" s="556"/>
      <c r="AV260" s="556"/>
      <c r="AW260" s="556"/>
      <c r="AX260" s="556"/>
      <c r="AY260" s="556"/>
      <c r="AZ260" s="556"/>
      <c r="BA260" s="556"/>
      <c r="BB260" s="556"/>
      <c r="BC260" s="556"/>
      <c r="BD260" s="556"/>
      <c r="BE260" s="556"/>
      <c r="BF260" s="556"/>
      <c r="BG260" s="556"/>
      <c r="BH260" s="556"/>
      <c r="BI260" s="557">
        <v>219</v>
      </c>
      <c r="BJ260" s="557">
        <v>214</v>
      </c>
      <c r="BK260" s="557">
        <v>210</v>
      </c>
      <c r="BL260" s="556">
        <f>N260-SUM(BI260:BK260)</f>
        <v>256</v>
      </c>
      <c r="BM260" s="557">
        <v>222</v>
      </c>
      <c r="BN260" s="557">
        <v>207</v>
      </c>
      <c r="BO260" s="557">
        <v>209</v>
      </c>
      <c r="BP260" s="556">
        <f>+O260-SUM(BM260:BO260)</f>
        <v>211</v>
      </c>
      <c r="BQ260" s="557">
        <v>206</v>
      </c>
      <c r="BR260" s="557">
        <v>188</v>
      </c>
      <c r="BS260" s="557">
        <v>190</v>
      </c>
      <c r="BT260" s="558">
        <f>P260-SUM(BQ260:BS260)</f>
        <v>192</v>
      </c>
      <c r="BU260" s="557">
        <v>191</v>
      </c>
      <c r="BV260" s="557">
        <v>188</v>
      </c>
      <c r="BW260" s="557">
        <v>171</v>
      </c>
      <c r="BX260" s="558">
        <f>+Q260-SUM(BU260:BW260)</f>
        <v>167</v>
      </c>
      <c r="BY260" s="557">
        <v>186</v>
      </c>
      <c r="BZ260" s="557">
        <v>178</v>
      </c>
      <c r="CA260" s="557">
        <v>174</v>
      </c>
      <c r="CB260" s="557"/>
      <c r="CC260" s="557"/>
      <c r="CD260" s="557"/>
      <c r="CE260" s="557"/>
      <c r="CF260" s="557"/>
      <c r="CG260" s="557"/>
      <c r="CH260" s="557"/>
      <c r="CI260" s="557"/>
      <c r="CJ260" s="557"/>
    </row>
    <row r="261" spans="1:88" s="28" customFormat="1" hidden="1" outlineLevel="1">
      <c r="A261" s="28" t="s">
        <v>66</v>
      </c>
      <c r="B261" s="556"/>
      <c r="C261" s="556"/>
      <c r="D261" s="556"/>
      <c r="E261" s="556"/>
      <c r="F261" s="556"/>
      <c r="G261" s="556"/>
      <c r="H261" s="556"/>
      <c r="I261" s="556"/>
      <c r="J261" s="556"/>
      <c r="K261" s="556"/>
      <c r="L261" s="556"/>
      <c r="M261" s="564">
        <v>392</v>
      </c>
      <c r="N261" s="564">
        <v>453</v>
      </c>
      <c r="O261" s="564">
        <v>470</v>
      </c>
      <c r="P261" s="564">
        <v>465</v>
      </c>
      <c r="Q261" s="564">
        <v>401</v>
      </c>
      <c r="R261" s="556"/>
      <c r="S261" s="556"/>
      <c r="T261" s="556"/>
      <c r="U261" s="556"/>
      <c r="V261" s="556"/>
      <c r="W261" s="556"/>
      <c r="X261" s="556"/>
      <c r="Y261" s="556"/>
      <c r="Z261" s="556"/>
      <c r="AA261" s="556"/>
      <c r="AB261" s="558"/>
      <c r="AC261" s="556"/>
      <c r="AD261" s="556"/>
      <c r="AE261" s="556"/>
      <c r="AF261" s="556"/>
      <c r="AG261" s="556"/>
      <c r="AH261" s="556"/>
      <c r="AI261" s="556"/>
      <c r="AJ261" s="556"/>
      <c r="AK261" s="556"/>
      <c r="AL261" s="556"/>
      <c r="AM261" s="556"/>
      <c r="AN261" s="556"/>
      <c r="AO261" s="556"/>
      <c r="AP261" s="556"/>
      <c r="AQ261" s="556"/>
      <c r="AR261" s="556"/>
      <c r="AS261" s="556"/>
      <c r="AT261" s="556"/>
      <c r="AU261" s="556"/>
      <c r="AV261" s="556"/>
      <c r="AW261" s="556"/>
      <c r="AX261" s="556"/>
      <c r="AY261" s="556"/>
      <c r="AZ261" s="556"/>
      <c r="BA261" s="556"/>
      <c r="BB261" s="556"/>
      <c r="BC261" s="556"/>
      <c r="BD261" s="556"/>
      <c r="BE261" s="556"/>
      <c r="BF261" s="556"/>
      <c r="BG261" s="556"/>
      <c r="BH261" s="556"/>
      <c r="BI261" s="557">
        <v>111</v>
      </c>
      <c r="BJ261" s="557">
        <v>132</v>
      </c>
      <c r="BK261" s="557">
        <v>103</v>
      </c>
      <c r="BL261" s="556">
        <f>N261-SUM(BI261:BK261)</f>
        <v>107</v>
      </c>
      <c r="BM261" s="557">
        <v>127</v>
      </c>
      <c r="BN261" s="557">
        <v>145</v>
      </c>
      <c r="BO261" s="557">
        <v>99</v>
      </c>
      <c r="BP261" s="556">
        <f>+O261-SUM(BM261:BO261)</f>
        <v>99</v>
      </c>
      <c r="BQ261" s="557">
        <v>122</v>
      </c>
      <c r="BR261" s="557">
        <v>137</v>
      </c>
      <c r="BS261" s="557">
        <v>100</v>
      </c>
      <c r="BT261" s="558">
        <f>P261-SUM(BQ261:BS261)</f>
        <v>106</v>
      </c>
      <c r="BU261" s="557">
        <v>115</v>
      </c>
      <c r="BV261" s="557">
        <v>133</v>
      </c>
      <c r="BW261" s="557">
        <v>76</v>
      </c>
      <c r="BX261" s="558">
        <f>+Q261-SUM(BU261:BW261)</f>
        <v>77</v>
      </c>
      <c r="BY261" s="557">
        <v>96</v>
      </c>
      <c r="BZ261" s="557">
        <v>112</v>
      </c>
      <c r="CA261" s="557">
        <v>77</v>
      </c>
      <c r="CB261" s="557"/>
      <c r="CC261" s="557"/>
      <c r="CD261" s="557"/>
      <c r="CE261" s="557"/>
      <c r="CF261" s="557"/>
      <c r="CG261" s="557"/>
      <c r="CH261" s="557"/>
      <c r="CI261" s="557"/>
      <c r="CJ261" s="557"/>
    </row>
    <row r="262" spans="1:88" s="28" customFormat="1" hidden="1" outlineLevel="1">
      <c r="A262" s="28" t="s">
        <v>67</v>
      </c>
      <c r="B262" s="556"/>
      <c r="C262" s="556"/>
      <c r="D262" s="556"/>
      <c r="E262" s="556"/>
      <c r="F262" s="556"/>
      <c r="G262" s="556"/>
      <c r="H262" s="556"/>
      <c r="I262" s="556"/>
      <c r="J262" s="556"/>
      <c r="K262" s="556"/>
      <c r="L262" s="556"/>
      <c r="M262" s="564">
        <v>721</v>
      </c>
      <c r="N262" s="564">
        <v>752</v>
      </c>
      <c r="O262" s="564">
        <v>690</v>
      </c>
      <c r="P262" s="564">
        <v>632</v>
      </c>
      <c r="Q262" s="564">
        <v>534</v>
      </c>
      <c r="R262" s="556"/>
      <c r="S262" s="556"/>
      <c r="T262" s="556"/>
      <c r="U262" s="556"/>
      <c r="V262" s="556"/>
      <c r="W262" s="556"/>
      <c r="X262" s="556"/>
      <c r="Y262" s="556"/>
      <c r="Z262" s="556"/>
      <c r="AA262" s="556"/>
      <c r="AB262" s="558"/>
      <c r="AC262" s="556"/>
      <c r="AD262" s="556"/>
      <c r="AE262" s="556"/>
      <c r="AF262" s="556"/>
      <c r="AG262" s="556"/>
      <c r="AH262" s="556"/>
      <c r="AI262" s="556"/>
      <c r="AJ262" s="556"/>
      <c r="AK262" s="556"/>
      <c r="AL262" s="556"/>
      <c r="AM262" s="556"/>
      <c r="AN262" s="556"/>
      <c r="AO262" s="556"/>
      <c r="AP262" s="556"/>
      <c r="AQ262" s="556"/>
      <c r="AR262" s="556"/>
      <c r="AS262" s="556"/>
      <c r="AT262" s="556"/>
      <c r="AU262" s="556"/>
      <c r="AV262" s="556"/>
      <c r="AW262" s="556"/>
      <c r="AX262" s="556"/>
      <c r="AY262" s="556"/>
      <c r="AZ262" s="556"/>
      <c r="BA262" s="556"/>
      <c r="BB262" s="556"/>
      <c r="BC262" s="556"/>
      <c r="BD262" s="556"/>
      <c r="BE262" s="556"/>
      <c r="BF262" s="556"/>
      <c r="BG262" s="556"/>
      <c r="BH262" s="556"/>
      <c r="BI262" s="557">
        <v>177</v>
      </c>
      <c r="BJ262" s="557">
        <v>183</v>
      </c>
      <c r="BK262" s="557">
        <v>184</v>
      </c>
      <c r="BL262" s="556">
        <f>N262-SUM(BI262:BK262)</f>
        <v>208</v>
      </c>
      <c r="BM262" s="557">
        <v>181</v>
      </c>
      <c r="BN262" s="557">
        <v>170</v>
      </c>
      <c r="BO262" s="557">
        <v>165</v>
      </c>
      <c r="BP262" s="556">
        <f>+O262-SUM(BM262:BO262)</f>
        <v>174</v>
      </c>
      <c r="BQ262" s="557">
        <v>146</v>
      </c>
      <c r="BR262" s="557">
        <v>157</v>
      </c>
      <c r="BS262" s="557">
        <v>161</v>
      </c>
      <c r="BT262" s="558">
        <f>P262-SUM(BQ262:BS262)</f>
        <v>168</v>
      </c>
      <c r="BU262" s="557">
        <v>129</v>
      </c>
      <c r="BV262" s="557">
        <v>133</v>
      </c>
      <c r="BW262" s="557">
        <v>128</v>
      </c>
      <c r="BX262" s="558">
        <f>+Q262-SUM(BU262:BW262)</f>
        <v>144</v>
      </c>
      <c r="BY262" s="557">
        <v>116</v>
      </c>
      <c r="BZ262" s="557">
        <v>131</v>
      </c>
      <c r="CA262" s="557">
        <v>129</v>
      </c>
      <c r="CB262" s="557"/>
      <c r="CC262" s="557"/>
      <c r="CD262" s="557"/>
      <c r="CE262" s="557"/>
      <c r="CF262" s="557"/>
      <c r="CG262" s="557"/>
      <c r="CH262" s="557"/>
      <c r="CI262" s="557"/>
      <c r="CJ262" s="557"/>
    </row>
    <row r="263" spans="1:88" s="493" customFormat="1" hidden="1" outlineLevel="1">
      <c r="A263" s="492" t="s">
        <v>68</v>
      </c>
      <c r="B263" s="561"/>
      <c r="C263" s="561"/>
      <c r="D263" s="561"/>
      <c r="E263" s="561"/>
      <c r="F263" s="561"/>
      <c r="G263" s="561"/>
      <c r="H263" s="561"/>
      <c r="I263" s="561"/>
      <c r="J263" s="561"/>
      <c r="K263" s="561"/>
      <c r="L263" s="561"/>
      <c r="M263" s="565"/>
      <c r="N263" s="565"/>
      <c r="O263" s="565"/>
      <c r="P263" s="565"/>
      <c r="Q263" s="565"/>
      <c r="R263" s="561"/>
      <c r="S263" s="561"/>
      <c r="T263" s="561"/>
      <c r="U263" s="561"/>
      <c r="V263" s="561"/>
      <c r="W263" s="561"/>
      <c r="X263" s="561"/>
      <c r="Y263" s="561"/>
      <c r="Z263" s="561"/>
      <c r="AA263" s="561"/>
      <c r="AB263" s="562"/>
      <c r="AC263" s="561"/>
      <c r="AD263" s="561"/>
      <c r="AE263" s="561"/>
      <c r="AF263" s="561"/>
      <c r="AG263" s="561"/>
      <c r="AH263" s="561"/>
      <c r="AI263" s="561"/>
      <c r="AJ263" s="561"/>
      <c r="AK263" s="561"/>
      <c r="AL263" s="561"/>
      <c r="AM263" s="561"/>
      <c r="AN263" s="561"/>
      <c r="AO263" s="561"/>
      <c r="AP263" s="561"/>
      <c r="AQ263" s="561"/>
      <c r="AR263" s="561"/>
      <c r="AS263" s="561"/>
      <c r="AT263" s="561"/>
      <c r="AU263" s="561"/>
      <c r="AV263" s="561"/>
      <c r="AW263" s="561"/>
      <c r="AX263" s="561"/>
      <c r="AY263" s="561"/>
      <c r="AZ263" s="561"/>
      <c r="BA263" s="561"/>
      <c r="BB263" s="561"/>
      <c r="BC263" s="561"/>
      <c r="BD263" s="561"/>
      <c r="BE263" s="561"/>
      <c r="BF263" s="561"/>
      <c r="BG263" s="561"/>
      <c r="BH263" s="561"/>
      <c r="BI263" s="566"/>
      <c r="BJ263" s="566"/>
      <c r="BK263" s="566"/>
      <c r="BL263" s="561"/>
      <c r="BM263" s="566"/>
      <c r="BN263" s="566"/>
      <c r="BO263" s="566"/>
      <c r="BP263" s="561"/>
      <c r="BQ263" s="566"/>
      <c r="BR263" s="566"/>
      <c r="BS263" s="566"/>
      <c r="BT263" s="562"/>
      <c r="BU263" s="562"/>
      <c r="BV263" s="561"/>
      <c r="BW263" s="561"/>
      <c r="BX263" s="561"/>
      <c r="BY263" s="561"/>
      <c r="BZ263" s="561"/>
      <c r="CA263" s="561"/>
      <c r="CB263" s="561"/>
      <c r="CC263" s="561"/>
      <c r="CD263" s="561"/>
      <c r="CE263" s="561"/>
      <c r="CF263" s="561"/>
      <c r="CG263" s="561"/>
      <c r="CH263" s="561"/>
      <c r="CI263" s="561"/>
      <c r="CJ263" s="561"/>
    </row>
    <row r="264" spans="1:88" s="493" customFormat="1" hidden="1" outlineLevel="1">
      <c r="A264" s="493" t="s">
        <v>63</v>
      </c>
      <c r="B264" s="561"/>
      <c r="C264" s="561"/>
      <c r="D264" s="561"/>
      <c r="E264" s="561"/>
      <c r="F264" s="561"/>
      <c r="G264" s="561"/>
      <c r="H264" s="561"/>
      <c r="I264" s="561"/>
      <c r="J264" s="561"/>
      <c r="K264" s="561"/>
      <c r="L264" s="561"/>
      <c r="M264" s="561"/>
      <c r="N264" s="561">
        <f t="shared" ref="N264:Q268" si="313">+N258/M258-1</f>
        <v>0.12346688470973022</v>
      </c>
      <c r="O264" s="561">
        <f t="shared" si="313"/>
        <v>-4.5851528384279527E-2</v>
      </c>
      <c r="P264" s="561">
        <f t="shared" si="313"/>
        <v>-0.10221205186880244</v>
      </c>
      <c r="Q264" s="561">
        <f t="shared" si="313"/>
        <v>7.3916737468139315E-2</v>
      </c>
      <c r="R264" s="561"/>
      <c r="S264" s="561"/>
      <c r="T264" s="561"/>
      <c r="U264" s="561"/>
      <c r="V264" s="561"/>
      <c r="W264" s="561"/>
      <c r="X264" s="561"/>
      <c r="Y264" s="561"/>
      <c r="Z264" s="561"/>
      <c r="AA264" s="561"/>
      <c r="AB264" s="562"/>
      <c r="AC264" s="561"/>
      <c r="AD264" s="561"/>
      <c r="AE264" s="561"/>
      <c r="AF264" s="561"/>
      <c r="AG264" s="561"/>
      <c r="AH264" s="561"/>
      <c r="AI264" s="561"/>
      <c r="AJ264" s="561"/>
      <c r="AK264" s="561"/>
      <c r="AL264" s="561"/>
      <c r="AM264" s="561"/>
      <c r="AN264" s="561"/>
      <c r="AO264" s="561"/>
      <c r="AP264" s="561"/>
      <c r="AQ264" s="561"/>
      <c r="AR264" s="561"/>
      <c r="AS264" s="561"/>
      <c r="AT264" s="561"/>
      <c r="AU264" s="561"/>
      <c r="AV264" s="561"/>
      <c r="AW264" s="561"/>
      <c r="AX264" s="561"/>
      <c r="AY264" s="561"/>
      <c r="AZ264" s="561"/>
      <c r="BA264" s="561"/>
      <c r="BB264" s="561"/>
      <c r="BC264" s="561"/>
      <c r="BD264" s="561"/>
      <c r="BE264" s="561"/>
      <c r="BF264" s="561"/>
      <c r="BG264" s="561"/>
      <c r="BH264" s="561"/>
      <c r="BI264" s="561"/>
      <c r="BJ264" s="561"/>
      <c r="BK264" s="561"/>
      <c r="BL264" s="561"/>
      <c r="BM264" s="561">
        <f t="shared" ref="BM264:CA268" si="314">+BM258/BI258-1</f>
        <v>7.7777777777777724E-2</v>
      </c>
      <c r="BN264" s="561">
        <f t="shared" si="314"/>
        <v>4.4117647058823595E-2</v>
      </c>
      <c r="BO264" s="561">
        <f t="shared" si="314"/>
        <v>-0.1517857142857143</v>
      </c>
      <c r="BP264" s="561">
        <f t="shared" si="314"/>
        <v>-0.16272189349112431</v>
      </c>
      <c r="BQ264" s="561">
        <f t="shared" si="314"/>
        <v>-0.14690721649484539</v>
      </c>
      <c r="BR264" s="561">
        <f t="shared" si="314"/>
        <v>-0.23098591549295777</v>
      </c>
      <c r="BS264" s="561">
        <f t="shared" si="314"/>
        <v>3.1578947368421151E-2</v>
      </c>
      <c r="BT264" s="561">
        <f t="shared" si="314"/>
        <v>-1.4134275618374548E-2</v>
      </c>
      <c r="BU264" s="561">
        <f t="shared" si="314"/>
        <v>-4.5317220543806602E-2</v>
      </c>
      <c r="BV264" s="561">
        <f t="shared" si="314"/>
        <v>-1.8315018315018361E-2</v>
      </c>
      <c r="BW264" s="561">
        <f t="shared" si="314"/>
        <v>0.21088435374149661</v>
      </c>
      <c r="BX264" s="561">
        <f t="shared" si="314"/>
        <v>0.16129032258064524</v>
      </c>
      <c r="BY264" s="561">
        <f t="shared" si="314"/>
        <v>6.3291139240506222E-2</v>
      </c>
      <c r="BZ264" s="561">
        <f t="shared" si="314"/>
        <v>0.10074626865671643</v>
      </c>
      <c r="CA264" s="561">
        <f t="shared" si="314"/>
        <v>1.1235955056179803E-2</v>
      </c>
      <c r="CB264" s="561"/>
      <c r="CC264" s="561"/>
      <c r="CD264" s="561"/>
      <c r="CE264" s="561"/>
      <c r="CF264" s="561"/>
      <c r="CG264" s="561"/>
      <c r="CH264" s="561"/>
      <c r="CI264" s="561"/>
      <c r="CJ264" s="561"/>
    </row>
    <row r="265" spans="1:88" s="493" customFormat="1" hidden="1" outlineLevel="1">
      <c r="A265" s="493" t="s">
        <v>64</v>
      </c>
      <c r="B265" s="561"/>
      <c r="C265" s="561"/>
      <c r="D265" s="561"/>
      <c r="E265" s="561"/>
      <c r="F265" s="561"/>
      <c r="G265" s="561"/>
      <c r="H265" s="561"/>
      <c r="I265" s="561"/>
      <c r="J265" s="561"/>
      <c r="K265" s="561"/>
      <c r="L265" s="561"/>
      <c r="M265" s="561"/>
      <c r="N265" s="561">
        <f t="shared" si="313"/>
        <v>4.4609665427509215E-2</v>
      </c>
      <c r="O265" s="561">
        <f t="shared" si="313"/>
        <v>-3.2028469750889688E-2</v>
      </c>
      <c r="P265" s="561">
        <f t="shared" si="313"/>
        <v>-4.7181372549019662E-2</v>
      </c>
      <c r="Q265" s="561">
        <f t="shared" si="313"/>
        <v>-7.1382636655948573E-2</v>
      </c>
      <c r="R265" s="561"/>
      <c r="S265" s="561"/>
      <c r="T265" s="561"/>
      <c r="U265" s="561"/>
      <c r="V265" s="561"/>
      <c r="W265" s="561"/>
      <c r="X265" s="561"/>
      <c r="Y265" s="561"/>
      <c r="Z265" s="561"/>
      <c r="AA265" s="561"/>
      <c r="AB265" s="562"/>
      <c r="AC265" s="561"/>
      <c r="AD265" s="561"/>
      <c r="AE265" s="561"/>
      <c r="AF265" s="561"/>
      <c r="AG265" s="561"/>
      <c r="AH265" s="561"/>
      <c r="AI265" s="561"/>
      <c r="AJ265" s="561"/>
      <c r="AK265" s="561"/>
      <c r="AL265" s="561"/>
      <c r="AM265" s="561"/>
      <c r="AN265" s="561"/>
      <c r="AO265" s="561"/>
      <c r="AP265" s="561"/>
      <c r="AQ265" s="561"/>
      <c r="AR265" s="561"/>
      <c r="AS265" s="561"/>
      <c r="AT265" s="561"/>
      <c r="AU265" s="561"/>
      <c r="AV265" s="561"/>
      <c r="AW265" s="561"/>
      <c r="AX265" s="561"/>
      <c r="AY265" s="561"/>
      <c r="AZ265" s="561"/>
      <c r="BA265" s="561"/>
      <c r="BB265" s="561"/>
      <c r="BC265" s="561"/>
      <c r="BD265" s="561"/>
      <c r="BE265" s="561"/>
      <c r="BF265" s="561"/>
      <c r="BG265" s="561"/>
      <c r="BH265" s="561"/>
      <c r="BI265" s="561"/>
      <c r="BJ265" s="561"/>
      <c r="BK265" s="561"/>
      <c r="BL265" s="561"/>
      <c r="BM265" s="561">
        <f t="shared" si="314"/>
        <v>-8.8300220750552327E-3</v>
      </c>
      <c r="BN265" s="561">
        <f t="shared" si="314"/>
        <v>2.8328611898017053E-2</v>
      </c>
      <c r="BO265" s="561">
        <f t="shared" si="314"/>
        <v>-4.3037974683544311E-2</v>
      </c>
      <c r="BP265" s="561">
        <f t="shared" si="314"/>
        <v>-8.8659793814433008E-2</v>
      </c>
      <c r="BQ265" s="561">
        <f t="shared" si="314"/>
        <v>-6.9042316258351888E-2</v>
      </c>
      <c r="BR265" s="561">
        <f t="shared" si="314"/>
        <v>-9.3663911845729975E-2</v>
      </c>
      <c r="BS265" s="561">
        <f t="shared" si="314"/>
        <v>7.9365079365079305E-2</v>
      </c>
      <c r="BT265" s="561">
        <f t="shared" si="314"/>
        <v>-9.5022624434389136E-2</v>
      </c>
      <c r="BU265" s="561">
        <f t="shared" si="314"/>
        <v>-3.8277511961722466E-2</v>
      </c>
      <c r="BV265" s="561">
        <f t="shared" si="314"/>
        <v>-8.2066869300911893E-2</v>
      </c>
      <c r="BW265" s="561">
        <f t="shared" si="314"/>
        <v>-9.3137254901960786E-2</v>
      </c>
      <c r="BX265" s="561">
        <f t="shared" si="314"/>
        <v>-7.4999999999999956E-2</v>
      </c>
      <c r="BY265" s="561">
        <f t="shared" si="314"/>
        <v>-2.2388059701492491E-2</v>
      </c>
      <c r="BZ265" s="561">
        <f t="shared" si="314"/>
        <v>1.655629139072845E-2</v>
      </c>
      <c r="CA265" s="561">
        <f t="shared" si="314"/>
        <v>4.8648648648648596E-2</v>
      </c>
      <c r="CB265" s="561"/>
      <c r="CC265" s="561"/>
      <c r="CD265" s="561"/>
      <c r="CE265" s="561"/>
      <c r="CF265" s="561"/>
      <c r="CG265" s="561"/>
      <c r="CH265" s="561"/>
      <c r="CI265" s="561"/>
      <c r="CJ265" s="561"/>
    </row>
    <row r="266" spans="1:88" s="493" customFormat="1" hidden="1" outlineLevel="1">
      <c r="A266" s="493" t="s">
        <v>65</v>
      </c>
      <c r="B266" s="561"/>
      <c r="C266" s="561"/>
      <c r="D266" s="561"/>
      <c r="E266" s="561"/>
      <c r="F266" s="561"/>
      <c r="G266" s="561"/>
      <c r="H266" s="561"/>
      <c r="I266" s="561"/>
      <c r="J266" s="561"/>
      <c r="K266" s="561"/>
      <c r="L266" s="561"/>
      <c r="M266" s="561"/>
      <c r="N266" s="561">
        <f t="shared" si="313"/>
        <v>-1.6411378555798661E-2</v>
      </c>
      <c r="O266" s="561">
        <f t="shared" si="313"/>
        <v>-5.5617352614015569E-2</v>
      </c>
      <c r="P266" s="561">
        <f t="shared" si="313"/>
        <v>-8.5983510011778508E-2</v>
      </c>
      <c r="Q266" s="561">
        <f t="shared" si="313"/>
        <v>-7.6030927835051498E-2</v>
      </c>
      <c r="R266" s="561"/>
      <c r="S266" s="561"/>
      <c r="T266" s="561"/>
      <c r="U266" s="561"/>
      <c r="V266" s="561"/>
      <c r="W266" s="561"/>
      <c r="X266" s="561"/>
      <c r="Y266" s="561"/>
      <c r="Z266" s="561"/>
      <c r="AA266" s="561"/>
      <c r="AB266" s="562"/>
      <c r="AC266" s="561"/>
      <c r="AD266" s="561"/>
      <c r="AE266" s="561"/>
      <c r="AF266" s="561"/>
      <c r="AG266" s="561"/>
      <c r="AH266" s="561"/>
      <c r="AI266" s="561"/>
      <c r="AJ266" s="561"/>
      <c r="AK266" s="561"/>
      <c r="AL266" s="561"/>
      <c r="AM266" s="561"/>
      <c r="AN266" s="561"/>
      <c r="AO266" s="561"/>
      <c r="AP266" s="561"/>
      <c r="AQ266" s="561"/>
      <c r="AR266" s="561"/>
      <c r="AS266" s="561"/>
      <c r="AT266" s="561"/>
      <c r="AU266" s="561"/>
      <c r="AV266" s="561"/>
      <c r="AW266" s="561"/>
      <c r="AX266" s="561"/>
      <c r="AY266" s="561"/>
      <c r="AZ266" s="561"/>
      <c r="BA266" s="561"/>
      <c r="BB266" s="561"/>
      <c r="BC266" s="561"/>
      <c r="BD266" s="561"/>
      <c r="BE266" s="561"/>
      <c r="BF266" s="561"/>
      <c r="BG266" s="561"/>
      <c r="BH266" s="561"/>
      <c r="BI266" s="561"/>
      <c r="BJ266" s="561"/>
      <c r="BK266" s="561"/>
      <c r="BL266" s="561"/>
      <c r="BM266" s="561">
        <f t="shared" si="314"/>
        <v>1.3698630136986356E-2</v>
      </c>
      <c r="BN266" s="561">
        <f t="shared" si="314"/>
        <v>-3.2710280373831724E-2</v>
      </c>
      <c r="BO266" s="561">
        <f t="shared" si="314"/>
        <v>-4.761904761904745E-3</v>
      </c>
      <c r="BP266" s="561">
        <f t="shared" si="314"/>
        <v>-0.17578125</v>
      </c>
      <c r="BQ266" s="561">
        <f t="shared" si="314"/>
        <v>-7.2072072072072113E-2</v>
      </c>
      <c r="BR266" s="561">
        <f t="shared" si="314"/>
        <v>-9.1787439613526534E-2</v>
      </c>
      <c r="BS266" s="561">
        <f t="shared" si="314"/>
        <v>-9.0909090909090939E-2</v>
      </c>
      <c r="BT266" s="561">
        <f t="shared" si="314"/>
        <v>-9.0047393364928952E-2</v>
      </c>
      <c r="BU266" s="561">
        <f t="shared" si="314"/>
        <v>-7.2815533980582492E-2</v>
      </c>
      <c r="BV266" s="561">
        <f t="shared" si="314"/>
        <v>0</v>
      </c>
      <c r="BW266" s="561">
        <f t="shared" si="314"/>
        <v>-9.9999999999999978E-2</v>
      </c>
      <c r="BX266" s="561">
        <f t="shared" si="314"/>
        <v>-0.13020833333333337</v>
      </c>
      <c r="BY266" s="561">
        <f t="shared" si="314"/>
        <v>-2.6178010471204161E-2</v>
      </c>
      <c r="BZ266" s="561">
        <f t="shared" si="314"/>
        <v>-5.3191489361702149E-2</v>
      </c>
      <c r="CA266" s="561">
        <f t="shared" si="314"/>
        <v>1.7543859649122862E-2</v>
      </c>
      <c r="CB266" s="561"/>
      <c r="CC266" s="561"/>
      <c r="CD266" s="561"/>
      <c r="CE266" s="561"/>
      <c r="CF266" s="561"/>
      <c r="CG266" s="561"/>
      <c r="CH266" s="561"/>
      <c r="CI266" s="561"/>
      <c r="CJ266" s="561"/>
    </row>
    <row r="267" spans="1:88" s="493" customFormat="1" hidden="1" outlineLevel="1">
      <c r="A267" s="493" t="s">
        <v>66</v>
      </c>
      <c r="B267" s="561"/>
      <c r="C267" s="561"/>
      <c r="D267" s="561"/>
      <c r="E267" s="561"/>
      <c r="F267" s="561"/>
      <c r="G267" s="561"/>
      <c r="H267" s="561"/>
      <c r="I267" s="561"/>
      <c r="J267" s="561"/>
      <c r="K267" s="561"/>
      <c r="L267" s="561"/>
      <c r="M267" s="561"/>
      <c r="N267" s="561">
        <f t="shared" si="313"/>
        <v>0.15561224489795911</v>
      </c>
      <c r="O267" s="561">
        <f t="shared" si="313"/>
        <v>3.7527593818984517E-2</v>
      </c>
      <c r="P267" s="561">
        <f t="shared" si="313"/>
        <v>-1.0638297872340385E-2</v>
      </c>
      <c r="Q267" s="561">
        <f t="shared" si="313"/>
        <v>-0.13763440860215059</v>
      </c>
      <c r="R267" s="561"/>
      <c r="S267" s="561"/>
      <c r="T267" s="561"/>
      <c r="U267" s="561"/>
      <c r="V267" s="561"/>
      <c r="W267" s="561"/>
      <c r="X267" s="561"/>
      <c r="Y267" s="561"/>
      <c r="Z267" s="561"/>
      <c r="AA267" s="561"/>
      <c r="AB267" s="562"/>
      <c r="AC267" s="561"/>
      <c r="AD267" s="561"/>
      <c r="AE267" s="561"/>
      <c r="AF267" s="561"/>
      <c r="AG267" s="561"/>
      <c r="AH267" s="561"/>
      <c r="AI267" s="561"/>
      <c r="AJ267" s="561"/>
      <c r="AK267" s="561"/>
      <c r="AL267" s="561"/>
      <c r="AM267" s="561"/>
      <c r="AN267" s="561"/>
      <c r="AO267" s="561"/>
      <c r="AP267" s="561"/>
      <c r="AQ267" s="561"/>
      <c r="AR267" s="561"/>
      <c r="AS267" s="561"/>
      <c r="AT267" s="561"/>
      <c r="AU267" s="561"/>
      <c r="AV267" s="561"/>
      <c r="AW267" s="561"/>
      <c r="AX267" s="561"/>
      <c r="AY267" s="561"/>
      <c r="AZ267" s="561"/>
      <c r="BA267" s="561"/>
      <c r="BB267" s="561"/>
      <c r="BC267" s="561"/>
      <c r="BD267" s="561"/>
      <c r="BE267" s="561"/>
      <c r="BF267" s="561"/>
      <c r="BG267" s="561"/>
      <c r="BH267" s="561"/>
      <c r="BI267" s="561"/>
      <c r="BJ267" s="561"/>
      <c r="BK267" s="561"/>
      <c r="BL267" s="561"/>
      <c r="BM267" s="561">
        <f t="shared" si="314"/>
        <v>0.14414414414414423</v>
      </c>
      <c r="BN267" s="561">
        <f t="shared" si="314"/>
        <v>9.8484848484848397E-2</v>
      </c>
      <c r="BO267" s="561">
        <f t="shared" si="314"/>
        <v>-3.8834951456310662E-2</v>
      </c>
      <c r="BP267" s="561">
        <f t="shared" si="314"/>
        <v>-7.4766355140186924E-2</v>
      </c>
      <c r="BQ267" s="561">
        <f t="shared" si="314"/>
        <v>-3.9370078740157521E-2</v>
      </c>
      <c r="BR267" s="561">
        <f t="shared" si="314"/>
        <v>-5.5172413793103448E-2</v>
      </c>
      <c r="BS267" s="561">
        <f t="shared" si="314"/>
        <v>1.0101010101010166E-2</v>
      </c>
      <c r="BT267" s="561">
        <f t="shared" si="314"/>
        <v>7.0707070707070718E-2</v>
      </c>
      <c r="BU267" s="561">
        <f t="shared" si="314"/>
        <v>-5.7377049180327822E-2</v>
      </c>
      <c r="BV267" s="561">
        <f t="shared" si="314"/>
        <v>-2.9197080291970767E-2</v>
      </c>
      <c r="BW267" s="561">
        <f t="shared" si="314"/>
        <v>-0.24</v>
      </c>
      <c r="BX267" s="561">
        <f t="shared" si="314"/>
        <v>-0.27358490566037741</v>
      </c>
      <c r="BY267" s="561">
        <f t="shared" si="314"/>
        <v>-0.16521739130434787</v>
      </c>
      <c r="BZ267" s="561">
        <f t="shared" si="314"/>
        <v>-0.15789473684210531</v>
      </c>
      <c r="CA267" s="561">
        <f t="shared" si="314"/>
        <v>1.3157894736842035E-2</v>
      </c>
      <c r="CB267" s="561"/>
      <c r="CC267" s="561"/>
      <c r="CD267" s="561"/>
      <c r="CE267" s="561"/>
      <c r="CF267" s="561"/>
      <c r="CG267" s="561"/>
      <c r="CH267" s="561"/>
      <c r="CI267" s="561"/>
      <c r="CJ267" s="561"/>
    </row>
    <row r="268" spans="1:88" s="493" customFormat="1" hidden="1" outlineLevel="1">
      <c r="A268" s="493" t="s">
        <v>67</v>
      </c>
      <c r="B268" s="561"/>
      <c r="C268" s="561"/>
      <c r="D268" s="561"/>
      <c r="E268" s="561"/>
      <c r="F268" s="561"/>
      <c r="G268" s="561"/>
      <c r="H268" s="561"/>
      <c r="I268" s="561"/>
      <c r="J268" s="561"/>
      <c r="K268" s="561"/>
      <c r="L268" s="561"/>
      <c r="M268" s="561"/>
      <c r="N268" s="561">
        <f t="shared" si="313"/>
        <v>4.2995839112343948E-2</v>
      </c>
      <c r="O268" s="561">
        <f t="shared" si="313"/>
        <v>-8.2446808510638347E-2</v>
      </c>
      <c r="P268" s="561">
        <f t="shared" si="313"/>
        <v>-8.4057971014492749E-2</v>
      </c>
      <c r="Q268" s="561">
        <f t="shared" si="313"/>
        <v>-0.15506329113924056</v>
      </c>
      <c r="R268" s="561"/>
      <c r="S268" s="561"/>
      <c r="T268" s="561"/>
      <c r="U268" s="561"/>
      <c r="V268" s="561"/>
      <c r="W268" s="561"/>
      <c r="X268" s="561"/>
      <c r="Y268" s="561"/>
      <c r="Z268" s="561"/>
      <c r="AA268" s="561"/>
      <c r="AB268" s="562"/>
      <c r="AC268" s="561"/>
      <c r="AD268" s="561"/>
      <c r="AE268" s="561"/>
      <c r="AF268" s="561"/>
      <c r="AG268" s="561"/>
      <c r="AH268" s="561"/>
      <c r="AI268" s="561"/>
      <c r="AJ268" s="561"/>
      <c r="AK268" s="561"/>
      <c r="AL268" s="561"/>
      <c r="AM268" s="561"/>
      <c r="AN268" s="561"/>
      <c r="AO268" s="561"/>
      <c r="AP268" s="561"/>
      <c r="AQ268" s="561"/>
      <c r="AR268" s="561"/>
      <c r="AS268" s="561"/>
      <c r="AT268" s="561"/>
      <c r="AU268" s="561"/>
      <c r="AV268" s="561"/>
      <c r="AW268" s="561"/>
      <c r="AX268" s="561"/>
      <c r="AY268" s="561"/>
      <c r="AZ268" s="561"/>
      <c r="BA268" s="561"/>
      <c r="BB268" s="561"/>
      <c r="BC268" s="561"/>
      <c r="BD268" s="561"/>
      <c r="BE268" s="561"/>
      <c r="BF268" s="561"/>
      <c r="BG268" s="561"/>
      <c r="BH268" s="561"/>
      <c r="BI268" s="561"/>
      <c r="BJ268" s="561"/>
      <c r="BK268" s="561"/>
      <c r="BL268" s="561"/>
      <c r="BM268" s="561">
        <f t="shared" si="314"/>
        <v>2.2598870056497189E-2</v>
      </c>
      <c r="BN268" s="561">
        <f t="shared" si="314"/>
        <v>-7.1038251366120186E-2</v>
      </c>
      <c r="BO268" s="561">
        <f t="shared" si="314"/>
        <v>-0.10326086956521741</v>
      </c>
      <c r="BP268" s="561">
        <f t="shared" si="314"/>
        <v>-0.16346153846153844</v>
      </c>
      <c r="BQ268" s="561">
        <f t="shared" si="314"/>
        <v>-0.1933701657458563</v>
      </c>
      <c r="BR268" s="561">
        <f t="shared" si="314"/>
        <v>-7.6470588235294068E-2</v>
      </c>
      <c r="BS268" s="561">
        <f t="shared" si="314"/>
        <v>-2.4242424242424288E-2</v>
      </c>
      <c r="BT268" s="561">
        <f t="shared" si="314"/>
        <v>-3.4482758620689613E-2</v>
      </c>
      <c r="BU268" s="561">
        <f t="shared" si="314"/>
        <v>-0.11643835616438358</v>
      </c>
      <c r="BV268" s="561">
        <f t="shared" si="314"/>
        <v>-0.15286624203821653</v>
      </c>
      <c r="BW268" s="561">
        <f t="shared" si="314"/>
        <v>-0.20496894409937894</v>
      </c>
      <c r="BX268" s="561">
        <f t="shared" si="314"/>
        <v>-0.1428571428571429</v>
      </c>
      <c r="BY268" s="561">
        <f t="shared" si="314"/>
        <v>-0.10077519379844957</v>
      </c>
      <c r="BZ268" s="561">
        <f t="shared" si="314"/>
        <v>-1.5037593984962405E-2</v>
      </c>
      <c r="CA268" s="561">
        <f t="shared" si="314"/>
        <v>7.8125E-3</v>
      </c>
      <c r="CB268" s="561"/>
      <c r="CC268" s="561"/>
      <c r="CD268" s="561"/>
      <c r="CE268" s="561"/>
      <c r="CF268" s="561"/>
      <c r="CG268" s="561"/>
      <c r="CH268" s="561"/>
      <c r="CI268" s="561"/>
      <c r="CJ268" s="561"/>
    </row>
    <row r="269" spans="1:88" s="493" customFormat="1" hidden="1" outlineLevel="1">
      <c r="A269" s="492" t="s">
        <v>69</v>
      </c>
      <c r="B269" s="561"/>
      <c r="C269" s="561"/>
      <c r="D269" s="561"/>
      <c r="E269" s="561"/>
      <c r="F269" s="561"/>
      <c r="G269" s="561"/>
      <c r="H269" s="561"/>
      <c r="I269" s="561"/>
      <c r="J269" s="561"/>
      <c r="K269" s="561"/>
      <c r="L269" s="561"/>
      <c r="M269" s="561"/>
      <c r="N269" s="561"/>
      <c r="O269" s="561"/>
      <c r="P269" s="561"/>
      <c r="Q269" s="561"/>
      <c r="R269" s="561"/>
      <c r="S269" s="561"/>
      <c r="T269" s="561"/>
      <c r="U269" s="561"/>
      <c r="V269" s="561"/>
      <c r="W269" s="561"/>
      <c r="X269" s="561"/>
      <c r="Y269" s="561"/>
      <c r="Z269" s="561"/>
      <c r="AA269" s="561"/>
      <c r="AB269" s="562"/>
      <c r="AC269" s="561"/>
      <c r="AD269" s="561"/>
      <c r="AE269" s="561"/>
      <c r="AF269" s="561"/>
      <c r="AG269" s="561"/>
      <c r="AH269" s="561"/>
      <c r="AI269" s="561"/>
      <c r="AJ269" s="561"/>
      <c r="AK269" s="561"/>
      <c r="AL269" s="561"/>
      <c r="AM269" s="561"/>
      <c r="AN269" s="561"/>
      <c r="AO269" s="561"/>
      <c r="AP269" s="561"/>
      <c r="AQ269" s="561"/>
      <c r="AR269" s="561"/>
      <c r="AS269" s="561"/>
      <c r="AT269" s="561"/>
      <c r="AU269" s="561"/>
      <c r="AV269" s="561"/>
      <c r="AW269" s="561"/>
      <c r="AX269" s="561"/>
      <c r="AY269" s="561"/>
      <c r="AZ269" s="561"/>
      <c r="BA269" s="561"/>
      <c r="BB269" s="561"/>
      <c r="BC269" s="561"/>
      <c r="BD269" s="561"/>
      <c r="BE269" s="561"/>
      <c r="BF269" s="561"/>
      <c r="BG269" s="561"/>
      <c r="BH269" s="561"/>
      <c r="BI269" s="561"/>
      <c r="BJ269" s="561"/>
      <c r="BK269" s="561"/>
      <c r="BL269" s="561"/>
      <c r="BM269" s="561"/>
      <c r="BN269" s="561"/>
      <c r="BO269" s="561"/>
      <c r="BP269" s="561"/>
      <c r="BQ269" s="561"/>
      <c r="BR269" s="561"/>
      <c r="BS269" s="561"/>
      <c r="BT269" s="561"/>
      <c r="BU269" s="561"/>
      <c r="BV269" s="561"/>
      <c r="BW269" s="561"/>
      <c r="BX269" s="561"/>
      <c r="BY269" s="561"/>
      <c r="BZ269" s="561"/>
      <c r="CA269" s="561"/>
      <c r="CB269" s="561"/>
      <c r="CC269" s="561"/>
      <c r="CD269" s="561"/>
      <c r="CE269" s="561"/>
      <c r="CF269" s="561"/>
      <c r="CG269" s="561"/>
      <c r="CH269" s="561"/>
      <c r="CI269" s="561"/>
      <c r="CJ269" s="561"/>
    </row>
    <row r="270" spans="1:88" s="493" customFormat="1" hidden="1" outlineLevel="1">
      <c r="A270" s="493" t="s">
        <v>63</v>
      </c>
      <c r="B270" s="561"/>
      <c r="C270" s="561"/>
      <c r="D270" s="561"/>
      <c r="E270" s="561"/>
      <c r="F270" s="561"/>
      <c r="G270" s="561"/>
      <c r="H270" s="561"/>
      <c r="I270" s="561"/>
      <c r="J270" s="561"/>
      <c r="K270" s="561"/>
      <c r="L270" s="561"/>
      <c r="M270" s="563">
        <f t="shared" ref="M270:P274" si="315">M258/SUM(M$258:M$262)</f>
        <v>0.25143914473684209</v>
      </c>
      <c r="N270" s="563">
        <f t="shared" si="315"/>
        <v>0.26607281177381875</v>
      </c>
      <c r="O270" s="563">
        <f t="shared" si="315"/>
        <v>0.26474151857835221</v>
      </c>
      <c r="P270" s="563">
        <f t="shared" si="315"/>
        <v>0.25559174809989144</v>
      </c>
      <c r="Q270" s="563">
        <f>Q258/SUM(Q$258:Q$262)</f>
        <v>0.28990825688073396</v>
      </c>
      <c r="R270" s="563"/>
      <c r="S270" s="561"/>
      <c r="T270" s="561"/>
      <c r="U270" s="561"/>
      <c r="V270" s="561"/>
      <c r="W270" s="561"/>
      <c r="X270" s="561"/>
      <c r="Y270" s="561"/>
      <c r="Z270" s="561"/>
      <c r="AA270" s="561"/>
      <c r="AB270" s="562"/>
      <c r="AC270" s="561"/>
      <c r="AD270" s="561"/>
      <c r="AE270" s="561"/>
      <c r="AF270" s="561"/>
      <c r="AG270" s="561"/>
      <c r="AH270" s="561"/>
      <c r="AI270" s="561"/>
      <c r="AJ270" s="561"/>
      <c r="AK270" s="561"/>
      <c r="AL270" s="561"/>
      <c r="AM270" s="561"/>
      <c r="AN270" s="561"/>
      <c r="AO270" s="561"/>
      <c r="AP270" s="561"/>
      <c r="AQ270" s="561"/>
      <c r="AR270" s="561"/>
      <c r="AS270" s="561"/>
      <c r="AT270" s="561"/>
      <c r="AU270" s="561"/>
      <c r="AV270" s="561"/>
      <c r="AW270" s="561"/>
      <c r="AX270" s="561"/>
      <c r="AY270" s="561"/>
      <c r="AZ270" s="561"/>
      <c r="BA270" s="561"/>
      <c r="BB270" s="561"/>
      <c r="BC270" s="561"/>
      <c r="BD270" s="561"/>
      <c r="BE270" s="561"/>
      <c r="BF270" s="561"/>
      <c r="BG270" s="561"/>
      <c r="BH270" s="561"/>
      <c r="BI270" s="563">
        <f t="shared" ref="BI270:BY270" si="316">+BI258/SUM(BI$258:BI$262)</f>
        <v>0.27272727272727271</v>
      </c>
      <c r="BJ270" s="563">
        <f t="shared" si="316"/>
        <v>0.27823240589198034</v>
      </c>
      <c r="BK270" s="563">
        <f t="shared" si="316"/>
        <v>0.2736156351791531</v>
      </c>
      <c r="BL270" s="563">
        <f t="shared" si="316"/>
        <v>0.242467718794835</v>
      </c>
      <c r="BM270" s="563">
        <f t="shared" si="316"/>
        <v>0.28383321141185075</v>
      </c>
      <c r="BN270" s="563">
        <f t="shared" si="316"/>
        <v>0.28629032258064518</v>
      </c>
      <c r="BO270" s="563">
        <f t="shared" si="316"/>
        <v>0.25088028169014087</v>
      </c>
      <c r="BP270" s="563">
        <f t="shared" si="316"/>
        <v>0.23407775020678245</v>
      </c>
      <c r="BQ270" s="563">
        <f t="shared" si="316"/>
        <v>0.27064595257563367</v>
      </c>
      <c r="BR270" s="563">
        <f t="shared" si="316"/>
        <v>0.25184501845018448</v>
      </c>
      <c r="BS270" s="563">
        <f t="shared" si="316"/>
        <v>0.25498699045967044</v>
      </c>
      <c r="BT270" s="563">
        <f t="shared" si="316"/>
        <v>0.24366812227074236</v>
      </c>
      <c r="BU270" s="563">
        <f t="shared" si="316"/>
        <v>0.2740676496097138</v>
      </c>
      <c r="BV270" s="563">
        <f t="shared" si="316"/>
        <v>0.26171875</v>
      </c>
      <c r="BW270" s="563">
        <f t="shared" si="316"/>
        <v>0.32334241598546776</v>
      </c>
      <c r="BX270" s="563">
        <f t="shared" si="316"/>
        <v>0.29944547134935307</v>
      </c>
      <c r="BY270" s="563">
        <f t="shared" si="316"/>
        <v>0.29813664596273293</v>
      </c>
      <c r="BZ270" s="563">
        <f t="shared" ref="BZ270:CA274" si="317">+BZ258/SUM(BZ$258:BZ$262)</f>
        <v>0.28836754643206258</v>
      </c>
      <c r="CA270" s="563">
        <f t="shared" si="317"/>
        <v>0.31914893617021278</v>
      </c>
      <c r="CB270" s="563"/>
      <c r="CC270" s="563"/>
      <c r="CD270" s="563"/>
      <c r="CE270" s="563"/>
      <c r="CF270" s="563"/>
      <c r="CG270" s="563"/>
      <c r="CH270" s="563"/>
      <c r="CI270" s="563"/>
      <c r="CJ270" s="563"/>
    </row>
    <row r="271" spans="1:88" s="493" customFormat="1" hidden="1" outlineLevel="1">
      <c r="A271" s="493" t="s">
        <v>64</v>
      </c>
      <c r="B271" s="561"/>
      <c r="C271" s="561"/>
      <c r="D271" s="561"/>
      <c r="E271" s="561"/>
      <c r="F271" s="561"/>
      <c r="G271" s="561"/>
      <c r="H271" s="561"/>
      <c r="I271" s="561"/>
      <c r="J271" s="561"/>
      <c r="K271" s="561"/>
      <c r="L271" s="561"/>
      <c r="M271" s="563">
        <f t="shared" si="315"/>
        <v>0.33182565789473684</v>
      </c>
      <c r="N271" s="563">
        <f t="shared" si="315"/>
        <v>0.32649109217660727</v>
      </c>
      <c r="O271" s="563">
        <f t="shared" si="315"/>
        <v>0.32956381260096929</v>
      </c>
      <c r="P271" s="563">
        <f t="shared" si="315"/>
        <v>0.33767643865363733</v>
      </c>
      <c r="Q271" s="563">
        <f>Q259/SUM(Q$258:Q$262)</f>
        <v>0.33119266055045871</v>
      </c>
      <c r="R271" s="563"/>
      <c r="S271" s="561"/>
      <c r="T271" s="561"/>
      <c r="U271" s="561"/>
      <c r="V271" s="561"/>
      <c r="W271" s="561"/>
      <c r="X271" s="561"/>
      <c r="Y271" s="561"/>
      <c r="Z271" s="561"/>
      <c r="AA271" s="561"/>
      <c r="AB271" s="562"/>
      <c r="AC271" s="561"/>
      <c r="AD271" s="561"/>
      <c r="AE271" s="561"/>
      <c r="AF271" s="561"/>
      <c r="AG271" s="561"/>
      <c r="AH271" s="561"/>
      <c r="AI271" s="561"/>
      <c r="AJ271" s="561"/>
      <c r="AK271" s="561"/>
      <c r="AL271" s="561"/>
      <c r="AM271" s="561"/>
      <c r="AN271" s="561"/>
      <c r="AO271" s="561"/>
      <c r="AP271" s="561"/>
      <c r="AQ271" s="561"/>
      <c r="AR271" s="561"/>
      <c r="AS271" s="561"/>
      <c r="AT271" s="561"/>
      <c r="AU271" s="561"/>
      <c r="AV271" s="561"/>
      <c r="AW271" s="561"/>
      <c r="AX271" s="561"/>
      <c r="AY271" s="561"/>
      <c r="AZ271" s="561"/>
      <c r="BA271" s="561"/>
      <c r="BB271" s="561"/>
      <c r="BC271" s="561"/>
      <c r="BD271" s="561"/>
      <c r="BE271" s="561"/>
      <c r="BF271" s="561"/>
      <c r="BG271" s="561"/>
      <c r="BH271" s="561"/>
      <c r="BI271" s="563">
        <f t="shared" ref="BI271:BY271" si="318">+BI259/SUM(BI$258:BI$262)</f>
        <v>0.3431818181818182</v>
      </c>
      <c r="BJ271" s="563">
        <f t="shared" si="318"/>
        <v>0.28887070376432078</v>
      </c>
      <c r="BK271" s="563">
        <f t="shared" si="318"/>
        <v>0.32166123778501626</v>
      </c>
      <c r="BL271" s="563">
        <f t="shared" si="318"/>
        <v>0.34791965566714489</v>
      </c>
      <c r="BM271" s="563">
        <f t="shared" si="318"/>
        <v>0.3284564740307242</v>
      </c>
      <c r="BN271" s="563">
        <f t="shared" si="318"/>
        <v>0.29274193548387095</v>
      </c>
      <c r="BO271" s="563">
        <f t="shared" si="318"/>
        <v>0.33274647887323944</v>
      </c>
      <c r="BP271" s="563">
        <f t="shared" si="318"/>
        <v>0.36559139784946237</v>
      </c>
      <c r="BQ271" s="563">
        <f t="shared" si="318"/>
        <v>0.34178250204415372</v>
      </c>
      <c r="BR271" s="563">
        <f t="shared" si="318"/>
        <v>0.30350553505535055</v>
      </c>
      <c r="BS271" s="563">
        <f t="shared" si="318"/>
        <v>0.35385949696444058</v>
      </c>
      <c r="BT271" s="563">
        <f t="shared" si="318"/>
        <v>0.34934497816593885</v>
      </c>
      <c r="BU271" s="563">
        <f t="shared" si="318"/>
        <v>0.34865568083261056</v>
      </c>
      <c r="BV271" s="563">
        <f t="shared" si="318"/>
        <v>0.294921875</v>
      </c>
      <c r="BW271" s="563">
        <f t="shared" si="318"/>
        <v>0.33605812897366033</v>
      </c>
      <c r="BX271" s="563">
        <f t="shared" si="318"/>
        <v>0.34195933456561922</v>
      </c>
      <c r="BY271" s="563">
        <f t="shared" si="318"/>
        <v>0.34871339840283938</v>
      </c>
      <c r="BZ271" s="563">
        <f t="shared" si="317"/>
        <v>0.30009775171065495</v>
      </c>
      <c r="CA271" s="563">
        <f t="shared" si="317"/>
        <v>0.34397163120567376</v>
      </c>
      <c r="CB271" s="563"/>
      <c r="CC271" s="563"/>
      <c r="CD271" s="563"/>
      <c r="CE271" s="563"/>
      <c r="CF271" s="563"/>
      <c r="CG271" s="563"/>
      <c r="CH271" s="563"/>
      <c r="CI271" s="563"/>
      <c r="CJ271" s="563"/>
    </row>
    <row r="272" spans="1:88" s="493" customFormat="1" hidden="1" outlineLevel="1">
      <c r="A272" s="493" t="s">
        <v>65</v>
      </c>
      <c r="B272" s="561"/>
      <c r="C272" s="561"/>
      <c r="D272" s="561"/>
      <c r="E272" s="561"/>
      <c r="F272" s="561"/>
      <c r="G272" s="561"/>
      <c r="H272" s="561"/>
      <c r="I272" s="561"/>
      <c r="J272" s="561"/>
      <c r="K272" s="561"/>
      <c r="L272" s="561"/>
      <c r="M272" s="563">
        <f t="shared" si="315"/>
        <v>0.18791118421052633</v>
      </c>
      <c r="N272" s="563">
        <f t="shared" si="315"/>
        <v>0.17408985282726569</v>
      </c>
      <c r="O272" s="563">
        <f t="shared" si="315"/>
        <v>0.17144588045234249</v>
      </c>
      <c r="P272" s="563">
        <f t="shared" si="315"/>
        <v>0.16851248642779587</v>
      </c>
      <c r="Q272" s="563">
        <f>Q260/SUM(Q$258:Q$262)</f>
        <v>0.16444954128440367</v>
      </c>
      <c r="R272" s="563"/>
      <c r="S272" s="561"/>
      <c r="T272" s="561"/>
      <c r="U272" s="561"/>
      <c r="V272" s="561"/>
      <c r="W272" s="561"/>
      <c r="X272" s="561"/>
      <c r="Y272" s="561"/>
      <c r="Z272" s="561"/>
      <c r="AA272" s="561"/>
      <c r="AB272" s="562"/>
      <c r="AC272" s="561"/>
      <c r="AD272" s="561"/>
      <c r="AE272" s="561"/>
      <c r="AF272" s="561"/>
      <c r="AG272" s="561"/>
      <c r="AH272" s="561"/>
      <c r="AI272" s="561"/>
      <c r="AJ272" s="561"/>
      <c r="AK272" s="561"/>
      <c r="AL272" s="561"/>
      <c r="AM272" s="561"/>
      <c r="AN272" s="561"/>
      <c r="AO272" s="561"/>
      <c r="AP272" s="561"/>
      <c r="AQ272" s="561"/>
      <c r="AR272" s="561"/>
      <c r="AS272" s="561"/>
      <c r="AT272" s="561"/>
      <c r="AU272" s="561"/>
      <c r="AV272" s="561"/>
      <c r="AW272" s="561"/>
      <c r="AX272" s="561"/>
      <c r="AY272" s="561"/>
      <c r="AZ272" s="561"/>
      <c r="BA272" s="561"/>
      <c r="BB272" s="561"/>
      <c r="BC272" s="561"/>
      <c r="BD272" s="561"/>
      <c r="BE272" s="561"/>
      <c r="BF272" s="561"/>
      <c r="BG272" s="561"/>
      <c r="BH272" s="561"/>
      <c r="BI272" s="563">
        <f t="shared" ref="BI272:BY272" si="319">+BI260/SUM(BI$258:BI$262)</f>
        <v>0.16590909090909092</v>
      </c>
      <c r="BJ272" s="563">
        <f t="shared" si="319"/>
        <v>0.17512274959083471</v>
      </c>
      <c r="BK272" s="563">
        <f t="shared" si="319"/>
        <v>0.17100977198697068</v>
      </c>
      <c r="BL272" s="563">
        <f t="shared" si="319"/>
        <v>0.18364418938307031</v>
      </c>
      <c r="BM272" s="563">
        <f t="shared" si="319"/>
        <v>0.16239941477688369</v>
      </c>
      <c r="BN272" s="563">
        <f t="shared" si="319"/>
        <v>0.16693548387096774</v>
      </c>
      <c r="BO272" s="563">
        <f t="shared" si="319"/>
        <v>0.18397887323943662</v>
      </c>
      <c r="BP272" s="563">
        <f t="shared" si="319"/>
        <v>0.17452440033085195</v>
      </c>
      <c r="BQ272" s="563">
        <f t="shared" si="319"/>
        <v>0.16843826655764513</v>
      </c>
      <c r="BR272" s="563">
        <f t="shared" si="319"/>
        <v>0.17343173431734318</v>
      </c>
      <c r="BS272" s="563">
        <f t="shared" si="319"/>
        <v>0.1647875108412836</v>
      </c>
      <c r="BT272" s="563">
        <f t="shared" si="319"/>
        <v>0.16768558951965065</v>
      </c>
      <c r="BU272" s="563">
        <f t="shared" si="319"/>
        <v>0.16565481352992195</v>
      </c>
      <c r="BV272" s="563">
        <f t="shared" si="319"/>
        <v>0.18359375</v>
      </c>
      <c r="BW272" s="563">
        <f t="shared" si="319"/>
        <v>0.15531335149863759</v>
      </c>
      <c r="BX272" s="563">
        <f t="shared" si="319"/>
        <v>0.15434380776340112</v>
      </c>
      <c r="BY272" s="563">
        <f t="shared" si="319"/>
        <v>0.1650399290150843</v>
      </c>
      <c r="BZ272" s="563">
        <f t="shared" si="317"/>
        <v>0.17399804496578691</v>
      </c>
      <c r="CA272" s="563">
        <f t="shared" si="317"/>
        <v>0.15425531914893617</v>
      </c>
      <c r="CB272" s="563"/>
      <c r="CC272" s="563"/>
      <c r="CD272" s="563"/>
      <c r="CE272" s="563"/>
      <c r="CF272" s="563"/>
      <c r="CG272" s="563"/>
      <c r="CH272" s="563"/>
      <c r="CI272" s="563"/>
      <c r="CJ272" s="563"/>
    </row>
    <row r="273" spans="1:256" s="493" customFormat="1" hidden="1" outlineLevel="1">
      <c r="A273" s="493" t="s">
        <v>66</v>
      </c>
      <c r="B273" s="561"/>
      <c r="C273" s="561"/>
      <c r="D273" s="561"/>
      <c r="E273" s="561"/>
      <c r="F273" s="561"/>
      <c r="G273" s="561"/>
      <c r="H273" s="561"/>
      <c r="I273" s="561"/>
      <c r="J273" s="561"/>
      <c r="K273" s="561"/>
      <c r="L273" s="561"/>
      <c r="M273" s="563">
        <f t="shared" si="315"/>
        <v>8.0592105263157895E-2</v>
      </c>
      <c r="N273" s="563">
        <f t="shared" si="315"/>
        <v>8.7722695584817975E-2</v>
      </c>
      <c r="O273" s="563">
        <f t="shared" si="315"/>
        <v>9.4911147011308566E-2</v>
      </c>
      <c r="P273" s="563">
        <f t="shared" si="315"/>
        <v>0.10097719869706841</v>
      </c>
      <c r="Q273" s="563">
        <f>Q261/SUM(Q$258:Q$262)</f>
        <v>9.1972477064220182E-2</v>
      </c>
      <c r="R273" s="563"/>
      <c r="S273" s="561"/>
      <c r="T273" s="561"/>
      <c r="U273" s="561"/>
      <c r="V273" s="561"/>
      <c r="W273" s="561"/>
      <c r="X273" s="561"/>
      <c r="Y273" s="561"/>
      <c r="Z273" s="561"/>
      <c r="AA273" s="561"/>
      <c r="AB273" s="562"/>
      <c r="AC273" s="561"/>
      <c r="AD273" s="561"/>
      <c r="AE273" s="561"/>
      <c r="AF273" s="561"/>
      <c r="AG273" s="561"/>
      <c r="AH273" s="561"/>
      <c r="AI273" s="561"/>
      <c r="AJ273" s="561"/>
      <c r="AK273" s="561"/>
      <c r="AL273" s="561"/>
      <c r="AM273" s="561"/>
      <c r="AN273" s="561"/>
      <c r="AO273" s="561"/>
      <c r="AP273" s="561"/>
      <c r="AQ273" s="561"/>
      <c r="AR273" s="561"/>
      <c r="AS273" s="561"/>
      <c r="AT273" s="561"/>
      <c r="AU273" s="561"/>
      <c r="AV273" s="561"/>
      <c r="AW273" s="561"/>
      <c r="AX273" s="561"/>
      <c r="AY273" s="561"/>
      <c r="AZ273" s="561"/>
      <c r="BA273" s="561"/>
      <c r="BB273" s="561"/>
      <c r="BC273" s="561"/>
      <c r="BD273" s="561"/>
      <c r="BE273" s="561"/>
      <c r="BF273" s="561"/>
      <c r="BG273" s="561"/>
      <c r="BH273" s="561"/>
      <c r="BI273" s="563">
        <f t="shared" ref="BI273:BY273" si="320">+BI261/SUM(BI$258:BI$262)</f>
        <v>8.4090909090909091E-2</v>
      </c>
      <c r="BJ273" s="563">
        <f t="shared" si="320"/>
        <v>0.10801963993453355</v>
      </c>
      <c r="BK273" s="563">
        <f t="shared" si="320"/>
        <v>8.3876221498371331E-2</v>
      </c>
      <c r="BL273" s="563">
        <f t="shared" si="320"/>
        <v>7.675753228120516E-2</v>
      </c>
      <c r="BM273" s="563">
        <f t="shared" si="320"/>
        <v>9.2904169714703735E-2</v>
      </c>
      <c r="BN273" s="563">
        <f t="shared" si="320"/>
        <v>0.11693548387096774</v>
      </c>
      <c r="BO273" s="563">
        <f t="shared" si="320"/>
        <v>8.7147887323943657E-2</v>
      </c>
      <c r="BP273" s="563">
        <f t="shared" si="320"/>
        <v>8.1885856079404462E-2</v>
      </c>
      <c r="BQ273" s="563">
        <f t="shared" si="320"/>
        <v>9.9754701553556827E-2</v>
      </c>
      <c r="BR273" s="563">
        <f t="shared" si="320"/>
        <v>0.12638376383763839</v>
      </c>
      <c r="BS273" s="563">
        <f t="shared" si="320"/>
        <v>8.6730268863833476E-2</v>
      </c>
      <c r="BT273" s="563">
        <f t="shared" si="320"/>
        <v>9.2576419213973804E-2</v>
      </c>
      <c r="BU273" s="563">
        <f t="shared" si="320"/>
        <v>9.9739809193408496E-2</v>
      </c>
      <c r="BV273" s="563">
        <f t="shared" si="320"/>
        <v>0.1298828125</v>
      </c>
      <c r="BW273" s="563">
        <f t="shared" si="320"/>
        <v>6.9028156221616718E-2</v>
      </c>
      <c r="BX273" s="563">
        <f t="shared" si="320"/>
        <v>7.1164510166358594E-2</v>
      </c>
      <c r="BY273" s="563">
        <f t="shared" si="320"/>
        <v>8.5181898846495116E-2</v>
      </c>
      <c r="BZ273" s="563">
        <f t="shared" si="317"/>
        <v>0.10948191593352884</v>
      </c>
      <c r="CA273" s="563">
        <f t="shared" si="317"/>
        <v>6.8262411347517732E-2</v>
      </c>
      <c r="CB273" s="563"/>
      <c r="CC273" s="563"/>
      <c r="CD273" s="563"/>
      <c r="CE273" s="563"/>
      <c r="CF273" s="563"/>
      <c r="CG273" s="563"/>
      <c r="CH273" s="563"/>
      <c r="CI273" s="563"/>
      <c r="CJ273" s="563"/>
    </row>
    <row r="274" spans="1:256" s="493" customFormat="1" hidden="1" outlineLevel="1">
      <c r="A274" s="493" t="s">
        <v>67</v>
      </c>
      <c r="B274" s="561"/>
      <c r="C274" s="561"/>
      <c r="D274" s="561"/>
      <c r="E274" s="561"/>
      <c r="F274" s="561"/>
      <c r="G274" s="561"/>
      <c r="H274" s="561"/>
      <c r="I274" s="561"/>
      <c r="J274" s="561"/>
      <c r="K274" s="561"/>
      <c r="L274" s="561"/>
      <c r="M274" s="563">
        <f t="shared" si="315"/>
        <v>0.14823190789473684</v>
      </c>
      <c r="N274" s="563">
        <f t="shared" si="315"/>
        <v>0.14562354763749033</v>
      </c>
      <c r="O274" s="563">
        <f t="shared" si="315"/>
        <v>0.13933764135702748</v>
      </c>
      <c r="P274" s="563">
        <f t="shared" si="315"/>
        <v>0.13724212812160694</v>
      </c>
      <c r="Q274" s="563">
        <f>Q262/SUM(Q$258:Q$262)</f>
        <v>0.12247706422018349</v>
      </c>
      <c r="R274" s="563"/>
      <c r="S274" s="561"/>
      <c r="T274" s="561"/>
      <c r="U274" s="561"/>
      <c r="V274" s="561"/>
      <c r="W274" s="561"/>
      <c r="X274" s="561"/>
      <c r="Y274" s="561"/>
      <c r="Z274" s="561"/>
      <c r="AA274" s="561"/>
      <c r="AB274" s="562"/>
      <c r="AC274" s="561"/>
      <c r="AD274" s="561"/>
      <c r="AE274" s="561"/>
      <c r="AF274" s="561"/>
      <c r="AG274" s="561"/>
      <c r="AH274" s="561"/>
      <c r="AI274" s="561"/>
      <c r="AJ274" s="561"/>
      <c r="AK274" s="561"/>
      <c r="AL274" s="561"/>
      <c r="AM274" s="561"/>
      <c r="AN274" s="561"/>
      <c r="AO274" s="561"/>
      <c r="AP274" s="561"/>
      <c r="AQ274" s="561"/>
      <c r="AR274" s="561"/>
      <c r="AS274" s="561"/>
      <c r="AT274" s="561"/>
      <c r="AU274" s="561"/>
      <c r="AV274" s="561"/>
      <c r="AW274" s="561"/>
      <c r="AX274" s="561"/>
      <c r="AY274" s="561"/>
      <c r="AZ274" s="561"/>
      <c r="BA274" s="561"/>
      <c r="BB274" s="561"/>
      <c r="BC274" s="561"/>
      <c r="BD274" s="561"/>
      <c r="BE274" s="561"/>
      <c r="BF274" s="561"/>
      <c r="BG274" s="561"/>
      <c r="BH274" s="561"/>
      <c r="BI274" s="563">
        <f t="shared" ref="BI274:BY274" si="321">+BI262/SUM(BI$258:BI$262)</f>
        <v>0.13409090909090909</v>
      </c>
      <c r="BJ274" s="563">
        <f t="shared" si="321"/>
        <v>0.14975450081833061</v>
      </c>
      <c r="BK274" s="563">
        <f t="shared" si="321"/>
        <v>0.14983713355048861</v>
      </c>
      <c r="BL274" s="563">
        <f t="shared" si="321"/>
        <v>0.14921090387374461</v>
      </c>
      <c r="BM274" s="563">
        <f t="shared" si="321"/>
        <v>0.13240673006583761</v>
      </c>
      <c r="BN274" s="563">
        <f t="shared" si="321"/>
        <v>0.13709677419354838</v>
      </c>
      <c r="BO274" s="563">
        <f t="shared" si="321"/>
        <v>0.14524647887323944</v>
      </c>
      <c r="BP274" s="563">
        <f t="shared" si="321"/>
        <v>0.14392059553349876</v>
      </c>
      <c r="BQ274" s="563">
        <f t="shared" si="321"/>
        <v>0.11937857726901063</v>
      </c>
      <c r="BR274" s="563">
        <f t="shared" si="321"/>
        <v>0.1448339483394834</v>
      </c>
      <c r="BS274" s="563">
        <f t="shared" si="321"/>
        <v>0.13963573287077191</v>
      </c>
      <c r="BT274" s="563">
        <f t="shared" si="321"/>
        <v>0.14672489082969431</v>
      </c>
      <c r="BU274" s="563">
        <f t="shared" si="321"/>
        <v>0.11188204683434519</v>
      </c>
      <c r="BV274" s="563">
        <f t="shared" si="321"/>
        <v>0.1298828125</v>
      </c>
      <c r="BW274" s="563">
        <f t="shared" si="321"/>
        <v>0.11625794732061762</v>
      </c>
      <c r="BX274" s="563">
        <f t="shared" si="321"/>
        <v>0.13308687615526801</v>
      </c>
      <c r="BY274" s="563">
        <f t="shared" si="321"/>
        <v>0.10292812777284827</v>
      </c>
      <c r="BZ274" s="563">
        <f t="shared" si="317"/>
        <v>0.12805474095796676</v>
      </c>
      <c r="CA274" s="563">
        <f t="shared" si="317"/>
        <v>0.11436170212765957</v>
      </c>
      <c r="CB274" s="563"/>
      <c r="CC274" s="563"/>
      <c r="CD274" s="563"/>
      <c r="CE274" s="563"/>
      <c r="CF274" s="563"/>
      <c r="CG274" s="563"/>
      <c r="CH274" s="563"/>
      <c r="CI274" s="563"/>
      <c r="CJ274" s="563"/>
    </row>
    <row r="275" spans="1:256" s="493" customFormat="1" collapsed="1">
      <c r="B275" s="561"/>
      <c r="C275" s="561"/>
      <c r="D275" s="561"/>
      <c r="E275" s="561"/>
      <c r="F275" s="561"/>
      <c r="G275" s="561"/>
      <c r="H275" s="561"/>
      <c r="I275" s="561"/>
      <c r="J275" s="561"/>
      <c r="K275" s="561"/>
      <c r="L275" s="561"/>
      <c r="M275" s="561"/>
      <c r="N275" s="561"/>
      <c r="O275" s="561"/>
      <c r="P275" s="561"/>
      <c r="Q275" s="561"/>
      <c r="R275" s="561"/>
      <c r="S275" s="561"/>
      <c r="T275" s="561"/>
      <c r="U275" s="561"/>
      <c r="V275" s="561"/>
      <c r="W275" s="561"/>
      <c r="X275" s="561"/>
      <c r="Y275" s="561"/>
      <c r="Z275" s="561"/>
      <c r="AA275" s="561"/>
      <c r="AB275" s="562"/>
      <c r="AC275" s="561"/>
      <c r="AD275" s="561"/>
      <c r="AE275" s="561"/>
      <c r="AF275" s="561"/>
      <c r="AG275" s="561"/>
      <c r="AH275" s="561"/>
      <c r="AI275" s="561"/>
      <c r="AJ275" s="561"/>
      <c r="AK275" s="561"/>
      <c r="AL275" s="561"/>
      <c r="AM275" s="561"/>
      <c r="AN275" s="561"/>
      <c r="AO275" s="561"/>
      <c r="AP275" s="561"/>
      <c r="AQ275" s="561"/>
      <c r="AR275" s="561"/>
      <c r="AS275" s="561"/>
      <c r="AT275" s="561"/>
      <c r="AU275" s="561"/>
      <c r="AV275" s="561"/>
      <c r="AW275" s="561"/>
      <c r="AX275" s="561"/>
      <c r="AY275" s="561"/>
      <c r="AZ275" s="561"/>
      <c r="BA275" s="561"/>
      <c r="BB275" s="561"/>
      <c r="BC275" s="561"/>
      <c r="BD275" s="561"/>
      <c r="BE275" s="561"/>
      <c r="BF275" s="561"/>
      <c r="BG275" s="561"/>
      <c r="BH275" s="561"/>
      <c r="BI275" s="561"/>
      <c r="BJ275" s="561"/>
      <c r="BK275" s="561"/>
      <c r="BL275" s="561"/>
      <c r="BM275" s="561"/>
      <c r="BN275" s="561"/>
      <c r="BO275" s="561"/>
      <c r="BP275" s="561"/>
      <c r="BQ275" s="561"/>
      <c r="BR275" s="561"/>
      <c r="BS275" s="561"/>
      <c r="BT275" s="561"/>
      <c r="BU275" s="561"/>
      <c r="BV275" s="561"/>
      <c r="BW275" s="561"/>
      <c r="BX275" s="561"/>
      <c r="BY275" s="561"/>
      <c r="BZ275" s="561"/>
      <c r="CA275" s="561"/>
      <c r="CB275" s="561"/>
      <c r="CC275" s="561"/>
      <c r="CD275" s="561"/>
      <c r="CE275" s="561"/>
      <c r="CF275" s="561"/>
      <c r="CG275" s="561"/>
      <c r="CH275" s="561"/>
      <c r="CI275" s="561"/>
      <c r="CJ275" s="561"/>
    </row>
    <row r="276" spans="1:256" s="493" customFormat="1">
      <c r="A276" s="25" t="s">
        <v>577</v>
      </c>
      <c r="B276" s="561"/>
      <c r="C276" s="561"/>
      <c r="D276" s="561"/>
      <c r="E276" s="561"/>
      <c r="F276" s="561"/>
      <c r="G276" s="561"/>
      <c r="H276" s="561"/>
      <c r="I276" s="561"/>
      <c r="J276" s="561"/>
      <c r="K276" s="561"/>
      <c r="L276" s="561"/>
      <c r="M276" s="561"/>
      <c r="N276" s="561"/>
      <c r="O276" s="518"/>
      <c r="P276" s="518"/>
      <c r="Q276" s="518"/>
      <c r="R276" s="518"/>
      <c r="S276" s="518"/>
      <c r="T276" s="518"/>
      <c r="U276" s="518"/>
      <c r="V276" s="561"/>
      <c r="W276" s="561"/>
      <c r="X276" s="561"/>
      <c r="Y276" s="561"/>
      <c r="Z276" s="561"/>
      <c r="AA276" s="561"/>
      <c r="AB276" s="562"/>
      <c r="AC276" s="561"/>
      <c r="AD276" s="561"/>
      <c r="AE276" s="561"/>
      <c r="AF276" s="561"/>
      <c r="AG276" s="561"/>
      <c r="AH276" s="561"/>
      <c r="AI276" s="561"/>
      <c r="AJ276" s="561"/>
      <c r="AK276" s="561"/>
      <c r="AL276" s="561"/>
      <c r="AM276" s="561"/>
      <c r="AN276" s="561"/>
      <c r="AO276" s="561"/>
      <c r="AP276" s="561"/>
      <c r="AQ276" s="561"/>
      <c r="AR276" s="561"/>
      <c r="AS276" s="561"/>
      <c r="AT276" s="561"/>
      <c r="AU276" s="561"/>
      <c r="AV276" s="561"/>
      <c r="AW276" s="561"/>
      <c r="AX276" s="561"/>
      <c r="AY276" s="561"/>
      <c r="AZ276" s="561"/>
      <c r="BA276" s="561"/>
      <c r="BB276" s="561"/>
      <c r="BC276" s="561"/>
      <c r="BD276" s="561"/>
      <c r="BE276" s="561"/>
      <c r="BF276" s="561"/>
      <c r="BG276" s="561"/>
      <c r="BH276" s="561"/>
      <c r="BI276" s="561"/>
      <c r="BJ276" s="561"/>
      <c r="BK276" s="561"/>
      <c r="BL276" s="561"/>
      <c r="BM276" s="561"/>
      <c r="BN276" s="561"/>
      <c r="BO276" s="561"/>
      <c r="BP276" s="561"/>
      <c r="BQ276" s="561"/>
      <c r="BR276" s="561"/>
      <c r="BS276" s="561"/>
      <c r="BT276" s="561"/>
      <c r="BU276" s="518"/>
      <c r="BV276" s="518"/>
      <c r="BW276" s="518"/>
      <c r="BX276" s="518"/>
      <c r="BY276" s="518"/>
      <c r="BZ276" s="518"/>
      <c r="CA276" s="518"/>
      <c r="CB276" s="518"/>
      <c r="CC276" s="518"/>
      <c r="CD276" s="518"/>
      <c r="CE276" s="518"/>
      <c r="CF276" s="518"/>
      <c r="CG276" s="518"/>
      <c r="CH276" s="518"/>
      <c r="CI276" s="518"/>
      <c r="CJ276" s="518"/>
    </row>
    <row r="277" spans="1:256" s="493" customFormat="1">
      <c r="A277" s="28" t="s">
        <v>63</v>
      </c>
      <c r="B277" s="561"/>
      <c r="C277" s="561"/>
      <c r="D277" s="561"/>
      <c r="E277" s="561"/>
      <c r="F277" s="561"/>
      <c r="G277" s="561"/>
      <c r="H277" s="561"/>
      <c r="I277" s="561"/>
      <c r="J277" s="561"/>
      <c r="K277" s="561"/>
      <c r="L277" s="561"/>
      <c r="M277" s="561"/>
      <c r="N277" s="561"/>
      <c r="O277" s="564"/>
      <c r="P277" s="564">
        <v>1442</v>
      </c>
      <c r="Q277" s="564">
        <v>1539</v>
      </c>
      <c r="R277" s="564">
        <v>1588</v>
      </c>
      <c r="S277" s="556">
        <v>1634</v>
      </c>
      <c r="T277" s="556"/>
      <c r="U277" s="556"/>
      <c r="V277" s="556"/>
      <c r="W277" s="556"/>
      <c r="X277" s="556"/>
      <c r="Y277" s="556"/>
      <c r="Z277" s="556"/>
      <c r="AA277" s="556"/>
      <c r="AB277" s="558"/>
      <c r="AC277" s="556"/>
      <c r="AD277" s="556"/>
      <c r="AE277" s="556"/>
      <c r="AF277" s="556"/>
      <c r="AG277" s="556"/>
      <c r="AH277" s="556"/>
      <c r="AI277" s="556"/>
      <c r="AJ277" s="556"/>
      <c r="AK277" s="556"/>
      <c r="AL277" s="556"/>
      <c r="AM277" s="556"/>
      <c r="AN277" s="556"/>
      <c r="AO277" s="556"/>
      <c r="AP277" s="556"/>
      <c r="AQ277" s="556"/>
      <c r="AR277" s="556"/>
      <c r="AS277" s="556"/>
      <c r="AT277" s="556"/>
      <c r="AU277" s="556"/>
      <c r="AV277" s="556"/>
      <c r="AW277" s="556"/>
      <c r="AX277" s="556"/>
      <c r="AY277" s="556"/>
      <c r="AZ277" s="556"/>
      <c r="BA277" s="556"/>
      <c r="BB277" s="556"/>
      <c r="BC277" s="556"/>
      <c r="BD277" s="556"/>
      <c r="BE277" s="556"/>
      <c r="BF277" s="556"/>
      <c r="BG277" s="556"/>
      <c r="BH277" s="556"/>
      <c r="BI277" s="557"/>
      <c r="BJ277" s="557"/>
      <c r="BK277" s="557"/>
      <c r="BL277" s="556"/>
      <c r="BM277" s="557"/>
      <c r="BN277" s="557"/>
      <c r="BO277" s="557"/>
      <c r="BP277" s="556"/>
      <c r="BQ277" s="557"/>
      <c r="BR277" s="557"/>
      <c r="BS277" s="557"/>
      <c r="BT277" s="558"/>
      <c r="BU277" s="557"/>
      <c r="BV277" s="557"/>
      <c r="BW277" s="557"/>
      <c r="BX277" s="558"/>
      <c r="BY277" s="716">
        <v>407</v>
      </c>
      <c r="BZ277" s="716">
        <v>356</v>
      </c>
      <c r="CA277" s="716">
        <v>416</v>
      </c>
      <c r="CB277" s="716">
        <f>+R277-SUM(BY277:CA277)</f>
        <v>409</v>
      </c>
      <c r="CC277" s="716">
        <v>399</v>
      </c>
      <c r="CD277" s="716">
        <v>355</v>
      </c>
      <c r="CE277" s="716">
        <v>444</v>
      </c>
      <c r="CF277" s="561"/>
      <c r="CG277" s="561"/>
      <c r="CH277" s="561"/>
      <c r="CI277" s="561"/>
      <c r="CJ277" s="561"/>
    </row>
    <row r="278" spans="1:256" s="493" customFormat="1">
      <c r="A278" s="28" t="s">
        <v>64</v>
      </c>
      <c r="B278" s="561"/>
      <c r="C278" s="561"/>
      <c r="D278" s="561"/>
      <c r="E278" s="561"/>
      <c r="F278" s="561"/>
      <c r="G278" s="561"/>
      <c r="H278" s="561"/>
      <c r="I278" s="561"/>
      <c r="J278" s="561"/>
      <c r="K278" s="561"/>
      <c r="L278" s="561"/>
      <c r="M278" s="561"/>
      <c r="N278" s="561"/>
      <c r="O278" s="564"/>
      <c r="P278" s="564">
        <v>2073</v>
      </c>
      <c r="Q278" s="564">
        <v>1928</v>
      </c>
      <c r="R278" s="564">
        <v>1901</v>
      </c>
      <c r="S278" s="556">
        <v>2011</v>
      </c>
      <c r="T278" s="556"/>
      <c r="U278" s="556"/>
      <c r="V278" s="556"/>
      <c r="W278" s="556"/>
      <c r="X278" s="556"/>
      <c r="Y278" s="556"/>
      <c r="Z278" s="556"/>
      <c r="AA278" s="556"/>
      <c r="AB278" s="558"/>
      <c r="AC278" s="556"/>
      <c r="AD278" s="556"/>
      <c r="AE278" s="556"/>
      <c r="AF278" s="556"/>
      <c r="AG278" s="556"/>
      <c r="AH278" s="556"/>
      <c r="AI278" s="556"/>
      <c r="AJ278" s="556"/>
      <c r="AK278" s="556"/>
      <c r="AL278" s="556"/>
      <c r="AM278" s="556"/>
      <c r="AN278" s="556"/>
      <c r="AO278" s="556"/>
      <c r="AP278" s="556"/>
      <c r="AQ278" s="556"/>
      <c r="AR278" s="556"/>
      <c r="AS278" s="556"/>
      <c r="AT278" s="556"/>
      <c r="AU278" s="556"/>
      <c r="AV278" s="556"/>
      <c r="AW278" s="556"/>
      <c r="AX278" s="556"/>
      <c r="AY278" s="556"/>
      <c r="AZ278" s="556"/>
      <c r="BA278" s="556"/>
      <c r="BB278" s="556"/>
      <c r="BC278" s="556"/>
      <c r="BD278" s="556"/>
      <c r="BE278" s="556"/>
      <c r="BF278" s="556"/>
      <c r="BG278" s="556"/>
      <c r="BH278" s="556"/>
      <c r="BI278" s="557"/>
      <c r="BJ278" s="557"/>
      <c r="BK278" s="557"/>
      <c r="BL278" s="556"/>
      <c r="BM278" s="557"/>
      <c r="BN278" s="557"/>
      <c r="BO278" s="557"/>
      <c r="BP278" s="556"/>
      <c r="BQ278" s="557"/>
      <c r="BR278" s="557"/>
      <c r="BS278" s="557"/>
      <c r="BT278" s="558"/>
      <c r="BU278" s="557"/>
      <c r="BV278" s="557"/>
      <c r="BW278" s="557"/>
      <c r="BX278" s="558"/>
      <c r="BY278" s="716">
        <v>493</v>
      </c>
      <c r="BZ278" s="716">
        <v>392</v>
      </c>
      <c r="CA278" s="716">
        <v>508</v>
      </c>
      <c r="CB278" s="716">
        <f>+R278-SUM(BY278:CA278)</f>
        <v>508</v>
      </c>
      <c r="CC278" s="716">
        <v>515</v>
      </c>
      <c r="CD278" s="716">
        <v>425</v>
      </c>
      <c r="CE278" s="716">
        <v>520</v>
      </c>
      <c r="CF278" s="561"/>
      <c r="CG278" s="561"/>
      <c r="CH278" s="561"/>
      <c r="CI278" s="561"/>
      <c r="CJ278" s="561"/>
    </row>
    <row r="279" spans="1:256" s="493" customFormat="1">
      <c r="A279" s="28" t="s">
        <v>65</v>
      </c>
      <c r="B279" s="561"/>
      <c r="C279" s="561"/>
      <c r="D279" s="561"/>
      <c r="E279" s="561"/>
      <c r="F279" s="561"/>
      <c r="G279" s="561"/>
      <c r="H279" s="561"/>
      <c r="I279" s="561"/>
      <c r="J279" s="561"/>
      <c r="K279" s="561"/>
      <c r="L279" s="561"/>
      <c r="M279" s="561"/>
      <c r="N279" s="561"/>
      <c r="O279" s="564"/>
      <c r="P279" s="564">
        <v>1098</v>
      </c>
      <c r="Q279" s="564">
        <v>1003</v>
      </c>
      <c r="R279" s="564">
        <v>953</v>
      </c>
      <c r="S279" s="556">
        <v>919</v>
      </c>
      <c r="T279" s="556"/>
      <c r="U279" s="556"/>
      <c r="V279" s="556"/>
      <c r="W279" s="556"/>
      <c r="X279" s="556"/>
      <c r="Y279" s="556"/>
      <c r="Z279" s="556"/>
      <c r="AA279" s="556"/>
      <c r="AB279" s="558"/>
      <c r="AC279" s="556"/>
      <c r="AD279" s="556"/>
      <c r="AE279" s="556"/>
      <c r="AF279" s="556"/>
      <c r="AG279" s="556"/>
      <c r="AH279" s="556"/>
      <c r="AI279" s="556"/>
      <c r="AJ279" s="556"/>
      <c r="AK279" s="556"/>
      <c r="AL279" s="556"/>
      <c r="AM279" s="556"/>
      <c r="AN279" s="556"/>
      <c r="AO279" s="556"/>
      <c r="AP279" s="556"/>
      <c r="AQ279" s="556"/>
      <c r="AR279" s="556"/>
      <c r="AS279" s="556"/>
      <c r="AT279" s="556"/>
      <c r="AU279" s="556"/>
      <c r="AV279" s="556"/>
      <c r="AW279" s="556"/>
      <c r="AX279" s="556"/>
      <c r="AY279" s="556"/>
      <c r="AZ279" s="556"/>
      <c r="BA279" s="556"/>
      <c r="BB279" s="556"/>
      <c r="BC279" s="556"/>
      <c r="BD279" s="556"/>
      <c r="BE279" s="556"/>
      <c r="BF279" s="556"/>
      <c r="BG279" s="556"/>
      <c r="BH279" s="556"/>
      <c r="BI279" s="557"/>
      <c r="BJ279" s="557"/>
      <c r="BK279" s="557"/>
      <c r="BL279" s="556"/>
      <c r="BM279" s="557"/>
      <c r="BN279" s="557"/>
      <c r="BO279" s="557"/>
      <c r="BP279" s="556"/>
      <c r="BQ279" s="557"/>
      <c r="BR279" s="557"/>
      <c r="BS279" s="557"/>
      <c r="BT279" s="558"/>
      <c r="BU279" s="557"/>
      <c r="BV279" s="557"/>
      <c r="BW279" s="557"/>
      <c r="BX279" s="558"/>
      <c r="BY279" s="716">
        <v>256</v>
      </c>
      <c r="BZ279" s="716">
        <v>250</v>
      </c>
      <c r="CA279" s="716">
        <v>239</v>
      </c>
      <c r="CB279" s="716">
        <f>+R279-SUM(BY279:CA279)</f>
        <v>208</v>
      </c>
      <c r="CC279" s="716">
        <v>229</v>
      </c>
      <c r="CD279" s="716">
        <v>238</v>
      </c>
      <c r="CE279" s="716">
        <v>228</v>
      </c>
      <c r="CF279" s="561"/>
      <c r="CG279" s="561"/>
      <c r="CH279" s="561"/>
      <c r="CI279" s="561"/>
      <c r="CJ279" s="561"/>
    </row>
    <row r="280" spans="1:256" s="493" customFormat="1">
      <c r="A280" s="28" t="s">
        <v>66</v>
      </c>
      <c r="B280" s="561"/>
      <c r="C280" s="561"/>
      <c r="D280" s="561"/>
      <c r="E280" s="561"/>
      <c r="F280" s="561"/>
      <c r="G280" s="561"/>
      <c r="H280" s="561"/>
      <c r="I280" s="561"/>
      <c r="J280" s="561"/>
      <c r="K280" s="561"/>
      <c r="L280" s="561"/>
      <c r="M280" s="561"/>
      <c r="N280" s="561"/>
      <c r="O280" s="564"/>
      <c r="P280" s="564">
        <v>836</v>
      </c>
      <c r="Q280" s="564">
        <v>730</v>
      </c>
      <c r="R280" s="564">
        <v>611</v>
      </c>
      <c r="S280" s="556">
        <v>569</v>
      </c>
      <c r="T280" s="556"/>
      <c r="U280" s="556"/>
      <c r="V280" s="556"/>
      <c r="W280" s="556"/>
      <c r="X280" s="556"/>
      <c r="Y280" s="556"/>
      <c r="Z280" s="556"/>
      <c r="AA280" s="556"/>
      <c r="AB280" s="558"/>
      <c r="AC280" s="556"/>
      <c r="AD280" s="556"/>
      <c r="AE280" s="556"/>
      <c r="AF280" s="556"/>
      <c r="AG280" s="556"/>
      <c r="AH280" s="556"/>
      <c r="AI280" s="556"/>
      <c r="AJ280" s="556"/>
      <c r="AK280" s="556"/>
      <c r="AL280" s="556"/>
      <c r="AM280" s="556"/>
      <c r="AN280" s="556"/>
      <c r="AO280" s="556"/>
      <c r="AP280" s="556"/>
      <c r="AQ280" s="556"/>
      <c r="AR280" s="556"/>
      <c r="AS280" s="556"/>
      <c r="AT280" s="556"/>
      <c r="AU280" s="556"/>
      <c r="AV280" s="556"/>
      <c r="AW280" s="556"/>
      <c r="AX280" s="556"/>
      <c r="AY280" s="556"/>
      <c r="AZ280" s="556"/>
      <c r="BA280" s="556"/>
      <c r="BB280" s="556"/>
      <c r="BC280" s="556"/>
      <c r="BD280" s="556"/>
      <c r="BE280" s="556"/>
      <c r="BF280" s="556"/>
      <c r="BG280" s="556"/>
      <c r="BH280" s="556"/>
      <c r="BI280" s="557"/>
      <c r="BJ280" s="557"/>
      <c r="BK280" s="557"/>
      <c r="BL280" s="556"/>
      <c r="BM280" s="557"/>
      <c r="BN280" s="557"/>
      <c r="BO280" s="557"/>
      <c r="BP280" s="556"/>
      <c r="BQ280" s="557"/>
      <c r="BR280" s="557"/>
      <c r="BS280" s="557"/>
      <c r="BT280" s="558"/>
      <c r="BU280" s="557"/>
      <c r="BV280" s="557"/>
      <c r="BW280" s="557"/>
      <c r="BX280" s="558"/>
      <c r="BY280" s="716">
        <v>177</v>
      </c>
      <c r="BZ280" s="716">
        <v>229</v>
      </c>
      <c r="CA280" s="716">
        <v>107</v>
      </c>
      <c r="CB280" s="716">
        <f>+R280-SUM(BY280:CA280)</f>
        <v>98</v>
      </c>
      <c r="CC280" s="716">
        <v>173</v>
      </c>
      <c r="CD280" s="716">
        <v>189</v>
      </c>
      <c r="CE280" s="716">
        <v>104</v>
      </c>
      <c r="CF280" s="561"/>
      <c r="CG280" s="561"/>
      <c r="CH280" s="561"/>
      <c r="CI280" s="561"/>
      <c r="CJ280" s="561"/>
    </row>
    <row r="281" spans="1:256" s="493" customFormat="1">
      <c r="A281" s="28" t="s">
        <v>67</v>
      </c>
      <c r="B281" s="561"/>
      <c r="C281" s="561"/>
      <c r="D281" s="561"/>
      <c r="E281" s="561"/>
      <c r="F281" s="561"/>
      <c r="G281" s="561"/>
      <c r="H281" s="561"/>
      <c r="I281" s="561"/>
      <c r="J281" s="561"/>
      <c r="K281" s="561"/>
      <c r="L281" s="561"/>
      <c r="M281" s="561"/>
      <c r="N281" s="561"/>
      <c r="O281" s="564"/>
      <c r="P281" s="564">
        <v>918</v>
      </c>
      <c r="Q281" s="564">
        <v>802</v>
      </c>
      <c r="R281" s="564">
        <v>763</v>
      </c>
      <c r="S281" s="556">
        <v>606</v>
      </c>
      <c r="T281" s="556"/>
      <c r="U281" s="556"/>
      <c r="V281" s="556"/>
      <c r="W281" s="556"/>
      <c r="X281" s="556"/>
      <c r="Y281" s="556"/>
      <c r="Z281" s="556"/>
      <c r="AA281" s="556"/>
      <c r="AB281" s="558"/>
      <c r="AC281" s="556"/>
      <c r="AD281" s="556"/>
      <c r="AE281" s="556"/>
      <c r="AF281" s="556"/>
      <c r="AG281" s="556"/>
      <c r="AH281" s="556"/>
      <c r="AI281" s="556"/>
      <c r="AJ281" s="556"/>
      <c r="AK281" s="556"/>
      <c r="AL281" s="556"/>
      <c r="AM281" s="556"/>
      <c r="AN281" s="556"/>
      <c r="AO281" s="556"/>
      <c r="AP281" s="556"/>
      <c r="AQ281" s="556"/>
      <c r="AR281" s="556"/>
      <c r="AS281" s="556"/>
      <c r="AT281" s="556"/>
      <c r="AU281" s="556"/>
      <c r="AV281" s="556"/>
      <c r="AW281" s="556"/>
      <c r="AX281" s="556"/>
      <c r="AY281" s="556"/>
      <c r="AZ281" s="556"/>
      <c r="BA281" s="556"/>
      <c r="BB281" s="556"/>
      <c r="BC281" s="556"/>
      <c r="BD281" s="556"/>
      <c r="BE281" s="556"/>
      <c r="BF281" s="556"/>
      <c r="BG281" s="556"/>
      <c r="BH281" s="556"/>
      <c r="BI281" s="557"/>
      <c r="BJ281" s="557"/>
      <c r="BK281" s="557"/>
      <c r="BL281" s="556"/>
      <c r="BM281" s="557"/>
      <c r="BN281" s="557"/>
      <c r="BO281" s="557"/>
      <c r="BP281" s="556"/>
      <c r="BQ281" s="557"/>
      <c r="BR281" s="557"/>
      <c r="BS281" s="557"/>
      <c r="BT281" s="558"/>
      <c r="BU281" s="557"/>
      <c r="BV281" s="557"/>
      <c r="BW281" s="557"/>
      <c r="BX281" s="558"/>
      <c r="BY281" s="716">
        <v>182</v>
      </c>
      <c r="BZ281" s="716">
        <v>219</v>
      </c>
      <c r="CA281" s="716">
        <v>173</v>
      </c>
      <c r="CB281" s="716">
        <f>+R281-SUM(BY281:CA281)</f>
        <v>189</v>
      </c>
      <c r="CC281" s="716">
        <v>175</v>
      </c>
      <c r="CD281" s="716">
        <v>187</v>
      </c>
      <c r="CE281" s="716">
        <v>109</v>
      </c>
      <c r="CF281" s="561"/>
      <c r="CG281" s="561"/>
      <c r="CH281" s="561"/>
      <c r="CI281" s="561"/>
      <c r="CJ281" s="561"/>
    </row>
    <row r="282" spans="1:256" s="494" customFormat="1">
      <c r="A282" s="494" t="s">
        <v>189</v>
      </c>
      <c r="B282" s="567"/>
      <c r="C282" s="567"/>
      <c r="D282" s="567"/>
      <c r="E282" s="567"/>
      <c r="F282" s="567"/>
      <c r="G282" s="567"/>
      <c r="H282" s="567"/>
      <c r="I282" s="567"/>
      <c r="J282" s="567"/>
      <c r="K282" s="567"/>
      <c r="L282" s="567"/>
      <c r="M282" s="567"/>
      <c r="N282" s="567"/>
      <c r="O282" s="567"/>
      <c r="P282" s="539">
        <f>+SUM(P277:P281)</f>
        <v>6367</v>
      </c>
      <c r="Q282" s="539">
        <f>+SUM(Q277:Q281)</f>
        <v>6002</v>
      </c>
      <c r="R282" s="539">
        <f>+SUM(R277:R281)</f>
        <v>5816</v>
      </c>
      <c r="S282" s="539">
        <f>+SUM(S277:S281)</f>
        <v>5739</v>
      </c>
      <c r="T282" s="567"/>
      <c r="U282" s="567"/>
      <c r="V282" s="567"/>
      <c r="W282" s="567"/>
      <c r="X282" s="567"/>
      <c r="Y282" s="567"/>
      <c r="Z282" s="567"/>
      <c r="AA282" s="567"/>
      <c r="AB282" s="568"/>
      <c r="AC282" s="567"/>
      <c r="AD282" s="567"/>
      <c r="AE282" s="567"/>
      <c r="AF282" s="567"/>
      <c r="AG282" s="567"/>
      <c r="AH282" s="567"/>
      <c r="AI282" s="567"/>
      <c r="AJ282" s="567"/>
      <c r="AK282" s="567"/>
      <c r="AL282" s="567"/>
      <c r="AM282" s="567"/>
      <c r="AN282" s="567"/>
      <c r="AO282" s="567"/>
      <c r="AP282" s="567"/>
      <c r="AQ282" s="567"/>
      <c r="AR282" s="567"/>
      <c r="AS282" s="567"/>
      <c r="AT282" s="567"/>
      <c r="AU282" s="567"/>
      <c r="AV282" s="567"/>
      <c r="AW282" s="567"/>
      <c r="AX282" s="567"/>
      <c r="AY282" s="567"/>
      <c r="AZ282" s="567"/>
      <c r="BA282" s="567"/>
      <c r="BB282" s="567"/>
      <c r="BC282" s="567"/>
      <c r="BD282" s="567"/>
      <c r="BE282" s="567"/>
      <c r="BF282" s="567"/>
      <c r="BG282" s="567"/>
      <c r="BH282" s="567"/>
      <c r="BI282" s="567"/>
      <c r="BJ282" s="567"/>
      <c r="BK282" s="567"/>
      <c r="BL282" s="567"/>
      <c r="BM282" s="567"/>
      <c r="BN282" s="567"/>
      <c r="BO282" s="567"/>
      <c r="BP282" s="567"/>
      <c r="BQ282" s="567"/>
      <c r="BR282" s="567"/>
      <c r="BS282" s="567"/>
      <c r="BT282" s="568"/>
      <c r="BU282" s="568"/>
      <c r="BV282" s="567"/>
      <c r="BW282" s="567"/>
      <c r="BX282" s="567"/>
      <c r="BY282" s="539">
        <f t="shared" ref="BY282:CE282" si="322">+SUM(BY277:BY281)</f>
        <v>1515</v>
      </c>
      <c r="BZ282" s="539">
        <f t="shared" si="322"/>
        <v>1446</v>
      </c>
      <c r="CA282" s="539">
        <f t="shared" si="322"/>
        <v>1443</v>
      </c>
      <c r="CB282" s="539">
        <f t="shared" si="322"/>
        <v>1412</v>
      </c>
      <c r="CC282" s="539">
        <f t="shared" si="322"/>
        <v>1491</v>
      </c>
      <c r="CD282" s="539">
        <f t="shared" si="322"/>
        <v>1394</v>
      </c>
      <c r="CE282" s="539">
        <f t="shared" si="322"/>
        <v>1405</v>
      </c>
      <c r="CF282" s="567"/>
      <c r="CG282" s="567"/>
      <c r="CH282" s="567"/>
      <c r="CI282" s="567"/>
      <c r="CJ282" s="567"/>
      <c r="IV282" s="539"/>
    </row>
    <row r="283" spans="1:256" s="494" customFormat="1">
      <c r="A283" s="492" t="s">
        <v>68</v>
      </c>
      <c r="B283" s="567"/>
      <c r="C283" s="567"/>
      <c r="D283" s="567"/>
      <c r="E283" s="567"/>
      <c r="F283" s="567"/>
      <c r="G283" s="567"/>
      <c r="H283" s="567"/>
      <c r="I283" s="567"/>
      <c r="J283" s="567"/>
      <c r="K283" s="567"/>
      <c r="L283" s="567"/>
      <c r="M283" s="567"/>
      <c r="N283" s="567"/>
      <c r="O283" s="567"/>
      <c r="P283" s="539"/>
      <c r="Q283" s="539"/>
      <c r="R283" s="539"/>
      <c r="S283" s="539"/>
      <c r="T283" s="567"/>
      <c r="U283" s="567"/>
      <c r="V283" s="567"/>
      <c r="W283" s="567"/>
      <c r="X283" s="567"/>
      <c r="Y283" s="567"/>
      <c r="Z283" s="567"/>
      <c r="AA283" s="567"/>
      <c r="AB283" s="568"/>
      <c r="AC283" s="567"/>
      <c r="AD283" s="567"/>
      <c r="AE283" s="567"/>
      <c r="AF283" s="567"/>
      <c r="AG283" s="567"/>
      <c r="AH283" s="567"/>
      <c r="AI283" s="567"/>
      <c r="AJ283" s="567"/>
      <c r="AK283" s="567"/>
      <c r="AL283" s="567"/>
      <c r="AM283" s="567"/>
      <c r="AN283" s="567"/>
      <c r="AO283" s="567"/>
      <c r="AP283" s="567"/>
      <c r="AQ283" s="567"/>
      <c r="AR283" s="567"/>
      <c r="AS283" s="567"/>
      <c r="AT283" s="567"/>
      <c r="AU283" s="567"/>
      <c r="AV283" s="567"/>
      <c r="AW283" s="567"/>
      <c r="AX283" s="567"/>
      <c r="AY283" s="567"/>
      <c r="AZ283" s="567"/>
      <c r="BA283" s="567"/>
      <c r="BB283" s="567"/>
      <c r="BC283" s="567"/>
      <c r="BD283" s="567"/>
      <c r="BE283" s="567"/>
      <c r="BF283" s="567"/>
      <c r="BG283" s="567"/>
      <c r="BH283" s="567"/>
      <c r="BI283" s="567"/>
      <c r="BJ283" s="567"/>
      <c r="BK283" s="567"/>
      <c r="BL283" s="567"/>
      <c r="BM283" s="567"/>
      <c r="BN283" s="567"/>
      <c r="BO283" s="567"/>
      <c r="BP283" s="567"/>
      <c r="BQ283" s="567"/>
      <c r="BR283" s="567"/>
      <c r="BS283" s="567"/>
      <c r="BT283" s="568"/>
      <c r="BU283" s="568"/>
      <c r="BV283" s="567"/>
      <c r="BW283" s="567"/>
      <c r="BX283" s="567"/>
      <c r="BY283" s="567"/>
      <c r="BZ283" s="567"/>
      <c r="CA283" s="567"/>
      <c r="CB283" s="567"/>
      <c r="CC283" s="567"/>
      <c r="CD283" s="567"/>
      <c r="CE283" s="567"/>
      <c r="CF283" s="567"/>
      <c r="CG283" s="567"/>
      <c r="CH283" s="567"/>
      <c r="CI283" s="567"/>
      <c r="CJ283" s="567"/>
    </row>
    <row r="284" spans="1:256" s="493" customFormat="1">
      <c r="A284" s="493" t="s">
        <v>63</v>
      </c>
      <c r="B284" s="561"/>
      <c r="C284" s="561"/>
      <c r="D284" s="561"/>
      <c r="E284" s="561"/>
      <c r="F284" s="561"/>
      <c r="G284" s="561"/>
      <c r="H284" s="561"/>
      <c r="I284" s="561"/>
      <c r="J284" s="561"/>
      <c r="K284" s="561"/>
      <c r="L284" s="561"/>
      <c r="M284" s="561"/>
      <c r="N284" s="561"/>
      <c r="O284" s="561"/>
      <c r="P284" s="561"/>
      <c r="Q284" s="561">
        <f t="shared" ref="Q284:S288" si="323">+Q277/P277-1</f>
        <v>6.7267683772538112E-2</v>
      </c>
      <c r="R284" s="561">
        <f t="shared" si="323"/>
        <v>3.1838856400259852E-2</v>
      </c>
      <c r="S284" s="561">
        <f t="shared" si="323"/>
        <v>2.8967254408060361E-2</v>
      </c>
      <c r="T284" s="561"/>
      <c r="U284" s="561"/>
      <c r="V284" s="561"/>
      <c r="W284" s="561"/>
      <c r="X284" s="561"/>
      <c r="Y284" s="561"/>
      <c r="Z284" s="561"/>
      <c r="AA284" s="561"/>
      <c r="AB284" s="562"/>
      <c r="AC284" s="561"/>
      <c r="AD284" s="561"/>
      <c r="AE284" s="561"/>
      <c r="AF284" s="561"/>
      <c r="AG284" s="561"/>
      <c r="AH284" s="561"/>
      <c r="AI284" s="561"/>
      <c r="AJ284" s="561"/>
      <c r="AK284" s="561"/>
      <c r="AL284" s="561"/>
      <c r="AM284" s="561"/>
      <c r="AN284" s="561"/>
      <c r="AO284" s="561"/>
      <c r="AP284" s="561"/>
      <c r="AQ284" s="561"/>
      <c r="AR284" s="561"/>
      <c r="AS284" s="561"/>
      <c r="AT284" s="561"/>
      <c r="AU284" s="561"/>
      <c r="AV284" s="561"/>
      <c r="AW284" s="561"/>
      <c r="AX284" s="561"/>
      <c r="AY284" s="561"/>
      <c r="AZ284" s="561"/>
      <c r="BA284" s="561"/>
      <c r="BB284" s="561"/>
      <c r="BC284" s="561"/>
      <c r="BD284" s="561"/>
      <c r="BE284" s="561"/>
      <c r="BF284" s="561"/>
      <c r="BG284" s="561"/>
      <c r="BH284" s="561"/>
      <c r="BI284" s="561"/>
      <c r="BJ284" s="561"/>
      <c r="BK284" s="561"/>
      <c r="BL284" s="561"/>
      <c r="BM284" s="561"/>
      <c r="BN284" s="561"/>
      <c r="BO284" s="561"/>
      <c r="BP284" s="561"/>
      <c r="BQ284" s="561"/>
      <c r="BR284" s="561"/>
      <c r="BS284" s="561"/>
      <c r="BT284" s="561"/>
      <c r="BU284" s="561"/>
      <c r="BV284" s="561"/>
      <c r="BW284" s="561"/>
      <c r="BX284" s="561"/>
      <c r="BY284" s="561"/>
      <c r="BZ284" s="561"/>
      <c r="CA284" s="561"/>
      <c r="CB284" s="561"/>
      <c r="CC284" s="561">
        <f t="shared" ref="CC284:CE288" si="324">+CC277/BY277-1</f>
        <v>-1.9656019656019708E-2</v>
      </c>
      <c r="CD284" s="561">
        <f t="shared" si="324"/>
        <v>-2.8089887640448952E-3</v>
      </c>
      <c r="CE284" s="561">
        <f t="shared" si="324"/>
        <v>6.7307692307692291E-2</v>
      </c>
      <c r="CF284" s="561"/>
      <c r="CG284" s="561"/>
      <c r="CH284" s="561"/>
      <c r="CI284" s="561"/>
      <c r="CJ284" s="561"/>
    </row>
    <row r="285" spans="1:256" s="493" customFormat="1">
      <c r="A285" s="493" t="s">
        <v>64</v>
      </c>
      <c r="B285" s="561"/>
      <c r="C285" s="561"/>
      <c r="D285" s="561"/>
      <c r="E285" s="561"/>
      <c r="F285" s="561"/>
      <c r="G285" s="561"/>
      <c r="H285" s="561"/>
      <c r="I285" s="561"/>
      <c r="J285" s="561"/>
      <c r="K285" s="561"/>
      <c r="L285" s="561"/>
      <c r="M285" s="561"/>
      <c r="N285" s="561"/>
      <c r="O285" s="561"/>
      <c r="P285" s="561"/>
      <c r="Q285" s="561">
        <f t="shared" si="323"/>
        <v>-6.99469368065605E-2</v>
      </c>
      <c r="R285" s="561">
        <f t="shared" si="323"/>
        <v>-1.4004149377593311E-2</v>
      </c>
      <c r="S285" s="561">
        <f t="shared" si="323"/>
        <v>5.7864281956864883E-2</v>
      </c>
      <c r="T285" s="561"/>
      <c r="U285" s="561"/>
      <c r="V285" s="561"/>
      <c r="W285" s="561"/>
      <c r="X285" s="561"/>
      <c r="Y285" s="561"/>
      <c r="Z285" s="561"/>
      <c r="AA285" s="561"/>
      <c r="AB285" s="562"/>
      <c r="AC285" s="561"/>
      <c r="AD285" s="561"/>
      <c r="AE285" s="561"/>
      <c r="AF285" s="561"/>
      <c r="AG285" s="561"/>
      <c r="AH285" s="561"/>
      <c r="AI285" s="561"/>
      <c r="AJ285" s="561"/>
      <c r="AK285" s="561"/>
      <c r="AL285" s="561"/>
      <c r="AM285" s="561"/>
      <c r="AN285" s="561"/>
      <c r="AO285" s="561"/>
      <c r="AP285" s="561"/>
      <c r="AQ285" s="561"/>
      <c r="AR285" s="561"/>
      <c r="AS285" s="561"/>
      <c r="AT285" s="561"/>
      <c r="AU285" s="561"/>
      <c r="AV285" s="561"/>
      <c r="AW285" s="561"/>
      <c r="AX285" s="561"/>
      <c r="AY285" s="561"/>
      <c r="AZ285" s="561"/>
      <c r="BA285" s="561"/>
      <c r="BB285" s="561"/>
      <c r="BC285" s="561"/>
      <c r="BD285" s="561"/>
      <c r="BE285" s="561"/>
      <c r="BF285" s="561"/>
      <c r="BG285" s="561"/>
      <c r="BH285" s="561"/>
      <c r="BI285" s="561"/>
      <c r="BJ285" s="561"/>
      <c r="BK285" s="561"/>
      <c r="BL285" s="561"/>
      <c r="BM285" s="561"/>
      <c r="BN285" s="561"/>
      <c r="BO285" s="561"/>
      <c r="BP285" s="561"/>
      <c r="BQ285" s="561"/>
      <c r="BR285" s="561"/>
      <c r="BS285" s="561"/>
      <c r="BT285" s="561"/>
      <c r="BU285" s="561"/>
      <c r="BV285" s="561"/>
      <c r="BW285" s="561"/>
      <c r="BX285" s="561"/>
      <c r="BY285" s="561"/>
      <c r="BZ285" s="561"/>
      <c r="CA285" s="561"/>
      <c r="CB285" s="561"/>
      <c r="CC285" s="561">
        <f t="shared" si="324"/>
        <v>4.4624746450304231E-2</v>
      </c>
      <c r="CD285" s="561">
        <f t="shared" si="324"/>
        <v>8.418367346938771E-2</v>
      </c>
      <c r="CE285" s="561">
        <f t="shared" si="324"/>
        <v>2.3622047244094446E-2</v>
      </c>
      <c r="CF285" s="561"/>
      <c r="CG285" s="561"/>
      <c r="CH285" s="561"/>
      <c r="CI285" s="561"/>
      <c r="CJ285" s="561"/>
    </row>
    <row r="286" spans="1:256" s="493" customFormat="1">
      <c r="A286" s="493" t="s">
        <v>65</v>
      </c>
      <c r="B286" s="561"/>
      <c r="C286" s="561"/>
      <c r="D286" s="561"/>
      <c r="E286" s="561"/>
      <c r="F286" s="561"/>
      <c r="G286" s="561"/>
      <c r="H286" s="561"/>
      <c r="I286" s="561"/>
      <c r="J286" s="561"/>
      <c r="K286" s="561"/>
      <c r="L286" s="561"/>
      <c r="M286" s="561"/>
      <c r="N286" s="561"/>
      <c r="O286" s="561"/>
      <c r="P286" s="561"/>
      <c r="Q286" s="561">
        <f t="shared" si="323"/>
        <v>-8.6520947176684904E-2</v>
      </c>
      <c r="R286" s="561">
        <f t="shared" si="323"/>
        <v>-4.9850448654037871E-2</v>
      </c>
      <c r="S286" s="561">
        <f t="shared" si="323"/>
        <v>-3.5676810073452248E-2</v>
      </c>
      <c r="T286" s="561"/>
      <c r="U286" s="561"/>
      <c r="V286" s="561"/>
      <c r="W286" s="561"/>
      <c r="X286" s="561"/>
      <c r="Y286" s="561"/>
      <c r="Z286" s="561"/>
      <c r="AA286" s="561"/>
      <c r="AB286" s="562"/>
      <c r="AC286" s="561"/>
      <c r="AD286" s="561"/>
      <c r="AE286" s="561"/>
      <c r="AF286" s="561"/>
      <c r="AG286" s="561"/>
      <c r="AH286" s="561"/>
      <c r="AI286" s="561"/>
      <c r="AJ286" s="561"/>
      <c r="AK286" s="561"/>
      <c r="AL286" s="561"/>
      <c r="AM286" s="561"/>
      <c r="AN286" s="561"/>
      <c r="AO286" s="561"/>
      <c r="AP286" s="561"/>
      <c r="AQ286" s="561"/>
      <c r="AR286" s="561"/>
      <c r="AS286" s="561"/>
      <c r="AT286" s="561"/>
      <c r="AU286" s="561"/>
      <c r="AV286" s="561"/>
      <c r="AW286" s="561"/>
      <c r="AX286" s="561"/>
      <c r="AY286" s="561"/>
      <c r="AZ286" s="561"/>
      <c r="BA286" s="561"/>
      <c r="BB286" s="561"/>
      <c r="BC286" s="561"/>
      <c r="BD286" s="561"/>
      <c r="BE286" s="561"/>
      <c r="BF286" s="561"/>
      <c r="BG286" s="561"/>
      <c r="BH286" s="561"/>
      <c r="BI286" s="561"/>
      <c r="BJ286" s="561"/>
      <c r="BK286" s="561"/>
      <c r="BL286" s="561"/>
      <c r="BM286" s="561"/>
      <c r="BN286" s="561"/>
      <c r="BO286" s="561"/>
      <c r="BP286" s="561"/>
      <c r="BQ286" s="561"/>
      <c r="BR286" s="561"/>
      <c r="BS286" s="561"/>
      <c r="BT286" s="561"/>
      <c r="BU286" s="561"/>
      <c r="BV286" s="561"/>
      <c r="BW286" s="561"/>
      <c r="BX286" s="561"/>
      <c r="BY286" s="561"/>
      <c r="BZ286" s="561"/>
      <c r="CA286" s="561"/>
      <c r="CB286" s="561"/>
      <c r="CC286" s="561">
        <f t="shared" si="324"/>
        <v>-0.10546875</v>
      </c>
      <c r="CD286" s="561">
        <f t="shared" si="324"/>
        <v>-4.8000000000000043E-2</v>
      </c>
      <c r="CE286" s="561">
        <f t="shared" si="324"/>
        <v>-4.6025104602510414E-2</v>
      </c>
      <c r="CF286" s="561"/>
      <c r="CG286" s="561"/>
      <c r="CH286" s="561"/>
      <c r="CI286" s="561"/>
      <c r="CJ286" s="561"/>
    </row>
    <row r="287" spans="1:256" s="493" customFormat="1">
      <c r="A287" s="493" t="s">
        <v>66</v>
      </c>
      <c r="B287" s="561"/>
      <c r="C287" s="561"/>
      <c r="D287" s="561"/>
      <c r="E287" s="561"/>
      <c r="F287" s="561"/>
      <c r="G287" s="561"/>
      <c r="H287" s="561"/>
      <c r="I287" s="561"/>
      <c r="J287" s="561"/>
      <c r="K287" s="561"/>
      <c r="L287" s="561"/>
      <c r="M287" s="561"/>
      <c r="N287" s="561"/>
      <c r="O287" s="561"/>
      <c r="P287" s="561"/>
      <c r="Q287" s="561">
        <f t="shared" si="323"/>
        <v>-0.12679425837320579</v>
      </c>
      <c r="R287" s="561">
        <f t="shared" si="323"/>
        <v>-0.16301369863013704</v>
      </c>
      <c r="S287" s="561">
        <f t="shared" si="323"/>
        <v>-6.8739770867430439E-2</v>
      </c>
      <c r="T287" s="561"/>
      <c r="U287" s="561"/>
      <c r="V287" s="561"/>
      <c r="W287" s="561"/>
      <c r="X287" s="561"/>
      <c r="Y287" s="561"/>
      <c r="Z287" s="561"/>
      <c r="AA287" s="561"/>
      <c r="AB287" s="562"/>
      <c r="AC287" s="561"/>
      <c r="AD287" s="561"/>
      <c r="AE287" s="561"/>
      <c r="AF287" s="561"/>
      <c r="AG287" s="561"/>
      <c r="AH287" s="561"/>
      <c r="AI287" s="561"/>
      <c r="AJ287" s="561"/>
      <c r="AK287" s="561"/>
      <c r="AL287" s="561"/>
      <c r="AM287" s="561"/>
      <c r="AN287" s="561"/>
      <c r="AO287" s="561"/>
      <c r="AP287" s="561"/>
      <c r="AQ287" s="561"/>
      <c r="AR287" s="561"/>
      <c r="AS287" s="561"/>
      <c r="AT287" s="561"/>
      <c r="AU287" s="561"/>
      <c r="AV287" s="561"/>
      <c r="AW287" s="561"/>
      <c r="AX287" s="561"/>
      <c r="AY287" s="561"/>
      <c r="AZ287" s="561"/>
      <c r="BA287" s="561"/>
      <c r="BB287" s="561"/>
      <c r="BC287" s="561"/>
      <c r="BD287" s="561"/>
      <c r="BE287" s="561"/>
      <c r="BF287" s="561"/>
      <c r="BG287" s="561"/>
      <c r="BH287" s="561"/>
      <c r="BI287" s="561"/>
      <c r="BJ287" s="561"/>
      <c r="BK287" s="561"/>
      <c r="BL287" s="561"/>
      <c r="BM287" s="561"/>
      <c r="BN287" s="561"/>
      <c r="BO287" s="561"/>
      <c r="BP287" s="561"/>
      <c r="BQ287" s="561"/>
      <c r="BR287" s="561"/>
      <c r="BS287" s="561"/>
      <c r="BT287" s="561"/>
      <c r="BU287" s="561"/>
      <c r="BV287" s="561"/>
      <c r="BW287" s="561"/>
      <c r="BX287" s="561"/>
      <c r="BY287" s="561"/>
      <c r="BZ287" s="561"/>
      <c r="CA287" s="561"/>
      <c r="CB287" s="561"/>
      <c r="CC287" s="561">
        <f t="shared" si="324"/>
        <v>-2.2598870056497189E-2</v>
      </c>
      <c r="CD287" s="561">
        <f t="shared" si="324"/>
        <v>-0.1746724890829694</v>
      </c>
      <c r="CE287" s="561">
        <f t="shared" si="324"/>
        <v>-2.8037383177570097E-2</v>
      </c>
      <c r="CF287" s="561"/>
      <c r="CG287" s="561"/>
      <c r="CH287" s="561"/>
      <c r="CI287" s="561"/>
      <c r="CJ287" s="561"/>
    </row>
    <row r="288" spans="1:256" s="493" customFormat="1">
      <c r="A288" s="493" t="s">
        <v>67</v>
      </c>
      <c r="B288" s="561"/>
      <c r="C288" s="561"/>
      <c r="D288" s="561"/>
      <c r="E288" s="561"/>
      <c r="F288" s="561"/>
      <c r="G288" s="561"/>
      <c r="H288" s="561"/>
      <c r="I288" s="561"/>
      <c r="J288" s="561"/>
      <c r="K288" s="561"/>
      <c r="L288" s="561"/>
      <c r="M288" s="561"/>
      <c r="N288" s="561"/>
      <c r="O288" s="561"/>
      <c r="P288" s="561"/>
      <c r="Q288" s="561">
        <f t="shared" si="323"/>
        <v>-0.12636165577342051</v>
      </c>
      <c r="R288" s="561">
        <f t="shared" si="323"/>
        <v>-4.8628428927680822E-2</v>
      </c>
      <c r="S288" s="561">
        <f t="shared" si="323"/>
        <v>-0.20576671035386629</v>
      </c>
      <c r="T288" s="561"/>
      <c r="U288" s="561"/>
      <c r="V288" s="561"/>
      <c r="W288" s="561"/>
      <c r="X288" s="561"/>
      <c r="Y288" s="561"/>
      <c r="Z288" s="561"/>
      <c r="AA288" s="561"/>
      <c r="AB288" s="562"/>
      <c r="AC288" s="561"/>
      <c r="AD288" s="561"/>
      <c r="AE288" s="561"/>
      <c r="AF288" s="561"/>
      <c r="AG288" s="561"/>
      <c r="AH288" s="561"/>
      <c r="AI288" s="561"/>
      <c r="AJ288" s="561"/>
      <c r="AK288" s="561"/>
      <c r="AL288" s="561"/>
      <c r="AM288" s="561"/>
      <c r="AN288" s="561"/>
      <c r="AO288" s="561"/>
      <c r="AP288" s="561"/>
      <c r="AQ288" s="561"/>
      <c r="AR288" s="561"/>
      <c r="AS288" s="561"/>
      <c r="AT288" s="561"/>
      <c r="AU288" s="561"/>
      <c r="AV288" s="561"/>
      <c r="AW288" s="561"/>
      <c r="AX288" s="561"/>
      <c r="AY288" s="561"/>
      <c r="AZ288" s="561"/>
      <c r="BA288" s="561"/>
      <c r="BB288" s="561"/>
      <c r="BC288" s="561"/>
      <c r="BD288" s="561"/>
      <c r="BE288" s="561"/>
      <c r="BF288" s="561"/>
      <c r="BG288" s="561"/>
      <c r="BH288" s="561"/>
      <c r="BI288" s="561"/>
      <c r="BJ288" s="561"/>
      <c r="BK288" s="561"/>
      <c r="BL288" s="561"/>
      <c r="BM288" s="561"/>
      <c r="BN288" s="561"/>
      <c r="BO288" s="561"/>
      <c r="BP288" s="561"/>
      <c r="BQ288" s="561"/>
      <c r="BR288" s="561"/>
      <c r="BS288" s="561"/>
      <c r="BT288" s="561"/>
      <c r="BU288" s="561"/>
      <c r="BV288" s="561"/>
      <c r="BW288" s="561"/>
      <c r="BX288" s="561"/>
      <c r="BY288" s="561"/>
      <c r="BZ288" s="561"/>
      <c r="CA288" s="561"/>
      <c r="CB288" s="561"/>
      <c r="CC288" s="561">
        <f t="shared" si="324"/>
        <v>-3.8461538461538436E-2</v>
      </c>
      <c r="CD288" s="561">
        <f t="shared" si="324"/>
        <v>-0.14611872146118721</v>
      </c>
      <c r="CE288" s="561">
        <f t="shared" si="324"/>
        <v>-0.36994219653179194</v>
      </c>
      <c r="CF288" s="561"/>
      <c r="CG288" s="561"/>
      <c r="CH288" s="561"/>
      <c r="CI288" s="561"/>
      <c r="CJ288" s="561"/>
    </row>
    <row r="289" spans="1:88" s="493" customFormat="1">
      <c r="A289" s="492" t="s">
        <v>69</v>
      </c>
      <c r="B289" s="561"/>
      <c r="C289" s="561"/>
      <c r="D289" s="561"/>
      <c r="E289" s="561"/>
      <c r="F289" s="561"/>
      <c r="G289" s="561"/>
      <c r="H289" s="561"/>
      <c r="I289" s="561"/>
      <c r="J289" s="561"/>
      <c r="K289" s="561"/>
      <c r="L289" s="561"/>
      <c r="M289" s="561"/>
      <c r="N289" s="561"/>
      <c r="O289" s="561"/>
      <c r="P289" s="561"/>
      <c r="Q289" s="561"/>
      <c r="R289" s="561"/>
      <c r="S289" s="561"/>
      <c r="T289" s="561"/>
      <c r="U289" s="561"/>
      <c r="V289" s="561"/>
      <c r="W289" s="561"/>
      <c r="X289" s="561"/>
      <c r="Y289" s="561"/>
      <c r="Z289" s="561"/>
      <c r="AA289" s="561"/>
      <c r="AB289" s="562"/>
      <c r="AC289" s="561"/>
      <c r="AD289" s="561"/>
      <c r="AE289" s="561"/>
      <c r="AF289" s="561"/>
      <c r="AG289" s="561"/>
      <c r="AH289" s="561"/>
      <c r="AI289" s="561"/>
      <c r="AJ289" s="561"/>
      <c r="AK289" s="561"/>
      <c r="AL289" s="561"/>
      <c r="AM289" s="561"/>
      <c r="AN289" s="561"/>
      <c r="AO289" s="561"/>
      <c r="AP289" s="561"/>
      <c r="AQ289" s="561"/>
      <c r="AR289" s="561"/>
      <c r="AS289" s="561"/>
      <c r="AT289" s="561"/>
      <c r="AU289" s="561"/>
      <c r="AV289" s="561"/>
      <c r="AW289" s="561"/>
      <c r="AX289" s="561"/>
      <c r="AY289" s="561"/>
      <c r="AZ289" s="561"/>
      <c r="BA289" s="561"/>
      <c r="BB289" s="561"/>
      <c r="BC289" s="561"/>
      <c r="BD289" s="561"/>
      <c r="BE289" s="561"/>
      <c r="BF289" s="561"/>
      <c r="BG289" s="561"/>
      <c r="BH289" s="561"/>
      <c r="BI289" s="561"/>
      <c r="BJ289" s="561"/>
      <c r="BK289" s="561"/>
      <c r="BL289" s="561"/>
      <c r="BM289" s="561"/>
      <c r="BN289" s="561"/>
      <c r="BO289" s="561"/>
      <c r="BP289" s="561"/>
      <c r="BQ289" s="561"/>
      <c r="BR289" s="561"/>
      <c r="BS289" s="561"/>
      <c r="BT289" s="561"/>
      <c r="BU289" s="561"/>
      <c r="BV289" s="561"/>
      <c r="BW289" s="561"/>
      <c r="BX289" s="561"/>
      <c r="BY289" s="561"/>
      <c r="BZ289" s="561"/>
      <c r="CA289" s="561"/>
      <c r="CB289" s="561"/>
      <c r="CC289" s="561"/>
      <c r="CD289" s="561"/>
      <c r="CE289" s="561"/>
      <c r="CF289" s="561"/>
      <c r="CG289" s="561"/>
      <c r="CH289" s="561"/>
      <c r="CI289" s="561"/>
      <c r="CJ289" s="561"/>
    </row>
    <row r="290" spans="1:88" s="493" customFormat="1">
      <c r="A290" s="493" t="s">
        <v>63</v>
      </c>
      <c r="B290" s="561"/>
      <c r="C290" s="561"/>
      <c r="D290" s="561"/>
      <c r="E290" s="561"/>
      <c r="F290" s="561"/>
      <c r="G290" s="561"/>
      <c r="H290" s="561"/>
      <c r="I290" s="561"/>
      <c r="J290" s="561"/>
      <c r="K290" s="561"/>
      <c r="L290" s="561"/>
      <c r="M290" s="561"/>
      <c r="N290" s="561"/>
      <c r="O290" s="563"/>
      <c r="P290" s="563">
        <f>P277/SUM(P$277:P$281)</f>
        <v>0.22648028899010522</v>
      </c>
      <c r="Q290" s="563">
        <f>Q277/SUM(Q$277:Q$281)</f>
        <v>0.25641452849050317</v>
      </c>
      <c r="R290" s="563">
        <f>R277/SUM(R$277:R$281)</f>
        <v>0.27303988995873452</v>
      </c>
      <c r="S290" s="563">
        <f>S277/SUM(S$277:S$281)</f>
        <v>0.28471859208921413</v>
      </c>
      <c r="T290" s="561"/>
      <c r="U290" s="561"/>
      <c r="V290" s="561"/>
      <c r="W290" s="561"/>
      <c r="X290" s="561"/>
      <c r="Y290" s="561"/>
      <c r="Z290" s="561"/>
      <c r="AA290" s="561"/>
      <c r="AB290" s="562"/>
      <c r="AC290" s="561"/>
      <c r="AD290" s="561"/>
      <c r="AE290" s="561"/>
      <c r="AF290" s="561"/>
      <c r="AG290" s="561"/>
      <c r="AH290" s="561"/>
      <c r="AI290" s="561"/>
      <c r="AJ290" s="561"/>
      <c r="AK290" s="561"/>
      <c r="AL290" s="561"/>
      <c r="AM290" s="561"/>
      <c r="AN290" s="561"/>
      <c r="AO290" s="561"/>
      <c r="AP290" s="561"/>
      <c r="AQ290" s="561"/>
      <c r="AR290" s="561"/>
      <c r="AS290" s="561"/>
      <c r="AT290" s="561"/>
      <c r="AU290" s="561"/>
      <c r="AV290" s="561"/>
      <c r="AW290" s="561"/>
      <c r="AX290" s="561"/>
      <c r="AY290" s="561"/>
      <c r="AZ290" s="561"/>
      <c r="BA290" s="561"/>
      <c r="BB290" s="561"/>
      <c r="BC290" s="561"/>
      <c r="BD290" s="561"/>
      <c r="BE290" s="561"/>
      <c r="BF290" s="561"/>
      <c r="BG290" s="561"/>
      <c r="BH290" s="561"/>
      <c r="BI290" s="563"/>
      <c r="BJ290" s="563"/>
      <c r="BK290" s="563"/>
      <c r="BL290" s="563"/>
      <c r="BM290" s="563"/>
      <c r="BN290" s="563"/>
      <c r="BO290" s="563"/>
      <c r="BP290" s="563"/>
      <c r="BQ290" s="563"/>
      <c r="BR290" s="563"/>
      <c r="BS290" s="563"/>
      <c r="BT290" s="563"/>
      <c r="BU290" s="563"/>
      <c r="BV290" s="563"/>
      <c r="BW290" s="563"/>
      <c r="BX290" s="563"/>
      <c r="BY290" s="563"/>
      <c r="BZ290" s="563"/>
      <c r="CA290" s="563"/>
      <c r="CB290" s="561"/>
      <c r="CC290" s="563">
        <f t="shared" ref="CC290:CD294" si="325">+CC277/SUM(CC$238:CC$242)</f>
        <v>0.43846153846153846</v>
      </c>
      <c r="CD290" s="563">
        <f t="shared" si="325"/>
        <v>0.41863207547169812</v>
      </c>
      <c r="CE290" s="563">
        <f>+CE277/SUM(CE$238:CE$242)</f>
        <v>0.48898678414096919</v>
      </c>
      <c r="CF290" s="561"/>
      <c r="CG290" s="561"/>
      <c r="CH290" s="561"/>
      <c r="CI290" s="561"/>
      <c r="CJ290" s="561"/>
    </row>
    <row r="291" spans="1:88" s="493" customFormat="1">
      <c r="A291" s="493" t="s">
        <v>64</v>
      </c>
      <c r="B291" s="561"/>
      <c r="C291" s="561"/>
      <c r="D291" s="561"/>
      <c r="E291" s="561"/>
      <c r="F291" s="561"/>
      <c r="G291" s="561"/>
      <c r="H291" s="561"/>
      <c r="I291" s="561"/>
      <c r="J291" s="561"/>
      <c r="K291" s="561"/>
      <c r="L291" s="561"/>
      <c r="M291" s="561"/>
      <c r="N291" s="561"/>
      <c r="O291" s="563"/>
      <c r="P291" s="563">
        <f>P278/SUM(P$277:P$281)</f>
        <v>0.32558504790325116</v>
      </c>
      <c r="Q291" s="563">
        <f t="shared" ref="Q291:R294" si="326">Q278/SUM(Q$277:Q$281)</f>
        <v>0.32122625791402865</v>
      </c>
      <c r="R291" s="563">
        <f t="shared" si="326"/>
        <v>0.3268569463548831</v>
      </c>
      <c r="S291" s="563">
        <f>S278/SUM(S$277:S$281)</f>
        <v>0.35040947900331071</v>
      </c>
      <c r="T291" s="561"/>
      <c r="U291" s="561"/>
      <c r="V291" s="561"/>
      <c r="W291" s="561"/>
      <c r="X291" s="561"/>
      <c r="Y291" s="561"/>
      <c r="Z291" s="561"/>
      <c r="AA291" s="561"/>
      <c r="AB291" s="562"/>
      <c r="AC291" s="561"/>
      <c r="AD291" s="561"/>
      <c r="AE291" s="561"/>
      <c r="AF291" s="561"/>
      <c r="AG291" s="561"/>
      <c r="AH291" s="561"/>
      <c r="AI291" s="561"/>
      <c r="AJ291" s="561"/>
      <c r="AK291" s="561"/>
      <c r="AL291" s="561"/>
      <c r="AM291" s="561"/>
      <c r="AN291" s="561"/>
      <c r="AO291" s="561"/>
      <c r="AP291" s="561"/>
      <c r="AQ291" s="561"/>
      <c r="AR291" s="561"/>
      <c r="AS291" s="561"/>
      <c r="AT291" s="561"/>
      <c r="AU291" s="561"/>
      <c r="AV291" s="561"/>
      <c r="AW291" s="561"/>
      <c r="AX291" s="561"/>
      <c r="AY291" s="561"/>
      <c r="AZ291" s="561"/>
      <c r="BA291" s="561"/>
      <c r="BB291" s="561"/>
      <c r="BC291" s="561"/>
      <c r="BD291" s="561"/>
      <c r="BE291" s="561"/>
      <c r="BF291" s="561"/>
      <c r="BG291" s="561"/>
      <c r="BH291" s="561"/>
      <c r="BI291" s="563"/>
      <c r="BJ291" s="563"/>
      <c r="BK291" s="563"/>
      <c r="BL291" s="563"/>
      <c r="BM291" s="563"/>
      <c r="BN291" s="563"/>
      <c r="BO291" s="563"/>
      <c r="BP291" s="563"/>
      <c r="BQ291" s="563"/>
      <c r="BR291" s="563"/>
      <c r="BS291" s="563"/>
      <c r="BT291" s="563"/>
      <c r="BU291" s="563"/>
      <c r="BV291" s="563"/>
      <c r="BW291" s="563"/>
      <c r="BX291" s="563"/>
      <c r="BY291" s="563"/>
      <c r="BZ291" s="563"/>
      <c r="CA291" s="563"/>
      <c r="CB291" s="561"/>
      <c r="CC291" s="563">
        <f t="shared" si="325"/>
        <v>0.56593406593406592</v>
      </c>
      <c r="CD291" s="563">
        <f t="shared" si="325"/>
        <v>0.50117924528301883</v>
      </c>
      <c r="CE291" s="563">
        <f>+CE278/SUM(CE$238:CE$242)</f>
        <v>0.57268722466960353</v>
      </c>
      <c r="CF291" s="561"/>
      <c r="CG291" s="561"/>
      <c r="CH291" s="561"/>
      <c r="CI291" s="561"/>
      <c r="CJ291" s="561"/>
    </row>
    <row r="292" spans="1:88" s="493" customFormat="1">
      <c r="A292" s="493" t="s">
        <v>65</v>
      </c>
      <c r="B292" s="561"/>
      <c r="C292" s="561"/>
      <c r="D292" s="561"/>
      <c r="E292" s="561"/>
      <c r="F292" s="561"/>
      <c r="G292" s="561"/>
      <c r="H292" s="561"/>
      <c r="I292" s="561"/>
      <c r="J292" s="561"/>
      <c r="K292" s="561"/>
      <c r="L292" s="561"/>
      <c r="M292" s="561"/>
      <c r="N292" s="561"/>
      <c r="O292" s="563"/>
      <c r="P292" s="563">
        <f>P279/SUM(P$277:P$281)</f>
        <v>0.17245170409926183</v>
      </c>
      <c r="Q292" s="563">
        <f t="shared" si="326"/>
        <v>0.16711096301232922</v>
      </c>
      <c r="R292" s="563">
        <f t="shared" si="326"/>
        <v>0.16385832187070151</v>
      </c>
      <c r="S292" s="563">
        <f>S279/SUM(S$277:S$281)</f>
        <v>0.16013242725213453</v>
      </c>
      <c r="T292" s="561"/>
      <c r="U292" s="561"/>
      <c r="V292" s="561"/>
      <c r="W292" s="561"/>
      <c r="X292" s="561"/>
      <c r="Y292" s="561"/>
      <c r="Z292" s="561"/>
      <c r="AA292" s="561"/>
      <c r="AB292" s="562"/>
      <c r="AC292" s="561"/>
      <c r="AD292" s="561"/>
      <c r="AE292" s="561"/>
      <c r="AF292" s="561"/>
      <c r="AG292" s="561"/>
      <c r="AH292" s="561"/>
      <c r="AI292" s="561"/>
      <c r="AJ292" s="561"/>
      <c r="AK292" s="561"/>
      <c r="AL292" s="561"/>
      <c r="AM292" s="561"/>
      <c r="AN292" s="561"/>
      <c r="AO292" s="561"/>
      <c r="AP292" s="561"/>
      <c r="AQ292" s="561"/>
      <c r="AR292" s="561"/>
      <c r="AS292" s="561"/>
      <c r="AT292" s="561"/>
      <c r="AU292" s="561"/>
      <c r="AV292" s="561"/>
      <c r="AW292" s="561"/>
      <c r="AX292" s="561"/>
      <c r="AY292" s="561"/>
      <c r="AZ292" s="561"/>
      <c r="BA292" s="561"/>
      <c r="BB292" s="561"/>
      <c r="BC292" s="561"/>
      <c r="BD292" s="561"/>
      <c r="BE292" s="561"/>
      <c r="BF292" s="561"/>
      <c r="BG292" s="561"/>
      <c r="BH292" s="561"/>
      <c r="BI292" s="563"/>
      <c r="BJ292" s="563"/>
      <c r="BK292" s="563"/>
      <c r="BL292" s="563"/>
      <c r="BM292" s="563"/>
      <c r="BN292" s="563"/>
      <c r="BO292" s="563"/>
      <c r="BP292" s="563"/>
      <c r="BQ292" s="563"/>
      <c r="BR292" s="563"/>
      <c r="BS292" s="563"/>
      <c r="BT292" s="563"/>
      <c r="BU292" s="563"/>
      <c r="BV292" s="563"/>
      <c r="BW292" s="563"/>
      <c r="BX292" s="563"/>
      <c r="BY292" s="563"/>
      <c r="BZ292" s="563"/>
      <c r="CA292" s="563"/>
      <c r="CB292" s="561"/>
      <c r="CC292" s="563">
        <f t="shared" si="325"/>
        <v>0.25164835164835164</v>
      </c>
      <c r="CD292" s="563">
        <f t="shared" si="325"/>
        <v>0.28066037735849059</v>
      </c>
      <c r="CE292" s="563">
        <f>+CE279/SUM(CE$238:CE$242)</f>
        <v>0.25110132158590309</v>
      </c>
      <c r="CF292" s="561"/>
      <c r="CG292" s="561"/>
      <c r="CH292" s="561"/>
      <c r="CI292" s="561"/>
      <c r="CJ292" s="561"/>
    </row>
    <row r="293" spans="1:88" s="493" customFormat="1">
      <c r="A293" s="493" t="s">
        <v>66</v>
      </c>
      <c r="B293" s="561"/>
      <c r="C293" s="561"/>
      <c r="D293" s="561"/>
      <c r="E293" s="561"/>
      <c r="F293" s="561"/>
      <c r="G293" s="561"/>
      <c r="H293" s="561"/>
      <c r="I293" s="561"/>
      <c r="J293" s="561"/>
      <c r="K293" s="561"/>
      <c r="L293" s="561"/>
      <c r="M293" s="561"/>
      <c r="N293" s="561"/>
      <c r="O293" s="563"/>
      <c r="P293" s="563">
        <f>P280/SUM(P$277:P$281)</f>
        <v>0.13130202607193342</v>
      </c>
      <c r="Q293" s="563">
        <f t="shared" si="326"/>
        <v>0.12162612462512495</v>
      </c>
      <c r="R293" s="563">
        <f t="shared" si="326"/>
        <v>0.10505502063273728</v>
      </c>
      <c r="S293" s="563">
        <f>S280/SUM(S$277:S$281)</f>
        <v>9.914619271650113E-2</v>
      </c>
      <c r="T293" s="561"/>
      <c r="U293" s="561"/>
      <c r="V293" s="561"/>
      <c r="W293" s="561"/>
      <c r="X293" s="561"/>
      <c r="Y293" s="561"/>
      <c r="Z293" s="561"/>
      <c r="AA293" s="561"/>
      <c r="AB293" s="562"/>
      <c r="AC293" s="561"/>
      <c r="AD293" s="561"/>
      <c r="AE293" s="561"/>
      <c r="AF293" s="561"/>
      <c r="AG293" s="561"/>
      <c r="AH293" s="561"/>
      <c r="AI293" s="561"/>
      <c r="AJ293" s="561"/>
      <c r="AK293" s="561"/>
      <c r="AL293" s="561"/>
      <c r="AM293" s="561"/>
      <c r="AN293" s="561"/>
      <c r="AO293" s="561"/>
      <c r="AP293" s="561"/>
      <c r="AQ293" s="561"/>
      <c r="AR293" s="561"/>
      <c r="AS293" s="561"/>
      <c r="AT293" s="561"/>
      <c r="AU293" s="561"/>
      <c r="AV293" s="561"/>
      <c r="AW293" s="561"/>
      <c r="AX293" s="561"/>
      <c r="AY293" s="561"/>
      <c r="AZ293" s="561"/>
      <c r="BA293" s="561"/>
      <c r="BB293" s="561"/>
      <c r="BC293" s="561"/>
      <c r="BD293" s="561"/>
      <c r="BE293" s="561"/>
      <c r="BF293" s="561"/>
      <c r="BG293" s="561"/>
      <c r="BH293" s="561"/>
      <c r="BI293" s="563"/>
      <c r="BJ293" s="563"/>
      <c r="BK293" s="563"/>
      <c r="BL293" s="563"/>
      <c r="BM293" s="563"/>
      <c r="BN293" s="563"/>
      <c r="BO293" s="563"/>
      <c r="BP293" s="563"/>
      <c r="BQ293" s="563"/>
      <c r="BR293" s="563"/>
      <c r="BS293" s="563"/>
      <c r="BT293" s="563"/>
      <c r="BU293" s="563"/>
      <c r="BV293" s="563"/>
      <c r="BW293" s="563"/>
      <c r="BX293" s="563"/>
      <c r="BY293" s="563"/>
      <c r="BZ293" s="563"/>
      <c r="CA293" s="563"/>
      <c r="CB293" s="561"/>
      <c r="CC293" s="563">
        <f t="shared" si="325"/>
        <v>0.1901098901098901</v>
      </c>
      <c r="CD293" s="563">
        <f t="shared" si="325"/>
        <v>0.22287735849056603</v>
      </c>
      <c r="CE293" s="563">
        <f>+CE280/SUM(CE$238:CE$242)</f>
        <v>0.11453744493392071</v>
      </c>
      <c r="CF293" s="561"/>
      <c r="CG293" s="561"/>
      <c r="CH293" s="561"/>
      <c r="CI293" s="561"/>
      <c r="CJ293" s="561"/>
    </row>
    <row r="294" spans="1:88" s="493" customFormat="1">
      <c r="A294" s="493" t="s">
        <v>67</v>
      </c>
      <c r="B294" s="561"/>
      <c r="C294" s="561"/>
      <c r="D294" s="561"/>
      <c r="E294" s="561"/>
      <c r="F294" s="561"/>
      <c r="G294" s="561"/>
      <c r="H294" s="561"/>
      <c r="I294" s="561"/>
      <c r="J294" s="561"/>
      <c r="K294" s="561"/>
      <c r="L294" s="561"/>
      <c r="M294" s="561"/>
      <c r="N294" s="561"/>
      <c r="O294" s="563"/>
      <c r="P294" s="563">
        <f>P281/SUM(P$277:P$281)</f>
        <v>0.1441809329354484</v>
      </c>
      <c r="Q294" s="563">
        <f t="shared" si="326"/>
        <v>0.13362212595801398</v>
      </c>
      <c r="R294" s="563">
        <f t="shared" si="326"/>
        <v>0.13118982118294362</v>
      </c>
      <c r="S294" s="563">
        <f>S281/SUM(S$277:S$281)</f>
        <v>0.10559330893883952</v>
      </c>
      <c r="T294" s="561"/>
      <c r="U294" s="561"/>
      <c r="V294" s="561"/>
      <c r="W294" s="561"/>
      <c r="X294" s="561"/>
      <c r="Y294" s="561"/>
      <c r="Z294" s="561"/>
      <c r="AA294" s="561"/>
      <c r="AB294" s="562"/>
      <c r="AC294" s="561"/>
      <c r="AD294" s="561"/>
      <c r="AE294" s="561"/>
      <c r="AF294" s="561"/>
      <c r="AG294" s="561"/>
      <c r="AH294" s="561"/>
      <c r="AI294" s="561"/>
      <c r="AJ294" s="561"/>
      <c r="AK294" s="561"/>
      <c r="AL294" s="561"/>
      <c r="AM294" s="561"/>
      <c r="AN294" s="561"/>
      <c r="AO294" s="561"/>
      <c r="AP294" s="561"/>
      <c r="AQ294" s="561"/>
      <c r="AR294" s="561"/>
      <c r="AS294" s="561"/>
      <c r="AT294" s="561"/>
      <c r="AU294" s="561"/>
      <c r="AV294" s="561"/>
      <c r="AW294" s="561"/>
      <c r="AX294" s="561"/>
      <c r="AY294" s="561"/>
      <c r="AZ294" s="561"/>
      <c r="BA294" s="561"/>
      <c r="BB294" s="561"/>
      <c r="BC294" s="561"/>
      <c r="BD294" s="561"/>
      <c r="BE294" s="561"/>
      <c r="BF294" s="561"/>
      <c r="BG294" s="561"/>
      <c r="BH294" s="561"/>
      <c r="BI294" s="563"/>
      <c r="BJ294" s="563"/>
      <c r="BK294" s="563"/>
      <c r="BL294" s="563"/>
      <c r="BM294" s="563"/>
      <c r="BN294" s="563"/>
      <c r="BO294" s="563"/>
      <c r="BP294" s="563"/>
      <c r="BQ294" s="563"/>
      <c r="BR294" s="563"/>
      <c r="BS294" s="563"/>
      <c r="BT294" s="563"/>
      <c r="BU294" s="563"/>
      <c r="BV294" s="563"/>
      <c r="BW294" s="563"/>
      <c r="BX294" s="563"/>
      <c r="BY294" s="563"/>
      <c r="BZ294" s="563"/>
      <c r="CA294" s="563"/>
      <c r="CB294" s="561"/>
      <c r="CC294" s="563">
        <f t="shared" si="325"/>
        <v>0.19230769230769232</v>
      </c>
      <c r="CD294" s="563">
        <f t="shared" si="325"/>
        <v>0.22051886792452829</v>
      </c>
      <c r="CE294" s="563">
        <f>+CE281/SUM(CE$238:CE$242)</f>
        <v>0.12004405286343613</v>
      </c>
      <c r="CF294" s="561"/>
      <c r="CG294" s="561"/>
      <c r="CH294" s="561"/>
      <c r="CI294" s="561"/>
      <c r="CJ294" s="561"/>
    </row>
    <row r="295" spans="1:88" s="493" customFormat="1">
      <c r="B295" s="561"/>
      <c r="C295" s="561"/>
      <c r="D295" s="561"/>
      <c r="E295" s="561"/>
      <c r="F295" s="561"/>
      <c r="G295" s="561"/>
      <c r="H295" s="561"/>
      <c r="I295" s="561"/>
      <c r="J295" s="561"/>
      <c r="K295" s="561"/>
      <c r="L295" s="561"/>
      <c r="M295" s="561"/>
      <c r="N295" s="561"/>
      <c r="O295" s="561"/>
      <c r="P295" s="561"/>
      <c r="Q295" s="561"/>
      <c r="R295" s="561"/>
      <c r="S295" s="561"/>
      <c r="T295" s="561"/>
      <c r="U295" s="561"/>
      <c r="V295" s="561"/>
      <c r="W295" s="561"/>
      <c r="X295" s="561"/>
      <c r="Y295" s="561"/>
      <c r="Z295" s="561"/>
      <c r="AA295" s="561"/>
      <c r="AB295" s="562"/>
      <c r="AC295" s="561"/>
      <c r="AD295" s="561"/>
      <c r="AE295" s="561"/>
      <c r="AF295" s="561"/>
      <c r="AG295" s="561"/>
      <c r="AH295" s="561"/>
      <c r="AI295" s="561"/>
      <c r="AJ295" s="561"/>
      <c r="AK295" s="561"/>
      <c r="AL295" s="561"/>
      <c r="AM295" s="561"/>
      <c r="AN295" s="561"/>
      <c r="AO295" s="561"/>
      <c r="AP295" s="561"/>
      <c r="AQ295" s="561"/>
      <c r="AR295" s="561"/>
      <c r="AS295" s="561"/>
      <c r="AT295" s="561"/>
      <c r="AU295" s="561"/>
      <c r="AV295" s="561"/>
      <c r="AW295" s="561"/>
      <c r="AX295" s="561"/>
      <c r="AY295" s="561"/>
      <c r="AZ295" s="561"/>
      <c r="BA295" s="561"/>
      <c r="BB295" s="561"/>
      <c r="BC295" s="561"/>
      <c r="BD295" s="561"/>
      <c r="BE295" s="561"/>
      <c r="BF295" s="561"/>
      <c r="BG295" s="561"/>
      <c r="BH295" s="561"/>
      <c r="BI295" s="561"/>
      <c r="BJ295" s="561"/>
      <c r="BK295" s="561"/>
      <c r="BL295" s="561"/>
      <c r="BM295" s="561"/>
      <c r="BN295" s="561"/>
      <c r="BO295" s="561"/>
      <c r="BP295" s="561"/>
      <c r="BQ295" s="561"/>
      <c r="BR295" s="561"/>
      <c r="BS295" s="561"/>
      <c r="BT295" s="561"/>
      <c r="BU295" s="561"/>
      <c r="BV295" s="561"/>
      <c r="BW295" s="561"/>
      <c r="BX295" s="561"/>
      <c r="BY295" s="561"/>
      <c r="BZ295" s="561"/>
      <c r="CA295" s="561"/>
      <c r="CB295" s="561"/>
      <c r="CC295" s="561"/>
      <c r="CD295" s="561"/>
      <c r="CE295" s="561"/>
      <c r="CF295" s="561"/>
      <c r="CG295" s="561"/>
      <c r="CH295" s="561"/>
      <c r="CI295" s="561"/>
      <c r="CJ295" s="561"/>
    </row>
    <row r="296" spans="1:88" hidden="1" outlineLevel="1">
      <c r="A296" s="25" t="s">
        <v>70</v>
      </c>
      <c r="B296" s="518"/>
      <c r="C296" s="518"/>
      <c r="D296" s="518"/>
      <c r="E296" s="518"/>
      <c r="F296" s="518"/>
      <c r="G296" s="518"/>
      <c r="H296" s="518"/>
      <c r="I296" s="518"/>
      <c r="J296" s="518"/>
      <c r="K296" s="518"/>
      <c r="L296" s="518"/>
      <c r="M296" s="518"/>
      <c r="N296" s="518"/>
      <c r="O296" s="518"/>
      <c r="P296" s="518"/>
      <c r="Q296" s="518"/>
      <c r="R296" s="518"/>
      <c r="S296" s="518"/>
      <c r="T296" s="518"/>
      <c r="U296" s="518"/>
      <c r="V296" s="518"/>
      <c r="W296" s="518"/>
      <c r="X296" s="518"/>
      <c r="Y296" s="518"/>
      <c r="Z296" s="518"/>
      <c r="AA296" s="518"/>
      <c r="AB296" s="519"/>
      <c r="AC296" s="518"/>
      <c r="AD296" s="518"/>
      <c r="AE296" s="518"/>
      <c r="AF296" s="518"/>
      <c r="AG296" s="518"/>
      <c r="AH296" s="518"/>
      <c r="AI296" s="518"/>
      <c r="AJ296" s="518"/>
      <c r="AK296" s="518"/>
      <c r="AL296" s="518"/>
      <c r="AM296" s="518"/>
      <c r="AN296" s="518"/>
      <c r="AO296" s="518"/>
      <c r="AP296" s="518"/>
      <c r="AQ296" s="518"/>
      <c r="AR296" s="518"/>
      <c r="AS296" s="518"/>
      <c r="AT296" s="518"/>
      <c r="AU296" s="518"/>
      <c r="AV296" s="518"/>
      <c r="AW296" s="518"/>
      <c r="AX296" s="518"/>
      <c r="AY296" s="518"/>
      <c r="AZ296" s="518"/>
      <c r="BA296" s="518"/>
      <c r="BB296" s="518"/>
      <c r="BC296" s="518"/>
      <c r="BD296" s="518"/>
      <c r="BE296" s="518"/>
      <c r="BF296" s="518"/>
      <c r="BG296" s="518"/>
      <c r="BH296" s="518"/>
      <c r="BI296" s="518"/>
      <c r="BJ296" s="518"/>
      <c r="BK296" s="518"/>
      <c r="BL296" s="518"/>
      <c r="BM296" s="520"/>
      <c r="BN296" s="520"/>
      <c r="BO296" s="518"/>
      <c r="BP296" s="518"/>
      <c r="BQ296" s="518"/>
      <c r="BR296" s="518"/>
      <c r="BS296" s="518"/>
      <c r="BT296" s="518"/>
      <c r="BU296" s="518"/>
      <c r="BV296" s="518"/>
      <c r="BW296" s="518"/>
      <c r="BX296" s="518"/>
      <c r="BY296" s="518"/>
      <c r="BZ296" s="518"/>
      <c r="CA296" s="518"/>
      <c r="CB296" s="518"/>
      <c r="CC296" s="518"/>
      <c r="CD296" s="518"/>
      <c r="CE296" s="518"/>
      <c r="CF296" s="518"/>
      <c r="CG296" s="518"/>
      <c r="CH296" s="518"/>
      <c r="CI296" s="518"/>
      <c r="CJ296" s="518"/>
    </row>
    <row r="297" spans="1:88" s="28" customFormat="1" hidden="1" outlineLevel="1">
      <c r="A297" s="28" t="s">
        <v>63</v>
      </c>
      <c r="B297" s="556"/>
      <c r="C297" s="556"/>
      <c r="D297" s="556"/>
      <c r="E297" s="556"/>
      <c r="F297" s="556"/>
      <c r="G297" s="556"/>
      <c r="H297" s="556"/>
      <c r="I297" s="556"/>
      <c r="J297" s="556"/>
      <c r="K297" s="556"/>
      <c r="L297" s="556"/>
      <c r="M297" s="564">
        <v>573</v>
      </c>
      <c r="N297" s="564">
        <v>595</v>
      </c>
      <c r="O297" s="564">
        <v>677</v>
      </c>
      <c r="P297" s="564">
        <v>642</v>
      </c>
      <c r="Q297" s="564">
        <v>535</v>
      </c>
      <c r="R297" s="556"/>
      <c r="S297" s="556"/>
      <c r="T297" s="556"/>
      <c r="U297" s="556"/>
      <c r="V297" s="556"/>
      <c r="W297" s="556"/>
      <c r="X297" s="556"/>
      <c r="Y297" s="556"/>
      <c r="Z297" s="556"/>
      <c r="AA297" s="556"/>
      <c r="AB297" s="558"/>
      <c r="AC297" s="556"/>
      <c r="AD297" s="556"/>
      <c r="AE297" s="556"/>
      <c r="AF297" s="556"/>
      <c r="AG297" s="556"/>
      <c r="AH297" s="556"/>
      <c r="AI297" s="556"/>
      <c r="AJ297" s="556"/>
      <c r="AK297" s="556"/>
      <c r="AL297" s="556"/>
      <c r="AM297" s="556"/>
      <c r="AN297" s="556"/>
      <c r="AO297" s="556"/>
      <c r="AP297" s="556"/>
      <c r="AQ297" s="556"/>
      <c r="AR297" s="556"/>
      <c r="AS297" s="556"/>
      <c r="AT297" s="556"/>
      <c r="AU297" s="556"/>
      <c r="AV297" s="556"/>
      <c r="AW297" s="556"/>
      <c r="AX297" s="556"/>
      <c r="AY297" s="556"/>
      <c r="AZ297" s="556"/>
      <c r="BA297" s="556"/>
      <c r="BB297" s="556"/>
      <c r="BC297" s="556"/>
      <c r="BD297" s="556"/>
      <c r="BE297" s="556"/>
      <c r="BF297" s="556"/>
      <c r="BG297" s="556"/>
      <c r="BH297" s="556"/>
      <c r="BI297" s="557">
        <v>137</v>
      </c>
      <c r="BJ297" s="557">
        <v>149</v>
      </c>
      <c r="BK297" s="557">
        <v>145</v>
      </c>
      <c r="BL297" s="556">
        <f>N297-SUM(BI297:BK297)</f>
        <v>164</v>
      </c>
      <c r="BM297" s="557">
        <v>151</v>
      </c>
      <c r="BN297" s="557">
        <v>174</v>
      </c>
      <c r="BO297" s="557">
        <v>165</v>
      </c>
      <c r="BP297" s="556">
        <f>+O297-SUM(BM297:BO297)</f>
        <v>187</v>
      </c>
      <c r="BQ297" s="557">
        <v>147</v>
      </c>
      <c r="BR297" s="557">
        <v>171</v>
      </c>
      <c r="BS297" s="557">
        <v>165</v>
      </c>
      <c r="BT297" s="558">
        <f>P297-SUM(BQ297:BS297)</f>
        <v>159</v>
      </c>
      <c r="BU297" s="557">
        <v>124</v>
      </c>
      <c r="BV297" s="557">
        <v>147</v>
      </c>
      <c r="BW297" s="557">
        <v>125</v>
      </c>
      <c r="BX297" s="558">
        <f>+Q297-SUM(BU297:BW297)</f>
        <v>139</v>
      </c>
      <c r="BY297" s="557">
        <v>125</v>
      </c>
      <c r="BZ297" s="557">
        <v>129</v>
      </c>
      <c r="CA297" s="557">
        <v>125</v>
      </c>
      <c r="CB297" s="557"/>
      <c r="CC297" s="557"/>
      <c r="CD297" s="557"/>
      <c r="CE297" s="557"/>
      <c r="CF297" s="557"/>
      <c r="CG297" s="557"/>
      <c r="CH297" s="557"/>
      <c r="CI297" s="557"/>
      <c r="CJ297" s="557"/>
    </row>
    <row r="298" spans="1:88" s="28" customFormat="1" hidden="1" outlineLevel="1">
      <c r="A298" s="28" t="s">
        <v>64</v>
      </c>
      <c r="B298" s="556"/>
      <c r="C298" s="556"/>
      <c r="D298" s="556"/>
      <c r="E298" s="556"/>
      <c r="F298" s="556"/>
      <c r="G298" s="556"/>
      <c r="H298" s="556"/>
      <c r="I298" s="556"/>
      <c r="J298" s="556"/>
      <c r="K298" s="556"/>
      <c r="L298" s="556"/>
      <c r="M298" s="564">
        <v>1231</v>
      </c>
      <c r="N298" s="564">
        <v>1139</v>
      </c>
      <c r="O298" s="564">
        <v>1181</v>
      </c>
      <c r="P298" s="564">
        <v>1082</v>
      </c>
      <c r="Q298" s="564">
        <v>896</v>
      </c>
      <c r="R298" s="556"/>
      <c r="S298" s="556"/>
      <c r="T298" s="556"/>
      <c r="U298" s="556"/>
      <c r="V298" s="556"/>
      <c r="W298" s="556"/>
      <c r="X298" s="556"/>
      <c r="Y298" s="556"/>
      <c r="Z298" s="556"/>
      <c r="AA298" s="556"/>
      <c r="AB298" s="558"/>
      <c r="AC298" s="556"/>
      <c r="AD298" s="556"/>
      <c r="AE298" s="556"/>
      <c r="AF298" s="556"/>
      <c r="AG298" s="556"/>
      <c r="AH298" s="556"/>
      <c r="AI298" s="556"/>
      <c r="AJ298" s="556"/>
      <c r="AK298" s="556"/>
      <c r="AL298" s="556"/>
      <c r="AM298" s="556"/>
      <c r="AN298" s="556"/>
      <c r="AO298" s="556"/>
      <c r="AP298" s="556"/>
      <c r="AQ298" s="556"/>
      <c r="AR298" s="556"/>
      <c r="AS298" s="556"/>
      <c r="AT298" s="556"/>
      <c r="AU298" s="556"/>
      <c r="AV298" s="556"/>
      <c r="AW298" s="556"/>
      <c r="AX298" s="556"/>
      <c r="AY298" s="556"/>
      <c r="AZ298" s="556"/>
      <c r="BA298" s="556"/>
      <c r="BB298" s="556"/>
      <c r="BC298" s="556"/>
      <c r="BD298" s="556"/>
      <c r="BE298" s="556"/>
      <c r="BF298" s="556"/>
      <c r="BG298" s="556"/>
      <c r="BH298" s="556"/>
      <c r="BI298" s="557">
        <v>267</v>
      </c>
      <c r="BJ298" s="557">
        <v>221</v>
      </c>
      <c r="BK298" s="557">
        <v>280</v>
      </c>
      <c r="BL298" s="556">
        <f>N298-SUM(BI298:BK298)</f>
        <v>371</v>
      </c>
      <c r="BM298" s="557">
        <v>272</v>
      </c>
      <c r="BN298" s="557">
        <v>240</v>
      </c>
      <c r="BO298" s="557">
        <v>294</v>
      </c>
      <c r="BP298" s="556">
        <f>+O298-SUM(BM298:BO298)</f>
        <v>375</v>
      </c>
      <c r="BQ298" s="557">
        <v>243</v>
      </c>
      <c r="BR298" s="557">
        <v>221</v>
      </c>
      <c r="BS298" s="557">
        <v>287</v>
      </c>
      <c r="BT298" s="558">
        <f>P298-SUM(BQ298:BS298)</f>
        <v>331</v>
      </c>
      <c r="BU298" s="557">
        <v>199</v>
      </c>
      <c r="BV298" s="557">
        <v>196</v>
      </c>
      <c r="BW298" s="557">
        <v>232</v>
      </c>
      <c r="BX298" s="558">
        <f>+Q298-SUM(BU298:BW298)</f>
        <v>269</v>
      </c>
      <c r="BY298" s="557">
        <v>160</v>
      </c>
      <c r="BZ298" s="557">
        <v>166</v>
      </c>
      <c r="CA298" s="557">
        <v>223</v>
      </c>
      <c r="CB298" s="557"/>
      <c r="CC298" s="557"/>
      <c r="CD298" s="557"/>
      <c r="CE298" s="557"/>
      <c r="CF298" s="557"/>
      <c r="CG298" s="557"/>
      <c r="CH298" s="557"/>
      <c r="CI298" s="557"/>
      <c r="CJ298" s="557"/>
    </row>
    <row r="299" spans="1:88" s="28" customFormat="1" hidden="1" outlineLevel="1">
      <c r="A299" s="28" t="s">
        <v>65</v>
      </c>
      <c r="B299" s="556"/>
      <c r="C299" s="556"/>
      <c r="D299" s="556"/>
      <c r="E299" s="556"/>
      <c r="F299" s="556"/>
      <c r="G299" s="556"/>
      <c r="H299" s="556"/>
      <c r="I299" s="556"/>
      <c r="J299" s="556"/>
      <c r="K299" s="556"/>
      <c r="L299" s="556"/>
      <c r="M299" s="564">
        <v>721</v>
      </c>
      <c r="N299" s="564">
        <v>726</v>
      </c>
      <c r="O299" s="564">
        <v>673</v>
      </c>
      <c r="P299" s="564">
        <v>646</v>
      </c>
      <c r="Q299" s="564">
        <v>544</v>
      </c>
      <c r="R299" s="556"/>
      <c r="S299" s="556"/>
      <c r="T299" s="556"/>
      <c r="U299" s="556"/>
      <c r="V299" s="556"/>
      <c r="W299" s="556"/>
      <c r="X299" s="556"/>
      <c r="Y299" s="556"/>
      <c r="Z299" s="556"/>
      <c r="AA299" s="556"/>
      <c r="AB299" s="558"/>
      <c r="AC299" s="556"/>
      <c r="AD299" s="556"/>
      <c r="AE299" s="556"/>
      <c r="AF299" s="556"/>
      <c r="AG299" s="556"/>
      <c r="AH299" s="556"/>
      <c r="AI299" s="556"/>
      <c r="AJ299" s="556"/>
      <c r="AK299" s="556"/>
      <c r="AL299" s="556"/>
      <c r="AM299" s="556"/>
      <c r="AN299" s="556"/>
      <c r="AO299" s="556"/>
      <c r="AP299" s="556"/>
      <c r="AQ299" s="556"/>
      <c r="AR299" s="556"/>
      <c r="AS299" s="556"/>
      <c r="AT299" s="556"/>
      <c r="AU299" s="556"/>
      <c r="AV299" s="556"/>
      <c r="AW299" s="556"/>
      <c r="AX299" s="556"/>
      <c r="AY299" s="556"/>
      <c r="AZ299" s="556"/>
      <c r="BA299" s="556"/>
      <c r="BB299" s="556"/>
      <c r="BC299" s="556"/>
      <c r="BD299" s="556"/>
      <c r="BE299" s="556"/>
      <c r="BF299" s="556"/>
      <c r="BG299" s="556"/>
      <c r="BH299" s="556"/>
      <c r="BI299" s="557">
        <v>162</v>
      </c>
      <c r="BJ299" s="557">
        <v>197</v>
      </c>
      <c r="BK299" s="557">
        <v>179</v>
      </c>
      <c r="BL299" s="556">
        <f>N299-SUM(BI299:BK299)</f>
        <v>188</v>
      </c>
      <c r="BM299" s="557">
        <v>155</v>
      </c>
      <c r="BN299" s="557">
        <v>190</v>
      </c>
      <c r="BO299" s="557">
        <v>160</v>
      </c>
      <c r="BP299" s="556">
        <f>+O299-SUM(BM299:BO299)</f>
        <v>168</v>
      </c>
      <c r="BQ299" s="557">
        <v>147</v>
      </c>
      <c r="BR299" s="557">
        <v>200</v>
      </c>
      <c r="BS299" s="557">
        <v>151</v>
      </c>
      <c r="BT299" s="558">
        <f>P299-SUM(BQ299:BS299)</f>
        <v>148</v>
      </c>
      <c r="BU299" s="557">
        <v>118</v>
      </c>
      <c r="BV299" s="557">
        <v>166</v>
      </c>
      <c r="BW299" s="557">
        <v>134</v>
      </c>
      <c r="BX299" s="558">
        <f>+Q299-SUM(BU299:BW299)</f>
        <v>126</v>
      </c>
      <c r="BY299" s="557">
        <v>114</v>
      </c>
      <c r="BZ299" s="557">
        <v>149</v>
      </c>
      <c r="CA299" s="557">
        <v>120</v>
      </c>
      <c r="CB299" s="557"/>
      <c r="CC299" s="557"/>
      <c r="CD299" s="557"/>
      <c r="CE299" s="557"/>
      <c r="CF299" s="557"/>
      <c r="CG299" s="557"/>
      <c r="CH299" s="557"/>
      <c r="CI299" s="557"/>
      <c r="CJ299" s="557"/>
    </row>
    <row r="300" spans="1:88" s="28" customFormat="1" hidden="1" outlineLevel="1">
      <c r="A300" s="28" t="s">
        <v>66</v>
      </c>
      <c r="B300" s="556"/>
      <c r="C300" s="556"/>
      <c r="D300" s="556"/>
      <c r="E300" s="556"/>
      <c r="F300" s="556"/>
      <c r="G300" s="556"/>
      <c r="H300" s="556"/>
      <c r="I300" s="556"/>
      <c r="J300" s="556"/>
      <c r="K300" s="556"/>
      <c r="L300" s="556"/>
      <c r="M300" s="564">
        <v>1058</v>
      </c>
      <c r="N300" s="564">
        <v>1025</v>
      </c>
      <c r="O300" s="564">
        <v>1113</v>
      </c>
      <c r="P300" s="564">
        <v>981</v>
      </c>
      <c r="Q300" s="564">
        <v>543</v>
      </c>
      <c r="R300" s="556"/>
      <c r="S300" s="556"/>
      <c r="T300" s="556"/>
      <c r="U300" s="556"/>
      <c r="V300" s="556"/>
      <c r="W300" s="556"/>
      <c r="X300" s="556"/>
      <c r="Y300" s="556"/>
      <c r="Z300" s="556"/>
      <c r="AA300" s="556"/>
      <c r="AB300" s="558"/>
      <c r="AC300" s="556"/>
      <c r="AD300" s="556"/>
      <c r="AE300" s="556"/>
      <c r="AF300" s="556"/>
      <c r="AG300" s="556"/>
      <c r="AH300" s="556"/>
      <c r="AI300" s="556"/>
      <c r="AJ300" s="556"/>
      <c r="AK300" s="556"/>
      <c r="AL300" s="556"/>
      <c r="AM300" s="556"/>
      <c r="AN300" s="556"/>
      <c r="AO300" s="556"/>
      <c r="AP300" s="556"/>
      <c r="AQ300" s="556"/>
      <c r="AR300" s="556"/>
      <c r="AS300" s="556"/>
      <c r="AT300" s="556"/>
      <c r="AU300" s="556"/>
      <c r="AV300" s="556"/>
      <c r="AW300" s="556"/>
      <c r="AX300" s="556"/>
      <c r="AY300" s="556"/>
      <c r="AZ300" s="556"/>
      <c r="BA300" s="556"/>
      <c r="BB300" s="556"/>
      <c r="BC300" s="556"/>
      <c r="BD300" s="556"/>
      <c r="BE300" s="556"/>
      <c r="BF300" s="556"/>
      <c r="BG300" s="556"/>
      <c r="BH300" s="556"/>
      <c r="BI300" s="557">
        <v>222</v>
      </c>
      <c r="BJ300" s="557">
        <v>322</v>
      </c>
      <c r="BK300" s="557">
        <v>228</v>
      </c>
      <c r="BL300" s="556">
        <f>N300-SUM(BI300:BK300)</f>
        <v>253</v>
      </c>
      <c r="BM300" s="557">
        <v>236</v>
      </c>
      <c r="BN300" s="557">
        <v>353</v>
      </c>
      <c r="BO300" s="557">
        <v>260</v>
      </c>
      <c r="BP300" s="556">
        <f>+O300-SUM(BM300:BO300)</f>
        <v>264</v>
      </c>
      <c r="BQ300" s="557">
        <v>228</v>
      </c>
      <c r="BR300" s="557">
        <v>327</v>
      </c>
      <c r="BS300" s="557">
        <v>227</v>
      </c>
      <c r="BT300" s="558">
        <f>P300-SUM(BQ300:BS300)</f>
        <v>199</v>
      </c>
      <c r="BU300" s="557">
        <v>185</v>
      </c>
      <c r="BV300" s="557">
        <v>272</v>
      </c>
      <c r="BW300" s="557">
        <v>45</v>
      </c>
      <c r="BX300" s="558">
        <f>+Q300-SUM(BU300:BW300)</f>
        <v>41</v>
      </c>
      <c r="BY300" s="557">
        <v>82</v>
      </c>
      <c r="BZ300" s="557">
        <v>116</v>
      </c>
      <c r="CA300" s="557">
        <v>31</v>
      </c>
      <c r="CB300" s="557"/>
      <c r="CC300" s="557"/>
      <c r="CD300" s="557"/>
      <c r="CE300" s="557"/>
      <c r="CF300" s="557"/>
      <c r="CG300" s="557"/>
      <c r="CH300" s="557"/>
      <c r="CI300" s="557"/>
      <c r="CJ300" s="557"/>
    </row>
    <row r="301" spans="1:88" s="28" customFormat="1" hidden="1" outlineLevel="1">
      <c r="A301" s="28" t="s">
        <v>67</v>
      </c>
      <c r="B301" s="556"/>
      <c r="C301" s="556"/>
      <c r="D301" s="556"/>
      <c r="E301" s="556"/>
      <c r="F301" s="556"/>
      <c r="G301" s="556"/>
      <c r="H301" s="556"/>
      <c r="I301" s="556"/>
      <c r="J301" s="556"/>
      <c r="K301" s="556"/>
      <c r="L301" s="556"/>
      <c r="M301" s="564">
        <v>253</v>
      </c>
      <c r="N301" s="564">
        <v>250</v>
      </c>
      <c r="O301" s="564">
        <v>271</v>
      </c>
      <c r="P301" s="564">
        <v>287</v>
      </c>
      <c r="Q301" s="564">
        <v>268</v>
      </c>
      <c r="R301" s="556"/>
      <c r="S301" s="556"/>
      <c r="T301" s="556"/>
      <c r="U301" s="556"/>
      <c r="V301" s="556"/>
      <c r="W301" s="556"/>
      <c r="X301" s="556"/>
      <c r="Y301" s="556"/>
      <c r="Z301" s="556"/>
      <c r="AA301" s="556"/>
      <c r="AB301" s="558"/>
      <c r="AC301" s="556"/>
      <c r="AD301" s="556"/>
      <c r="AE301" s="556"/>
      <c r="AF301" s="556"/>
      <c r="AG301" s="556"/>
      <c r="AH301" s="556"/>
      <c r="AI301" s="556"/>
      <c r="AJ301" s="556"/>
      <c r="AK301" s="556"/>
      <c r="AL301" s="556"/>
      <c r="AM301" s="556"/>
      <c r="AN301" s="556"/>
      <c r="AO301" s="556"/>
      <c r="AP301" s="556"/>
      <c r="AQ301" s="556"/>
      <c r="AR301" s="556"/>
      <c r="AS301" s="556"/>
      <c r="AT301" s="556"/>
      <c r="AU301" s="556"/>
      <c r="AV301" s="556"/>
      <c r="AW301" s="556"/>
      <c r="AX301" s="556"/>
      <c r="AY301" s="556"/>
      <c r="AZ301" s="556"/>
      <c r="BA301" s="556"/>
      <c r="BB301" s="556"/>
      <c r="BC301" s="556"/>
      <c r="BD301" s="556"/>
      <c r="BE301" s="556"/>
      <c r="BF301" s="556"/>
      <c r="BG301" s="556"/>
      <c r="BH301" s="556"/>
      <c r="BI301" s="557">
        <v>61</v>
      </c>
      <c r="BJ301" s="557">
        <v>76</v>
      </c>
      <c r="BK301" s="557">
        <v>54</v>
      </c>
      <c r="BL301" s="556">
        <f>N301-SUM(BI301:BK301)</f>
        <v>59</v>
      </c>
      <c r="BM301" s="557">
        <v>49</v>
      </c>
      <c r="BN301" s="557">
        <v>82</v>
      </c>
      <c r="BO301" s="557">
        <v>69</v>
      </c>
      <c r="BP301" s="556">
        <f>+O301-SUM(BM301:BO301)</f>
        <v>71</v>
      </c>
      <c r="BQ301" s="557">
        <v>73</v>
      </c>
      <c r="BR301" s="557">
        <v>89</v>
      </c>
      <c r="BS301" s="557">
        <v>64</v>
      </c>
      <c r="BT301" s="558">
        <f>P301-SUM(BQ301:BS301)</f>
        <v>61</v>
      </c>
      <c r="BU301" s="557">
        <v>69</v>
      </c>
      <c r="BV301" s="557">
        <v>88</v>
      </c>
      <c r="BW301" s="557">
        <v>50</v>
      </c>
      <c r="BX301" s="558">
        <f>+Q301-SUM(BU301:BW301)</f>
        <v>61</v>
      </c>
      <c r="BY301" s="557">
        <v>66</v>
      </c>
      <c r="BZ301" s="557">
        <v>88</v>
      </c>
      <c r="CA301" s="557">
        <v>44</v>
      </c>
      <c r="CB301" s="557"/>
      <c r="CC301" s="557"/>
      <c r="CD301" s="557"/>
      <c r="CE301" s="557"/>
      <c r="CF301" s="557"/>
      <c r="CG301" s="557"/>
      <c r="CH301" s="557"/>
      <c r="CI301" s="557"/>
      <c r="CJ301" s="557"/>
    </row>
    <row r="302" spans="1:88" s="493" customFormat="1" hidden="1" outlineLevel="1">
      <c r="A302" s="492" t="s">
        <v>68</v>
      </c>
      <c r="B302" s="561"/>
      <c r="C302" s="561"/>
      <c r="D302" s="561"/>
      <c r="E302" s="561"/>
      <c r="F302" s="561"/>
      <c r="G302" s="561"/>
      <c r="H302" s="561"/>
      <c r="I302" s="561"/>
      <c r="J302" s="561"/>
      <c r="K302" s="561"/>
      <c r="L302" s="561"/>
      <c r="M302" s="561"/>
      <c r="N302" s="561"/>
      <c r="O302" s="561"/>
      <c r="P302" s="561"/>
      <c r="Q302" s="561"/>
      <c r="R302" s="561"/>
      <c r="S302" s="561"/>
      <c r="T302" s="561"/>
      <c r="U302" s="561"/>
      <c r="V302" s="561"/>
      <c r="W302" s="561"/>
      <c r="X302" s="561"/>
      <c r="Y302" s="561"/>
      <c r="Z302" s="561"/>
      <c r="AA302" s="561"/>
      <c r="AB302" s="562"/>
      <c r="AC302" s="561"/>
      <c r="AD302" s="561"/>
      <c r="AE302" s="561"/>
      <c r="AF302" s="561"/>
      <c r="AG302" s="561"/>
      <c r="AH302" s="561"/>
      <c r="AI302" s="561"/>
      <c r="AJ302" s="561"/>
      <c r="AK302" s="561"/>
      <c r="AL302" s="561"/>
      <c r="AM302" s="561"/>
      <c r="AN302" s="561"/>
      <c r="AO302" s="561"/>
      <c r="AP302" s="561"/>
      <c r="AQ302" s="561"/>
      <c r="AR302" s="561"/>
      <c r="AS302" s="561"/>
      <c r="AT302" s="561"/>
      <c r="AU302" s="561"/>
      <c r="AV302" s="561"/>
      <c r="AW302" s="561"/>
      <c r="AX302" s="561"/>
      <c r="AY302" s="561"/>
      <c r="AZ302" s="561"/>
      <c r="BA302" s="561"/>
      <c r="BB302" s="561"/>
      <c r="BC302" s="561"/>
      <c r="BD302" s="561"/>
      <c r="BE302" s="561"/>
      <c r="BF302" s="561"/>
      <c r="BG302" s="561"/>
      <c r="BH302" s="561"/>
      <c r="BI302" s="561"/>
      <c r="BJ302" s="561"/>
      <c r="BK302" s="561"/>
      <c r="BL302" s="561"/>
      <c r="BM302" s="561"/>
      <c r="BN302" s="561"/>
      <c r="BO302" s="561"/>
      <c r="BP302" s="561"/>
      <c r="BQ302" s="561"/>
      <c r="BR302" s="561"/>
      <c r="BS302" s="561"/>
      <c r="BT302" s="561"/>
      <c r="BU302" s="561"/>
      <c r="BV302" s="561"/>
      <c r="BW302" s="561"/>
      <c r="BX302" s="561"/>
      <c r="BY302" s="561"/>
      <c r="BZ302" s="561"/>
      <c r="CA302" s="561"/>
      <c r="CB302" s="561"/>
      <c r="CC302" s="561"/>
      <c r="CD302" s="561"/>
      <c r="CE302" s="561"/>
      <c r="CF302" s="561"/>
      <c r="CG302" s="561"/>
      <c r="CH302" s="561"/>
      <c r="CI302" s="561"/>
      <c r="CJ302" s="561"/>
    </row>
    <row r="303" spans="1:88" s="493" customFormat="1" hidden="1" outlineLevel="1">
      <c r="A303" s="493" t="s">
        <v>63</v>
      </c>
      <c r="B303" s="561"/>
      <c r="C303" s="561"/>
      <c r="D303" s="561"/>
      <c r="E303" s="561"/>
      <c r="F303" s="561"/>
      <c r="G303" s="561"/>
      <c r="H303" s="561"/>
      <c r="I303" s="561"/>
      <c r="J303" s="561"/>
      <c r="K303" s="561"/>
      <c r="L303" s="561"/>
      <c r="M303" s="561"/>
      <c r="N303" s="561">
        <f t="shared" ref="N303:Q307" si="327">+N297/M297-1</f>
        <v>3.8394415357766221E-2</v>
      </c>
      <c r="O303" s="561">
        <f t="shared" si="327"/>
        <v>0.13781512605042012</v>
      </c>
      <c r="P303" s="561">
        <f t="shared" si="327"/>
        <v>-5.1698670605612951E-2</v>
      </c>
      <c r="Q303" s="561">
        <f t="shared" si="327"/>
        <v>-0.16666666666666663</v>
      </c>
      <c r="R303" s="561"/>
      <c r="S303" s="561"/>
      <c r="T303" s="561"/>
      <c r="U303" s="561"/>
      <c r="V303" s="561"/>
      <c r="W303" s="561"/>
      <c r="X303" s="561"/>
      <c r="Y303" s="561"/>
      <c r="Z303" s="561"/>
      <c r="AA303" s="561"/>
      <c r="AB303" s="562"/>
      <c r="AC303" s="561"/>
      <c r="AD303" s="561"/>
      <c r="AE303" s="561"/>
      <c r="AF303" s="561"/>
      <c r="AG303" s="561"/>
      <c r="AH303" s="561"/>
      <c r="AI303" s="561"/>
      <c r="AJ303" s="561"/>
      <c r="AK303" s="561"/>
      <c r="AL303" s="561"/>
      <c r="AM303" s="561"/>
      <c r="AN303" s="561"/>
      <c r="AO303" s="561"/>
      <c r="AP303" s="561"/>
      <c r="AQ303" s="561"/>
      <c r="AR303" s="561"/>
      <c r="AS303" s="561"/>
      <c r="AT303" s="561"/>
      <c r="AU303" s="561"/>
      <c r="AV303" s="561"/>
      <c r="AW303" s="561"/>
      <c r="AX303" s="561"/>
      <c r="AY303" s="561"/>
      <c r="AZ303" s="561"/>
      <c r="BA303" s="561"/>
      <c r="BB303" s="561"/>
      <c r="BC303" s="561"/>
      <c r="BD303" s="561"/>
      <c r="BE303" s="561"/>
      <c r="BF303" s="561"/>
      <c r="BG303" s="561"/>
      <c r="BH303" s="561"/>
      <c r="BI303" s="561"/>
      <c r="BJ303" s="561"/>
      <c r="BK303" s="561"/>
      <c r="BL303" s="561"/>
      <c r="BM303" s="561">
        <f t="shared" ref="BM303:CA307" si="328">+BM297/BI297-1</f>
        <v>0.10218978102189791</v>
      </c>
      <c r="BN303" s="561">
        <f t="shared" si="328"/>
        <v>0.16778523489932895</v>
      </c>
      <c r="BO303" s="561">
        <f t="shared" si="328"/>
        <v>0.13793103448275867</v>
      </c>
      <c r="BP303" s="561">
        <f t="shared" si="328"/>
        <v>0.14024390243902429</v>
      </c>
      <c r="BQ303" s="561">
        <f t="shared" si="328"/>
        <v>-2.6490066225165587E-2</v>
      </c>
      <c r="BR303" s="561">
        <f t="shared" si="328"/>
        <v>-1.7241379310344862E-2</v>
      </c>
      <c r="BS303" s="561">
        <f t="shared" si="328"/>
        <v>0</v>
      </c>
      <c r="BT303" s="561">
        <f t="shared" si="328"/>
        <v>-0.14973262032085566</v>
      </c>
      <c r="BU303" s="561">
        <f t="shared" si="328"/>
        <v>-0.15646258503401356</v>
      </c>
      <c r="BV303" s="561">
        <f t="shared" si="328"/>
        <v>-0.14035087719298245</v>
      </c>
      <c r="BW303" s="561">
        <f t="shared" si="328"/>
        <v>-0.24242424242424243</v>
      </c>
      <c r="BX303" s="561">
        <f t="shared" si="328"/>
        <v>-0.12578616352201255</v>
      </c>
      <c r="BY303" s="561">
        <f t="shared" si="328"/>
        <v>8.0645161290322509E-3</v>
      </c>
      <c r="BZ303" s="561">
        <f t="shared" si="328"/>
        <v>-0.12244897959183676</v>
      </c>
      <c r="CA303" s="561">
        <f t="shared" si="328"/>
        <v>0</v>
      </c>
      <c r="CB303" s="561"/>
      <c r="CC303" s="561"/>
      <c r="CD303" s="561"/>
      <c r="CE303" s="561"/>
      <c r="CF303" s="561"/>
      <c r="CG303" s="561"/>
      <c r="CH303" s="561"/>
      <c r="CI303" s="561"/>
      <c r="CJ303" s="561"/>
    </row>
    <row r="304" spans="1:88" s="493" customFormat="1" hidden="1" outlineLevel="1">
      <c r="A304" s="493" t="s">
        <v>64</v>
      </c>
      <c r="B304" s="561"/>
      <c r="C304" s="561"/>
      <c r="D304" s="561"/>
      <c r="E304" s="561"/>
      <c r="F304" s="561"/>
      <c r="G304" s="561"/>
      <c r="H304" s="561"/>
      <c r="I304" s="561"/>
      <c r="J304" s="561"/>
      <c r="K304" s="561"/>
      <c r="L304" s="561"/>
      <c r="M304" s="561"/>
      <c r="N304" s="561">
        <f t="shared" si="327"/>
        <v>-7.4735987002436999E-2</v>
      </c>
      <c r="O304" s="561">
        <f t="shared" si="327"/>
        <v>3.687445127304656E-2</v>
      </c>
      <c r="P304" s="561">
        <f t="shared" si="327"/>
        <v>-8.3827265029635889E-2</v>
      </c>
      <c r="Q304" s="561">
        <f t="shared" si="327"/>
        <v>-0.17190388170055448</v>
      </c>
      <c r="R304" s="561"/>
      <c r="S304" s="561"/>
      <c r="T304" s="561"/>
      <c r="U304" s="561"/>
      <c r="V304" s="561"/>
      <c r="W304" s="561"/>
      <c r="X304" s="561"/>
      <c r="Y304" s="561"/>
      <c r="Z304" s="561"/>
      <c r="AA304" s="561"/>
      <c r="AB304" s="562"/>
      <c r="AC304" s="561"/>
      <c r="AD304" s="561"/>
      <c r="AE304" s="561"/>
      <c r="AF304" s="561"/>
      <c r="AG304" s="561"/>
      <c r="AH304" s="561"/>
      <c r="AI304" s="561"/>
      <c r="AJ304" s="561"/>
      <c r="AK304" s="561"/>
      <c r="AL304" s="561"/>
      <c r="AM304" s="561"/>
      <c r="AN304" s="561"/>
      <c r="AO304" s="561"/>
      <c r="AP304" s="561"/>
      <c r="AQ304" s="561"/>
      <c r="AR304" s="561"/>
      <c r="AS304" s="561"/>
      <c r="AT304" s="561"/>
      <c r="AU304" s="561"/>
      <c r="AV304" s="561"/>
      <c r="AW304" s="561"/>
      <c r="AX304" s="561"/>
      <c r="AY304" s="561"/>
      <c r="AZ304" s="561"/>
      <c r="BA304" s="561"/>
      <c r="BB304" s="561"/>
      <c r="BC304" s="561"/>
      <c r="BD304" s="561"/>
      <c r="BE304" s="561"/>
      <c r="BF304" s="561"/>
      <c r="BG304" s="561"/>
      <c r="BH304" s="561"/>
      <c r="BI304" s="561"/>
      <c r="BJ304" s="561"/>
      <c r="BK304" s="561"/>
      <c r="BL304" s="561"/>
      <c r="BM304" s="561">
        <f t="shared" si="328"/>
        <v>1.8726591760299671E-2</v>
      </c>
      <c r="BN304" s="561">
        <f t="shared" si="328"/>
        <v>8.5972850678732948E-2</v>
      </c>
      <c r="BO304" s="561">
        <f t="shared" si="328"/>
        <v>5.0000000000000044E-2</v>
      </c>
      <c r="BP304" s="561">
        <f t="shared" si="328"/>
        <v>1.0781671159029615E-2</v>
      </c>
      <c r="BQ304" s="561">
        <f t="shared" si="328"/>
        <v>-0.10661764705882348</v>
      </c>
      <c r="BR304" s="561">
        <f t="shared" si="328"/>
        <v>-7.9166666666666718E-2</v>
      </c>
      <c r="BS304" s="561">
        <f t="shared" si="328"/>
        <v>-2.3809523809523836E-2</v>
      </c>
      <c r="BT304" s="561">
        <f t="shared" si="328"/>
        <v>-0.11733333333333329</v>
      </c>
      <c r="BU304" s="561">
        <f t="shared" si="328"/>
        <v>-0.18106995884773658</v>
      </c>
      <c r="BV304" s="561">
        <f t="shared" si="328"/>
        <v>-0.1131221719457014</v>
      </c>
      <c r="BW304" s="561">
        <f t="shared" si="328"/>
        <v>-0.19163763066202089</v>
      </c>
      <c r="BX304" s="561">
        <f t="shared" si="328"/>
        <v>-0.18731117824773413</v>
      </c>
      <c r="BY304" s="561">
        <f t="shared" si="328"/>
        <v>-0.1959798994974874</v>
      </c>
      <c r="BZ304" s="561">
        <f t="shared" si="328"/>
        <v>-0.15306122448979587</v>
      </c>
      <c r="CA304" s="561">
        <f t="shared" si="328"/>
        <v>-3.8793103448275912E-2</v>
      </c>
      <c r="CB304" s="561"/>
      <c r="CC304" s="561"/>
      <c r="CD304" s="561"/>
      <c r="CE304" s="561"/>
      <c r="CF304" s="561"/>
      <c r="CG304" s="561"/>
      <c r="CH304" s="561"/>
      <c r="CI304" s="561"/>
      <c r="CJ304" s="561"/>
    </row>
    <row r="305" spans="1:88" s="493" customFormat="1" hidden="1" outlineLevel="1">
      <c r="A305" s="493" t="s">
        <v>65</v>
      </c>
      <c r="B305" s="561"/>
      <c r="C305" s="561"/>
      <c r="D305" s="561"/>
      <c r="E305" s="561"/>
      <c r="F305" s="561"/>
      <c r="G305" s="561"/>
      <c r="H305" s="561"/>
      <c r="I305" s="561"/>
      <c r="J305" s="561"/>
      <c r="K305" s="561"/>
      <c r="L305" s="561"/>
      <c r="M305" s="561"/>
      <c r="N305" s="561">
        <f t="shared" si="327"/>
        <v>6.9348127600554754E-3</v>
      </c>
      <c r="O305" s="561">
        <f t="shared" si="327"/>
        <v>-7.3002754820936655E-2</v>
      </c>
      <c r="P305" s="561">
        <f t="shared" si="327"/>
        <v>-4.0118870728083178E-2</v>
      </c>
      <c r="Q305" s="561">
        <f t="shared" si="327"/>
        <v>-0.15789473684210531</v>
      </c>
      <c r="R305" s="561"/>
      <c r="S305" s="561"/>
      <c r="T305" s="561"/>
      <c r="U305" s="561"/>
      <c r="V305" s="561"/>
      <c r="W305" s="561"/>
      <c r="X305" s="561"/>
      <c r="Y305" s="561"/>
      <c r="Z305" s="561"/>
      <c r="AA305" s="561"/>
      <c r="AB305" s="562"/>
      <c r="AC305" s="561"/>
      <c r="AD305" s="561"/>
      <c r="AE305" s="561"/>
      <c r="AF305" s="561"/>
      <c r="AG305" s="561"/>
      <c r="AH305" s="561"/>
      <c r="AI305" s="561"/>
      <c r="AJ305" s="561"/>
      <c r="AK305" s="561"/>
      <c r="AL305" s="561"/>
      <c r="AM305" s="561"/>
      <c r="AN305" s="561"/>
      <c r="AO305" s="561"/>
      <c r="AP305" s="561"/>
      <c r="AQ305" s="561"/>
      <c r="AR305" s="561"/>
      <c r="AS305" s="561"/>
      <c r="AT305" s="561"/>
      <c r="AU305" s="561"/>
      <c r="AV305" s="561"/>
      <c r="AW305" s="561"/>
      <c r="AX305" s="561"/>
      <c r="AY305" s="561"/>
      <c r="AZ305" s="561"/>
      <c r="BA305" s="561"/>
      <c r="BB305" s="561"/>
      <c r="BC305" s="561"/>
      <c r="BD305" s="561"/>
      <c r="BE305" s="561"/>
      <c r="BF305" s="561"/>
      <c r="BG305" s="561"/>
      <c r="BH305" s="561"/>
      <c r="BI305" s="561"/>
      <c r="BJ305" s="561"/>
      <c r="BK305" s="561"/>
      <c r="BL305" s="561"/>
      <c r="BM305" s="561">
        <f t="shared" si="328"/>
        <v>-4.3209876543209846E-2</v>
      </c>
      <c r="BN305" s="561">
        <f t="shared" si="328"/>
        <v>-3.5532994923857864E-2</v>
      </c>
      <c r="BO305" s="561">
        <f t="shared" si="328"/>
        <v>-0.1061452513966481</v>
      </c>
      <c r="BP305" s="561">
        <f t="shared" si="328"/>
        <v>-0.1063829787234043</v>
      </c>
      <c r="BQ305" s="561">
        <f t="shared" si="328"/>
        <v>-5.1612903225806472E-2</v>
      </c>
      <c r="BR305" s="561">
        <f t="shared" si="328"/>
        <v>5.2631578947368363E-2</v>
      </c>
      <c r="BS305" s="561">
        <f t="shared" si="328"/>
        <v>-5.6250000000000022E-2</v>
      </c>
      <c r="BT305" s="561">
        <f t="shared" si="328"/>
        <v>-0.11904761904761907</v>
      </c>
      <c r="BU305" s="561">
        <f t="shared" si="328"/>
        <v>-0.19727891156462585</v>
      </c>
      <c r="BV305" s="561">
        <f t="shared" si="328"/>
        <v>-0.17000000000000004</v>
      </c>
      <c r="BW305" s="561">
        <f t="shared" si="328"/>
        <v>-0.11258278145695366</v>
      </c>
      <c r="BX305" s="561">
        <f t="shared" si="328"/>
        <v>-0.14864864864864868</v>
      </c>
      <c r="BY305" s="561">
        <f t="shared" si="328"/>
        <v>-3.3898305084745783E-2</v>
      </c>
      <c r="BZ305" s="561">
        <f t="shared" si="328"/>
        <v>-0.10240963855421692</v>
      </c>
      <c r="CA305" s="561">
        <f t="shared" si="328"/>
        <v>-0.10447761194029848</v>
      </c>
      <c r="CB305" s="561"/>
      <c r="CC305" s="561"/>
      <c r="CD305" s="561"/>
      <c r="CE305" s="561"/>
      <c r="CF305" s="561"/>
      <c r="CG305" s="561"/>
      <c r="CH305" s="561"/>
      <c r="CI305" s="561"/>
      <c r="CJ305" s="561"/>
    </row>
    <row r="306" spans="1:88" s="493" customFormat="1" hidden="1" outlineLevel="1">
      <c r="A306" s="493" t="s">
        <v>66</v>
      </c>
      <c r="B306" s="561"/>
      <c r="C306" s="561"/>
      <c r="D306" s="561"/>
      <c r="E306" s="561"/>
      <c r="F306" s="561"/>
      <c r="G306" s="561"/>
      <c r="H306" s="561"/>
      <c r="I306" s="561"/>
      <c r="J306" s="561"/>
      <c r="K306" s="561"/>
      <c r="L306" s="561"/>
      <c r="M306" s="561"/>
      <c r="N306" s="561">
        <f t="shared" si="327"/>
        <v>-3.1190926275992403E-2</v>
      </c>
      <c r="O306" s="561">
        <f t="shared" si="327"/>
        <v>8.5853658536585442E-2</v>
      </c>
      <c r="P306" s="561">
        <f t="shared" si="327"/>
        <v>-0.1185983827493261</v>
      </c>
      <c r="Q306" s="561">
        <f t="shared" si="327"/>
        <v>-0.44648318042813451</v>
      </c>
      <c r="R306" s="561"/>
      <c r="S306" s="561"/>
      <c r="T306" s="561"/>
      <c r="U306" s="561"/>
      <c r="V306" s="561"/>
      <c r="W306" s="561"/>
      <c r="X306" s="561"/>
      <c r="Y306" s="561"/>
      <c r="Z306" s="561"/>
      <c r="AA306" s="561"/>
      <c r="AB306" s="562"/>
      <c r="AC306" s="561"/>
      <c r="AD306" s="561"/>
      <c r="AE306" s="561"/>
      <c r="AF306" s="561"/>
      <c r="AG306" s="561"/>
      <c r="AH306" s="561"/>
      <c r="AI306" s="561"/>
      <c r="AJ306" s="561"/>
      <c r="AK306" s="561"/>
      <c r="AL306" s="561"/>
      <c r="AM306" s="561"/>
      <c r="AN306" s="561"/>
      <c r="AO306" s="561"/>
      <c r="AP306" s="561"/>
      <c r="AQ306" s="561"/>
      <c r="AR306" s="561"/>
      <c r="AS306" s="561"/>
      <c r="AT306" s="561"/>
      <c r="AU306" s="561"/>
      <c r="AV306" s="561"/>
      <c r="AW306" s="561"/>
      <c r="AX306" s="561"/>
      <c r="AY306" s="561"/>
      <c r="AZ306" s="561"/>
      <c r="BA306" s="561"/>
      <c r="BB306" s="561"/>
      <c r="BC306" s="561"/>
      <c r="BD306" s="561"/>
      <c r="BE306" s="561"/>
      <c r="BF306" s="561"/>
      <c r="BG306" s="561"/>
      <c r="BH306" s="561"/>
      <c r="BI306" s="561"/>
      <c r="BJ306" s="561"/>
      <c r="BK306" s="561"/>
      <c r="BL306" s="561"/>
      <c r="BM306" s="561">
        <f t="shared" si="328"/>
        <v>6.3063063063063085E-2</v>
      </c>
      <c r="BN306" s="561">
        <f t="shared" si="328"/>
        <v>9.6273291925465854E-2</v>
      </c>
      <c r="BO306" s="561">
        <f t="shared" si="328"/>
        <v>0.14035087719298245</v>
      </c>
      <c r="BP306" s="561">
        <f t="shared" si="328"/>
        <v>4.3478260869565188E-2</v>
      </c>
      <c r="BQ306" s="561">
        <f t="shared" si="328"/>
        <v>-3.3898305084745783E-2</v>
      </c>
      <c r="BR306" s="561">
        <f t="shared" si="328"/>
        <v>-7.3654390934844161E-2</v>
      </c>
      <c r="BS306" s="561">
        <f t="shared" si="328"/>
        <v>-0.12692307692307692</v>
      </c>
      <c r="BT306" s="561">
        <f t="shared" si="328"/>
        <v>-0.24621212121212122</v>
      </c>
      <c r="BU306" s="561">
        <f t="shared" si="328"/>
        <v>-0.18859649122807021</v>
      </c>
      <c r="BV306" s="561">
        <f t="shared" si="328"/>
        <v>-0.16819571865443428</v>
      </c>
      <c r="BW306" s="561">
        <f t="shared" si="328"/>
        <v>-0.80176211453744495</v>
      </c>
      <c r="BX306" s="561">
        <f t="shared" si="328"/>
        <v>-0.79396984924623115</v>
      </c>
      <c r="BY306" s="561">
        <f t="shared" si="328"/>
        <v>-0.55675675675675673</v>
      </c>
      <c r="BZ306" s="561">
        <f t="shared" si="328"/>
        <v>-0.57352941176470584</v>
      </c>
      <c r="CA306" s="561">
        <f t="shared" si="328"/>
        <v>-0.31111111111111112</v>
      </c>
      <c r="CB306" s="561"/>
      <c r="CC306" s="561"/>
      <c r="CD306" s="561"/>
      <c r="CE306" s="561"/>
      <c r="CF306" s="561"/>
      <c r="CG306" s="561"/>
      <c r="CH306" s="561"/>
      <c r="CI306" s="561"/>
      <c r="CJ306" s="561"/>
    </row>
    <row r="307" spans="1:88" s="493" customFormat="1" hidden="1" outlineLevel="1">
      <c r="A307" s="493" t="s">
        <v>67</v>
      </c>
      <c r="B307" s="561"/>
      <c r="C307" s="561"/>
      <c r="D307" s="561"/>
      <c r="E307" s="561"/>
      <c r="F307" s="561"/>
      <c r="G307" s="561"/>
      <c r="H307" s="561"/>
      <c r="I307" s="561"/>
      <c r="J307" s="561"/>
      <c r="K307" s="561"/>
      <c r="L307" s="561"/>
      <c r="M307" s="561"/>
      <c r="N307" s="561">
        <f t="shared" si="327"/>
        <v>-1.1857707509881465E-2</v>
      </c>
      <c r="O307" s="561">
        <f t="shared" si="327"/>
        <v>8.4000000000000075E-2</v>
      </c>
      <c r="P307" s="561">
        <f t="shared" si="327"/>
        <v>5.9040590405904148E-2</v>
      </c>
      <c r="Q307" s="561">
        <f t="shared" si="327"/>
        <v>-6.6202090592334506E-2</v>
      </c>
      <c r="R307" s="561"/>
      <c r="S307" s="561"/>
      <c r="T307" s="561"/>
      <c r="U307" s="561"/>
      <c r="V307" s="561"/>
      <c r="W307" s="561"/>
      <c r="X307" s="561"/>
      <c r="Y307" s="561"/>
      <c r="Z307" s="561"/>
      <c r="AA307" s="561"/>
      <c r="AB307" s="562"/>
      <c r="AC307" s="561"/>
      <c r="AD307" s="561"/>
      <c r="AE307" s="561"/>
      <c r="AF307" s="561"/>
      <c r="AG307" s="561"/>
      <c r="AH307" s="561"/>
      <c r="AI307" s="561"/>
      <c r="AJ307" s="561"/>
      <c r="AK307" s="561"/>
      <c r="AL307" s="561"/>
      <c r="AM307" s="561"/>
      <c r="AN307" s="561"/>
      <c r="AO307" s="561"/>
      <c r="AP307" s="561"/>
      <c r="AQ307" s="561"/>
      <c r="AR307" s="561"/>
      <c r="AS307" s="561"/>
      <c r="AT307" s="561"/>
      <c r="AU307" s="561"/>
      <c r="AV307" s="561"/>
      <c r="AW307" s="561"/>
      <c r="AX307" s="561"/>
      <c r="AY307" s="561"/>
      <c r="AZ307" s="561"/>
      <c r="BA307" s="561"/>
      <c r="BB307" s="561"/>
      <c r="BC307" s="561"/>
      <c r="BD307" s="561"/>
      <c r="BE307" s="561"/>
      <c r="BF307" s="561"/>
      <c r="BG307" s="561"/>
      <c r="BH307" s="561"/>
      <c r="BI307" s="561"/>
      <c r="BJ307" s="561"/>
      <c r="BK307" s="561"/>
      <c r="BL307" s="561"/>
      <c r="BM307" s="561">
        <f t="shared" si="328"/>
        <v>-0.19672131147540983</v>
      </c>
      <c r="BN307" s="561">
        <f t="shared" si="328"/>
        <v>7.8947368421052655E-2</v>
      </c>
      <c r="BO307" s="561">
        <f t="shared" si="328"/>
        <v>0.27777777777777768</v>
      </c>
      <c r="BP307" s="561">
        <f t="shared" si="328"/>
        <v>0.20338983050847448</v>
      </c>
      <c r="BQ307" s="561">
        <f t="shared" si="328"/>
        <v>0.48979591836734704</v>
      </c>
      <c r="BR307" s="561">
        <f t="shared" si="328"/>
        <v>8.5365853658536661E-2</v>
      </c>
      <c r="BS307" s="561">
        <f t="shared" si="328"/>
        <v>-7.2463768115942018E-2</v>
      </c>
      <c r="BT307" s="561">
        <f t="shared" si="328"/>
        <v>-0.14084507042253525</v>
      </c>
      <c r="BU307" s="561">
        <f t="shared" si="328"/>
        <v>-5.4794520547945202E-2</v>
      </c>
      <c r="BV307" s="561">
        <f t="shared" si="328"/>
        <v>-1.1235955056179803E-2</v>
      </c>
      <c r="BW307" s="561">
        <f t="shared" si="328"/>
        <v>-0.21875</v>
      </c>
      <c r="BX307" s="561">
        <f t="shared" si="328"/>
        <v>0</v>
      </c>
      <c r="BY307" s="561">
        <f t="shared" si="328"/>
        <v>-4.3478260869565188E-2</v>
      </c>
      <c r="BZ307" s="561">
        <f t="shared" si="328"/>
        <v>0</v>
      </c>
      <c r="CA307" s="561">
        <f t="shared" si="328"/>
        <v>-0.12</v>
      </c>
      <c r="CB307" s="561"/>
      <c r="CC307" s="561"/>
      <c r="CD307" s="561"/>
      <c r="CE307" s="561"/>
      <c r="CF307" s="561"/>
      <c r="CG307" s="561"/>
      <c r="CH307" s="561"/>
      <c r="CI307" s="561"/>
      <c r="CJ307" s="561"/>
    </row>
    <row r="308" spans="1:88" s="493" customFormat="1" hidden="1" outlineLevel="1">
      <c r="A308" s="492" t="s">
        <v>69</v>
      </c>
      <c r="B308" s="561"/>
      <c r="C308" s="561"/>
      <c r="D308" s="561"/>
      <c r="E308" s="561"/>
      <c r="F308" s="561"/>
      <c r="G308" s="561"/>
      <c r="H308" s="561"/>
      <c r="I308" s="561"/>
      <c r="J308" s="561"/>
      <c r="K308" s="561"/>
      <c r="L308" s="561"/>
      <c r="M308" s="561"/>
      <c r="N308" s="561"/>
      <c r="O308" s="561"/>
      <c r="P308" s="561"/>
      <c r="Q308" s="561"/>
      <c r="R308" s="561"/>
      <c r="S308" s="561"/>
      <c r="T308" s="561"/>
      <c r="U308" s="561"/>
      <c r="V308" s="561"/>
      <c r="W308" s="561"/>
      <c r="X308" s="561"/>
      <c r="Y308" s="561"/>
      <c r="Z308" s="561"/>
      <c r="AA308" s="561"/>
      <c r="AB308" s="562"/>
      <c r="AC308" s="561"/>
      <c r="AD308" s="561"/>
      <c r="AE308" s="561"/>
      <c r="AF308" s="561"/>
      <c r="AG308" s="561"/>
      <c r="AH308" s="561"/>
      <c r="AI308" s="561"/>
      <c r="AJ308" s="561"/>
      <c r="AK308" s="561"/>
      <c r="AL308" s="561"/>
      <c r="AM308" s="561"/>
      <c r="AN308" s="561"/>
      <c r="AO308" s="561"/>
      <c r="AP308" s="561"/>
      <c r="AQ308" s="561"/>
      <c r="AR308" s="561"/>
      <c r="AS308" s="561"/>
      <c r="AT308" s="561"/>
      <c r="AU308" s="561"/>
      <c r="AV308" s="561"/>
      <c r="AW308" s="561"/>
      <c r="AX308" s="561"/>
      <c r="AY308" s="561"/>
      <c r="AZ308" s="561"/>
      <c r="BA308" s="561"/>
      <c r="BB308" s="561"/>
      <c r="BC308" s="561"/>
      <c r="BD308" s="561"/>
      <c r="BE308" s="561"/>
      <c r="BF308" s="561"/>
      <c r="BG308" s="561"/>
      <c r="BH308" s="561"/>
      <c r="BI308" s="561"/>
      <c r="BJ308" s="561"/>
      <c r="BK308" s="561"/>
      <c r="BL308" s="561"/>
      <c r="BM308" s="561"/>
      <c r="BN308" s="561"/>
      <c r="BO308" s="561"/>
      <c r="BP308" s="561"/>
      <c r="BQ308" s="561"/>
      <c r="BR308" s="561"/>
      <c r="BS308" s="561"/>
      <c r="BT308" s="561"/>
      <c r="BU308" s="561"/>
      <c r="BV308" s="561"/>
      <c r="BW308" s="561"/>
      <c r="BX308" s="561"/>
      <c r="BY308" s="561"/>
      <c r="BZ308" s="561"/>
      <c r="CA308" s="561"/>
      <c r="CB308" s="561"/>
      <c r="CC308" s="561"/>
      <c r="CD308" s="561"/>
      <c r="CE308" s="561"/>
      <c r="CF308" s="561"/>
      <c r="CG308" s="561"/>
      <c r="CH308" s="561"/>
      <c r="CI308" s="561"/>
      <c r="CJ308" s="561"/>
    </row>
    <row r="309" spans="1:88" s="493" customFormat="1" hidden="1" outlineLevel="1">
      <c r="A309" s="493" t="s">
        <v>63</v>
      </c>
      <c r="B309" s="561"/>
      <c r="C309" s="561"/>
      <c r="D309" s="561"/>
      <c r="E309" s="561"/>
      <c r="F309" s="561"/>
      <c r="G309" s="561"/>
      <c r="H309" s="561"/>
      <c r="I309" s="561"/>
      <c r="J309" s="561"/>
      <c r="K309" s="561"/>
      <c r="L309" s="561"/>
      <c r="M309" s="563">
        <f t="shared" ref="M309:P313" si="329">M297/SUM(M$297:M$301)</f>
        <v>0.14937434827945778</v>
      </c>
      <c r="N309" s="563">
        <f t="shared" si="329"/>
        <v>0.15930388219544847</v>
      </c>
      <c r="O309" s="563">
        <f t="shared" si="329"/>
        <v>0.17292464878671776</v>
      </c>
      <c r="P309" s="563">
        <f t="shared" si="329"/>
        <v>0.17647058823529413</v>
      </c>
      <c r="Q309" s="563">
        <f>Q297/SUM(Q$297:Q$301)</f>
        <v>0.1920315865039483</v>
      </c>
      <c r="R309" s="561"/>
      <c r="S309" s="561"/>
      <c r="T309" s="561"/>
      <c r="U309" s="561"/>
      <c r="V309" s="561"/>
      <c r="W309" s="561"/>
      <c r="X309" s="561"/>
      <c r="Y309" s="561"/>
      <c r="Z309" s="561"/>
      <c r="AA309" s="561"/>
      <c r="AB309" s="562"/>
      <c r="AC309" s="561"/>
      <c r="AD309" s="561"/>
      <c r="AE309" s="561"/>
      <c r="AF309" s="561"/>
      <c r="AG309" s="561"/>
      <c r="AH309" s="561"/>
      <c r="AI309" s="561"/>
      <c r="AJ309" s="561"/>
      <c r="AK309" s="561"/>
      <c r="AL309" s="561"/>
      <c r="AM309" s="561"/>
      <c r="AN309" s="561"/>
      <c r="AO309" s="561"/>
      <c r="AP309" s="561"/>
      <c r="AQ309" s="561"/>
      <c r="AR309" s="561"/>
      <c r="AS309" s="561"/>
      <c r="AT309" s="561"/>
      <c r="AU309" s="561"/>
      <c r="AV309" s="561"/>
      <c r="AW309" s="561"/>
      <c r="AX309" s="561"/>
      <c r="AY309" s="561"/>
      <c r="AZ309" s="561"/>
      <c r="BA309" s="561"/>
      <c r="BB309" s="561"/>
      <c r="BC309" s="561"/>
      <c r="BD309" s="561"/>
      <c r="BE309" s="561"/>
      <c r="BF309" s="561"/>
      <c r="BG309" s="561"/>
      <c r="BH309" s="561"/>
      <c r="BI309" s="563">
        <f t="shared" ref="BI309:BZ309" si="330">BI297/SUM(BI$297:BI$301)</f>
        <v>0.16136631330977622</v>
      </c>
      <c r="BJ309" s="563">
        <f t="shared" si="330"/>
        <v>0.15440414507772021</v>
      </c>
      <c r="BK309" s="563">
        <f t="shared" si="330"/>
        <v>0.16365688487584651</v>
      </c>
      <c r="BL309" s="563">
        <f t="shared" si="330"/>
        <v>0.15845410628019324</v>
      </c>
      <c r="BM309" s="563">
        <f t="shared" si="330"/>
        <v>0.17497103128621089</v>
      </c>
      <c r="BN309" s="563">
        <f t="shared" si="330"/>
        <v>0.16746871992300288</v>
      </c>
      <c r="BO309" s="563">
        <f t="shared" si="330"/>
        <v>0.17405063291139242</v>
      </c>
      <c r="BP309" s="563">
        <f t="shared" si="330"/>
        <v>0.17558685446009389</v>
      </c>
      <c r="BQ309" s="563">
        <f t="shared" si="330"/>
        <v>0.17541766109785203</v>
      </c>
      <c r="BR309" s="563">
        <f t="shared" si="330"/>
        <v>0.16964285714285715</v>
      </c>
      <c r="BS309" s="563">
        <f t="shared" si="330"/>
        <v>0.18456375838926176</v>
      </c>
      <c r="BT309" s="563">
        <f t="shared" si="330"/>
        <v>0.17706013363028952</v>
      </c>
      <c r="BU309" s="563">
        <f t="shared" si="330"/>
        <v>0.17841726618705037</v>
      </c>
      <c r="BV309" s="563">
        <f t="shared" si="330"/>
        <v>0.16915995397008055</v>
      </c>
      <c r="BW309" s="563">
        <f t="shared" si="330"/>
        <v>0.21331058020477817</v>
      </c>
      <c r="BX309" s="563">
        <f t="shared" si="330"/>
        <v>0.21855345911949686</v>
      </c>
      <c r="BY309" s="563">
        <f t="shared" si="330"/>
        <v>0.22851919561243145</v>
      </c>
      <c r="BZ309" s="563">
        <f t="shared" si="330"/>
        <v>0.19907407407407407</v>
      </c>
      <c r="CA309" s="563">
        <f>CA297/SUM(CA$297:CA$301)</f>
        <v>0.23020257826887661</v>
      </c>
      <c r="CB309" s="563"/>
      <c r="CC309" s="563"/>
      <c r="CD309" s="563"/>
      <c r="CE309" s="563"/>
      <c r="CF309" s="563"/>
      <c r="CG309" s="563"/>
      <c r="CH309" s="563"/>
      <c r="CI309" s="563"/>
      <c r="CJ309" s="563"/>
    </row>
    <row r="310" spans="1:88" s="493" customFormat="1" hidden="1" outlineLevel="1">
      <c r="A310" s="493" t="s">
        <v>64</v>
      </c>
      <c r="B310" s="561"/>
      <c r="C310" s="561"/>
      <c r="D310" s="561"/>
      <c r="E310" s="561"/>
      <c r="F310" s="561"/>
      <c r="G310" s="561"/>
      <c r="H310" s="561"/>
      <c r="I310" s="561"/>
      <c r="J310" s="561"/>
      <c r="K310" s="561"/>
      <c r="L310" s="561"/>
      <c r="M310" s="563">
        <f t="shared" si="329"/>
        <v>0.32090719499478626</v>
      </c>
      <c r="N310" s="563">
        <f t="shared" si="329"/>
        <v>0.30495314591700134</v>
      </c>
      <c r="O310" s="563">
        <f t="shared" si="329"/>
        <v>0.3016602809706258</v>
      </c>
      <c r="P310" s="563">
        <f t="shared" si="329"/>
        <v>0.29741616272677296</v>
      </c>
      <c r="Q310" s="563">
        <f>Q298/SUM(Q$297:Q$301)</f>
        <v>0.32160804020100503</v>
      </c>
      <c r="R310" s="561"/>
      <c r="S310" s="561"/>
      <c r="T310" s="561"/>
      <c r="U310" s="561"/>
      <c r="V310" s="561"/>
      <c r="W310" s="561"/>
      <c r="X310" s="561"/>
      <c r="Y310" s="561"/>
      <c r="Z310" s="561"/>
      <c r="AA310" s="561"/>
      <c r="AB310" s="562"/>
      <c r="AC310" s="561"/>
      <c r="AD310" s="561"/>
      <c r="AE310" s="561"/>
      <c r="AF310" s="561"/>
      <c r="AG310" s="561"/>
      <c r="AH310" s="561"/>
      <c r="AI310" s="561"/>
      <c r="AJ310" s="561"/>
      <c r="AK310" s="561"/>
      <c r="AL310" s="561"/>
      <c r="AM310" s="561"/>
      <c r="AN310" s="561"/>
      <c r="AO310" s="561"/>
      <c r="AP310" s="561"/>
      <c r="AQ310" s="561"/>
      <c r="AR310" s="561"/>
      <c r="AS310" s="561"/>
      <c r="AT310" s="561"/>
      <c r="AU310" s="561"/>
      <c r="AV310" s="561"/>
      <c r="AW310" s="561"/>
      <c r="AX310" s="561"/>
      <c r="AY310" s="561"/>
      <c r="AZ310" s="561"/>
      <c r="BA310" s="561"/>
      <c r="BB310" s="561"/>
      <c r="BC310" s="561"/>
      <c r="BD310" s="561"/>
      <c r="BE310" s="561"/>
      <c r="BF310" s="561"/>
      <c r="BG310" s="561"/>
      <c r="BH310" s="561"/>
      <c r="BI310" s="563">
        <f t="shared" ref="BI310:BZ310" si="331">BI298/SUM(BI$297:BI$301)</f>
        <v>0.31448763250883394</v>
      </c>
      <c r="BJ310" s="563">
        <f t="shared" si="331"/>
        <v>0.22901554404145077</v>
      </c>
      <c r="BK310" s="563">
        <f t="shared" si="331"/>
        <v>0.3160270880361174</v>
      </c>
      <c r="BL310" s="563">
        <f t="shared" si="331"/>
        <v>0.35845410628019325</v>
      </c>
      <c r="BM310" s="563">
        <f t="shared" si="331"/>
        <v>0.31517960602549244</v>
      </c>
      <c r="BN310" s="563">
        <f t="shared" si="331"/>
        <v>0.23099133782483156</v>
      </c>
      <c r="BO310" s="563">
        <f t="shared" si="331"/>
        <v>0.310126582278481</v>
      </c>
      <c r="BP310" s="563">
        <f t="shared" si="331"/>
        <v>0.352112676056338</v>
      </c>
      <c r="BQ310" s="563">
        <f t="shared" si="331"/>
        <v>0.28997613365155134</v>
      </c>
      <c r="BR310" s="563">
        <f t="shared" si="331"/>
        <v>0.21924603174603174</v>
      </c>
      <c r="BS310" s="563">
        <f t="shared" si="331"/>
        <v>0.32102908277404923</v>
      </c>
      <c r="BT310" s="563">
        <f t="shared" si="331"/>
        <v>0.36859688195991092</v>
      </c>
      <c r="BU310" s="563">
        <f t="shared" si="331"/>
        <v>0.28633093525179854</v>
      </c>
      <c r="BV310" s="563">
        <f t="shared" si="331"/>
        <v>0.22554660529344073</v>
      </c>
      <c r="BW310" s="563">
        <f t="shared" si="331"/>
        <v>0.39590443686006827</v>
      </c>
      <c r="BX310" s="563">
        <f t="shared" si="331"/>
        <v>0.42295597484276731</v>
      </c>
      <c r="BY310" s="563">
        <f t="shared" si="331"/>
        <v>0.29250457038391225</v>
      </c>
      <c r="BZ310" s="563">
        <f t="shared" si="331"/>
        <v>0.25617283950617287</v>
      </c>
      <c r="CA310" s="563">
        <f>CA298/SUM(CA$297:CA$301)</f>
        <v>0.41068139963167588</v>
      </c>
      <c r="CB310" s="563"/>
      <c r="CC310" s="563"/>
      <c r="CD310" s="563"/>
      <c r="CE310" s="563"/>
      <c r="CF310" s="563"/>
      <c r="CG310" s="563"/>
      <c r="CH310" s="563"/>
      <c r="CI310" s="563"/>
      <c r="CJ310" s="563"/>
    </row>
    <row r="311" spans="1:88" s="493" customFormat="1" hidden="1" outlineLevel="1">
      <c r="A311" s="493" t="s">
        <v>65</v>
      </c>
      <c r="B311" s="561"/>
      <c r="C311" s="561"/>
      <c r="D311" s="561"/>
      <c r="E311" s="561"/>
      <c r="F311" s="561"/>
      <c r="G311" s="561"/>
      <c r="H311" s="561"/>
      <c r="I311" s="561"/>
      <c r="J311" s="561"/>
      <c r="K311" s="561"/>
      <c r="L311" s="561"/>
      <c r="M311" s="563">
        <f t="shared" si="329"/>
        <v>0.18795620437956204</v>
      </c>
      <c r="N311" s="563">
        <f t="shared" si="329"/>
        <v>0.19437751004016066</v>
      </c>
      <c r="O311" s="563">
        <f t="shared" si="329"/>
        <v>0.17190293742017879</v>
      </c>
      <c r="P311" s="563">
        <f t="shared" si="329"/>
        <v>0.17757009345794392</v>
      </c>
      <c r="Q311" s="563">
        <f>Q299/SUM(Q$297:Q$301)</f>
        <v>0.19526202440775306</v>
      </c>
      <c r="R311" s="561"/>
      <c r="S311" s="561"/>
      <c r="T311" s="561"/>
      <c r="U311" s="561"/>
      <c r="V311" s="561"/>
      <c r="W311" s="561"/>
      <c r="X311" s="561"/>
      <c r="Y311" s="561"/>
      <c r="Z311" s="561"/>
      <c r="AA311" s="561"/>
      <c r="AB311" s="562"/>
      <c r="AC311" s="561"/>
      <c r="AD311" s="561"/>
      <c r="AE311" s="561"/>
      <c r="AF311" s="561"/>
      <c r="AG311" s="561"/>
      <c r="AH311" s="561"/>
      <c r="AI311" s="561"/>
      <c r="AJ311" s="561"/>
      <c r="AK311" s="561"/>
      <c r="AL311" s="561"/>
      <c r="AM311" s="561"/>
      <c r="AN311" s="561"/>
      <c r="AO311" s="561"/>
      <c r="AP311" s="561"/>
      <c r="AQ311" s="561"/>
      <c r="AR311" s="561"/>
      <c r="AS311" s="561"/>
      <c r="AT311" s="561"/>
      <c r="AU311" s="561"/>
      <c r="AV311" s="561"/>
      <c r="AW311" s="561"/>
      <c r="AX311" s="561"/>
      <c r="AY311" s="561"/>
      <c r="AZ311" s="561"/>
      <c r="BA311" s="561"/>
      <c r="BB311" s="561"/>
      <c r="BC311" s="561"/>
      <c r="BD311" s="561"/>
      <c r="BE311" s="561"/>
      <c r="BF311" s="561"/>
      <c r="BG311" s="561"/>
      <c r="BH311" s="561"/>
      <c r="BI311" s="563">
        <f t="shared" ref="BI311:BZ311" si="332">BI299/SUM(BI$297:BI$301)</f>
        <v>0.19081272084805653</v>
      </c>
      <c r="BJ311" s="563">
        <f t="shared" si="332"/>
        <v>0.20414507772020726</v>
      </c>
      <c r="BK311" s="563">
        <f t="shared" si="332"/>
        <v>0.2020316027088036</v>
      </c>
      <c r="BL311" s="563">
        <f t="shared" si="332"/>
        <v>0.18164251207729468</v>
      </c>
      <c r="BM311" s="563">
        <f t="shared" si="332"/>
        <v>0.17960602549246812</v>
      </c>
      <c r="BN311" s="563">
        <f t="shared" si="332"/>
        <v>0.18286814244465832</v>
      </c>
      <c r="BO311" s="563">
        <f t="shared" si="332"/>
        <v>0.16877637130801687</v>
      </c>
      <c r="BP311" s="563">
        <f t="shared" si="332"/>
        <v>0.15774647887323945</v>
      </c>
      <c r="BQ311" s="563">
        <f t="shared" si="332"/>
        <v>0.17541766109785203</v>
      </c>
      <c r="BR311" s="563">
        <f t="shared" si="332"/>
        <v>0.1984126984126984</v>
      </c>
      <c r="BS311" s="563">
        <f t="shared" si="332"/>
        <v>0.16890380313199105</v>
      </c>
      <c r="BT311" s="563">
        <f t="shared" si="332"/>
        <v>0.16481069042316257</v>
      </c>
      <c r="BU311" s="563">
        <f t="shared" si="332"/>
        <v>0.16978417266187051</v>
      </c>
      <c r="BV311" s="563">
        <f t="shared" si="332"/>
        <v>0.19102416570771003</v>
      </c>
      <c r="BW311" s="563">
        <f t="shared" si="332"/>
        <v>0.22866894197952217</v>
      </c>
      <c r="BX311" s="563">
        <f t="shared" si="332"/>
        <v>0.19811320754716982</v>
      </c>
      <c r="BY311" s="563">
        <f t="shared" si="332"/>
        <v>0.20840950639853748</v>
      </c>
      <c r="BZ311" s="563">
        <f t="shared" si="332"/>
        <v>0.22993827160493827</v>
      </c>
      <c r="CA311" s="563">
        <f>CA299/SUM(CA$297:CA$301)</f>
        <v>0.22099447513812154</v>
      </c>
      <c r="CB311" s="563"/>
      <c r="CC311" s="563"/>
      <c r="CD311" s="563"/>
      <c r="CE311" s="563"/>
      <c r="CF311" s="563"/>
      <c r="CG311" s="563"/>
      <c r="CH311" s="563"/>
      <c r="CI311" s="563"/>
      <c r="CJ311" s="563"/>
    </row>
    <row r="312" spans="1:88" s="493" customFormat="1" hidden="1" outlineLevel="1">
      <c r="A312" s="493" t="s">
        <v>66</v>
      </c>
      <c r="B312" s="561"/>
      <c r="C312" s="561"/>
      <c r="D312" s="561"/>
      <c r="E312" s="561"/>
      <c r="F312" s="561"/>
      <c r="G312" s="561"/>
      <c r="H312" s="561"/>
      <c r="I312" s="561"/>
      <c r="J312" s="561"/>
      <c r="K312" s="561"/>
      <c r="L312" s="561"/>
      <c r="M312" s="563">
        <f t="shared" si="329"/>
        <v>0.27580813347236705</v>
      </c>
      <c r="N312" s="563">
        <f t="shared" si="329"/>
        <v>0.27443105756358771</v>
      </c>
      <c r="O312" s="563">
        <f t="shared" si="329"/>
        <v>0.2842911877394636</v>
      </c>
      <c r="P312" s="563">
        <f t="shared" si="329"/>
        <v>0.26965365585486534</v>
      </c>
      <c r="Q312" s="563">
        <f>Q300/SUM(Q$297:Q$301)</f>
        <v>0.19490308686288585</v>
      </c>
      <c r="R312" s="561"/>
      <c r="S312" s="561"/>
      <c r="T312" s="561"/>
      <c r="U312" s="561"/>
      <c r="V312" s="561"/>
      <c r="W312" s="561"/>
      <c r="X312" s="561"/>
      <c r="Y312" s="561"/>
      <c r="Z312" s="561"/>
      <c r="AA312" s="561"/>
      <c r="AB312" s="562"/>
      <c r="AC312" s="561"/>
      <c r="AD312" s="561"/>
      <c r="AE312" s="561"/>
      <c r="AF312" s="561"/>
      <c r="AG312" s="561"/>
      <c r="AH312" s="561"/>
      <c r="AI312" s="561"/>
      <c r="AJ312" s="561"/>
      <c r="AK312" s="561"/>
      <c r="AL312" s="561"/>
      <c r="AM312" s="561"/>
      <c r="AN312" s="561"/>
      <c r="AO312" s="561"/>
      <c r="AP312" s="561"/>
      <c r="AQ312" s="561"/>
      <c r="AR312" s="561"/>
      <c r="AS312" s="561"/>
      <c r="AT312" s="561"/>
      <c r="AU312" s="561"/>
      <c r="AV312" s="561"/>
      <c r="AW312" s="561"/>
      <c r="AX312" s="561"/>
      <c r="AY312" s="561"/>
      <c r="AZ312" s="561"/>
      <c r="BA312" s="561"/>
      <c r="BB312" s="561"/>
      <c r="BC312" s="561"/>
      <c r="BD312" s="561"/>
      <c r="BE312" s="561"/>
      <c r="BF312" s="561"/>
      <c r="BG312" s="561"/>
      <c r="BH312" s="561"/>
      <c r="BI312" s="563">
        <f t="shared" ref="BI312:BZ312" si="333">BI300/SUM(BI$297:BI$301)</f>
        <v>0.26148409893992935</v>
      </c>
      <c r="BJ312" s="563">
        <f t="shared" si="333"/>
        <v>0.33367875647668394</v>
      </c>
      <c r="BK312" s="563">
        <f t="shared" si="333"/>
        <v>0.25733634311512416</v>
      </c>
      <c r="BL312" s="563">
        <f t="shared" si="333"/>
        <v>0.24444444444444444</v>
      </c>
      <c r="BM312" s="563">
        <f t="shared" si="333"/>
        <v>0.27346465816917731</v>
      </c>
      <c r="BN312" s="563">
        <f t="shared" si="333"/>
        <v>0.33974975938402308</v>
      </c>
      <c r="BO312" s="563">
        <f t="shared" si="333"/>
        <v>0.27426160337552741</v>
      </c>
      <c r="BP312" s="563">
        <f t="shared" si="333"/>
        <v>0.24788732394366197</v>
      </c>
      <c r="BQ312" s="563">
        <f t="shared" si="333"/>
        <v>0.27207637231503579</v>
      </c>
      <c r="BR312" s="563">
        <f t="shared" si="333"/>
        <v>0.32440476190476192</v>
      </c>
      <c r="BS312" s="563">
        <f t="shared" si="333"/>
        <v>0.25391498881431768</v>
      </c>
      <c r="BT312" s="563">
        <f t="shared" si="333"/>
        <v>0.22160356347438753</v>
      </c>
      <c r="BU312" s="563">
        <f t="shared" si="333"/>
        <v>0.26618705035971224</v>
      </c>
      <c r="BV312" s="563">
        <f t="shared" si="333"/>
        <v>0.31300345224395859</v>
      </c>
      <c r="BW312" s="563">
        <f t="shared" si="333"/>
        <v>7.6791808873720141E-2</v>
      </c>
      <c r="BX312" s="563">
        <f t="shared" si="333"/>
        <v>6.4465408805031446E-2</v>
      </c>
      <c r="BY312" s="563">
        <f t="shared" si="333"/>
        <v>0.14990859232175502</v>
      </c>
      <c r="BZ312" s="563">
        <f t="shared" si="333"/>
        <v>0.17901234567901234</v>
      </c>
      <c r="CA312" s="563">
        <f>CA300/SUM(CA$297:CA$301)</f>
        <v>5.70902394106814E-2</v>
      </c>
      <c r="CB312" s="563"/>
      <c r="CC312" s="563"/>
      <c r="CD312" s="563"/>
      <c r="CE312" s="563"/>
      <c r="CF312" s="563"/>
      <c r="CG312" s="563"/>
      <c r="CH312" s="563"/>
      <c r="CI312" s="563"/>
      <c r="CJ312" s="563"/>
    </row>
    <row r="313" spans="1:88" s="493" customFormat="1" hidden="1" outlineLevel="1">
      <c r="A313" s="493" t="s">
        <v>67</v>
      </c>
      <c r="B313" s="561"/>
      <c r="C313" s="561"/>
      <c r="D313" s="561"/>
      <c r="E313" s="561"/>
      <c r="F313" s="561"/>
      <c r="G313" s="561"/>
      <c r="H313" s="561"/>
      <c r="I313" s="561"/>
      <c r="J313" s="561"/>
      <c r="K313" s="561"/>
      <c r="L313" s="561"/>
      <c r="M313" s="563">
        <f t="shared" si="329"/>
        <v>6.5954118873826906E-2</v>
      </c>
      <c r="N313" s="563">
        <f t="shared" si="329"/>
        <v>6.6934404283801874E-2</v>
      </c>
      <c r="O313" s="563">
        <f t="shared" si="329"/>
        <v>6.9220945083014046E-2</v>
      </c>
      <c r="P313" s="563">
        <f t="shared" si="329"/>
        <v>7.8889499725123699E-2</v>
      </c>
      <c r="Q313" s="563">
        <f>Q301/SUM(Q$297:Q$301)</f>
        <v>9.6195262024407757E-2</v>
      </c>
      <c r="R313" s="561"/>
      <c r="S313" s="561"/>
      <c r="T313" s="561"/>
      <c r="U313" s="561"/>
      <c r="V313" s="561"/>
      <c r="W313" s="561"/>
      <c r="X313" s="561"/>
      <c r="Y313" s="561"/>
      <c r="Z313" s="561"/>
      <c r="AA313" s="561"/>
      <c r="AB313" s="562"/>
      <c r="AC313" s="561"/>
      <c r="AD313" s="561"/>
      <c r="AE313" s="561"/>
      <c r="AF313" s="561"/>
      <c r="AG313" s="561"/>
      <c r="AH313" s="561"/>
      <c r="AI313" s="561"/>
      <c r="AJ313" s="561"/>
      <c r="AK313" s="561"/>
      <c r="AL313" s="561"/>
      <c r="AM313" s="561"/>
      <c r="AN313" s="561"/>
      <c r="AO313" s="561"/>
      <c r="AP313" s="561"/>
      <c r="AQ313" s="561"/>
      <c r="AR313" s="561"/>
      <c r="AS313" s="561"/>
      <c r="AT313" s="561"/>
      <c r="AU313" s="561"/>
      <c r="AV313" s="561"/>
      <c r="AW313" s="561"/>
      <c r="AX313" s="561"/>
      <c r="AY313" s="561"/>
      <c r="AZ313" s="561"/>
      <c r="BA313" s="561"/>
      <c r="BB313" s="561"/>
      <c r="BC313" s="561"/>
      <c r="BD313" s="561"/>
      <c r="BE313" s="561"/>
      <c r="BF313" s="561"/>
      <c r="BG313" s="561"/>
      <c r="BH313" s="561"/>
      <c r="BI313" s="563">
        <f t="shared" ref="BI313:BZ313" si="334">BI301/SUM(BI$297:BI$301)</f>
        <v>7.1849234393404002E-2</v>
      </c>
      <c r="BJ313" s="563">
        <f t="shared" si="334"/>
        <v>7.8756476683937829E-2</v>
      </c>
      <c r="BK313" s="563">
        <f t="shared" si="334"/>
        <v>6.0948081264108354E-2</v>
      </c>
      <c r="BL313" s="563">
        <f t="shared" si="334"/>
        <v>5.7004830917874394E-2</v>
      </c>
      <c r="BM313" s="563">
        <f t="shared" si="334"/>
        <v>5.6778679026651215E-2</v>
      </c>
      <c r="BN313" s="563">
        <f t="shared" si="334"/>
        <v>7.8922040423484122E-2</v>
      </c>
      <c r="BO313" s="563">
        <f t="shared" si="334"/>
        <v>7.2784810126582278E-2</v>
      </c>
      <c r="BP313" s="563">
        <f t="shared" si="334"/>
        <v>6.6666666666666666E-2</v>
      </c>
      <c r="BQ313" s="563">
        <f t="shared" si="334"/>
        <v>8.7112171837708835E-2</v>
      </c>
      <c r="BR313" s="563">
        <f t="shared" si="334"/>
        <v>8.8293650793650799E-2</v>
      </c>
      <c r="BS313" s="563">
        <f t="shared" si="334"/>
        <v>7.1588366890380312E-2</v>
      </c>
      <c r="BT313" s="563">
        <f t="shared" si="334"/>
        <v>6.7928730512249444E-2</v>
      </c>
      <c r="BU313" s="563">
        <f t="shared" si="334"/>
        <v>9.9280575539568344E-2</v>
      </c>
      <c r="BV313" s="563">
        <f t="shared" si="334"/>
        <v>0.10126582278481013</v>
      </c>
      <c r="BW313" s="563">
        <f t="shared" si="334"/>
        <v>8.5324232081911269E-2</v>
      </c>
      <c r="BX313" s="563">
        <f t="shared" si="334"/>
        <v>9.5911949685534598E-2</v>
      </c>
      <c r="BY313" s="563">
        <f t="shared" si="334"/>
        <v>0.1206581352833638</v>
      </c>
      <c r="BZ313" s="563">
        <f t="shared" si="334"/>
        <v>0.13580246913580246</v>
      </c>
      <c r="CA313" s="563">
        <f>CA301/SUM(CA$297:CA$301)</f>
        <v>8.1031307550644568E-2</v>
      </c>
      <c r="CB313" s="563"/>
      <c r="CC313" s="563"/>
      <c r="CD313" s="563"/>
      <c r="CE313" s="563"/>
      <c r="CF313" s="563"/>
      <c r="CG313" s="563"/>
      <c r="CH313" s="563"/>
      <c r="CI313" s="563"/>
      <c r="CJ313" s="563"/>
    </row>
    <row r="314" spans="1:88" s="493" customFormat="1" hidden="1" outlineLevel="1">
      <c r="B314" s="561"/>
      <c r="C314" s="561"/>
      <c r="D314" s="561"/>
      <c r="E314" s="561"/>
      <c r="F314" s="561"/>
      <c r="G314" s="561"/>
      <c r="H314" s="561"/>
      <c r="I314" s="561"/>
      <c r="J314" s="561"/>
      <c r="K314" s="561"/>
      <c r="L314" s="561"/>
      <c r="M314" s="561"/>
      <c r="N314" s="561"/>
      <c r="O314" s="561"/>
      <c r="P314" s="561"/>
      <c r="Q314" s="561"/>
      <c r="R314" s="561"/>
      <c r="S314" s="561"/>
      <c r="T314" s="561"/>
      <c r="U314" s="561"/>
      <c r="V314" s="561"/>
      <c r="W314" s="561"/>
      <c r="X314" s="561"/>
      <c r="Y314" s="561"/>
      <c r="Z314" s="561"/>
      <c r="AA314" s="561"/>
      <c r="AB314" s="562"/>
      <c r="AC314" s="561"/>
      <c r="AD314" s="561"/>
      <c r="AE314" s="561"/>
      <c r="AF314" s="561"/>
      <c r="AG314" s="561"/>
      <c r="AH314" s="561"/>
      <c r="AI314" s="561"/>
      <c r="AJ314" s="561"/>
      <c r="AK314" s="561"/>
      <c r="AL314" s="561"/>
      <c r="AM314" s="561"/>
      <c r="AN314" s="561"/>
      <c r="AO314" s="561"/>
      <c r="AP314" s="561"/>
      <c r="AQ314" s="561"/>
      <c r="AR314" s="561"/>
      <c r="AS314" s="561"/>
      <c r="AT314" s="561"/>
      <c r="AU314" s="561"/>
      <c r="AV314" s="561"/>
      <c r="AW314" s="561"/>
      <c r="AX314" s="561"/>
      <c r="AY314" s="561"/>
      <c r="AZ314" s="561"/>
      <c r="BA314" s="561"/>
      <c r="BB314" s="561"/>
      <c r="BC314" s="561"/>
      <c r="BD314" s="561"/>
      <c r="BE314" s="561"/>
      <c r="BF314" s="561"/>
      <c r="BG314" s="561"/>
      <c r="BH314" s="561"/>
      <c r="BI314" s="561"/>
      <c r="BJ314" s="561"/>
      <c r="BK314" s="561"/>
      <c r="BL314" s="561"/>
      <c r="BM314" s="561"/>
      <c r="BN314" s="561"/>
      <c r="BO314" s="561"/>
      <c r="BP314" s="561"/>
      <c r="BQ314" s="561"/>
      <c r="BR314" s="561"/>
      <c r="BS314" s="561"/>
      <c r="BT314" s="561"/>
      <c r="BU314" s="561"/>
      <c r="BV314" s="561"/>
      <c r="BW314" s="561"/>
      <c r="BX314" s="561"/>
      <c r="BY314" s="561"/>
      <c r="BZ314" s="561"/>
      <c r="CA314" s="561"/>
      <c r="CB314" s="561"/>
      <c r="CC314" s="561"/>
      <c r="CD314" s="561"/>
      <c r="CE314" s="561"/>
      <c r="CF314" s="561"/>
      <c r="CG314" s="561"/>
      <c r="CH314" s="561"/>
      <c r="CI314" s="561"/>
      <c r="CJ314" s="561"/>
    </row>
    <row r="315" spans="1:88" collapsed="1">
      <c r="A315" s="25" t="s">
        <v>57</v>
      </c>
      <c r="B315" s="518"/>
      <c r="C315" s="518"/>
      <c r="D315" s="518"/>
      <c r="E315" s="518"/>
      <c r="F315" s="518"/>
      <c r="G315" s="518"/>
      <c r="H315" s="518"/>
      <c r="I315" s="518"/>
      <c r="J315" s="518"/>
      <c r="K315" s="518"/>
      <c r="L315" s="518"/>
      <c r="M315" s="518"/>
      <c r="N315" s="518"/>
      <c r="O315" s="518"/>
      <c r="P315" s="712" t="s">
        <v>578</v>
      </c>
      <c r="Q315" s="711"/>
      <c r="R315" s="518"/>
      <c r="S315" s="518"/>
      <c r="T315" s="518"/>
      <c r="U315" s="518"/>
      <c r="V315" s="518"/>
      <c r="W315" s="518"/>
      <c r="X315" s="518"/>
      <c r="Y315" s="518"/>
      <c r="Z315" s="518"/>
      <c r="AA315" s="518"/>
      <c r="AB315" s="519"/>
      <c r="AC315" s="518"/>
      <c r="AD315" s="518"/>
      <c r="AE315" s="518"/>
      <c r="AF315" s="518"/>
      <c r="AG315" s="518"/>
      <c r="AH315" s="518"/>
      <c r="AI315" s="518"/>
      <c r="AJ315" s="518"/>
      <c r="AK315" s="518"/>
      <c r="AL315" s="518"/>
      <c r="AM315" s="518"/>
      <c r="AN315" s="518"/>
      <c r="AO315" s="518"/>
      <c r="AP315" s="518"/>
      <c r="AQ315" s="518"/>
      <c r="AR315" s="518"/>
      <c r="AS315" s="518"/>
      <c r="AT315" s="518"/>
      <c r="AU315" s="518"/>
      <c r="AV315" s="518"/>
      <c r="AW315" s="518"/>
      <c r="AX315" s="518"/>
      <c r="AY315" s="518"/>
      <c r="AZ315" s="518"/>
      <c r="BA315" s="518"/>
      <c r="BB315" s="518"/>
      <c r="BC315" s="518"/>
      <c r="BD315" s="518"/>
      <c r="BE315" s="518"/>
      <c r="BF315" s="518"/>
      <c r="BG315" s="518"/>
      <c r="BH315" s="518"/>
      <c r="BI315" s="518"/>
      <c r="BJ315" s="518"/>
      <c r="BK315" s="518"/>
      <c r="BL315" s="518"/>
      <c r="BM315" s="520"/>
      <c r="BN315" s="520"/>
      <c r="BO315" s="518"/>
      <c r="BP315" s="518"/>
      <c r="BQ315" s="518"/>
      <c r="BR315" s="518"/>
      <c r="BS315" s="518"/>
      <c r="BT315" s="518"/>
      <c r="BU315" s="518"/>
      <c r="BV315" s="518"/>
      <c r="BW315" s="518"/>
      <c r="BX315" s="518"/>
      <c r="BY315" s="518"/>
      <c r="BZ315" s="518"/>
      <c r="CA315" s="518"/>
      <c r="CB315" s="518"/>
      <c r="CC315" s="518"/>
      <c r="CD315" s="518"/>
      <c r="CE315" s="518"/>
      <c r="CF315" s="518"/>
      <c r="CG315" s="518"/>
      <c r="CH315" s="518"/>
      <c r="CI315" s="518"/>
      <c r="CJ315" s="518"/>
    </row>
    <row r="316" spans="1:88" s="28" customFormat="1">
      <c r="A316" s="28" t="s">
        <v>63</v>
      </c>
      <c r="B316" s="556"/>
      <c r="C316" s="556"/>
      <c r="D316" s="556"/>
      <c r="E316" s="556"/>
      <c r="F316" s="556"/>
      <c r="G316" s="556"/>
      <c r="H316" s="556"/>
      <c r="I316" s="556"/>
      <c r="J316" s="556"/>
      <c r="K316" s="556"/>
      <c r="L316" s="556"/>
      <c r="M316" s="564">
        <v>2986</v>
      </c>
      <c r="N316" s="564">
        <v>2709</v>
      </c>
      <c r="O316" s="564">
        <v>2940</v>
      </c>
      <c r="P316" s="564">
        <v>3259</v>
      </c>
      <c r="Q316" s="564">
        <v>2680</v>
      </c>
      <c r="R316" s="564">
        <v>2703</v>
      </c>
      <c r="S316" s="556">
        <v>2880</v>
      </c>
      <c r="T316" s="556"/>
      <c r="U316" s="556"/>
      <c r="V316" s="556"/>
      <c r="W316" s="556"/>
      <c r="X316" s="556"/>
      <c r="Y316" s="556"/>
      <c r="Z316" s="556"/>
      <c r="AA316" s="556"/>
      <c r="AB316" s="558"/>
      <c r="AC316" s="556"/>
      <c r="AD316" s="556"/>
      <c r="AE316" s="556"/>
      <c r="AF316" s="556"/>
      <c r="AG316" s="556"/>
      <c r="AH316" s="556"/>
      <c r="AI316" s="556"/>
      <c r="AJ316" s="556"/>
      <c r="AK316" s="556"/>
      <c r="AL316" s="556"/>
      <c r="AM316" s="556"/>
      <c r="AN316" s="556"/>
      <c r="AO316" s="556"/>
      <c r="AP316" s="556"/>
      <c r="AQ316" s="556"/>
      <c r="AR316" s="556"/>
      <c r="AS316" s="556"/>
      <c r="AT316" s="556"/>
      <c r="AU316" s="556"/>
      <c r="AV316" s="556"/>
      <c r="AW316" s="556"/>
      <c r="AX316" s="556"/>
      <c r="AY316" s="556"/>
      <c r="AZ316" s="556"/>
      <c r="BA316" s="556"/>
      <c r="BB316" s="556"/>
      <c r="BC316" s="556"/>
      <c r="BD316" s="556"/>
      <c r="BE316" s="556"/>
      <c r="BF316" s="556"/>
      <c r="BG316" s="556"/>
      <c r="BH316" s="556"/>
      <c r="BI316" s="557">
        <v>658</v>
      </c>
      <c r="BJ316" s="557">
        <v>739</v>
      </c>
      <c r="BK316" s="557">
        <v>658</v>
      </c>
      <c r="BL316" s="556">
        <f>N316-SUM(BI316:BK316)</f>
        <v>654</v>
      </c>
      <c r="BM316" s="557">
        <v>701</v>
      </c>
      <c r="BN316" s="557">
        <v>780</v>
      </c>
      <c r="BO316" s="557">
        <v>750</v>
      </c>
      <c r="BP316" s="556">
        <f>+O316-SUM(BM316:BO316)</f>
        <v>709</v>
      </c>
      <c r="BQ316" s="557">
        <v>736</v>
      </c>
      <c r="BR316" s="557">
        <v>809</v>
      </c>
      <c r="BS316" s="557">
        <v>724</v>
      </c>
      <c r="BT316" s="558">
        <f>P316-SUM(BQ316:BS316)</f>
        <v>990</v>
      </c>
      <c r="BU316" s="557">
        <v>594</v>
      </c>
      <c r="BV316" s="557">
        <v>642</v>
      </c>
      <c r="BW316" s="557">
        <v>592</v>
      </c>
      <c r="BX316" s="558">
        <f>+Q316-SUM(BU316:BW316)</f>
        <v>852</v>
      </c>
      <c r="BY316" s="729">
        <v>643</v>
      </c>
      <c r="BZ316" s="729">
        <v>719</v>
      </c>
      <c r="CA316" s="713">
        <v>608</v>
      </c>
      <c r="CB316" s="557">
        <f>+R316-SUM(BY316:CA316)</f>
        <v>733</v>
      </c>
      <c r="CC316" s="557">
        <v>651</v>
      </c>
      <c r="CD316" s="557">
        <v>718</v>
      </c>
      <c r="CE316" s="557">
        <v>761</v>
      </c>
      <c r="CF316" s="557"/>
      <c r="CG316" s="557"/>
      <c r="CH316" s="557"/>
      <c r="CI316" s="557"/>
      <c r="CJ316" s="557"/>
    </row>
    <row r="317" spans="1:88" s="28" customFormat="1">
      <c r="A317" s="28" t="s">
        <v>64</v>
      </c>
      <c r="B317" s="556"/>
      <c r="C317" s="556"/>
      <c r="D317" s="556"/>
      <c r="E317" s="556"/>
      <c r="F317" s="556"/>
      <c r="G317" s="556"/>
      <c r="H317" s="556"/>
      <c r="I317" s="556"/>
      <c r="J317" s="556"/>
      <c r="K317" s="556"/>
      <c r="L317" s="556"/>
      <c r="M317" s="564">
        <v>5272</v>
      </c>
      <c r="N317" s="564">
        <v>5067</v>
      </c>
      <c r="O317" s="564">
        <v>5385</v>
      </c>
      <c r="P317" s="564">
        <v>5997</v>
      </c>
      <c r="Q317" s="564">
        <v>5050</v>
      </c>
      <c r="R317" s="564">
        <v>4840</v>
      </c>
      <c r="S317" s="556">
        <v>4933</v>
      </c>
      <c r="T317" s="556"/>
      <c r="U317" s="556"/>
      <c r="V317" s="556"/>
      <c r="W317" s="556"/>
      <c r="X317" s="556"/>
      <c r="Y317" s="556"/>
      <c r="Z317" s="556"/>
      <c r="AA317" s="556"/>
      <c r="AB317" s="558"/>
      <c r="AC317" s="556"/>
      <c r="AD317" s="556"/>
      <c r="AE317" s="556"/>
      <c r="AF317" s="556"/>
      <c r="AG317" s="556"/>
      <c r="AH317" s="556"/>
      <c r="AI317" s="556"/>
      <c r="AJ317" s="556"/>
      <c r="AK317" s="556"/>
      <c r="AL317" s="556"/>
      <c r="AM317" s="556"/>
      <c r="AN317" s="556"/>
      <c r="AO317" s="556"/>
      <c r="AP317" s="556"/>
      <c r="AQ317" s="556"/>
      <c r="AR317" s="556"/>
      <c r="AS317" s="556"/>
      <c r="AT317" s="556"/>
      <c r="AU317" s="556"/>
      <c r="AV317" s="556"/>
      <c r="AW317" s="556"/>
      <c r="AX317" s="556"/>
      <c r="AY317" s="556"/>
      <c r="AZ317" s="556"/>
      <c r="BA317" s="556"/>
      <c r="BB317" s="556"/>
      <c r="BC317" s="556"/>
      <c r="BD317" s="556"/>
      <c r="BE317" s="556"/>
      <c r="BF317" s="556"/>
      <c r="BG317" s="556"/>
      <c r="BH317" s="556"/>
      <c r="BI317" s="557">
        <v>1336</v>
      </c>
      <c r="BJ317" s="557">
        <v>1023</v>
      </c>
      <c r="BK317" s="557">
        <v>1138</v>
      </c>
      <c r="BL317" s="556">
        <f>N317-SUM(BI317:BK317)</f>
        <v>1570</v>
      </c>
      <c r="BM317" s="557">
        <v>1394</v>
      </c>
      <c r="BN317" s="557">
        <v>1062</v>
      </c>
      <c r="BO317" s="557">
        <v>1224</v>
      </c>
      <c r="BP317" s="556">
        <f>+O317-SUM(BM317:BO317)</f>
        <v>1705</v>
      </c>
      <c r="BQ317" s="557">
        <v>1477</v>
      </c>
      <c r="BR317" s="557">
        <v>1113</v>
      </c>
      <c r="BS317" s="557">
        <v>1214</v>
      </c>
      <c r="BT317" s="558">
        <f>P317-SUM(BQ317:BS317)</f>
        <v>2193</v>
      </c>
      <c r="BU317" s="557">
        <v>1228</v>
      </c>
      <c r="BV317" s="557">
        <v>890</v>
      </c>
      <c r="BW317" s="557">
        <v>1086</v>
      </c>
      <c r="BX317" s="558">
        <f>+Q317-SUM(BU317:BW317)</f>
        <v>1846</v>
      </c>
      <c r="BY317" s="729">
        <f>2244-BZ317</f>
        <v>1263</v>
      </c>
      <c r="BZ317" s="729">
        <v>981</v>
      </c>
      <c r="CA317" s="713">
        <v>1021</v>
      </c>
      <c r="CB317" s="557">
        <f>+R317-SUM(BY317:CA317)</f>
        <v>1575</v>
      </c>
      <c r="CC317" s="557">
        <v>1223</v>
      </c>
      <c r="CD317" s="557">
        <v>946</v>
      </c>
      <c r="CE317" s="557">
        <v>1196</v>
      </c>
      <c r="CF317" s="557"/>
      <c r="CG317" s="557"/>
      <c r="CH317" s="557"/>
      <c r="CI317" s="557"/>
      <c r="CJ317" s="557"/>
    </row>
    <row r="318" spans="1:88" s="28" customFormat="1">
      <c r="A318" s="28" t="s">
        <v>65</v>
      </c>
      <c r="B318" s="556"/>
      <c r="C318" s="556"/>
      <c r="D318" s="556"/>
      <c r="E318" s="556"/>
      <c r="F318" s="556"/>
      <c r="G318" s="556"/>
      <c r="H318" s="556"/>
      <c r="I318" s="556"/>
      <c r="J318" s="556"/>
      <c r="K318" s="556"/>
      <c r="L318" s="556"/>
      <c r="M318" s="564">
        <v>1156</v>
      </c>
      <c r="N318" s="564">
        <v>1000</v>
      </c>
      <c r="O318" s="564">
        <v>968</v>
      </c>
      <c r="P318" s="564">
        <v>1232</v>
      </c>
      <c r="Q318" s="564">
        <v>1015</v>
      </c>
      <c r="R318" s="564">
        <v>916</v>
      </c>
      <c r="S318" s="556">
        <v>775</v>
      </c>
      <c r="T318" s="556"/>
      <c r="U318" s="556"/>
      <c r="V318" s="556"/>
      <c r="W318" s="556"/>
      <c r="X318" s="556"/>
      <c r="Y318" s="556"/>
      <c r="Z318" s="556"/>
      <c r="AA318" s="556"/>
      <c r="AB318" s="558"/>
      <c r="AC318" s="556"/>
      <c r="AD318" s="556"/>
      <c r="AE318" s="556"/>
      <c r="AF318" s="556"/>
      <c r="AG318" s="556"/>
      <c r="AH318" s="556"/>
      <c r="AI318" s="556"/>
      <c r="AJ318" s="556"/>
      <c r="AK318" s="556"/>
      <c r="AL318" s="556"/>
      <c r="AM318" s="556"/>
      <c r="AN318" s="556"/>
      <c r="AO318" s="556"/>
      <c r="AP318" s="556"/>
      <c r="AQ318" s="556"/>
      <c r="AR318" s="556"/>
      <c r="AS318" s="556"/>
      <c r="AT318" s="556"/>
      <c r="AU318" s="556"/>
      <c r="AV318" s="556"/>
      <c r="AW318" s="556"/>
      <c r="AX318" s="556"/>
      <c r="AY318" s="556"/>
      <c r="AZ318" s="556"/>
      <c r="BA318" s="556"/>
      <c r="BB318" s="556"/>
      <c r="BC318" s="556"/>
      <c r="BD318" s="556"/>
      <c r="BE318" s="556"/>
      <c r="BF318" s="556"/>
      <c r="BG318" s="556"/>
      <c r="BH318" s="556"/>
      <c r="BI318" s="557">
        <v>252</v>
      </c>
      <c r="BJ318" s="557">
        <v>260</v>
      </c>
      <c r="BK318" s="557">
        <v>234</v>
      </c>
      <c r="BL318" s="556">
        <f>N318-SUM(BI318:BK318)</f>
        <v>254</v>
      </c>
      <c r="BM318" s="557">
        <v>229</v>
      </c>
      <c r="BN318" s="557">
        <v>246</v>
      </c>
      <c r="BO318" s="557">
        <v>227</v>
      </c>
      <c r="BP318" s="556">
        <f>+O318-SUM(BM318:BO318)</f>
        <v>266</v>
      </c>
      <c r="BQ318" s="557">
        <v>223</v>
      </c>
      <c r="BR318" s="557">
        <v>238</v>
      </c>
      <c r="BS318" s="557">
        <v>217</v>
      </c>
      <c r="BT318" s="558">
        <f>P318-SUM(BQ318:BS318)</f>
        <v>554</v>
      </c>
      <c r="BU318" s="557">
        <v>183</v>
      </c>
      <c r="BV318" s="557">
        <v>198</v>
      </c>
      <c r="BW318" s="557">
        <v>177</v>
      </c>
      <c r="BX318" s="558">
        <f>+Q318-SUM(BU318:BW318)</f>
        <v>457</v>
      </c>
      <c r="BY318" s="729">
        <v>216</v>
      </c>
      <c r="BZ318" s="729">
        <v>254</v>
      </c>
      <c r="CA318" s="713">
        <v>163</v>
      </c>
      <c r="CB318" s="557">
        <f>+R318-SUM(BY318:CA318)</f>
        <v>283</v>
      </c>
      <c r="CC318" s="557">
        <v>193</v>
      </c>
      <c r="CD318" s="557">
        <v>204</v>
      </c>
      <c r="CE318" s="557">
        <v>185</v>
      </c>
      <c r="CF318" s="557"/>
      <c r="CG318" s="557"/>
      <c r="CH318" s="557"/>
      <c r="CI318" s="557"/>
      <c r="CJ318" s="557"/>
    </row>
    <row r="319" spans="1:88" s="28" customFormat="1">
      <c r="A319" s="28" t="s">
        <v>66</v>
      </c>
      <c r="B319" s="556"/>
      <c r="C319" s="556"/>
      <c r="D319" s="556"/>
      <c r="E319" s="556"/>
      <c r="F319" s="556"/>
      <c r="G319" s="556"/>
      <c r="H319" s="556"/>
      <c r="I319" s="556"/>
      <c r="J319" s="556"/>
      <c r="K319" s="556"/>
      <c r="L319" s="556"/>
      <c r="M319" s="564">
        <v>3645</v>
      </c>
      <c r="N319" s="564">
        <v>3411</v>
      </c>
      <c r="O319" s="564">
        <v>3340</v>
      </c>
      <c r="P319" s="564">
        <v>3902</v>
      </c>
      <c r="Q319" s="564">
        <v>1763</v>
      </c>
      <c r="R319" s="564">
        <v>177</v>
      </c>
      <c r="S319" s="556">
        <v>121</v>
      </c>
      <c r="T319" s="556"/>
      <c r="U319" s="556"/>
      <c r="V319" s="556"/>
      <c r="W319" s="556"/>
      <c r="X319" s="556"/>
      <c r="Y319" s="556"/>
      <c r="Z319" s="556"/>
      <c r="AA319" s="556"/>
      <c r="AB319" s="558"/>
      <c r="AC319" s="556"/>
      <c r="AD319" s="556"/>
      <c r="AE319" s="556"/>
      <c r="AF319" s="556"/>
      <c r="AG319" s="556"/>
      <c r="AH319" s="556"/>
      <c r="AI319" s="556"/>
      <c r="AJ319" s="556"/>
      <c r="AK319" s="556"/>
      <c r="AL319" s="556"/>
      <c r="AM319" s="556"/>
      <c r="AN319" s="556"/>
      <c r="AO319" s="556"/>
      <c r="AP319" s="556"/>
      <c r="AQ319" s="556"/>
      <c r="AR319" s="556"/>
      <c r="AS319" s="556"/>
      <c r="AT319" s="556"/>
      <c r="AU319" s="556"/>
      <c r="AV319" s="556"/>
      <c r="AW319" s="556"/>
      <c r="AX319" s="556"/>
      <c r="AY319" s="556"/>
      <c r="AZ319" s="556"/>
      <c r="BA319" s="556"/>
      <c r="BB319" s="556"/>
      <c r="BC319" s="556"/>
      <c r="BD319" s="556"/>
      <c r="BE319" s="556"/>
      <c r="BF319" s="556"/>
      <c r="BG319" s="556"/>
      <c r="BH319" s="556"/>
      <c r="BI319" s="557">
        <v>857</v>
      </c>
      <c r="BJ319" s="557">
        <v>850</v>
      </c>
      <c r="BK319" s="557">
        <v>746</v>
      </c>
      <c r="BL319" s="556">
        <f>N319-SUM(BI319:BK319)</f>
        <v>958</v>
      </c>
      <c r="BM319" s="557">
        <v>805</v>
      </c>
      <c r="BN319" s="557">
        <v>835</v>
      </c>
      <c r="BO319" s="557">
        <v>759</v>
      </c>
      <c r="BP319" s="556">
        <f>+O319-SUM(BM319:BO319)</f>
        <v>941</v>
      </c>
      <c r="BQ319" s="557">
        <v>777</v>
      </c>
      <c r="BR319" s="557">
        <v>848</v>
      </c>
      <c r="BS319" s="557">
        <v>723</v>
      </c>
      <c r="BT319" s="558">
        <f>P319-SUM(BQ319:BS319)</f>
        <v>1554</v>
      </c>
      <c r="BU319" s="557">
        <v>574</v>
      </c>
      <c r="BV319" s="557">
        <v>776</v>
      </c>
      <c r="BW319" s="557">
        <v>43</v>
      </c>
      <c r="BX319" s="558">
        <f>+Q319-SUM(BU319:BW319)</f>
        <v>370</v>
      </c>
      <c r="BY319" s="729">
        <f>65-BZ319</f>
        <v>26</v>
      </c>
      <c r="BZ319" s="729">
        <v>39</v>
      </c>
      <c r="CA319" s="713">
        <v>36</v>
      </c>
      <c r="CB319" s="557">
        <f>+R319-SUM(BY319:CA319)</f>
        <v>76</v>
      </c>
      <c r="CC319" s="557">
        <v>41</v>
      </c>
      <c r="CD319" s="557">
        <v>24</v>
      </c>
      <c r="CE319" s="557">
        <v>23</v>
      </c>
      <c r="CF319" s="557"/>
      <c r="CG319" s="557"/>
      <c r="CH319" s="557"/>
      <c r="CI319" s="557"/>
      <c r="CJ319" s="557"/>
    </row>
    <row r="320" spans="1:88" s="28" customFormat="1">
      <c r="A320" s="28" t="s">
        <v>67</v>
      </c>
      <c r="B320" s="556"/>
      <c r="C320" s="556"/>
      <c r="D320" s="556"/>
      <c r="E320" s="556"/>
      <c r="F320" s="556"/>
      <c r="G320" s="556"/>
      <c r="H320" s="556"/>
      <c r="I320" s="556"/>
      <c r="J320" s="556"/>
      <c r="K320" s="556"/>
      <c r="L320" s="556"/>
      <c r="M320" s="564">
        <v>1815</v>
      </c>
      <c r="N320" s="564">
        <v>1630</v>
      </c>
      <c r="O320" s="564">
        <v>1426</v>
      </c>
      <c r="P320" s="564">
        <v>1398</v>
      </c>
      <c r="Q320" s="564">
        <v>1164</v>
      </c>
      <c r="R320" s="564">
        <v>1119</v>
      </c>
      <c r="S320" s="556">
        <v>1085</v>
      </c>
      <c r="T320" s="556"/>
      <c r="U320" s="556"/>
      <c r="V320" s="556"/>
      <c r="W320" s="556"/>
      <c r="X320" s="556"/>
      <c r="Y320" s="556"/>
      <c r="Z320" s="556"/>
      <c r="AA320" s="556"/>
      <c r="AB320" s="558"/>
      <c r="AC320" s="556"/>
      <c r="AD320" s="556"/>
      <c r="AE320" s="556"/>
      <c r="AF320" s="556"/>
      <c r="AG320" s="556"/>
      <c r="AH320" s="556"/>
      <c r="AI320" s="556"/>
      <c r="AJ320" s="556"/>
      <c r="AK320" s="556"/>
      <c r="AL320" s="556"/>
      <c r="AM320" s="556"/>
      <c r="AN320" s="556"/>
      <c r="AO320" s="556"/>
      <c r="AP320" s="556"/>
      <c r="AQ320" s="556"/>
      <c r="AR320" s="556"/>
      <c r="AS320" s="556"/>
      <c r="AT320" s="556"/>
      <c r="AU320" s="556"/>
      <c r="AV320" s="556"/>
      <c r="AW320" s="556"/>
      <c r="AX320" s="556"/>
      <c r="AY320" s="556"/>
      <c r="AZ320" s="556"/>
      <c r="BA320" s="556"/>
      <c r="BB320" s="556"/>
      <c r="BC320" s="556"/>
      <c r="BD320" s="556"/>
      <c r="BE320" s="556"/>
      <c r="BF320" s="556"/>
      <c r="BG320" s="556"/>
      <c r="BH320" s="556"/>
      <c r="BI320" s="557">
        <v>391</v>
      </c>
      <c r="BJ320" s="557">
        <v>443</v>
      </c>
      <c r="BK320" s="557">
        <v>382</v>
      </c>
      <c r="BL320" s="556">
        <f>N320-SUM(BI320:BK320)</f>
        <v>414</v>
      </c>
      <c r="BM320" s="557">
        <v>329</v>
      </c>
      <c r="BN320" s="557">
        <v>350</v>
      </c>
      <c r="BO320" s="557">
        <v>335</v>
      </c>
      <c r="BP320" s="556">
        <f>+O320-SUM(BM320:BO320)</f>
        <v>412</v>
      </c>
      <c r="BQ320" s="557">
        <v>344</v>
      </c>
      <c r="BR320" s="557">
        <v>371</v>
      </c>
      <c r="BS320" s="557">
        <v>337</v>
      </c>
      <c r="BT320" s="558">
        <f>P320-SUM(BQ320:BS320)</f>
        <v>346</v>
      </c>
      <c r="BU320" s="557">
        <v>296</v>
      </c>
      <c r="BV320" s="557">
        <v>309</v>
      </c>
      <c r="BW320" s="557">
        <v>275</v>
      </c>
      <c r="BX320" s="558">
        <f>+Q320-SUM(BU320:BW320)</f>
        <v>284</v>
      </c>
      <c r="BY320" s="729">
        <f>536-BZ320</f>
        <v>236</v>
      </c>
      <c r="BZ320" s="729">
        <v>300</v>
      </c>
      <c r="CA320" s="713">
        <v>276</v>
      </c>
      <c r="CB320" s="557">
        <f>+R320-SUM(BY320:CA320)</f>
        <v>307</v>
      </c>
      <c r="CC320" s="557">
        <v>257</v>
      </c>
      <c r="CD320" s="557">
        <v>279</v>
      </c>
      <c r="CE320" s="557">
        <v>277</v>
      </c>
      <c r="CF320" s="557"/>
      <c r="CG320" s="557"/>
      <c r="CH320" s="557"/>
      <c r="CI320" s="557"/>
      <c r="CJ320" s="557"/>
    </row>
    <row r="321" spans="1:88" s="494" customFormat="1">
      <c r="A321" s="494" t="s">
        <v>189</v>
      </c>
      <c r="B321" s="567"/>
      <c r="C321" s="567"/>
      <c r="D321" s="567"/>
      <c r="E321" s="567"/>
      <c r="F321" s="567"/>
      <c r="G321" s="567"/>
      <c r="H321" s="567"/>
      <c r="I321" s="567"/>
      <c r="J321" s="567"/>
      <c r="K321" s="567"/>
      <c r="L321" s="567"/>
      <c r="M321" s="567"/>
      <c r="N321" s="567"/>
      <c r="O321" s="539">
        <f>+SUM(O316:O320)</f>
        <v>14059</v>
      </c>
      <c r="P321" s="539">
        <f>+SUM(P316:P320)</f>
        <v>15788</v>
      </c>
      <c r="Q321" s="539">
        <f>+SUM(Q316:Q320)</f>
        <v>11672</v>
      </c>
      <c r="R321" s="539">
        <f>+SUM(R316:R320)</f>
        <v>9755</v>
      </c>
      <c r="S321" s="539">
        <f>+SUM(S316:S320)</f>
        <v>9794</v>
      </c>
      <c r="T321" s="567"/>
      <c r="U321" s="567"/>
      <c r="V321" s="567"/>
      <c r="W321" s="567"/>
      <c r="X321" s="567"/>
      <c r="Y321" s="567"/>
      <c r="Z321" s="567"/>
      <c r="AA321" s="567"/>
      <c r="AB321" s="568"/>
      <c r="AC321" s="567"/>
      <c r="AD321" s="567"/>
      <c r="AE321" s="567"/>
      <c r="AF321" s="567"/>
      <c r="AG321" s="567"/>
      <c r="AH321" s="567"/>
      <c r="AI321" s="567"/>
      <c r="AJ321" s="567"/>
      <c r="AK321" s="567"/>
      <c r="AL321" s="567"/>
      <c r="AM321" s="567"/>
      <c r="AN321" s="567"/>
      <c r="AO321" s="567"/>
      <c r="AP321" s="567"/>
      <c r="AQ321" s="567"/>
      <c r="AR321" s="567"/>
      <c r="AS321" s="567"/>
      <c r="AT321" s="567"/>
      <c r="AU321" s="567"/>
      <c r="AV321" s="567"/>
      <c r="AW321" s="567"/>
      <c r="AX321" s="567"/>
      <c r="AY321" s="567"/>
      <c r="AZ321" s="567"/>
      <c r="BA321" s="567"/>
      <c r="BB321" s="567"/>
      <c r="BC321" s="567"/>
      <c r="BD321" s="567"/>
      <c r="BE321" s="567"/>
      <c r="BF321" s="567"/>
      <c r="BG321" s="567"/>
      <c r="BH321" s="567"/>
      <c r="BI321" s="567"/>
      <c r="BJ321" s="567"/>
      <c r="BK321" s="567"/>
      <c r="BL321" s="567"/>
      <c r="BM321" s="567"/>
      <c r="BN321" s="567"/>
      <c r="BO321" s="567"/>
      <c r="BP321" s="567"/>
      <c r="BQ321" s="567"/>
      <c r="BR321" s="567"/>
      <c r="BS321" s="567"/>
      <c r="BT321" s="568"/>
      <c r="BU321" s="539">
        <f t="shared" ref="BU321:CE321" si="335">+SUM(BU316:BU320)</f>
        <v>2875</v>
      </c>
      <c r="BV321" s="539">
        <f t="shared" si="335"/>
        <v>2815</v>
      </c>
      <c r="BW321" s="539">
        <f t="shared" si="335"/>
        <v>2173</v>
      </c>
      <c r="BX321" s="539">
        <f t="shared" si="335"/>
        <v>3809</v>
      </c>
      <c r="BY321" s="539">
        <f t="shared" si="335"/>
        <v>2384</v>
      </c>
      <c r="BZ321" s="539">
        <f t="shared" si="335"/>
        <v>2293</v>
      </c>
      <c r="CA321" s="539">
        <f t="shared" si="335"/>
        <v>2104</v>
      </c>
      <c r="CB321" s="539">
        <f t="shared" si="335"/>
        <v>2974</v>
      </c>
      <c r="CC321" s="539">
        <f t="shared" si="335"/>
        <v>2365</v>
      </c>
      <c r="CD321" s="539">
        <f t="shared" si="335"/>
        <v>2171</v>
      </c>
      <c r="CE321" s="539">
        <f t="shared" si="335"/>
        <v>2442</v>
      </c>
      <c r="CF321" s="567"/>
      <c r="CG321" s="567"/>
      <c r="CH321" s="567"/>
      <c r="CI321" s="567"/>
      <c r="CJ321" s="567"/>
    </row>
    <row r="322" spans="1:88" s="493" customFormat="1">
      <c r="A322" s="492" t="s">
        <v>68</v>
      </c>
      <c r="B322" s="561"/>
      <c r="C322" s="561"/>
      <c r="D322" s="561"/>
      <c r="E322" s="561"/>
      <c r="F322" s="561"/>
      <c r="G322" s="561"/>
      <c r="H322" s="561"/>
      <c r="I322" s="561"/>
      <c r="J322" s="561"/>
      <c r="K322" s="561"/>
      <c r="L322" s="561"/>
      <c r="M322" s="561"/>
      <c r="N322" s="561"/>
      <c r="O322" s="561"/>
      <c r="P322" s="561"/>
      <c r="Q322" s="561"/>
      <c r="R322" s="561"/>
      <c r="S322" s="561"/>
      <c r="T322" s="561"/>
      <c r="U322" s="561"/>
      <c r="V322" s="561"/>
      <c r="W322" s="561"/>
      <c r="X322" s="561"/>
      <c r="Y322" s="561"/>
      <c r="Z322" s="561"/>
      <c r="AA322" s="561"/>
      <c r="AB322" s="562"/>
      <c r="AC322" s="561"/>
      <c r="AD322" s="561"/>
      <c r="AE322" s="561"/>
      <c r="AF322" s="561"/>
      <c r="AG322" s="561"/>
      <c r="AH322" s="561"/>
      <c r="AI322" s="561"/>
      <c r="AJ322" s="561"/>
      <c r="AK322" s="561"/>
      <c r="AL322" s="561"/>
      <c r="AM322" s="561"/>
      <c r="AN322" s="561"/>
      <c r="AO322" s="561"/>
      <c r="AP322" s="561"/>
      <c r="AQ322" s="561"/>
      <c r="AR322" s="561"/>
      <c r="AS322" s="561"/>
      <c r="AT322" s="561"/>
      <c r="AU322" s="561"/>
      <c r="AV322" s="561"/>
      <c r="AW322" s="561"/>
      <c r="AX322" s="561"/>
      <c r="AY322" s="561"/>
      <c r="AZ322" s="561"/>
      <c r="BA322" s="561"/>
      <c r="BB322" s="561"/>
      <c r="BC322" s="561"/>
      <c r="BD322" s="561"/>
      <c r="BE322" s="561"/>
      <c r="BF322" s="561"/>
      <c r="BG322" s="561"/>
      <c r="BH322" s="561"/>
      <c r="BI322" s="561"/>
      <c r="BJ322" s="561"/>
      <c r="BK322" s="561"/>
      <c r="BL322" s="561"/>
      <c r="BM322" s="561"/>
      <c r="BN322" s="561"/>
      <c r="BO322" s="561"/>
      <c r="BP322" s="561"/>
      <c r="BQ322" s="561"/>
      <c r="BR322" s="561"/>
      <c r="BS322" s="561"/>
      <c r="BT322" s="561"/>
      <c r="BU322" s="561"/>
      <c r="BV322" s="561"/>
      <c r="BW322" s="561"/>
      <c r="BX322" s="561"/>
      <c r="BY322" s="561"/>
      <c r="BZ322" s="561"/>
      <c r="CA322" s="561"/>
      <c r="CB322" s="561"/>
      <c r="CC322" s="561"/>
      <c r="CD322" s="561"/>
      <c r="CE322" s="561"/>
      <c r="CF322" s="561"/>
      <c r="CG322" s="561"/>
      <c r="CH322" s="561"/>
      <c r="CI322" s="561"/>
      <c r="CJ322" s="561"/>
    </row>
    <row r="323" spans="1:88" s="493" customFormat="1">
      <c r="A323" s="493" t="s">
        <v>63</v>
      </c>
      <c r="B323" s="561"/>
      <c r="C323" s="561"/>
      <c r="D323" s="561"/>
      <c r="E323" s="561"/>
      <c r="F323" s="561"/>
      <c r="G323" s="561"/>
      <c r="H323" s="561"/>
      <c r="I323" s="561"/>
      <c r="J323" s="561"/>
      <c r="K323" s="561"/>
      <c r="L323" s="561"/>
      <c r="M323" s="561"/>
      <c r="N323" s="561">
        <f t="shared" ref="N323:S327" si="336">+N316/M316-1</f>
        <v>-9.2766242464835891E-2</v>
      </c>
      <c r="O323" s="561">
        <f t="shared" si="336"/>
        <v>8.5271317829457294E-2</v>
      </c>
      <c r="P323" s="561">
        <f t="shared" si="336"/>
        <v>0.10850340136054415</v>
      </c>
      <c r="Q323" s="561">
        <f t="shared" si="336"/>
        <v>-0.17766185946609392</v>
      </c>
      <c r="R323" s="561">
        <f t="shared" si="336"/>
        <v>8.5820895522388252E-3</v>
      </c>
      <c r="S323" s="561">
        <f t="shared" si="336"/>
        <v>6.5482796892341932E-2</v>
      </c>
      <c r="T323" s="561"/>
      <c r="U323" s="561"/>
      <c r="V323" s="561"/>
      <c r="W323" s="561"/>
      <c r="X323" s="561"/>
      <c r="Y323" s="561"/>
      <c r="Z323" s="561"/>
      <c r="AA323" s="561"/>
      <c r="AB323" s="562"/>
      <c r="AC323" s="561"/>
      <c r="AD323" s="561"/>
      <c r="AE323" s="561"/>
      <c r="AF323" s="561"/>
      <c r="AG323" s="561"/>
      <c r="AH323" s="561"/>
      <c r="AI323" s="561"/>
      <c r="AJ323" s="561"/>
      <c r="AK323" s="561"/>
      <c r="AL323" s="561"/>
      <c r="AM323" s="561"/>
      <c r="AN323" s="561"/>
      <c r="AO323" s="561"/>
      <c r="AP323" s="561"/>
      <c r="AQ323" s="561"/>
      <c r="AR323" s="561"/>
      <c r="AS323" s="561"/>
      <c r="AT323" s="561"/>
      <c r="AU323" s="561"/>
      <c r="AV323" s="561"/>
      <c r="AW323" s="561"/>
      <c r="AX323" s="561"/>
      <c r="AY323" s="561"/>
      <c r="AZ323" s="561"/>
      <c r="BA323" s="561"/>
      <c r="BB323" s="561"/>
      <c r="BC323" s="561"/>
      <c r="BD323" s="561"/>
      <c r="BE323" s="561"/>
      <c r="BF323" s="561"/>
      <c r="BG323" s="561"/>
      <c r="BH323" s="561"/>
      <c r="BI323" s="561"/>
      <c r="BJ323" s="561"/>
      <c r="BK323" s="561"/>
      <c r="BL323" s="561"/>
      <c r="BM323" s="561">
        <f t="shared" ref="BM323:CE327" si="337">+BM316/BI316-1</f>
        <v>6.5349544072948351E-2</v>
      </c>
      <c r="BN323" s="561">
        <f t="shared" si="337"/>
        <v>5.5480378890392368E-2</v>
      </c>
      <c r="BO323" s="561">
        <f t="shared" si="337"/>
        <v>0.13981762917933138</v>
      </c>
      <c r="BP323" s="561">
        <f t="shared" si="337"/>
        <v>8.4097859327217028E-2</v>
      </c>
      <c r="BQ323" s="561">
        <f t="shared" si="337"/>
        <v>4.9928673323823114E-2</v>
      </c>
      <c r="BR323" s="561">
        <f t="shared" si="337"/>
        <v>3.7179487179487269E-2</v>
      </c>
      <c r="BS323" s="561">
        <f t="shared" si="337"/>
        <v>-3.4666666666666623E-2</v>
      </c>
      <c r="BT323" s="561">
        <f t="shared" si="337"/>
        <v>0.3963328631875882</v>
      </c>
      <c r="BU323" s="561">
        <f t="shared" si="337"/>
        <v>-0.19293478260869568</v>
      </c>
      <c r="BV323" s="561">
        <f t="shared" si="337"/>
        <v>-0.20642768850432636</v>
      </c>
      <c r="BW323" s="561">
        <f t="shared" si="337"/>
        <v>-0.18232044198895025</v>
      </c>
      <c r="BX323" s="561">
        <f t="shared" si="337"/>
        <v>-0.1393939393939394</v>
      </c>
      <c r="BY323" s="561">
        <f t="shared" si="337"/>
        <v>8.2491582491582394E-2</v>
      </c>
      <c r="BZ323" s="561">
        <f t="shared" si="337"/>
        <v>0.1199376947040498</v>
      </c>
      <c r="CA323" s="561">
        <f t="shared" si="337"/>
        <v>2.7027027027026973E-2</v>
      </c>
      <c r="CB323" s="561">
        <f t="shared" si="337"/>
        <v>-0.13967136150234738</v>
      </c>
      <c r="CC323" s="561">
        <f t="shared" si="337"/>
        <v>1.2441679626749691E-2</v>
      </c>
      <c r="CD323" s="561">
        <f t="shared" si="337"/>
        <v>-1.3908205841446364E-3</v>
      </c>
      <c r="CE323" s="561">
        <f t="shared" si="337"/>
        <v>0.25164473684210531</v>
      </c>
      <c r="CF323" s="561"/>
      <c r="CG323" s="561"/>
      <c r="CH323" s="561"/>
      <c r="CI323" s="561"/>
      <c r="CJ323" s="561"/>
    </row>
    <row r="324" spans="1:88" s="493" customFormat="1">
      <c r="A324" s="493" t="s">
        <v>64</v>
      </c>
      <c r="B324" s="561"/>
      <c r="C324" s="561"/>
      <c r="D324" s="561"/>
      <c r="E324" s="561"/>
      <c r="F324" s="561"/>
      <c r="G324" s="561"/>
      <c r="H324" s="561"/>
      <c r="I324" s="561"/>
      <c r="J324" s="561"/>
      <c r="K324" s="561"/>
      <c r="L324" s="561"/>
      <c r="M324" s="561"/>
      <c r="N324" s="561">
        <f t="shared" si="336"/>
        <v>-3.8884673748103227E-2</v>
      </c>
      <c r="O324" s="561">
        <f t="shared" si="336"/>
        <v>6.275902901124919E-2</v>
      </c>
      <c r="P324" s="561">
        <f t="shared" si="336"/>
        <v>0.11364902506963781</v>
      </c>
      <c r="Q324" s="561">
        <f t="shared" si="336"/>
        <v>-0.15791228947807234</v>
      </c>
      <c r="R324" s="561">
        <f t="shared" si="336"/>
        <v>-4.1584158415841621E-2</v>
      </c>
      <c r="S324" s="561">
        <f t="shared" si="336"/>
        <v>1.9214876033057937E-2</v>
      </c>
      <c r="T324" s="561"/>
      <c r="U324" s="561"/>
      <c r="V324" s="561"/>
      <c r="W324" s="561"/>
      <c r="X324" s="561"/>
      <c r="Y324" s="561"/>
      <c r="Z324" s="561"/>
      <c r="AA324" s="561"/>
      <c r="AB324" s="562"/>
      <c r="AC324" s="561"/>
      <c r="AD324" s="561"/>
      <c r="AE324" s="561"/>
      <c r="AF324" s="561"/>
      <c r="AG324" s="561"/>
      <c r="AH324" s="561"/>
      <c r="AI324" s="561"/>
      <c r="AJ324" s="561"/>
      <c r="AK324" s="561"/>
      <c r="AL324" s="561"/>
      <c r="AM324" s="561"/>
      <c r="AN324" s="561"/>
      <c r="AO324" s="561"/>
      <c r="AP324" s="561"/>
      <c r="AQ324" s="561"/>
      <c r="AR324" s="561"/>
      <c r="AS324" s="561"/>
      <c r="AT324" s="561"/>
      <c r="AU324" s="561"/>
      <c r="AV324" s="561"/>
      <c r="AW324" s="561"/>
      <c r="AX324" s="561"/>
      <c r="AY324" s="561"/>
      <c r="AZ324" s="561"/>
      <c r="BA324" s="561"/>
      <c r="BB324" s="561"/>
      <c r="BC324" s="561"/>
      <c r="BD324" s="561"/>
      <c r="BE324" s="561"/>
      <c r="BF324" s="561"/>
      <c r="BG324" s="561"/>
      <c r="BH324" s="561"/>
      <c r="BI324" s="561"/>
      <c r="BJ324" s="561"/>
      <c r="BK324" s="561"/>
      <c r="BL324" s="561"/>
      <c r="BM324" s="561">
        <f t="shared" si="337"/>
        <v>4.3413173652694592E-2</v>
      </c>
      <c r="BN324" s="561">
        <f t="shared" si="337"/>
        <v>3.8123167155425186E-2</v>
      </c>
      <c r="BO324" s="561">
        <f t="shared" si="337"/>
        <v>7.5571177504393683E-2</v>
      </c>
      <c r="BP324" s="561">
        <f t="shared" si="337"/>
        <v>8.5987261146496907E-2</v>
      </c>
      <c r="BQ324" s="561">
        <f t="shared" si="337"/>
        <v>5.9540889526542351E-2</v>
      </c>
      <c r="BR324" s="561">
        <f t="shared" si="337"/>
        <v>4.8022598870056443E-2</v>
      </c>
      <c r="BS324" s="561">
        <f t="shared" si="337"/>
        <v>-8.1699346405228468E-3</v>
      </c>
      <c r="BT324" s="561">
        <f t="shared" si="337"/>
        <v>0.28621700879765388</v>
      </c>
      <c r="BU324" s="561">
        <f t="shared" si="337"/>
        <v>-0.16858496953283686</v>
      </c>
      <c r="BV324" s="561">
        <f t="shared" si="337"/>
        <v>-0.20035938903863437</v>
      </c>
      <c r="BW324" s="561">
        <f t="shared" si="337"/>
        <v>-0.10543657331136735</v>
      </c>
      <c r="BX324" s="561">
        <f t="shared" si="337"/>
        <v>-0.15823073415412681</v>
      </c>
      <c r="BY324" s="561">
        <f t="shared" si="337"/>
        <v>2.8501628664495016E-2</v>
      </c>
      <c r="BZ324" s="561">
        <f t="shared" si="337"/>
        <v>0.10224719101123592</v>
      </c>
      <c r="CA324" s="561">
        <f t="shared" si="337"/>
        <v>-5.9852670349907933E-2</v>
      </c>
      <c r="CB324" s="561">
        <f t="shared" si="337"/>
        <v>-0.1468039003250271</v>
      </c>
      <c r="CC324" s="561">
        <f t="shared" si="337"/>
        <v>-3.1670625494853555E-2</v>
      </c>
      <c r="CD324" s="561">
        <f t="shared" si="337"/>
        <v>-3.5677879714576921E-2</v>
      </c>
      <c r="CE324" s="561">
        <f t="shared" si="337"/>
        <v>0.17140058765915778</v>
      </c>
      <c r="CF324" s="561"/>
      <c r="CG324" s="561"/>
      <c r="CH324" s="561"/>
      <c r="CI324" s="561"/>
      <c r="CJ324" s="561"/>
    </row>
    <row r="325" spans="1:88" s="493" customFormat="1">
      <c r="A325" s="493" t="s">
        <v>65</v>
      </c>
      <c r="B325" s="561"/>
      <c r="C325" s="561"/>
      <c r="D325" s="561"/>
      <c r="E325" s="561"/>
      <c r="F325" s="561"/>
      <c r="G325" s="561"/>
      <c r="H325" s="561"/>
      <c r="I325" s="561"/>
      <c r="J325" s="561"/>
      <c r="K325" s="561"/>
      <c r="L325" s="561"/>
      <c r="M325" s="561"/>
      <c r="N325" s="561">
        <f t="shared" si="336"/>
        <v>-0.13494809688581311</v>
      </c>
      <c r="O325" s="561">
        <f t="shared" si="336"/>
        <v>-3.2000000000000028E-2</v>
      </c>
      <c r="P325" s="561">
        <f t="shared" si="336"/>
        <v>0.27272727272727271</v>
      </c>
      <c r="Q325" s="561">
        <f t="shared" si="336"/>
        <v>-0.17613636363636365</v>
      </c>
      <c r="R325" s="561">
        <f t="shared" si="336"/>
        <v>-9.7536945812807918E-2</v>
      </c>
      <c r="S325" s="561">
        <f t="shared" si="336"/>
        <v>-0.15393013100436681</v>
      </c>
      <c r="T325" s="561"/>
      <c r="U325" s="561"/>
      <c r="V325" s="561"/>
      <c r="W325" s="561"/>
      <c r="X325" s="561"/>
      <c r="Y325" s="561"/>
      <c r="Z325" s="561"/>
      <c r="AA325" s="561"/>
      <c r="AB325" s="562"/>
      <c r="AC325" s="561"/>
      <c r="AD325" s="561"/>
      <c r="AE325" s="561"/>
      <c r="AF325" s="561"/>
      <c r="AG325" s="561"/>
      <c r="AH325" s="561"/>
      <c r="AI325" s="561"/>
      <c r="AJ325" s="561"/>
      <c r="AK325" s="561"/>
      <c r="AL325" s="561"/>
      <c r="AM325" s="561"/>
      <c r="AN325" s="561"/>
      <c r="AO325" s="561"/>
      <c r="AP325" s="561"/>
      <c r="AQ325" s="561"/>
      <c r="AR325" s="561"/>
      <c r="AS325" s="561"/>
      <c r="AT325" s="561"/>
      <c r="AU325" s="561"/>
      <c r="AV325" s="561"/>
      <c r="AW325" s="561"/>
      <c r="AX325" s="561"/>
      <c r="AY325" s="561"/>
      <c r="AZ325" s="561"/>
      <c r="BA325" s="561"/>
      <c r="BB325" s="561"/>
      <c r="BC325" s="561"/>
      <c r="BD325" s="561"/>
      <c r="BE325" s="561"/>
      <c r="BF325" s="561"/>
      <c r="BG325" s="561"/>
      <c r="BH325" s="561"/>
      <c r="BI325" s="561"/>
      <c r="BJ325" s="561"/>
      <c r="BK325" s="561"/>
      <c r="BL325" s="561"/>
      <c r="BM325" s="561">
        <f t="shared" si="337"/>
        <v>-9.1269841269841279E-2</v>
      </c>
      <c r="BN325" s="561">
        <f t="shared" si="337"/>
        <v>-5.3846153846153877E-2</v>
      </c>
      <c r="BO325" s="561">
        <f t="shared" si="337"/>
        <v>-2.9914529914529919E-2</v>
      </c>
      <c r="BP325" s="561">
        <f t="shared" si="337"/>
        <v>4.7244094488188892E-2</v>
      </c>
      <c r="BQ325" s="561">
        <f t="shared" si="337"/>
        <v>-2.6200873362445365E-2</v>
      </c>
      <c r="BR325" s="561">
        <f t="shared" si="337"/>
        <v>-3.2520325203251987E-2</v>
      </c>
      <c r="BS325" s="561">
        <f t="shared" si="337"/>
        <v>-4.4052863436123357E-2</v>
      </c>
      <c r="BT325" s="561">
        <f t="shared" si="337"/>
        <v>1.0827067669172932</v>
      </c>
      <c r="BU325" s="561">
        <f t="shared" si="337"/>
        <v>-0.179372197309417</v>
      </c>
      <c r="BV325" s="561">
        <f t="shared" si="337"/>
        <v>-0.16806722689075626</v>
      </c>
      <c r="BW325" s="561">
        <f t="shared" si="337"/>
        <v>-0.18433179723502302</v>
      </c>
      <c r="BX325" s="561">
        <f t="shared" si="337"/>
        <v>-0.17509025270758127</v>
      </c>
      <c r="BY325" s="561">
        <f t="shared" si="337"/>
        <v>0.18032786885245899</v>
      </c>
      <c r="BZ325" s="561">
        <f t="shared" si="337"/>
        <v>0.28282828282828287</v>
      </c>
      <c r="CA325" s="561">
        <f t="shared" si="337"/>
        <v>-7.9096045197740161E-2</v>
      </c>
      <c r="CB325" s="561">
        <f t="shared" si="337"/>
        <v>-0.38074398249452956</v>
      </c>
      <c r="CC325" s="561">
        <f t="shared" si="337"/>
        <v>-0.10648148148148151</v>
      </c>
      <c r="CD325" s="561">
        <f t="shared" si="337"/>
        <v>-0.19685039370078738</v>
      </c>
      <c r="CE325" s="561">
        <f t="shared" si="337"/>
        <v>0.13496932515337434</v>
      </c>
      <c r="CF325" s="561"/>
      <c r="CG325" s="561"/>
      <c r="CH325" s="561"/>
      <c r="CI325" s="561"/>
      <c r="CJ325" s="561"/>
    </row>
    <row r="326" spans="1:88" s="493" customFormat="1">
      <c r="A326" s="493" t="s">
        <v>66</v>
      </c>
      <c r="B326" s="561"/>
      <c r="C326" s="561"/>
      <c r="D326" s="561"/>
      <c r="E326" s="561"/>
      <c r="F326" s="561"/>
      <c r="G326" s="561"/>
      <c r="H326" s="561"/>
      <c r="I326" s="561"/>
      <c r="J326" s="561"/>
      <c r="K326" s="561"/>
      <c r="L326" s="561"/>
      <c r="M326" s="561"/>
      <c r="N326" s="561">
        <f t="shared" si="336"/>
        <v>-6.419753086419755E-2</v>
      </c>
      <c r="O326" s="561">
        <f t="shared" si="336"/>
        <v>-2.0815010260920586E-2</v>
      </c>
      <c r="P326" s="561">
        <f t="shared" si="336"/>
        <v>0.16826347305389211</v>
      </c>
      <c r="Q326" s="561">
        <f t="shared" si="336"/>
        <v>-0.54818042029728342</v>
      </c>
      <c r="R326" s="561">
        <f t="shared" si="336"/>
        <v>-0.89960294951786723</v>
      </c>
      <c r="S326" s="561">
        <f t="shared" si="336"/>
        <v>-0.31638418079096042</v>
      </c>
      <c r="T326" s="561"/>
      <c r="U326" s="561"/>
      <c r="V326" s="561"/>
      <c r="W326" s="561"/>
      <c r="X326" s="561"/>
      <c r="Y326" s="561"/>
      <c r="Z326" s="561"/>
      <c r="AA326" s="561"/>
      <c r="AB326" s="562"/>
      <c r="AC326" s="561"/>
      <c r="AD326" s="561"/>
      <c r="AE326" s="561"/>
      <c r="AF326" s="561"/>
      <c r="AG326" s="561"/>
      <c r="AH326" s="561"/>
      <c r="AI326" s="561"/>
      <c r="AJ326" s="561"/>
      <c r="AK326" s="561"/>
      <c r="AL326" s="561"/>
      <c r="AM326" s="561"/>
      <c r="AN326" s="561"/>
      <c r="AO326" s="561"/>
      <c r="AP326" s="561"/>
      <c r="AQ326" s="561"/>
      <c r="AR326" s="561"/>
      <c r="AS326" s="561"/>
      <c r="AT326" s="561"/>
      <c r="AU326" s="561"/>
      <c r="AV326" s="561"/>
      <c r="AW326" s="561"/>
      <c r="AX326" s="561"/>
      <c r="AY326" s="561"/>
      <c r="AZ326" s="561"/>
      <c r="BA326" s="561"/>
      <c r="BB326" s="561"/>
      <c r="BC326" s="561"/>
      <c r="BD326" s="561"/>
      <c r="BE326" s="561"/>
      <c r="BF326" s="561"/>
      <c r="BG326" s="561"/>
      <c r="BH326" s="561"/>
      <c r="BI326" s="561"/>
      <c r="BJ326" s="561"/>
      <c r="BK326" s="561"/>
      <c r="BL326" s="561"/>
      <c r="BM326" s="561">
        <f t="shared" si="337"/>
        <v>-6.0676779463243902E-2</v>
      </c>
      <c r="BN326" s="561">
        <f t="shared" si="337"/>
        <v>-1.764705882352946E-2</v>
      </c>
      <c r="BO326" s="561">
        <f t="shared" si="337"/>
        <v>1.7426273458444941E-2</v>
      </c>
      <c r="BP326" s="561">
        <f t="shared" si="337"/>
        <v>-1.7745302713987443E-2</v>
      </c>
      <c r="BQ326" s="561">
        <f t="shared" si="337"/>
        <v>-3.4782608695652195E-2</v>
      </c>
      <c r="BR326" s="561">
        <f t="shared" si="337"/>
        <v>1.5568862275449069E-2</v>
      </c>
      <c r="BS326" s="561">
        <f t="shared" si="337"/>
        <v>-4.743083003952564E-2</v>
      </c>
      <c r="BT326" s="561">
        <f t="shared" si="337"/>
        <v>0.65143464399574924</v>
      </c>
      <c r="BU326" s="561">
        <f t="shared" si="337"/>
        <v>-0.26126126126126126</v>
      </c>
      <c r="BV326" s="561">
        <f t="shared" si="337"/>
        <v>-8.4905660377358472E-2</v>
      </c>
      <c r="BW326" s="561">
        <f t="shared" si="337"/>
        <v>-0.94052558782849238</v>
      </c>
      <c r="BX326" s="561">
        <f t="shared" si="337"/>
        <v>-0.76190476190476186</v>
      </c>
      <c r="BY326" s="561">
        <f t="shared" si="337"/>
        <v>-0.95470383275261328</v>
      </c>
      <c r="BZ326" s="561">
        <f t="shared" si="337"/>
        <v>-0.94974226804123707</v>
      </c>
      <c r="CA326" s="561">
        <f t="shared" si="337"/>
        <v>-0.16279069767441856</v>
      </c>
      <c r="CB326" s="561">
        <f t="shared" si="337"/>
        <v>-0.79459459459459458</v>
      </c>
      <c r="CC326" s="561">
        <f t="shared" si="337"/>
        <v>0.57692307692307687</v>
      </c>
      <c r="CD326" s="561">
        <f t="shared" si="337"/>
        <v>-0.38461538461538458</v>
      </c>
      <c r="CE326" s="561">
        <f t="shared" si="337"/>
        <v>-0.36111111111111116</v>
      </c>
      <c r="CF326" s="561"/>
      <c r="CG326" s="561"/>
      <c r="CH326" s="561"/>
      <c r="CI326" s="561"/>
      <c r="CJ326" s="561"/>
    </row>
    <row r="327" spans="1:88" s="493" customFormat="1">
      <c r="A327" s="493" t="s">
        <v>67</v>
      </c>
      <c r="B327" s="561"/>
      <c r="C327" s="561"/>
      <c r="D327" s="561"/>
      <c r="E327" s="561"/>
      <c r="F327" s="561"/>
      <c r="G327" s="561"/>
      <c r="H327" s="561"/>
      <c r="I327" s="561"/>
      <c r="J327" s="561"/>
      <c r="K327" s="561"/>
      <c r="L327" s="561"/>
      <c r="M327" s="561"/>
      <c r="N327" s="561">
        <f t="shared" si="336"/>
        <v>-0.10192837465564741</v>
      </c>
      <c r="O327" s="561">
        <f t="shared" si="336"/>
        <v>-0.12515337423312889</v>
      </c>
      <c r="P327" s="561">
        <f t="shared" si="336"/>
        <v>-1.9635343618513379E-2</v>
      </c>
      <c r="Q327" s="561">
        <f t="shared" si="336"/>
        <v>-0.16738197424892709</v>
      </c>
      <c r="R327" s="561">
        <f t="shared" si="336"/>
        <v>-3.8659793814432963E-2</v>
      </c>
      <c r="S327" s="561">
        <f t="shared" si="336"/>
        <v>-3.0384271671134888E-2</v>
      </c>
      <c r="T327" s="561"/>
      <c r="U327" s="561"/>
      <c r="V327" s="561"/>
      <c r="W327" s="561"/>
      <c r="X327" s="561"/>
      <c r="Y327" s="561"/>
      <c r="Z327" s="561"/>
      <c r="AA327" s="561"/>
      <c r="AB327" s="562"/>
      <c r="AC327" s="561"/>
      <c r="AD327" s="561"/>
      <c r="AE327" s="561"/>
      <c r="AF327" s="561"/>
      <c r="AG327" s="561"/>
      <c r="AH327" s="561"/>
      <c r="AI327" s="561"/>
      <c r="AJ327" s="561"/>
      <c r="AK327" s="561"/>
      <c r="AL327" s="561"/>
      <c r="AM327" s="561"/>
      <c r="AN327" s="561"/>
      <c r="AO327" s="561"/>
      <c r="AP327" s="561"/>
      <c r="AQ327" s="561"/>
      <c r="AR327" s="561"/>
      <c r="AS327" s="561"/>
      <c r="AT327" s="561"/>
      <c r="AU327" s="561"/>
      <c r="AV327" s="561"/>
      <c r="AW327" s="561"/>
      <c r="AX327" s="561"/>
      <c r="AY327" s="561"/>
      <c r="AZ327" s="561"/>
      <c r="BA327" s="561"/>
      <c r="BB327" s="561"/>
      <c r="BC327" s="561"/>
      <c r="BD327" s="561"/>
      <c r="BE327" s="561"/>
      <c r="BF327" s="561"/>
      <c r="BG327" s="561"/>
      <c r="BH327" s="561"/>
      <c r="BI327" s="561"/>
      <c r="BJ327" s="561"/>
      <c r="BK327" s="561"/>
      <c r="BL327" s="561"/>
      <c r="BM327" s="561">
        <f t="shared" si="337"/>
        <v>-0.15856777493606133</v>
      </c>
      <c r="BN327" s="561">
        <f t="shared" si="337"/>
        <v>-0.20993227990970653</v>
      </c>
      <c r="BO327" s="561">
        <f t="shared" si="337"/>
        <v>-0.12303664921465973</v>
      </c>
      <c r="BP327" s="561">
        <f t="shared" si="337"/>
        <v>-4.8309178743961567E-3</v>
      </c>
      <c r="BQ327" s="561">
        <f t="shared" si="337"/>
        <v>4.5592705167173175E-2</v>
      </c>
      <c r="BR327" s="561">
        <f t="shared" si="337"/>
        <v>6.0000000000000053E-2</v>
      </c>
      <c r="BS327" s="561">
        <f t="shared" si="337"/>
        <v>5.9701492537314049E-3</v>
      </c>
      <c r="BT327" s="561">
        <f t="shared" si="337"/>
        <v>-0.16019417475728159</v>
      </c>
      <c r="BU327" s="561">
        <f t="shared" si="337"/>
        <v>-0.13953488372093026</v>
      </c>
      <c r="BV327" s="561">
        <f t="shared" si="337"/>
        <v>-0.1671159029649596</v>
      </c>
      <c r="BW327" s="561">
        <f t="shared" si="337"/>
        <v>-0.18397626112759646</v>
      </c>
      <c r="BX327" s="561">
        <f t="shared" si="337"/>
        <v>-0.17919075144508667</v>
      </c>
      <c r="BY327" s="561">
        <f t="shared" si="337"/>
        <v>-0.20270270270270274</v>
      </c>
      <c r="BZ327" s="561">
        <f t="shared" si="337"/>
        <v>-2.9126213592232997E-2</v>
      </c>
      <c r="CA327" s="561">
        <f t="shared" si="337"/>
        <v>3.6363636363636598E-3</v>
      </c>
      <c r="CB327" s="561">
        <f t="shared" si="337"/>
        <v>8.098591549295775E-2</v>
      </c>
      <c r="CC327" s="561">
        <f t="shared" si="337"/>
        <v>8.8983050847457612E-2</v>
      </c>
      <c r="CD327" s="561">
        <f t="shared" si="337"/>
        <v>-6.9999999999999951E-2</v>
      </c>
      <c r="CE327" s="561">
        <f t="shared" si="337"/>
        <v>3.6231884057971175E-3</v>
      </c>
      <c r="CF327" s="561"/>
      <c r="CG327" s="561"/>
      <c r="CH327" s="561"/>
      <c r="CI327" s="561"/>
      <c r="CJ327" s="561"/>
    </row>
    <row r="328" spans="1:88" s="493" customFormat="1">
      <c r="A328" s="492" t="s">
        <v>69</v>
      </c>
      <c r="B328" s="561"/>
      <c r="C328" s="561"/>
      <c r="D328" s="561"/>
      <c r="E328" s="561"/>
      <c r="F328" s="561"/>
      <c r="G328" s="561"/>
      <c r="H328" s="561"/>
      <c r="I328" s="561"/>
      <c r="J328" s="561"/>
      <c r="K328" s="561"/>
      <c r="L328" s="561"/>
      <c r="M328" s="561"/>
      <c r="N328" s="561"/>
      <c r="O328" s="561"/>
      <c r="P328" s="561"/>
      <c r="Q328" s="561"/>
      <c r="R328" s="561"/>
      <c r="S328" s="561"/>
      <c r="T328" s="561"/>
      <c r="U328" s="561"/>
      <c r="V328" s="561"/>
      <c r="W328" s="561"/>
      <c r="X328" s="561"/>
      <c r="Y328" s="561"/>
      <c r="Z328" s="561"/>
      <c r="AA328" s="561"/>
      <c r="AB328" s="562"/>
      <c r="AC328" s="561"/>
      <c r="AD328" s="561"/>
      <c r="AE328" s="561"/>
      <c r="AF328" s="561"/>
      <c r="AG328" s="561"/>
      <c r="AH328" s="561"/>
      <c r="AI328" s="561"/>
      <c r="AJ328" s="561"/>
      <c r="AK328" s="561"/>
      <c r="AL328" s="561"/>
      <c r="AM328" s="561"/>
      <c r="AN328" s="561"/>
      <c r="AO328" s="561"/>
      <c r="AP328" s="561"/>
      <c r="AQ328" s="561"/>
      <c r="AR328" s="561"/>
      <c r="AS328" s="561"/>
      <c r="AT328" s="561"/>
      <c r="AU328" s="561"/>
      <c r="AV328" s="561"/>
      <c r="AW328" s="561"/>
      <c r="AX328" s="561"/>
      <c r="AY328" s="561"/>
      <c r="AZ328" s="561"/>
      <c r="BA328" s="561"/>
      <c r="BB328" s="561"/>
      <c r="BC328" s="561"/>
      <c r="BD328" s="561"/>
      <c r="BE328" s="561"/>
      <c r="BF328" s="561"/>
      <c r="BG328" s="561"/>
      <c r="BH328" s="561"/>
      <c r="BI328" s="561"/>
      <c r="BJ328" s="561"/>
      <c r="BK328" s="561"/>
      <c r="BL328" s="561"/>
      <c r="BM328" s="561"/>
      <c r="BN328" s="561"/>
      <c r="BO328" s="561"/>
      <c r="BP328" s="561"/>
      <c r="BQ328" s="561"/>
      <c r="BR328" s="561"/>
      <c r="BS328" s="561"/>
      <c r="BT328" s="561"/>
      <c r="BU328" s="561"/>
      <c r="BV328" s="561"/>
      <c r="BW328" s="561"/>
      <c r="BX328" s="561"/>
      <c r="BY328" s="561"/>
      <c r="BZ328" s="561"/>
      <c r="CA328" s="561"/>
      <c r="CB328" s="561"/>
      <c r="CC328" s="561"/>
      <c r="CD328" s="561"/>
      <c r="CE328" s="561"/>
      <c r="CF328" s="561"/>
      <c r="CG328" s="561"/>
      <c r="CH328" s="561"/>
      <c r="CI328" s="561"/>
      <c r="CJ328" s="561"/>
    </row>
    <row r="329" spans="1:88" s="493" customFormat="1">
      <c r="A329" s="493" t="s">
        <v>63</v>
      </c>
      <c r="B329" s="561"/>
      <c r="C329" s="561"/>
      <c r="D329" s="561"/>
      <c r="E329" s="561"/>
      <c r="F329" s="561"/>
      <c r="G329" s="561"/>
      <c r="H329" s="561"/>
      <c r="I329" s="561"/>
      <c r="J329" s="561"/>
      <c r="K329" s="561"/>
      <c r="L329" s="561"/>
      <c r="M329" s="563">
        <f t="shared" ref="M329:R333" si="338">M316/SUM(M$316:M$320)</f>
        <v>0.20075299179776793</v>
      </c>
      <c r="N329" s="563">
        <f t="shared" si="338"/>
        <v>0.19606282116233625</v>
      </c>
      <c r="O329" s="563">
        <f t="shared" si="338"/>
        <v>0.20911871399103776</v>
      </c>
      <c r="P329" s="563">
        <f t="shared" si="338"/>
        <v>0.20642259944261465</v>
      </c>
      <c r="Q329" s="563">
        <f t="shared" si="338"/>
        <v>0.22960932145305005</v>
      </c>
      <c r="R329" s="563">
        <f t="shared" si="338"/>
        <v>0.2770886724756535</v>
      </c>
      <c r="S329" s="563">
        <f>S316/SUM(S$316:S$320)</f>
        <v>0.29405758627731265</v>
      </c>
      <c r="T329" s="561"/>
      <c r="U329" s="561"/>
      <c r="V329" s="561"/>
      <c r="W329" s="561"/>
      <c r="X329" s="561"/>
      <c r="Y329" s="561"/>
      <c r="Z329" s="561"/>
      <c r="AA329" s="561"/>
      <c r="AB329" s="562"/>
      <c r="AC329" s="561"/>
      <c r="AD329" s="561"/>
      <c r="AE329" s="561"/>
      <c r="AF329" s="561"/>
      <c r="AG329" s="561"/>
      <c r="AH329" s="561"/>
      <c r="AI329" s="561"/>
      <c r="AJ329" s="561"/>
      <c r="AK329" s="561"/>
      <c r="AL329" s="561"/>
      <c r="AM329" s="561"/>
      <c r="AN329" s="561"/>
      <c r="AO329" s="561"/>
      <c r="AP329" s="561"/>
      <c r="AQ329" s="561"/>
      <c r="AR329" s="561"/>
      <c r="AS329" s="561"/>
      <c r="AT329" s="561"/>
      <c r="AU329" s="561"/>
      <c r="AV329" s="561"/>
      <c r="AW329" s="561"/>
      <c r="AX329" s="561"/>
      <c r="AY329" s="561"/>
      <c r="AZ329" s="561"/>
      <c r="BA329" s="561"/>
      <c r="BB329" s="561"/>
      <c r="BC329" s="561"/>
      <c r="BD329" s="561"/>
      <c r="BE329" s="561"/>
      <c r="BF329" s="561"/>
      <c r="BG329" s="561"/>
      <c r="BH329" s="561"/>
      <c r="BI329" s="563">
        <f t="shared" ref="BI329:BZ329" si="339">BI316/SUM(BI$316:BI$320)</f>
        <v>0.18832283915283343</v>
      </c>
      <c r="BJ329" s="563">
        <f t="shared" si="339"/>
        <v>0.22292609351432882</v>
      </c>
      <c r="BK329" s="563">
        <f t="shared" si="339"/>
        <v>0.2083597213426219</v>
      </c>
      <c r="BL329" s="563">
        <f t="shared" si="339"/>
        <v>0.16987012987012987</v>
      </c>
      <c r="BM329" s="563">
        <f t="shared" si="339"/>
        <v>0.20271833429728167</v>
      </c>
      <c r="BN329" s="563">
        <f t="shared" si="339"/>
        <v>0.23831347387717691</v>
      </c>
      <c r="BO329" s="563">
        <f t="shared" si="339"/>
        <v>0.22761760242792109</v>
      </c>
      <c r="BP329" s="563">
        <f t="shared" si="339"/>
        <v>0.17579965286387306</v>
      </c>
      <c r="BQ329" s="563">
        <f t="shared" si="339"/>
        <v>0.20691594039921282</v>
      </c>
      <c r="BR329" s="563">
        <f t="shared" si="339"/>
        <v>0.23941994672980171</v>
      </c>
      <c r="BS329" s="563">
        <f t="shared" si="339"/>
        <v>0.22519440124416795</v>
      </c>
      <c r="BT329" s="563">
        <f t="shared" si="339"/>
        <v>0.17562533262373603</v>
      </c>
      <c r="BU329" s="563">
        <f t="shared" si="339"/>
        <v>0.20660869565217391</v>
      </c>
      <c r="BV329" s="563">
        <f t="shared" si="339"/>
        <v>0.22806394316163411</v>
      </c>
      <c r="BW329" s="563">
        <f t="shared" si="339"/>
        <v>0.2724344224574321</v>
      </c>
      <c r="BX329" s="563">
        <f t="shared" si="339"/>
        <v>0.22368075610396429</v>
      </c>
      <c r="BY329" s="563">
        <f t="shared" si="339"/>
        <v>0.26971476510067116</v>
      </c>
      <c r="BZ329" s="563">
        <f t="shared" si="339"/>
        <v>0.31356301788050589</v>
      </c>
      <c r="CA329" s="563">
        <f t="shared" ref="CA329:CB333" si="340">CA316/SUM(CA$316:CA$320)</f>
        <v>0.28897338403041822</v>
      </c>
      <c r="CB329" s="563">
        <f t="shared" si="340"/>
        <v>0.2464694014794889</v>
      </c>
      <c r="CC329" s="563">
        <f t="shared" ref="CC329:CD333" si="341">CC316/SUM(CC$316:CC$320)</f>
        <v>0.27526427061310782</v>
      </c>
      <c r="CD329" s="563">
        <f t="shared" si="341"/>
        <v>0.33072316904652233</v>
      </c>
      <c r="CE329" s="563">
        <f>CE316/SUM(CE$316:CE$320)</f>
        <v>0.31162981162981163</v>
      </c>
      <c r="CF329" s="563"/>
      <c r="CG329" s="563"/>
      <c r="CH329" s="563"/>
      <c r="CI329" s="563"/>
      <c r="CJ329" s="563"/>
    </row>
    <row r="330" spans="1:88" s="493" customFormat="1">
      <c r="A330" s="493" t="s">
        <v>64</v>
      </c>
      <c r="B330" s="561"/>
      <c r="C330" s="561"/>
      <c r="D330" s="561"/>
      <c r="E330" s="561"/>
      <c r="F330" s="561"/>
      <c r="G330" s="561"/>
      <c r="H330" s="561"/>
      <c r="I330" s="561"/>
      <c r="J330" s="561"/>
      <c r="K330" s="561"/>
      <c r="L330" s="561"/>
      <c r="M330" s="563">
        <f t="shared" si="338"/>
        <v>0.35444399623504103</v>
      </c>
      <c r="N330" s="563">
        <f t="shared" si="338"/>
        <v>0.36672215386842294</v>
      </c>
      <c r="O330" s="563">
        <f t="shared" si="338"/>
        <v>0.38302866491215593</v>
      </c>
      <c r="P330" s="563">
        <f t="shared" si="338"/>
        <v>0.37984545224220928</v>
      </c>
      <c r="Q330" s="563">
        <f t="shared" si="338"/>
        <v>0.43265935572309799</v>
      </c>
      <c r="R330" s="563">
        <f t="shared" si="338"/>
        <v>0.49615581752947208</v>
      </c>
      <c r="S330" s="563">
        <f>S317/SUM(S$316:S$320)</f>
        <v>0.50367571982846637</v>
      </c>
      <c r="T330" s="561"/>
      <c r="U330" s="561"/>
      <c r="V330" s="561"/>
      <c r="W330" s="561"/>
      <c r="X330" s="561"/>
      <c r="Y330" s="561"/>
      <c r="Z330" s="561"/>
      <c r="AA330" s="561"/>
      <c r="AB330" s="562"/>
      <c r="AC330" s="561"/>
      <c r="AD330" s="561"/>
      <c r="AE330" s="561"/>
      <c r="AF330" s="561"/>
      <c r="AG330" s="561"/>
      <c r="AH330" s="561"/>
      <c r="AI330" s="561"/>
      <c r="AJ330" s="561"/>
      <c r="AK330" s="561"/>
      <c r="AL330" s="561"/>
      <c r="AM330" s="561"/>
      <c r="AN330" s="561"/>
      <c r="AO330" s="561"/>
      <c r="AP330" s="561"/>
      <c r="AQ330" s="561"/>
      <c r="AR330" s="561"/>
      <c r="AS330" s="561"/>
      <c r="AT330" s="561"/>
      <c r="AU330" s="561"/>
      <c r="AV330" s="561"/>
      <c r="AW330" s="561"/>
      <c r="AX330" s="561"/>
      <c r="AY330" s="561"/>
      <c r="AZ330" s="561"/>
      <c r="BA330" s="561"/>
      <c r="BB330" s="561"/>
      <c r="BC330" s="561"/>
      <c r="BD330" s="561"/>
      <c r="BE330" s="561"/>
      <c r="BF330" s="561"/>
      <c r="BG330" s="561"/>
      <c r="BH330" s="561"/>
      <c r="BI330" s="563">
        <f t="shared" ref="BI330:BZ330" si="342">BI317/SUM(BI$316:BI$320)</f>
        <v>0.38236977676016026</v>
      </c>
      <c r="BJ330" s="563">
        <f t="shared" si="342"/>
        <v>0.30859728506787332</v>
      </c>
      <c r="BK330" s="563">
        <f t="shared" si="342"/>
        <v>0.36035465484483853</v>
      </c>
      <c r="BL330" s="563">
        <f t="shared" si="342"/>
        <v>0.40779220779220782</v>
      </c>
      <c r="BM330" s="563">
        <f t="shared" si="342"/>
        <v>0.40312319259687679</v>
      </c>
      <c r="BN330" s="563">
        <f t="shared" si="342"/>
        <v>0.32447296058661779</v>
      </c>
      <c r="BO330" s="563">
        <f t="shared" si="342"/>
        <v>0.37147192716236721</v>
      </c>
      <c r="BP330" s="563">
        <f t="shared" si="342"/>
        <v>0.42276221175303746</v>
      </c>
      <c r="BQ330" s="563">
        <f t="shared" si="342"/>
        <v>0.41523755974135507</v>
      </c>
      <c r="BR330" s="563">
        <f t="shared" si="342"/>
        <v>0.32938739271973955</v>
      </c>
      <c r="BS330" s="563">
        <f t="shared" si="342"/>
        <v>0.37760497667185072</v>
      </c>
      <c r="BT330" s="563">
        <f t="shared" si="342"/>
        <v>0.38903672166045766</v>
      </c>
      <c r="BU330" s="563">
        <f t="shared" si="342"/>
        <v>0.4271304347826087</v>
      </c>
      <c r="BV330" s="563">
        <f t="shared" si="342"/>
        <v>0.31616341030195383</v>
      </c>
      <c r="BW330" s="563">
        <f t="shared" si="342"/>
        <v>0.49976990335941096</v>
      </c>
      <c r="BX330" s="563">
        <f t="shared" si="342"/>
        <v>0.48464163822525597</v>
      </c>
      <c r="BY330" s="563">
        <f t="shared" si="342"/>
        <v>0.52978187919463082</v>
      </c>
      <c r="BZ330" s="563">
        <f t="shared" si="342"/>
        <v>0.42782381160052335</v>
      </c>
      <c r="CA330" s="563">
        <f t="shared" si="340"/>
        <v>0.48526615969581749</v>
      </c>
      <c r="CB330" s="563">
        <f t="shared" si="340"/>
        <v>0.52958977807666441</v>
      </c>
      <c r="CC330" s="563">
        <f t="shared" si="341"/>
        <v>0.51712473572938689</v>
      </c>
      <c r="CD330" s="563">
        <f t="shared" si="341"/>
        <v>0.43574389682174114</v>
      </c>
      <c r="CE330" s="563">
        <f>CE317/SUM(CE$316:CE$320)</f>
        <v>0.48976248976248976</v>
      </c>
      <c r="CF330" s="563"/>
      <c r="CG330" s="563"/>
      <c r="CH330" s="563"/>
      <c r="CI330" s="563"/>
      <c r="CJ330" s="563"/>
    </row>
    <row r="331" spans="1:88" s="493" customFormat="1">
      <c r="A331" s="493" t="s">
        <v>65</v>
      </c>
      <c r="B331" s="561"/>
      <c r="C331" s="561"/>
      <c r="D331" s="561"/>
      <c r="E331" s="561"/>
      <c r="F331" s="561"/>
      <c r="G331" s="561"/>
      <c r="H331" s="561"/>
      <c r="I331" s="561"/>
      <c r="J331" s="561"/>
      <c r="K331" s="561"/>
      <c r="L331" s="561"/>
      <c r="M331" s="563">
        <f t="shared" si="338"/>
        <v>7.7719510555331453E-2</v>
      </c>
      <c r="N331" s="563">
        <f t="shared" si="338"/>
        <v>7.2374610986465943E-2</v>
      </c>
      <c r="O331" s="563">
        <f t="shared" si="338"/>
        <v>6.8852692225620599E-2</v>
      </c>
      <c r="P331" s="563">
        <f t="shared" si="338"/>
        <v>7.8033949835317959E-2</v>
      </c>
      <c r="Q331" s="563">
        <f t="shared" si="338"/>
        <v>8.6960246744345437E-2</v>
      </c>
      <c r="R331" s="563">
        <f t="shared" si="338"/>
        <v>9.3900563813429011E-2</v>
      </c>
      <c r="S331" s="563">
        <f>S318/SUM(S$316:S$320)</f>
        <v>7.913007964059629E-2</v>
      </c>
      <c r="T331" s="561"/>
      <c r="U331" s="561"/>
      <c r="V331" s="561"/>
      <c r="W331" s="561"/>
      <c r="X331" s="561"/>
      <c r="Y331" s="561"/>
      <c r="Z331" s="561"/>
      <c r="AA331" s="561"/>
      <c r="AB331" s="562"/>
      <c r="AC331" s="561"/>
      <c r="AD331" s="561"/>
      <c r="AE331" s="561"/>
      <c r="AF331" s="561"/>
      <c r="AG331" s="561"/>
      <c r="AH331" s="561"/>
      <c r="AI331" s="561"/>
      <c r="AJ331" s="561"/>
      <c r="AK331" s="561"/>
      <c r="AL331" s="561"/>
      <c r="AM331" s="561"/>
      <c r="AN331" s="561"/>
      <c r="AO331" s="561"/>
      <c r="AP331" s="561"/>
      <c r="AQ331" s="561"/>
      <c r="AR331" s="561"/>
      <c r="AS331" s="561"/>
      <c r="AT331" s="561"/>
      <c r="AU331" s="561"/>
      <c r="AV331" s="561"/>
      <c r="AW331" s="561"/>
      <c r="AX331" s="561"/>
      <c r="AY331" s="561"/>
      <c r="AZ331" s="561"/>
      <c r="BA331" s="561"/>
      <c r="BB331" s="561"/>
      <c r="BC331" s="561"/>
      <c r="BD331" s="561"/>
      <c r="BE331" s="561"/>
      <c r="BF331" s="561"/>
      <c r="BG331" s="561"/>
      <c r="BH331" s="561"/>
      <c r="BI331" s="563">
        <f t="shared" ref="BI331:BZ331" si="343">BI318/SUM(BI$316:BI$320)</f>
        <v>7.2123640526617058E-2</v>
      </c>
      <c r="BJ331" s="563">
        <f t="shared" si="343"/>
        <v>7.8431372549019607E-2</v>
      </c>
      <c r="BK331" s="563">
        <f t="shared" si="343"/>
        <v>7.4097530082330595E-2</v>
      </c>
      <c r="BL331" s="563">
        <f t="shared" si="343"/>
        <v>6.5974025974025977E-2</v>
      </c>
      <c r="BM331" s="563">
        <f t="shared" si="343"/>
        <v>6.6223250433776748E-2</v>
      </c>
      <c r="BN331" s="563">
        <f t="shared" si="343"/>
        <v>7.5160403299725023E-2</v>
      </c>
      <c r="BO331" s="563">
        <f t="shared" si="343"/>
        <v>6.8892261001517449E-2</v>
      </c>
      <c r="BP331" s="563">
        <f t="shared" si="343"/>
        <v>6.5955864121001739E-2</v>
      </c>
      <c r="BQ331" s="563">
        <f t="shared" si="343"/>
        <v>6.2693280854652797E-2</v>
      </c>
      <c r="BR331" s="563">
        <f t="shared" si="343"/>
        <v>7.0435039952648715E-2</v>
      </c>
      <c r="BS331" s="563">
        <f t="shared" si="343"/>
        <v>6.7496111975116638E-2</v>
      </c>
      <c r="BT331" s="563">
        <f t="shared" si="343"/>
        <v>9.8279226538939155E-2</v>
      </c>
      <c r="BU331" s="563">
        <f t="shared" si="343"/>
        <v>6.365217391304348E-2</v>
      </c>
      <c r="BV331" s="563">
        <f t="shared" si="343"/>
        <v>7.0337477797513315E-2</v>
      </c>
      <c r="BW331" s="563">
        <f t="shared" si="343"/>
        <v>8.1454210768522786E-2</v>
      </c>
      <c r="BX331" s="563">
        <f t="shared" si="343"/>
        <v>0.11997899711210291</v>
      </c>
      <c r="BY331" s="563">
        <f t="shared" si="343"/>
        <v>9.0604026845637578E-2</v>
      </c>
      <c r="BZ331" s="563">
        <f t="shared" si="343"/>
        <v>0.11077191452245966</v>
      </c>
      <c r="CA331" s="563">
        <f t="shared" si="340"/>
        <v>7.7471482889733836E-2</v>
      </c>
      <c r="CB331" s="563">
        <f t="shared" si="340"/>
        <v>9.5158036314727634E-2</v>
      </c>
      <c r="CC331" s="563">
        <f t="shared" si="341"/>
        <v>8.1606765327695563E-2</v>
      </c>
      <c r="CD331" s="563">
        <f t="shared" si="341"/>
        <v>9.3965914325195757E-2</v>
      </c>
      <c r="CE331" s="563">
        <f>CE318/SUM(CE$316:CE$320)</f>
        <v>7.575757575757576E-2</v>
      </c>
      <c r="CF331" s="563"/>
      <c r="CG331" s="563"/>
      <c r="CH331" s="563"/>
      <c r="CI331" s="563"/>
      <c r="CJ331" s="563"/>
    </row>
    <row r="332" spans="1:88" s="493" customFormat="1">
      <c r="A332" s="493" t="s">
        <v>66</v>
      </c>
      <c r="B332" s="561"/>
      <c r="C332" s="561"/>
      <c r="D332" s="561"/>
      <c r="E332" s="561"/>
      <c r="F332" s="561"/>
      <c r="G332" s="561"/>
      <c r="H332" s="561"/>
      <c r="I332" s="561"/>
      <c r="J332" s="561"/>
      <c r="K332" s="561"/>
      <c r="L332" s="561"/>
      <c r="M332" s="563">
        <f t="shared" si="338"/>
        <v>0.24505849132714805</v>
      </c>
      <c r="N332" s="563">
        <f t="shared" si="338"/>
        <v>0.24686979807483536</v>
      </c>
      <c r="O332" s="563">
        <f t="shared" si="338"/>
        <v>0.23757023970410412</v>
      </c>
      <c r="P332" s="563">
        <f t="shared" si="338"/>
        <v>0.24714973397517101</v>
      </c>
      <c r="Q332" s="563">
        <f t="shared" si="338"/>
        <v>0.15104523646333104</v>
      </c>
      <c r="R332" s="563">
        <f t="shared" si="338"/>
        <v>1.814454126089185E-2</v>
      </c>
      <c r="S332" s="563">
        <f>S319/SUM(S$316:S$320)</f>
        <v>1.2354502756789872E-2</v>
      </c>
      <c r="T332" s="561"/>
      <c r="U332" s="561"/>
      <c r="V332" s="561"/>
      <c r="W332" s="561"/>
      <c r="X332" s="561"/>
      <c r="Y332" s="561"/>
      <c r="Z332" s="561"/>
      <c r="AA332" s="561"/>
      <c r="AB332" s="562"/>
      <c r="AC332" s="561"/>
      <c r="AD332" s="561"/>
      <c r="AE332" s="561"/>
      <c r="AF332" s="561"/>
      <c r="AG332" s="561"/>
      <c r="AH332" s="561"/>
      <c r="AI332" s="561"/>
      <c r="AJ332" s="561"/>
      <c r="AK332" s="561"/>
      <c r="AL332" s="561"/>
      <c r="AM332" s="561"/>
      <c r="AN332" s="561"/>
      <c r="AO332" s="561"/>
      <c r="AP332" s="561"/>
      <c r="AQ332" s="561"/>
      <c r="AR332" s="561"/>
      <c r="AS332" s="561"/>
      <c r="AT332" s="561"/>
      <c r="AU332" s="561"/>
      <c r="AV332" s="561"/>
      <c r="AW332" s="561"/>
      <c r="AX332" s="561"/>
      <c r="AY332" s="561"/>
      <c r="AZ332" s="561"/>
      <c r="BA332" s="561"/>
      <c r="BB332" s="561"/>
      <c r="BC332" s="561"/>
      <c r="BD332" s="561"/>
      <c r="BE332" s="561"/>
      <c r="BF332" s="561"/>
      <c r="BG332" s="561"/>
      <c r="BH332" s="561"/>
      <c r="BI332" s="563">
        <f t="shared" ref="BI332:BZ332" si="344">BI319/SUM(BI$316:BI$320)</f>
        <v>0.24527761877504292</v>
      </c>
      <c r="BJ332" s="563">
        <f t="shared" si="344"/>
        <v>0.25641025641025639</v>
      </c>
      <c r="BK332" s="563">
        <f t="shared" si="344"/>
        <v>0.23622545915136162</v>
      </c>
      <c r="BL332" s="563">
        <f t="shared" si="344"/>
        <v>0.24883116883116882</v>
      </c>
      <c r="BM332" s="563">
        <f t="shared" si="344"/>
        <v>0.23279352226720648</v>
      </c>
      <c r="BN332" s="563">
        <f t="shared" si="344"/>
        <v>0.25511762908646501</v>
      </c>
      <c r="BO332" s="563">
        <f t="shared" si="344"/>
        <v>0.23034901365705615</v>
      </c>
      <c r="BP332" s="563">
        <f t="shared" si="344"/>
        <v>0.23332506818745352</v>
      </c>
      <c r="BQ332" s="563">
        <f t="shared" si="344"/>
        <v>0.21844250773123419</v>
      </c>
      <c r="BR332" s="563">
        <f t="shared" si="344"/>
        <v>0.25096182302456349</v>
      </c>
      <c r="BS332" s="563">
        <f t="shared" si="344"/>
        <v>0.22488335925349923</v>
      </c>
      <c r="BT332" s="563">
        <f t="shared" si="344"/>
        <v>0.2756785524215008</v>
      </c>
      <c r="BU332" s="563">
        <f t="shared" si="344"/>
        <v>0.19965217391304349</v>
      </c>
      <c r="BV332" s="563">
        <f t="shared" si="344"/>
        <v>0.27566607460035525</v>
      </c>
      <c r="BW332" s="563">
        <f t="shared" si="344"/>
        <v>1.9788311090658078E-2</v>
      </c>
      <c r="BX332" s="563">
        <f t="shared" si="344"/>
        <v>9.7138356524022057E-2</v>
      </c>
      <c r="BY332" s="563">
        <f t="shared" si="344"/>
        <v>1.0906040268456376E-2</v>
      </c>
      <c r="BZ332" s="563">
        <f t="shared" si="344"/>
        <v>1.70082860880942E-2</v>
      </c>
      <c r="CA332" s="563">
        <f t="shared" si="340"/>
        <v>1.7110266159695818E-2</v>
      </c>
      <c r="CB332" s="563">
        <f t="shared" si="340"/>
        <v>2.5554808338937456E-2</v>
      </c>
      <c r="CC332" s="563">
        <f t="shared" si="341"/>
        <v>1.7336152219873151E-2</v>
      </c>
      <c r="CD332" s="563">
        <f t="shared" si="341"/>
        <v>1.1054813450023031E-2</v>
      </c>
      <c r="CE332" s="563">
        <f>CE319/SUM(CE$316:CE$320)</f>
        <v>9.4185094185094183E-3</v>
      </c>
      <c r="CF332" s="563"/>
      <c r="CG332" s="563"/>
      <c r="CH332" s="563"/>
      <c r="CI332" s="563"/>
      <c r="CJ332" s="563"/>
    </row>
    <row r="333" spans="1:88" s="493" customFormat="1">
      <c r="A333" s="493" t="s">
        <v>67</v>
      </c>
      <c r="B333" s="561"/>
      <c r="C333" s="561"/>
      <c r="D333" s="561"/>
      <c r="E333" s="561"/>
      <c r="F333" s="561"/>
      <c r="G333" s="561"/>
      <c r="H333" s="561"/>
      <c r="I333" s="561"/>
      <c r="J333" s="561"/>
      <c r="K333" s="561"/>
      <c r="L333" s="561"/>
      <c r="M333" s="563">
        <f t="shared" si="338"/>
        <v>0.12202501008471157</v>
      </c>
      <c r="N333" s="563">
        <f t="shared" si="338"/>
        <v>0.11797061590793949</v>
      </c>
      <c r="O333" s="563">
        <f t="shared" si="338"/>
        <v>0.10142968916708159</v>
      </c>
      <c r="P333" s="563">
        <f t="shared" si="338"/>
        <v>8.8548264504687099E-2</v>
      </c>
      <c r="Q333" s="563">
        <f t="shared" si="338"/>
        <v>9.9725839616175468E-2</v>
      </c>
      <c r="R333" s="563">
        <f t="shared" si="338"/>
        <v>0.11471040492055357</v>
      </c>
      <c r="S333" s="563">
        <f>S320/SUM(S$316:S$320)</f>
        <v>0.1107821114968348</v>
      </c>
      <c r="T333" s="561"/>
      <c r="U333" s="561"/>
      <c r="V333" s="561"/>
      <c r="W333" s="561"/>
      <c r="X333" s="561"/>
      <c r="Y333" s="561"/>
      <c r="Z333" s="561"/>
      <c r="AA333" s="561"/>
      <c r="AB333" s="562"/>
      <c r="AC333" s="561"/>
      <c r="AD333" s="561"/>
      <c r="AE333" s="561"/>
      <c r="AF333" s="561"/>
      <c r="AG333" s="561"/>
      <c r="AH333" s="561"/>
      <c r="AI333" s="561"/>
      <c r="AJ333" s="561"/>
      <c r="AK333" s="561"/>
      <c r="AL333" s="561"/>
      <c r="AM333" s="561"/>
      <c r="AN333" s="561"/>
      <c r="AO333" s="561"/>
      <c r="AP333" s="561"/>
      <c r="AQ333" s="561"/>
      <c r="AR333" s="561"/>
      <c r="AS333" s="561"/>
      <c r="AT333" s="561"/>
      <c r="AU333" s="561"/>
      <c r="AV333" s="561"/>
      <c r="AW333" s="561"/>
      <c r="AX333" s="561"/>
      <c r="AY333" s="561"/>
      <c r="AZ333" s="561"/>
      <c r="BA333" s="561"/>
      <c r="BB333" s="561"/>
      <c r="BC333" s="561"/>
      <c r="BD333" s="561"/>
      <c r="BE333" s="561"/>
      <c r="BF333" s="561"/>
      <c r="BG333" s="561"/>
      <c r="BH333" s="561"/>
      <c r="BI333" s="563">
        <f t="shared" ref="BI333:BZ333" si="345">BI320/SUM(BI$316:BI$320)</f>
        <v>0.11190612478534631</v>
      </c>
      <c r="BJ333" s="563">
        <f t="shared" si="345"/>
        <v>0.13363499245852187</v>
      </c>
      <c r="BK333" s="563">
        <f t="shared" si="345"/>
        <v>0.12096263457884737</v>
      </c>
      <c r="BL333" s="563">
        <f t="shared" si="345"/>
        <v>0.10753246753246753</v>
      </c>
      <c r="BM333" s="563">
        <f t="shared" si="345"/>
        <v>9.5141700404858295E-2</v>
      </c>
      <c r="BN333" s="563">
        <f t="shared" si="345"/>
        <v>0.10693553315001528</v>
      </c>
      <c r="BO333" s="563">
        <f t="shared" si="345"/>
        <v>0.10166919575113809</v>
      </c>
      <c r="BP333" s="563">
        <f t="shared" si="345"/>
        <v>0.10215720307463427</v>
      </c>
      <c r="BQ333" s="563">
        <f t="shared" si="345"/>
        <v>9.6710711273545122E-2</v>
      </c>
      <c r="BR333" s="563">
        <f t="shared" si="345"/>
        <v>0.10979579757324652</v>
      </c>
      <c r="BS333" s="563">
        <f t="shared" si="345"/>
        <v>0.10482115085536547</v>
      </c>
      <c r="BT333" s="563">
        <f t="shared" si="345"/>
        <v>6.1380166755366332E-2</v>
      </c>
      <c r="BU333" s="563">
        <f t="shared" si="345"/>
        <v>0.10295652173913043</v>
      </c>
      <c r="BV333" s="563">
        <f t="shared" si="345"/>
        <v>0.10976909413854352</v>
      </c>
      <c r="BW333" s="563">
        <f t="shared" si="345"/>
        <v>0.12655315232397607</v>
      </c>
      <c r="BX333" s="563">
        <f t="shared" si="345"/>
        <v>7.4560252034654759E-2</v>
      </c>
      <c r="BY333" s="563">
        <f t="shared" si="345"/>
        <v>9.8993288590604023E-2</v>
      </c>
      <c r="BZ333" s="563">
        <f t="shared" si="345"/>
        <v>0.13083296990841692</v>
      </c>
      <c r="CA333" s="563">
        <f t="shared" si="340"/>
        <v>0.13117870722433461</v>
      </c>
      <c r="CB333" s="563">
        <f t="shared" si="340"/>
        <v>0.10322797579018157</v>
      </c>
      <c r="CC333" s="563">
        <f t="shared" si="341"/>
        <v>0.10866807610993658</v>
      </c>
      <c r="CD333" s="563">
        <f t="shared" si="341"/>
        <v>0.12851220635651772</v>
      </c>
      <c r="CE333" s="563">
        <f>CE320/SUM(CE$316:CE$320)</f>
        <v>0.11343161343161343</v>
      </c>
      <c r="CF333" s="563"/>
      <c r="CG333" s="563"/>
      <c r="CH333" s="563"/>
      <c r="CI333" s="563"/>
      <c r="CJ333" s="563"/>
    </row>
    <row r="334" spans="1:88" s="493" customFormat="1">
      <c r="B334" s="561"/>
      <c r="C334" s="561"/>
      <c r="D334" s="561"/>
      <c r="E334" s="561"/>
      <c r="F334" s="561"/>
      <c r="G334" s="561"/>
      <c r="H334" s="561"/>
      <c r="I334" s="561"/>
      <c r="J334" s="561"/>
      <c r="K334" s="561"/>
      <c r="L334" s="561"/>
      <c r="M334" s="561"/>
      <c r="N334" s="561"/>
      <c r="O334" s="561"/>
      <c r="P334" s="561"/>
      <c r="Q334" s="561"/>
      <c r="R334" s="561"/>
      <c r="S334" s="561"/>
      <c r="T334" s="561"/>
      <c r="U334" s="561"/>
      <c r="V334" s="561"/>
      <c r="W334" s="561"/>
      <c r="X334" s="561"/>
      <c r="Y334" s="561"/>
      <c r="Z334" s="561"/>
      <c r="AA334" s="561"/>
      <c r="AB334" s="562"/>
      <c r="AC334" s="561"/>
      <c r="AD334" s="561"/>
      <c r="AE334" s="561"/>
      <c r="AF334" s="561"/>
      <c r="AG334" s="561"/>
      <c r="AH334" s="561"/>
      <c r="AI334" s="561"/>
      <c r="AJ334" s="561"/>
      <c r="AK334" s="561"/>
      <c r="AL334" s="561"/>
      <c r="AM334" s="561"/>
      <c r="AN334" s="561"/>
      <c r="AO334" s="561"/>
      <c r="AP334" s="561"/>
      <c r="AQ334" s="561"/>
      <c r="AR334" s="561"/>
      <c r="AS334" s="561"/>
      <c r="AT334" s="561"/>
      <c r="AU334" s="561"/>
      <c r="AV334" s="561"/>
      <c r="AW334" s="561"/>
      <c r="AX334" s="561"/>
      <c r="AY334" s="561"/>
      <c r="AZ334" s="561"/>
      <c r="BA334" s="561"/>
      <c r="BB334" s="561"/>
      <c r="BC334" s="561"/>
      <c r="BD334" s="561"/>
      <c r="BE334" s="561"/>
      <c r="BF334" s="561"/>
      <c r="BG334" s="561"/>
      <c r="BH334" s="561"/>
      <c r="BI334" s="561"/>
      <c r="BJ334" s="561"/>
      <c r="BK334" s="561"/>
      <c r="BL334" s="561"/>
      <c r="BM334" s="561"/>
      <c r="BN334" s="561"/>
      <c r="BO334" s="561"/>
      <c r="BP334" s="561"/>
      <c r="BQ334" s="561"/>
      <c r="BR334" s="561"/>
      <c r="BS334" s="561"/>
      <c r="BT334" s="561"/>
      <c r="BU334" s="561"/>
      <c r="BV334" s="561"/>
      <c r="BW334" s="561"/>
      <c r="BX334" s="561"/>
      <c r="BY334" s="561"/>
      <c r="BZ334" s="561"/>
      <c r="CA334" s="561"/>
      <c r="CB334" s="561"/>
      <c r="CC334" s="561"/>
      <c r="CD334" s="561"/>
      <c r="CE334" s="561"/>
      <c r="CF334" s="561"/>
      <c r="CG334" s="561"/>
      <c r="CH334" s="561"/>
      <c r="CI334" s="561"/>
      <c r="CJ334" s="561"/>
    </row>
    <row r="335" spans="1:88">
      <c r="A335" s="25" t="s">
        <v>58</v>
      </c>
      <c r="B335" s="518"/>
      <c r="C335" s="518"/>
      <c r="D335" s="518"/>
      <c r="E335" s="518"/>
      <c r="F335" s="518"/>
      <c r="G335" s="518"/>
      <c r="H335" s="518"/>
      <c r="I335" s="518"/>
      <c r="J335" s="518"/>
      <c r="K335" s="518"/>
      <c r="L335" s="518"/>
      <c r="M335" s="518"/>
      <c r="N335" s="518"/>
      <c r="O335" s="518"/>
      <c r="P335" s="518"/>
      <c r="Q335" s="518"/>
      <c r="R335" s="518"/>
      <c r="S335" s="518"/>
      <c r="T335" s="518"/>
      <c r="U335" s="518"/>
      <c r="V335" s="518"/>
      <c r="W335" s="518"/>
      <c r="X335" s="518"/>
      <c r="Y335" s="518"/>
      <c r="Z335" s="518"/>
      <c r="AA335" s="518"/>
      <c r="AB335" s="519"/>
      <c r="AC335" s="518"/>
      <c r="AD335" s="518"/>
      <c r="AE335" s="518"/>
      <c r="AF335" s="518"/>
      <c r="AG335" s="518"/>
      <c r="AH335" s="518"/>
      <c r="AI335" s="518"/>
      <c r="AJ335" s="518"/>
      <c r="AK335" s="518"/>
      <c r="AL335" s="518"/>
      <c r="AM335" s="518"/>
      <c r="AN335" s="518"/>
      <c r="AO335" s="518"/>
      <c r="AP335" s="518"/>
      <c r="AQ335" s="518"/>
      <c r="AR335" s="518"/>
      <c r="AS335" s="518"/>
      <c r="AT335" s="518"/>
      <c r="AU335" s="518"/>
      <c r="AV335" s="518"/>
      <c r="AW335" s="518"/>
      <c r="AX335" s="518"/>
      <c r="AY335" s="518"/>
      <c r="AZ335" s="518"/>
      <c r="BA335" s="518"/>
      <c r="BB335" s="518"/>
      <c r="BC335" s="518"/>
      <c r="BD335" s="518"/>
      <c r="BE335" s="518"/>
      <c r="BF335" s="518"/>
      <c r="BG335" s="518"/>
      <c r="BH335" s="518"/>
      <c r="BI335" s="518"/>
      <c r="BJ335" s="518"/>
      <c r="BK335" s="518"/>
      <c r="BL335" s="518"/>
      <c r="BM335" s="520"/>
      <c r="BN335" s="520"/>
      <c r="BO335" s="518"/>
      <c r="BP335" s="518"/>
      <c r="BQ335" s="518"/>
      <c r="BR335" s="518"/>
      <c r="BS335" s="518"/>
      <c r="BT335" s="518"/>
      <c r="BU335" s="518"/>
      <c r="BV335" s="518"/>
      <c r="BW335" s="518"/>
      <c r="BX335" s="518"/>
      <c r="BY335" s="518"/>
      <c r="BZ335" s="518"/>
      <c r="CA335" s="518"/>
      <c r="CB335" s="518"/>
      <c r="CC335" s="518"/>
      <c r="CD335" s="518"/>
      <c r="CE335" s="518"/>
      <c r="CF335" s="518"/>
      <c r="CG335" s="518"/>
      <c r="CH335" s="518"/>
      <c r="CI335" s="518"/>
      <c r="CJ335" s="518"/>
    </row>
    <row r="336" spans="1:88" s="28" customFormat="1">
      <c r="A336" s="28" t="s">
        <v>63</v>
      </c>
      <c r="B336" s="556"/>
      <c r="C336" s="556"/>
      <c r="D336" s="556"/>
      <c r="E336" s="556"/>
      <c r="F336" s="556"/>
      <c r="G336" s="556"/>
      <c r="H336" s="556"/>
      <c r="I336" s="556"/>
      <c r="J336" s="556"/>
      <c r="K336" s="556"/>
      <c r="L336" s="556"/>
      <c r="M336" s="564">
        <v>5031</v>
      </c>
      <c r="N336" s="564">
        <v>5267</v>
      </c>
      <c r="O336" s="564">
        <v>5480</v>
      </c>
      <c r="P336" s="564">
        <v>5486</v>
      </c>
      <c r="Q336" s="564">
        <v>5569</v>
      </c>
      <c r="R336" s="564">
        <v>5565</v>
      </c>
      <c r="S336" s="556">
        <v>5479</v>
      </c>
      <c r="T336" s="556"/>
      <c r="U336" s="556"/>
      <c r="V336" s="556"/>
      <c r="W336" s="556"/>
      <c r="X336" s="556"/>
      <c r="Y336" s="556"/>
      <c r="Z336" s="556"/>
      <c r="AA336" s="556"/>
      <c r="AB336" s="558"/>
      <c r="AC336" s="556"/>
      <c r="AD336" s="556"/>
      <c r="AE336" s="556"/>
      <c r="AF336" s="556"/>
      <c r="AG336" s="556"/>
      <c r="AH336" s="556"/>
      <c r="AI336" s="556"/>
      <c r="AJ336" s="556"/>
      <c r="AK336" s="556"/>
      <c r="AL336" s="556"/>
      <c r="AM336" s="556"/>
      <c r="AN336" s="556"/>
      <c r="AO336" s="556"/>
      <c r="AP336" s="556"/>
      <c r="AQ336" s="556"/>
      <c r="AR336" s="556"/>
      <c r="AS336" s="556"/>
      <c r="AT336" s="556"/>
      <c r="AU336" s="556"/>
      <c r="AV336" s="556"/>
      <c r="AW336" s="556"/>
      <c r="AX336" s="556"/>
      <c r="AY336" s="556"/>
      <c r="AZ336" s="556"/>
      <c r="BA336" s="556"/>
      <c r="BB336" s="556"/>
      <c r="BC336" s="556"/>
      <c r="BD336" s="556"/>
      <c r="BE336" s="556"/>
      <c r="BF336" s="556"/>
      <c r="BG336" s="556"/>
      <c r="BH336" s="556"/>
      <c r="BI336" s="557">
        <v>1239</v>
      </c>
      <c r="BJ336" s="557">
        <v>1298</v>
      </c>
      <c r="BK336" s="557">
        <v>1326</v>
      </c>
      <c r="BL336" s="556">
        <f>N336-SUM(BI336:BK336)</f>
        <v>1404</v>
      </c>
      <c r="BM336" s="557">
        <v>1293</v>
      </c>
      <c r="BN336" s="557">
        <v>1349</v>
      </c>
      <c r="BO336" s="557">
        <v>1369</v>
      </c>
      <c r="BP336" s="556">
        <f>+O336-SUM(BM336:BO336)</f>
        <v>1469</v>
      </c>
      <c r="BQ336" s="557">
        <v>1327</v>
      </c>
      <c r="BR336" s="557">
        <v>1384</v>
      </c>
      <c r="BS336" s="557">
        <v>1367</v>
      </c>
      <c r="BT336" s="558">
        <f>P336-SUM(BQ336:BS336)</f>
        <v>1408</v>
      </c>
      <c r="BU336" s="557">
        <v>1358</v>
      </c>
      <c r="BV336" s="557">
        <v>1400</v>
      </c>
      <c r="BW336" s="557">
        <v>1403</v>
      </c>
      <c r="BX336" s="558">
        <f>+Q336-SUM(BU336:BW336)</f>
        <v>1408</v>
      </c>
      <c r="BY336" s="557">
        <v>1361</v>
      </c>
      <c r="BZ336" s="557">
        <v>1398</v>
      </c>
      <c r="CA336" s="557">
        <v>1403</v>
      </c>
      <c r="CB336" s="557">
        <f>+R336-SUM(BY336:CA336)</f>
        <v>1403</v>
      </c>
      <c r="CC336" s="557">
        <v>1333</v>
      </c>
      <c r="CD336" s="557">
        <v>1301</v>
      </c>
      <c r="CE336" s="557">
        <v>1427</v>
      </c>
      <c r="CF336" s="557"/>
      <c r="CG336" s="557"/>
      <c r="CH336" s="557"/>
      <c r="CI336" s="557"/>
      <c r="CJ336" s="557"/>
    </row>
    <row r="337" spans="1:88" s="28" customFormat="1">
      <c r="A337" s="28" t="s">
        <v>64</v>
      </c>
      <c r="B337" s="556"/>
      <c r="C337" s="556"/>
      <c r="D337" s="556"/>
      <c r="E337" s="556"/>
      <c r="F337" s="556"/>
      <c r="G337" s="556"/>
      <c r="H337" s="556"/>
      <c r="I337" s="556"/>
      <c r="J337" s="556"/>
      <c r="K337" s="556"/>
      <c r="L337" s="556"/>
      <c r="M337" s="564">
        <v>352</v>
      </c>
      <c r="N337" s="564">
        <v>336</v>
      </c>
      <c r="O337" s="564">
        <v>326</v>
      </c>
      <c r="P337" s="564">
        <v>296</v>
      </c>
      <c r="Q337" s="564">
        <v>256</v>
      </c>
      <c r="R337" s="564">
        <v>255</v>
      </c>
      <c r="S337" s="556">
        <v>293</v>
      </c>
      <c r="T337" s="556"/>
      <c r="U337" s="556"/>
      <c r="V337" s="556"/>
      <c r="W337" s="556"/>
      <c r="X337" s="556"/>
      <c r="Y337" s="556"/>
      <c r="Z337" s="556"/>
      <c r="AA337" s="556"/>
      <c r="AB337" s="558"/>
      <c r="AC337" s="556"/>
      <c r="AD337" s="556"/>
      <c r="AE337" s="556"/>
      <c r="AF337" s="556"/>
      <c r="AG337" s="556"/>
      <c r="AH337" s="556"/>
      <c r="AI337" s="556"/>
      <c r="AJ337" s="556"/>
      <c r="AK337" s="556"/>
      <c r="AL337" s="556"/>
      <c r="AM337" s="556"/>
      <c r="AN337" s="556"/>
      <c r="AO337" s="556"/>
      <c r="AP337" s="556"/>
      <c r="AQ337" s="556"/>
      <c r="AR337" s="556"/>
      <c r="AS337" s="556"/>
      <c r="AT337" s="556"/>
      <c r="AU337" s="556"/>
      <c r="AV337" s="556"/>
      <c r="AW337" s="556"/>
      <c r="AX337" s="556"/>
      <c r="AY337" s="556"/>
      <c r="AZ337" s="556"/>
      <c r="BA337" s="556"/>
      <c r="BB337" s="556"/>
      <c r="BC337" s="556"/>
      <c r="BD337" s="556"/>
      <c r="BE337" s="556"/>
      <c r="BF337" s="556"/>
      <c r="BG337" s="556"/>
      <c r="BH337" s="556"/>
      <c r="BI337" s="557">
        <v>76</v>
      </c>
      <c r="BJ337" s="557">
        <v>56</v>
      </c>
      <c r="BK337" s="557">
        <v>90</v>
      </c>
      <c r="BL337" s="556">
        <f>N337-SUM(BI337:BK337)</f>
        <v>114</v>
      </c>
      <c r="BM337" s="557">
        <v>73</v>
      </c>
      <c r="BN337" s="557">
        <v>58</v>
      </c>
      <c r="BO337" s="557">
        <v>83</v>
      </c>
      <c r="BP337" s="556">
        <f>+O337-SUM(BM337:BO337)</f>
        <v>112</v>
      </c>
      <c r="BQ337" s="557">
        <v>63</v>
      </c>
      <c r="BR337" s="557">
        <v>50</v>
      </c>
      <c r="BS337" s="557">
        <v>75</v>
      </c>
      <c r="BT337" s="558">
        <f>P337-SUM(BQ337:BS337)</f>
        <v>108</v>
      </c>
      <c r="BU337" s="557">
        <v>56</v>
      </c>
      <c r="BV337" s="557">
        <v>41</v>
      </c>
      <c r="BW337" s="557">
        <v>64</v>
      </c>
      <c r="BX337" s="558">
        <f>+Q337-SUM(BU337:BW337)</f>
        <v>95</v>
      </c>
      <c r="BY337" s="557">
        <v>45</v>
      </c>
      <c r="BZ337" s="557">
        <v>43</v>
      </c>
      <c r="CA337" s="557">
        <v>65</v>
      </c>
      <c r="CB337" s="557">
        <f>+R337-SUM(BY337:CA337)</f>
        <v>102</v>
      </c>
      <c r="CC337" s="557">
        <v>70</v>
      </c>
      <c r="CD337" s="557">
        <v>50</v>
      </c>
      <c r="CE337" s="557">
        <v>74</v>
      </c>
      <c r="CF337" s="557"/>
      <c r="CG337" s="557"/>
      <c r="CH337" s="557"/>
      <c r="CI337" s="557"/>
      <c r="CJ337" s="557"/>
    </row>
    <row r="338" spans="1:88" s="28" customFormat="1">
      <c r="A338" s="28" t="s">
        <v>65</v>
      </c>
      <c r="B338" s="556"/>
      <c r="C338" s="556"/>
      <c r="D338" s="556"/>
      <c r="E338" s="556"/>
      <c r="F338" s="556"/>
      <c r="G338" s="556"/>
      <c r="H338" s="556"/>
      <c r="I338" s="556"/>
      <c r="J338" s="556"/>
      <c r="K338" s="556"/>
      <c r="L338" s="556"/>
      <c r="M338" s="564">
        <v>1351</v>
      </c>
      <c r="N338" s="564">
        <v>1280</v>
      </c>
      <c r="O338" s="564">
        <v>1185</v>
      </c>
      <c r="P338" s="564">
        <v>1154</v>
      </c>
      <c r="Q338" s="564">
        <v>1149</v>
      </c>
      <c r="R338" s="564">
        <v>1140</v>
      </c>
      <c r="S338" s="556">
        <v>1025</v>
      </c>
      <c r="T338" s="556"/>
      <c r="U338" s="556"/>
      <c r="V338" s="556"/>
      <c r="W338" s="556"/>
      <c r="X338" s="556"/>
      <c r="Y338" s="556"/>
      <c r="Z338" s="556"/>
      <c r="AA338" s="556"/>
      <c r="AB338" s="558"/>
      <c r="AC338" s="556"/>
      <c r="AD338" s="556"/>
      <c r="AE338" s="556"/>
      <c r="AF338" s="556"/>
      <c r="AG338" s="556"/>
      <c r="AH338" s="556"/>
      <c r="AI338" s="556"/>
      <c r="AJ338" s="556"/>
      <c r="AK338" s="556"/>
      <c r="AL338" s="556"/>
      <c r="AM338" s="556"/>
      <c r="AN338" s="556"/>
      <c r="AO338" s="556"/>
      <c r="AP338" s="556"/>
      <c r="AQ338" s="556"/>
      <c r="AR338" s="556"/>
      <c r="AS338" s="556"/>
      <c r="AT338" s="556"/>
      <c r="AU338" s="556"/>
      <c r="AV338" s="556"/>
      <c r="AW338" s="556"/>
      <c r="AX338" s="556"/>
      <c r="AY338" s="556"/>
      <c r="AZ338" s="556"/>
      <c r="BA338" s="556"/>
      <c r="BB338" s="556"/>
      <c r="BC338" s="556"/>
      <c r="BD338" s="556"/>
      <c r="BE338" s="556"/>
      <c r="BF338" s="556"/>
      <c r="BG338" s="556"/>
      <c r="BH338" s="556"/>
      <c r="BI338" s="557">
        <v>305</v>
      </c>
      <c r="BJ338" s="557">
        <v>312</v>
      </c>
      <c r="BK338" s="557">
        <v>334</v>
      </c>
      <c r="BL338" s="556">
        <f>N338-SUM(BI338:BK338)</f>
        <v>329</v>
      </c>
      <c r="BM338" s="557">
        <v>278</v>
      </c>
      <c r="BN338" s="557">
        <v>278</v>
      </c>
      <c r="BO338" s="557">
        <v>312</v>
      </c>
      <c r="BP338" s="556">
        <f>+O338-SUM(BM338:BO338)</f>
        <v>317</v>
      </c>
      <c r="BQ338" s="557">
        <v>263</v>
      </c>
      <c r="BR338" s="557">
        <v>275</v>
      </c>
      <c r="BS338" s="557">
        <v>304</v>
      </c>
      <c r="BT338" s="558">
        <f>P338-SUM(BQ338:BS338)</f>
        <v>312</v>
      </c>
      <c r="BU338" s="557">
        <v>268</v>
      </c>
      <c r="BV338" s="557">
        <v>272</v>
      </c>
      <c r="BW338" s="557">
        <v>289</v>
      </c>
      <c r="BX338" s="558">
        <f>+Q338-SUM(BU338:BW338)</f>
        <v>320</v>
      </c>
      <c r="BY338" s="557">
        <v>269</v>
      </c>
      <c r="BZ338" s="557">
        <v>279</v>
      </c>
      <c r="CA338" s="557">
        <v>285</v>
      </c>
      <c r="CB338" s="557">
        <f>+R338-SUM(BY338:CA338)</f>
        <v>307</v>
      </c>
      <c r="CC338" s="557">
        <v>245</v>
      </c>
      <c r="CD338" s="557">
        <v>222</v>
      </c>
      <c r="CE338" s="557">
        <v>274</v>
      </c>
      <c r="CF338" s="557"/>
      <c r="CG338" s="557"/>
      <c r="CH338" s="557"/>
      <c r="CI338" s="557"/>
      <c r="CJ338" s="557"/>
    </row>
    <row r="339" spans="1:88" s="28" customFormat="1">
      <c r="A339" s="28" t="s">
        <v>66</v>
      </c>
      <c r="B339" s="556"/>
      <c r="C339" s="556"/>
      <c r="D339" s="556"/>
      <c r="E339" s="556"/>
      <c r="F339" s="556"/>
      <c r="G339" s="556"/>
      <c r="H339" s="556"/>
      <c r="I339" s="556"/>
      <c r="J339" s="556"/>
      <c r="K339" s="556"/>
      <c r="L339" s="556"/>
      <c r="M339" s="564">
        <v>2</v>
      </c>
      <c r="N339" s="564">
        <v>1</v>
      </c>
      <c r="O339" s="564">
        <v>0</v>
      </c>
      <c r="P339" s="564">
        <v>0</v>
      </c>
      <c r="Q339" s="564">
        <v>0</v>
      </c>
      <c r="R339" s="564">
        <v>0</v>
      </c>
      <c r="S339" s="564">
        <v>0</v>
      </c>
      <c r="T339" s="556"/>
      <c r="U339" s="556"/>
      <c r="V339" s="556"/>
      <c r="W339" s="556"/>
      <c r="X339" s="556"/>
      <c r="Y339" s="556"/>
      <c r="Z339" s="556"/>
      <c r="AA339" s="556"/>
      <c r="AB339" s="558"/>
      <c r="AC339" s="556"/>
      <c r="AD339" s="556"/>
      <c r="AE339" s="556"/>
      <c r="AF339" s="556"/>
      <c r="AG339" s="556"/>
      <c r="AH339" s="556"/>
      <c r="AI339" s="556"/>
      <c r="AJ339" s="556"/>
      <c r="AK339" s="556"/>
      <c r="AL339" s="556"/>
      <c r="AM339" s="556"/>
      <c r="AN339" s="556"/>
      <c r="AO339" s="556"/>
      <c r="AP339" s="556"/>
      <c r="AQ339" s="556"/>
      <c r="AR339" s="556"/>
      <c r="AS339" s="556"/>
      <c r="AT339" s="556"/>
      <c r="AU339" s="556"/>
      <c r="AV339" s="556"/>
      <c r="AW339" s="556"/>
      <c r="AX339" s="556"/>
      <c r="AY339" s="556"/>
      <c r="AZ339" s="556"/>
      <c r="BA339" s="556"/>
      <c r="BB339" s="556"/>
      <c r="BC339" s="556"/>
      <c r="BD339" s="556"/>
      <c r="BE339" s="556"/>
      <c r="BF339" s="556"/>
      <c r="BG339" s="556"/>
      <c r="BH339" s="556"/>
      <c r="BI339" s="557">
        <v>0</v>
      </c>
      <c r="BJ339" s="557">
        <v>1</v>
      </c>
      <c r="BK339" s="557">
        <v>0</v>
      </c>
      <c r="BL339" s="556">
        <f>N339-SUM(BI339:BK339)</f>
        <v>0</v>
      </c>
      <c r="BM339" s="557">
        <v>0</v>
      </c>
      <c r="BN339" s="557">
        <v>0</v>
      </c>
      <c r="BO339" s="557">
        <v>0</v>
      </c>
      <c r="BP339" s="556">
        <f>+O339-SUM(BM339:BO339)</f>
        <v>0</v>
      </c>
      <c r="BQ339" s="557">
        <v>0</v>
      </c>
      <c r="BR339" s="557">
        <v>0</v>
      </c>
      <c r="BS339" s="557">
        <v>0</v>
      </c>
      <c r="BT339" s="558">
        <f>P339-SUM(BQ339:BS339)</f>
        <v>0</v>
      </c>
      <c r="BU339" s="557">
        <v>0</v>
      </c>
      <c r="BV339" s="557">
        <v>0</v>
      </c>
      <c r="BW339" s="557">
        <v>0</v>
      </c>
      <c r="BX339" s="558">
        <f>+Q339-SUM(BU339:BW339)</f>
        <v>0</v>
      </c>
      <c r="BY339" s="557">
        <v>0</v>
      </c>
      <c r="BZ339" s="557">
        <v>0</v>
      </c>
      <c r="CA339" s="557">
        <v>0</v>
      </c>
      <c r="CB339" s="557">
        <f>+R339-SUM(BY339:CA339)</f>
        <v>0</v>
      </c>
      <c r="CC339" s="557"/>
      <c r="CD339" s="557"/>
      <c r="CE339" s="557">
        <v>0</v>
      </c>
      <c r="CF339" s="557"/>
      <c r="CG339" s="557"/>
      <c r="CH339" s="557"/>
      <c r="CI339" s="557"/>
      <c r="CJ339" s="557"/>
    </row>
    <row r="340" spans="1:88" s="28" customFormat="1">
      <c r="A340" s="28" t="s">
        <v>67</v>
      </c>
      <c r="B340" s="556"/>
      <c r="C340" s="556"/>
      <c r="D340" s="556"/>
      <c r="E340" s="556"/>
      <c r="F340" s="556"/>
      <c r="G340" s="556"/>
      <c r="H340" s="556"/>
      <c r="I340" s="556"/>
      <c r="J340" s="556"/>
      <c r="K340" s="556"/>
      <c r="L340" s="556"/>
      <c r="M340" s="564">
        <v>97</v>
      </c>
      <c r="N340" s="564">
        <v>19</v>
      </c>
      <c r="O340" s="564">
        <v>0</v>
      </c>
      <c r="P340" s="564">
        <v>0</v>
      </c>
      <c r="Q340" s="564">
        <v>0</v>
      </c>
      <c r="R340" s="564">
        <v>0</v>
      </c>
      <c r="S340" s="564">
        <v>0</v>
      </c>
      <c r="T340" s="556"/>
      <c r="U340" s="556"/>
      <c r="V340" s="556"/>
      <c r="W340" s="556"/>
      <c r="X340" s="556"/>
      <c r="Y340" s="556"/>
      <c r="Z340" s="556"/>
      <c r="AA340" s="556"/>
      <c r="AB340" s="558"/>
      <c r="AC340" s="556"/>
      <c r="AD340" s="556"/>
      <c r="AE340" s="556"/>
      <c r="AF340" s="556"/>
      <c r="AG340" s="556"/>
      <c r="AH340" s="556"/>
      <c r="AI340" s="556"/>
      <c r="AJ340" s="556"/>
      <c r="AK340" s="556"/>
      <c r="AL340" s="556"/>
      <c r="AM340" s="556"/>
      <c r="AN340" s="556"/>
      <c r="AO340" s="556"/>
      <c r="AP340" s="556"/>
      <c r="AQ340" s="556"/>
      <c r="AR340" s="556"/>
      <c r="AS340" s="556"/>
      <c r="AT340" s="556"/>
      <c r="AU340" s="556"/>
      <c r="AV340" s="556"/>
      <c r="AW340" s="556"/>
      <c r="AX340" s="556"/>
      <c r="AY340" s="556"/>
      <c r="AZ340" s="556"/>
      <c r="BA340" s="556"/>
      <c r="BB340" s="556"/>
      <c r="BC340" s="556"/>
      <c r="BD340" s="556"/>
      <c r="BE340" s="556"/>
      <c r="BF340" s="556"/>
      <c r="BG340" s="556"/>
      <c r="BH340" s="556"/>
      <c r="BI340" s="557">
        <v>14</v>
      </c>
      <c r="BJ340" s="557">
        <v>18</v>
      </c>
      <c r="BK340" s="557">
        <v>18</v>
      </c>
      <c r="BL340" s="556">
        <f>N340-SUM(BI340:BK340)</f>
        <v>-31</v>
      </c>
      <c r="BM340" s="557">
        <v>14</v>
      </c>
      <c r="BN340" s="557">
        <v>19</v>
      </c>
      <c r="BO340" s="557">
        <v>21</v>
      </c>
      <c r="BP340" s="556">
        <f>+O340-SUM(BM340:BO340)</f>
        <v>-54</v>
      </c>
      <c r="BQ340" s="557">
        <v>14</v>
      </c>
      <c r="BR340" s="557">
        <v>14</v>
      </c>
      <c r="BS340" s="557">
        <v>14</v>
      </c>
      <c r="BT340" s="558">
        <f>P340-SUM(BQ340:BS340)</f>
        <v>-42</v>
      </c>
      <c r="BU340" s="557">
        <v>0</v>
      </c>
      <c r="BV340" s="557">
        <v>0</v>
      </c>
      <c r="BW340" s="557">
        <v>0</v>
      </c>
      <c r="BX340" s="558">
        <f>+Q340-SUM(BU340:BW340)</f>
        <v>0</v>
      </c>
      <c r="BY340" s="557">
        <v>0</v>
      </c>
      <c r="BZ340" s="557">
        <v>0</v>
      </c>
      <c r="CA340" s="557">
        <v>0</v>
      </c>
      <c r="CB340" s="557">
        <f>+R340-SUM(BY340:CA340)</f>
        <v>0</v>
      </c>
      <c r="CC340" s="557"/>
      <c r="CD340" s="557"/>
      <c r="CE340" s="557">
        <v>0</v>
      </c>
      <c r="CF340" s="557"/>
      <c r="CG340" s="557"/>
      <c r="CH340" s="557"/>
      <c r="CI340" s="557"/>
      <c r="CJ340" s="557"/>
    </row>
    <row r="341" spans="1:88" s="494" customFormat="1">
      <c r="A341" s="494" t="s">
        <v>189</v>
      </c>
      <c r="B341" s="567"/>
      <c r="C341" s="567"/>
      <c r="D341" s="567"/>
      <c r="E341" s="567"/>
      <c r="F341" s="567"/>
      <c r="G341" s="567"/>
      <c r="H341" s="567"/>
      <c r="I341" s="567"/>
      <c r="J341" s="567"/>
      <c r="K341" s="567"/>
      <c r="L341" s="567"/>
      <c r="M341" s="567"/>
      <c r="N341" s="567"/>
      <c r="O341" s="539">
        <f>+SUM(O336:O340)</f>
        <v>6991</v>
      </c>
      <c r="P341" s="539">
        <f>+SUM(P336:P340)</f>
        <v>6936</v>
      </c>
      <c r="Q341" s="539">
        <f>+SUM(Q336:Q340)</f>
        <v>6974</v>
      </c>
      <c r="R341" s="539">
        <f>+SUM(R336:R340)</f>
        <v>6960</v>
      </c>
      <c r="S341" s="539">
        <f>+SUM(S336:S340)</f>
        <v>6797</v>
      </c>
      <c r="T341" s="567"/>
      <c r="U341" s="567"/>
      <c r="V341" s="567"/>
      <c r="W341" s="567"/>
      <c r="X341" s="567"/>
      <c r="Y341" s="567"/>
      <c r="Z341" s="567"/>
      <c r="AA341" s="567"/>
      <c r="AB341" s="568"/>
      <c r="AC341" s="567"/>
      <c r="AD341" s="567"/>
      <c r="AE341" s="567"/>
      <c r="AF341" s="567"/>
      <c r="AG341" s="567"/>
      <c r="AH341" s="567"/>
      <c r="AI341" s="567"/>
      <c r="AJ341" s="567"/>
      <c r="AK341" s="567"/>
      <c r="AL341" s="567"/>
      <c r="AM341" s="567"/>
      <c r="AN341" s="567"/>
      <c r="AO341" s="567"/>
      <c r="AP341" s="567"/>
      <c r="AQ341" s="567"/>
      <c r="AR341" s="567"/>
      <c r="AS341" s="567"/>
      <c r="AT341" s="567"/>
      <c r="AU341" s="567"/>
      <c r="AV341" s="567"/>
      <c r="AW341" s="567"/>
      <c r="AX341" s="567"/>
      <c r="AY341" s="567"/>
      <c r="AZ341" s="567"/>
      <c r="BA341" s="567"/>
      <c r="BB341" s="567"/>
      <c r="BC341" s="567"/>
      <c r="BD341" s="567"/>
      <c r="BE341" s="567"/>
      <c r="BF341" s="567"/>
      <c r="BG341" s="567"/>
      <c r="BH341" s="567"/>
      <c r="BI341" s="567"/>
      <c r="BJ341" s="567"/>
      <c r="BK341" s="567"/>
      <c r="BL341" s="567"/>
      <c r="BM341" s="567"/>
      <c r="BN341" s="567"/>
      <c r="BO341" s="567"/>
      <c r="BP341" s="567"/>
      <c r="BQ341" s="567"/>
      <c r="BR341" s="567"/>
      <c r="BS341" s="567"/>
      <c r="BT341" s="568"/>
      <c r="BU341" s="539">
        <f t="shared" ref="BU341:CE341" si="346">+SUM(BU336:BU340)</f>
        <v>1682</v>
      </c>
      <c r="BV341" s="539">
        <f t="shared" si="346"/>
        <v>1713</v>
      </c>
      <c r="BW341" s="539">
        <f t="shared" si="346"/>
        <v>1756</v>
      </c>
      <c r="BX341" s="539">
        <f t="shared" si="346"/>
        <v>1823</v>
      </c>
      <c r="BY341" s="539">
        <f t="shared" si="346"/>
        <v>1675</v>
      </c>
      <c r="BZ341" s="539">
        <f t="shared" si="346"/>
        <v>1720</v>
      </c>
      <c r="CA341" s="539">
        <f t="shared" si="346"/>
        <v>1753</v>
      </c>
      <c r="CB341" s="539">
        <f t="shared" si="346"/>
        <v>1812</v>
      </c>
      <c r="CC341" s="539">
        <f t="shared" si="346"/>
        <v>1648</v>
      </c>
      <c r="CD341" s="539">
        <f t="shared" si="346"/>
        <v>1573</v>
      </c>
      <c r="CE341" s="539">
        <f t="shared" si="346"/>
        <v>1775</v>
      </c>
      <c r="CF341" s="567"/>
      <c r="CG341" s="567"/>
      <c r="CH341" s="567"/>
      <c r="CI341" s="567"/>
      <c r="CJ341" s="567"/>
    </row>
    <row r="342" spans="1:88" s="493" customFormat="1">
      <c r="A342" s="492" t="s">
        <v>68</v>
      </c>
      <c r="B342" s="561"/>
      <c r="C342" s="561"/>
      <c r="D342" s="561"/>
      <c r="E342" s="561"/>
      <c r="F342" s="561"/>
      <c r="G342" s="561"/>
      <c r="H342" s="561"/>
      <c r="I342" s="561"/>
      <c r="J342" s="561"/>
      <c r="K342" s="561"/>
      <c r="L342" s="561"/>
      <c r="M342" s="561"/>
      <c r="N342" s="561"/>
      <c r="O342" s="561"/>
      <c r="P342" s="561"/>
      <c r="Q342" s="561"/>
      <c r="R342" s="561"/>
      <c r="S342" s="561"/>
      <c r="T342" s="561"/>
      <c r="U342" s="561"/>
      <c r="V342" s="561"/>
      <c r="W342" s="561"/>
      <c r="X342" s="561"/>
      <c r="Y342" s="561"/>
      <c r="Z342" s="561"/>
      <c r="AA342" s="561"/>
      <c r="AB342" s="562"/>
      <c r="AC342" s="561"/>
      <c r="AD342" s="561"/>
      <c r="AE342" s="561"/>
      <c r="AF342" s="561"/>
      <c r="AG342" s="561"/>
      <c r="AH342" s="561"/>
      <c r="AI342" s="561"/>
      <c r="AJ342" s="561"/>
      <c r="AK342" s="561"/>
      <c r="AL342" s="561"/>
      <c r="AM342" s="561"/>
      <c r="AN342" s="561"/>
      <c r="AO342" s="561"/>
      <c r="AP342" s="561"/>
      <c r="AQ342" s="561"/>
      <c r="AR342" s="561"/>
      <c r="AS342" s="561"/>
      <c r="AT342" s="561"/>
      <c r="AU342" s="561"/>
      <c r="AV342" s="561"/>
      <c r="AW342" s="561"/>
      <c r="AX342" s="561"/>
      <c r="AY342" s="561"/>
      <c r="AZ342" s="561"/>
      <c r="BA342" s="561"/>
      <c r="BB342" s="561"/>
      <c r="BC342" s="561"/>
      <c r="BD342" s="561"/>
      <c r="BE342" s="561"/>
      <c r="BF342" s="561"/>
      <c r="BG342" s="561"/>
      <c r="BH342" s="561"/>
      <c r="BI342" s="561"/>
      <c r="BJ342" s="561"/>
      <c r="BK342" s="561"/>
      <c r="BL342" s="561"/>
      <c r="BM342" s="561"/>
      <c r="BN342" s="561"/>
      <c r="BO342" s="561"/>
      <c r="BP342" s="561"/>
      <c r="BQ342" s="561"/>
      <c r="BR342" s="561"/>
      <c r="BS342" s="561"/>
      <c r="BT342" s="561"/>
      <c r="BU342" s="561"/>
      <c r="BV342" s="561"/>
      <c r="BW342" s="561"/>
      <c r="BX342" s="561"/>
      <c r="BY342" s="561"/>
      <c r="BZ342" s="561"/>
      <c r="CA342" s="561"/>
      <c r="CB342" s="561"/>
      <c r="CC342" s="561"/>
      <c r="CD342" s="561"/>
      <c r="CE342" s="561"/>
      <c r="CF342" s="561"/>
      <c r="CG342" s="561"/>
      <c r="CH342" s="561"/>
      <c r="CI342" s="561"/>
      <c r="CJ342" s="561"/>
    </row>
    <row r="343" spans="1:88" s="493" customFormat="1">
      <c r="A343" s="493" t="s">
        <v>63</v>
      </c>
      <c r="B343" s="561"/>
      <c r="C343" s="561"/>
      <c r="D343" s="561"/>
      <c r="E343" s="561"/>
      <c r="F343" s="561"/>
      <c r="G343" s="561"/>
      <c r="H343" s="561"/>
      <c r="I343" s="561"/>
      <c r="J343" s="561"/>
      <c r="K343" s="561"/>
      <c r="L343" s="561"/>
      <c r="M343" s="561"/>
      <c r="N343" s="561">
        <f t="shared" ref="N343:S345" si="347">+N336/M336-1</f>
        <v>4.6909163188233016E-2</v>
      </c>
      <c r="O343" s="561">
        <f t="shared" si="347"/>
        <v>4.0440478450731066E-2</v>
      </c>
      <c r="P343" s="561">
        <f t="shared" si="347"/>
        <v>1.0948905109489093E-3</v>
      </c>
      <c r="Q343" s="561">
        <f t="shared" si="347"/>
        <v>1.5129420342690381E-2</v>
      </c>
      <c r="R343" s="561">
        <f t="shared" si="347"/>
        <v>-7.1826180642842186E-4</v>
      </c>
      <c r="S343" s="561">
        <f t="shared" si="347"/>
        <v>-1.5453728661275812E-2</v>
      </c>
      <c r="T343" s="561"/>
      <c r="U343" s="561"/>
      <c r="V343" s="561"/>
      <c r="W343" s="561"/>
      <c r="X343" s="561"/>
      <c r="Y343" s="561"/>
      <c r="Z343" s="561"/>
      <c r="AA343" s="561"/>
      <c r="AB343" s="562"/>
      <c r="AC343" s="561"/>
      <c r="AD343" s="561"/>
      <c r="AE343" s="561"/>
      <c r="AF343" s="561"/>
      <c r="AG343" s="561"/>
      <c r="AH343" s="561"/>
      <c r="AI343" s="561"/>
      <c r="AJ343" s="561"/>
      <c r="AK343" s="561"/>
      <c r="AL343" s="561"/>
      <c r="AM343" s="561"/>
      <c r="AN343" s="561"/>
      <c r="AO343" s="561"/>
      <c r="AP343" s="561"/>
      <c r="AQ343" s="561"/>
      <c r="AR343" s="561"/>
      <c r="AS343" s="561"/>
      <c r="AT343" s="561"/>
      <c r="AU343" s="561"/>
      <c r="AV343" s="561"/>
      <c r="AW343" s="561"/>
      <c r="AX343" s="561"/>
      <c r="AY343" s="561"/>
      <c r="AZ343" s="561"/>
      <c r="BA343" s="561"/>
      <c r="BB343" s="561"/>
      <c r="BC343" s="561"/>
      <c r="BD343" s="561"/>
      <c r="BE343" s="561"/>
      <c r="BF343" s="561"/>
      <c r="BG343" s="561"/>
      <c r="BH343" s="561"/>
      <c r="BI343" s="561"/>
      <c r="BJ343" s="561"/>
      <c r="BK343" s="561"/>
      <c r="BL343" s="561"/>
      <c r="BM343" s="561">
        <f t="shared" ref="BM343:CE345" si="348">+BM336/BI336-1</f>
        <v>4.3583535108958849E-2</v>
      </c>
      <c r="BN343" s="561">
        <f t="shared" si="348"/>
        <v>3.9291217257318989E-2</v>
      </c>
      <c r="BO343" s="561">
        <f t="shared" si="348"/>
        <v>3.2428355957767829E-2</v>
      </c>
      <c r="BP343" s="561">
        <f t="shared" si="348"/>
        <v>4.629629629629628E-2</v>
      </c>
      <c r="BQ343" s="561">
        <f t="shared" si="348"/>
        <v>2.6295436968290842E-2</v>
      </c>
      <c r="BR343" s="561">
        <f t="shared" si="348"/>
        <v>2.594514455151975E-2</v>
      </c>
      <c r="BS343" s="561">
        <f t="shared" si="348"/>
        <v>-1.4609203798392478E-3</v>
      </c>
      <c r="BT343" s="561">
        <f t="shared" si="348"/>
        <v>-4.1524846834581353E-2</v>
      </c>
      <c r="BU343" s="561">
        <f t="shared" si="348"/>
        <v>2.3360964581763399E-2</v>
      </c>
      <c r="BV343" s="561">
        <f t="shared" si="348"/>
        <v>1.1560693641618602E-2</v>
      </c>
      <c r="BW343" s="561">
        <f t="shared" si="348"/>
        <v>2.6335040234089169E-2</v>
      </c>
      <c r="BX343" s="561">
        <f t="shared" si="348"/>
        <v>0</v>
      </c>
      <c r="BY343" s="561">
        <f t="shared" si="348"/>
        <v>2.2091310751104487E-3</v>
      </c>
      <c r="BZ343" s="561">
        <f t="shared" si="348"/>
        <v>-1.4285714285714457E-3</v>
      </c>
      <c r="CA343" s="561">
        <f t="shared" si="348"/>
        <v>0</v>
      </c>
      <c r="CB343" s="561">
        <f t="shared" si="348"/>
        <v>-3.5511363636363535E-3</v>
      </c>
      <c r="CC343" s="561">
        <f t="shared" si="348"/>
        <v>-2.0573108008817065E-2</v>
      </c>
      <c r="CD343" s="561">
        <f t="shared" si="348"/>
        <v>-6.9384835479256113E-2</v>
      </c>
      <c r="CE343" s="561">
        <f t="shared" si="348"/>
        <v>1.7106200997861754E-2</v>
      </c>
      <c r="CF343" s="561"/>
      <c r="CG343" s="561"/>
      <c r="CH343" s="561"/>
      <c r="CI343" s="561"/>
      <c r="CJ343" s="561"/>
    </row>
    <row r="344" spans="1:88" s="493" customFormat="1">
      <c r="A344" s="493" t="s">
        <v>64</v>
      </c>
      <c r="B344" s="561"/>
      <c r="C344" s="561"/>
      <c r="D344" s="561"/>
      <c r="E344" s="561"/>
      <c r="F344" s="561"/>
      <c r="G344" s="561"/>
      <c r="H344" s="561"/>
      <c r="I344" s="561"/>
      <c r="J344" s="561"/>
      <c r="K344" s="561"/>
      <c r="L344" s="561"/>
      <c r="M344" s="561"/>
      <c r="N344" s="561">
        <f t="shared" si="347"/>
        <v>-4.5454545454545414E-2</v>
      </c>
      <c r="O344" s="561">
        <f t="shared" si="347"/>
        <v>-2.9761904761904767E-2</v>
      </c>
      <c r="P344" s="561">
        <f t="shared" si="347"/>
        <v>-9.2024539877300637E-2</v>
      </c>
      <c r="Q344" s="561">
        <f t="shared" si="347"/>
        <v>-0.13513513513513509</v>
      </c>
      <c r="R344" s="561">
        <f t="shared" si="347"/>
        <v>-3.90625E-3</v>
      </c>
      <c r="S344" s="561">
        <f t="shared" si="347"/>
        <v>0.14901960784313717</v>
      </c>
      <c r="T344" s="561"/>
      <c r="U344" s="561"/>
      <c r="V344" s="561"/>
      <c r="W344" s="561"/>
      <c r="X344" s="561"/>
      <c r="Y344" s="561"/>
      <c r="Z344" s="561"/>
      <c r="AA344" s="561"/>
      <c r="AB344" s="562"/>
      <c r="AC344" s="561"/>
      <c r="AD344" s="561"/>
      <c r="AE344" s="561"/>
      <c r="AF344" s="561"/>
      <c r="AG344" s="561"/>
      <c r="AH344" s="561"/>
      <c r="AI344" s="561"/>
      <c r="AJ344" s="561"/>
      <c r="AK344" s="561"/>
      <c r="AL344" s="561"/>
      <c r="AM344" s="561"/>
      <c r="AN344" s="561"/>
      <c r="AO344" s="561"/>
      <c r="AP344" s="561"/>
      <c r="AQ344" s="561"/>
      <c r="AR344" s="561"/>
      <c r="AS344" s="561"/>
      <c r="AT344" s="561"/>
      <c r="AU344" s="561"/>
      <c r="AV344" s="561"/>
      <c r="AW344" s="561"/>
      <c r="AX344" s="561"/>
      <c r="AY344" s="561"/>
      <c r="AZ344" s="561"/>
      <c r="BA344" s="561"/>
      <c r="BB344" s="561"/>
      <c r="BC344" s="561"/>
      <c r="BD344" s="561"/>
      <c r="BE344" s="561"/>
      <c r="BF344" s="561"/>
      <c r="BG344" s="561"/>
      <c r="BH344" s="561"/>
      <c r="BI344" s="561"/>
      <c r="BJ344" s="561"/>
      <c r="BK344" s="561"/>
      <c r="BL344" s="561"/>
      <c r="BM344" s="561">
        <f t="shared" si="348"/>
        <v>-3.9473684210526327E-2</v>
      </c>
      <c r="BN344" s="561">
        <f t="shared" si="348"/>
        <v>3.5714285714285809E-2</v>
      </c>
      <c r="BO344" s="561">
        <f t="shared" si="348"/>
        <v>-7.7777777777777724E-2</v>
      </c>
      <c r="BP344" s="561">
        <f t="shared" si="348"/>
        <v>-1.7543859649122862E-2</v>
      </c>
      <c r="BQ344" s="561">
        <f t="shared" si="348"/>
        <v>-0.13698630136986301</v>
      </c>
      <c r="BR344" s="561">
        <f t="shared" si="348"/>
        <v>-0.13793103448275867</v>
      </c>
      <c r="BS344" s="561">
        <f t="shared" si="348"/>
        <v>-9.6385542168674676E-2</v>
      </c>
      <c r="BT344" s="561">
        <f t="shared" si="348"/>
        <v>-3.5714285714285698E-2</v>
      </c>
      <c r="BU344" s="561">
        <f t="shared" si="348"/>
        <v>-0.11111111111111116</v>
      </c>
      <c r="BV344" s="561">
        <f t="shared" si="348"/>
        <v>-0.18000000000000005</v>
      </c>
      <c r="BW344" s="561">
        <f t="shared" si="348"/>
        <v>-0.14666666666666661</v>
      </c>
      <c r="BX344" s="561">
        <f t="shared" si="348"/>
        <v>-0.12037037037037035</v>
      </c>
      <c r="BY344" s="561">
        <f t="shared" si="348"/>
        <v>-0.1964285714285714</v>
      </c>
      <c r="BZ344" s="561">
        <f t="shared" si="348"/>
        <v>4.8780487804878092E-2</v>
      </c>
      <c r="CA344" s="561">
        <f t="shared" si="348"/>
        <v>1.5625E-2</v>
      </c>
      <c r="CB344" s="561">
        <f t="shared" si="348"/>
        <v>7.3684210526315796E-2</v>
      </c>
      <c r="CC344" s="561">
        <f t="shared" si="348"/>
        <v>0.55555555555555558</v>
      </c>
      <c r="CD344" s="561">
        <f t="shared" si="348"/>
        <v>0.16279069767441867</v>
      </c>
      <c r="CE344" s="561">
        <f t="shared" si="348"/>
        <v>0.13846153846153841</v>
      </c>
      <c r="CF344" s="561"/>
      <c r="CG344" s="561"/>
      <c r="CH344" s="561"/>
      <c r="CI344" s="561"/>
      <c r="CJ344" s="561"/>
    </row>
    <row r="345" spans="1:88" s="493" customFormat="1">
      <c r="A345" s="493" t="s">
        <v>65</v>
      </c>
      <c r="B345" s="561"/>
      <c r="C345" s="561"/>
      <c r="D345" s="561"/>
      <c r="E345" s="561"/>
      <c r="F345" s="561"/>
      <c r="G345" s="561"/>
      <c r="H345" s="561"/>
      <c r="I345" s="561"/>
      <c r="J345" s="561"/>
      <c r="K345" s="561"/>
      <c r="L345" s="561"/>
      <c r="M345" s="561"/>
      <c r="N345" s="561">
        <f t="shared" si="347"/>
        <v>-5.2553663952627727E-2</v>
      </c>
      <c r="O345" s="561">
        <f t="shared" si="347"/>
        <v>-7.421875E-2</v>
      </c>
      <c r="P345" s="561">
        <f t="shared" si="347"/>
        <v>-2.6160337552742607E-2</v>
      </c>
      <c r="Q345" s="561">
        <f t="shared" si="347"/>
        <v>-4.3327556325822858E-3</v>
      </c>
      <c r="R345" s="561">
        <f t="shared" si="347"/>
        <v>-7.8328981723237989E-3</v>
      </c>
      <c r="S345" s="561">
        <f t="shared" si="347"/>
        <v>-0.10087719298245612</v>
      </c>
      <c r="T345" s="561"/>
      <c r="U345" s="561"/>
      <c r="V345" s="561"/>
      <c r="W345" s="561"/>
      <c r="X345" s="561"/>
      <c r="Y345" s="561"/>
      <c r="Z345" s="561"/>
      <c r="AA345" s="561"/>
      <c r="AB345" s="562"/>
      <c r="AC345" s="561"/>
      <c r="AD345" s="561"/>
      <c r="AE345" s="561"/>
      <c r="AF345" s="561"/>
      <c r="AG345" s="561"/>
      <c r="AH345" s="561"/>
      <c r="AI345" s="561"/>
      <c r="AJ345" s="561"/>
      <c r="AK345" s="561"/>
      <c r="AL345" s="561"/>
      <c r="AM345" s="561"/>
      <c r="AN345" s="561"/>
      <c r="AO345" s="561"/>
      <c r="AP345" s="561"/>
      <c r="AQ345" s="561"/>
      <c r="AR345" s="561"/>
      <c r="AS345" s="561"/>
      <c r="AT345" s="561"/>
      <c r="AU345" s="561"/>
      <c r="AV345" s="561"/>
      <c r="AW345" s="561"/>
      <c r="AX345" s="561"/>
      <c r="AY345" s="561"/>
      <c r="AZ345" s="561"/>
      <c r="BA345" s="561"/>
      <c r="BB345" s="561"/>
      <c r="BC345" s="561"/>
      <c r="BD345" s="561"/>
      <c r="BE345" s="561"/>
      <c r="BF345" s="561"/>
      <c r="BG345" s="561"/>
      <c r="BH345" s="561"/>
      <c r="BI345" s="561"/>
      <c r="BJ345" s="561"/>
      <c r="BK345" s="561"/>
      <c r="BL345" s="561"/>
      <c r="BM345" s="561">
        <f t="shared" si="348"/>
        <v>-8.8524590163934436E-2</v>
      </c>
      <c r="BN345" s="561">
        <f t="shared" si="348"/>
        <v>-0.10897435897435892</v>
      </c>
      <c r="BO345" s="561">
        <f t="shared" si="348"/>
        <v>-6.5868263473053856E-2</v>
      </c>
      <c r="BP345" s="561">
        <f t="shared" si="348"/>
        <v>-3.6474164133738607E-2</v>
      </c>
      <c r="BQ345" s="561">
        <f t="shared" si="348"/>
        <v>-5.3956834532374098E-2</v>
      </c>
      <c r="BR345" s="561">
        <f t="shared" si="348"/>
        <v>-1.0791366906474864E-2</v>
      </c>
      <c r="BS345" s="561">
        <f t="shared" si="348"/>
        <v>-2.5641025641025661E-2</v>
      </c>
      <c r="BT345" s="561">
        <f t="shared" si="348"/>
        <v>-1.5772870662460581E-2</v>
      </c>
      <c r="BU345" s="561">
        <f t="shared" si="348"/>
        <v>1.9011406844106515E-2</v>
      </c>
      <c r="BV345" s="561">
        <f t="shared" si="348"/>
        <v>-1.0909090909090868E-2</v>
      </c>
      <c r="BW345" s="561">
        <f t="shared" si="348"/>
        <v>-4.9342105263157854E-2</v>
      </c>
      <c r="BX345" s="561">
        <f t="shared" si="348"/>
        <v>2.564102564102555E-2</v>
      </c>
      <c r="BY345" s="561">
        <f t="shared" si="348"/>
        <v>3.7313432835821558E-3</v>
      </c>
      <c r="BZ345" s="561">
        <f t="shared" si="348"/>
        <v>2.5735294117646967E-2</v>
      </c>
      <c r="CA345" s="561">
        <f t="shared" si="348"/>
        <v>-1.384083044982698E-2</v>
      </c>
      <c r="CB345" s="561">
        <f t="shared" si="348"/>
        <v>-4.0625000000000022E-2</v>
      </c>
      <c r="CC345" s="561">
        <f t="shared" si="348"/>
        <v>-8.9219330855018542E-2</v>
      </c>
      <c r="CD345" s="561">
        <f t="shared" si="348"/>
        <v>-0.20430107526881724</v>
      </c>
      <c r="CE345" s="561">
        <f t="shared" si="348"/>
        <v>-3.8596491228070184E-2</v>
      </c>
      <c r="CF345" s="561"/>
      <c r="CG345" s="561"/>
      <c r="CH345" s="561"/>
      <c r="CI345" s="561"/>
      <c r="CJ345" s="561"/>
    </row>
    <row r="346" spans="1:88" s="493" customFormat="1">
      <c r="A346" s="493" t="s">
        <v>66</v>
      </c>
      <c r="B346" s="561"/>
      <c r="C346" s="561"/>
      <c r="D346" s="561"/>
      <c r="E346" s="561"/>
      <c r="F346" s="561"/>
      <c r="G346" s="561"/>
      <c r="H346" s="561"/>
      <c r="I346" s="561"/>
      <c r="J346" s="561"/>
      <c r="K346" s="561"/>
      <c r="L346" s="561"/>
      <c r="M346" s="561"/>
      <c r="N346" s="561">
        <f>+N339/M339-1</f>
        <v>-0.5</v>
      </c>
      <c r="O346" s="561">
        <f>+O339/N339-1</f>
        <v>-1</v>
      </c>
      <c r="P346" s="561"/>
      <c r="Q346" s="561"/>
      <c r="R346" s="561"/>
      <c r="S346" s="561"/>
      <c r="T346" s="561"/>
      <c r="U346" s="561"/>
      <c r="V346" s="561"/>
      <c r="W346" s="561"/>
      <c r="X346" s="561"/>
      <c r="Y346" s="561"/>
      <c r="Z346" s="561"/>
      <c r="AA346" s="561"/>
      <c r="AB346" s="562"/>
      <c r="AC346" s="561"/>
      <c r="AD346" s="561"/>
      <c r="AE346" s="561"/>
      <c r="AF346" s="561"/>
      <c r="AG346" s="561"/>
      <c r="AH346" s="561"/>
      <c r="AI346" s="561"/>
      <c r="AJ346" s="561"/>
      <c r="AK346" s="561"/>
      <c r="AL346" s="561"/>
      <c r="AM346" s="561"/>
      <c r="AN346" s="561"/>
      <c r="AO346" s="561"/>
      <c r="AP346" s="561"/>
      <c r="AQ346" s="561"/>
      <c r="AR346" s="561"/>
      <c r="AS346" s="561"/>
      <c r="AT346" s="561"/>
      <c r="AU346" s="561"/>
      <c r="AV346" s="561"/>
      <c r="AW346" s="561"/>
      <c r="AX346" s="561"/>
      <c r="AY346" s="561"/>
      <c r="AZ346" s="561"/>
      <c r="BA346" s="561"/>
      <c r="BB346" s="561"/>
      <c r="BC346" s="561"/>
      <c r="BD346" s="561"/>
      <c r="BE346" s="561"/>
      <c r="BF346" s="561"/>
      <c r="BG346" s="561"/>
      <c r="BH346" s="561"/>
      <c r="BI346" s="561"/>
      <c r="BJ346" s="561"/>
      <c r="BK346" s="561"/>
      <c r="BL346" s="561"/>
      <c r="BM346" s="561" t="e">
        <f>+BM339/BI339-1</f>
        <v>#DIV/0!</v>
      </c>
      <c r="BN346" s="561">
        <f>+BN339/BJ339-1</f>
        <v>-1</v>
      </c>
      <c r="BO346" s="561" t="e">
        <f>+BO339/BK339-1</f>
        <v>#DIV/0!</v>
      </c>
      <c r="BP346" s="561" t="e">
        <f>+BP339/BL339-1</f>
        <v>#DIV/0!</v>
      </c>
      <c r="BQ346" s="561"/>
      <c r="BR346" s="561"/>
      <c r="BS346" s="561"/>
      <c r="BT346" s="561"/>
      <c r="BU346" s="561"/>
      <c r="BV346" s="561"/>
      <c r="BW346" s="561"/>
      <c r="BX346" s="561"/>
      <c r="BY346" s="561"/>
      <c r="BZ346" s="561"/>
      <c r="CA346" s="561"/>
      <c r="CB346" s="561"/>
      <c r="CC346" s="561"/>
      <c r="CD346" s="561"/>
      <c r="CE346" s="561"/>
      <c r="CF346" s="561"/>
      <c r="CG346" s="561"/>
      <c r="CH346" s="561"/>
      <c r="CI346" s="561"/>
      <c r="CJ346" s="561"/>
    </row>
    <row r="347" spans="1:88" s="493" customFormat="1">
      <c r="A347" s="493" t="s">
        <v>67</v>
      </c>
      <c r="B347" s="561"/>
      <c r="C347" s="561"/>
      <c r="D347" s="561"/>
      <c r="E347" s="561"/>
      <c r="F347" s="561"/>
      <c r="G347" s="561"/>
      <c r="H347" s="561"/>
      <c r="I347" s="561"/>
      <c r="J347" s="561"/>
      <c r="K347" s="561"/>
      <c r="L347" s="561"/>
      <c r="M347" s="561"/>
      <c r="N347" s="561">
        <f>+N340/M340-1</f>
        <v>-0.80412371134020622</v>
      </c>
      <c r="O347" s="561">
        <f>+O340/N340-1</f>
        <v>-1</v>
      </c>
      <c r="P347" s="561"/>
      <c r="Q347" s="561"/>
      <c r="R347" s="561"/>
      <c r="S347" s="561"/>
      <c r="T347" s="561"/>
      <c r="U347" s="561"/>
      <c r="V347" s="561"/>
      <c r="W347" s="561"/>
      <c r="X347" s="561"/>
      <c r="Y347" s="561"/>
      <c r="Z347" s="561"/>
      <c r="AA347" s="561"/>
      <c r="AB347" s="562"/>
      <c r="AC347" s="561"/>
      <c r="AD347" s="561"/>
      <c r="AE347" s="561"/>
      <c r="AF347" s="561"/>
      <c r="AG347" s="561"/>
      <c r="AH347" s="561"/>
      <c r="AI347" s="561"/>
      <c r="AJ347" s="561"/>
      <c r="AK347" s="561"/>
      <c r="AL347" s="561"/>
      <c r="AM347" s="561"/>
      <c r="AN347" s="561"/>
      <c r="AO347" s="561"/>
      <c r="AP347" s="561"/>
      <c r="AQ347" s="561"/>
      <c r="AR347" s="561"/>
      <c r="AS347" s="561"/>
      <c r="AT347" s="561"/>
      <c r="AU347" s="561"/>
      <c r="AV347" s="561"/>
      <c r="AW347" s="561"/>
      <c r="AX347" s="561"/>
      <c r="AY347" s="561"/>
      <c r="AZ347" s="561"/>
      <c r="BA347" s="561"/>
      <c r="BB347" s="561"/>
      <c r="BC347" s="561"/>
      <c r="BD347" s="561"/>
      <c r="BE347" s="561"/>
      <c r="BF347" s="561"/>
      <c r="BG347" s="561"/>
      <c r="BH347" s="561"/>
      <c r="BI347" s="561"/>
      <c r="BJ347" s="561"/>
      <c r="BK347" s="561"/>
      <c r="BL347" s="561"/>
      <c r="BM347" s="561">
        <f t="shared" ref="BM347:BT347" si="349">+BM340/BI340-1</f>
        <v>0</v>
      </c>
      <c r="BN347" s="561">
        <f t="shared" si="349"/>
        <v>5.555555555555558E-2</v>
      </c>
      <c r="BO347" s="561">
        <f t="shared" si="349"/>
        <v>0.16666666666666674</v>
      </c>
      <c r="BP347" s="561">
        <f t="shared" si="349"/>
        <v>0.74193548387096775</v>
      </c>
      <c r="BQ347" s="561">
        <f t="shared" si="349"/>
        <v>0</v>
      </c>
      <c r="BR347" s="561">
        <f t="shared" si="349"/>
        <v>-0.26315789473684215</v>
      </c>
      <c r="BS347" s="561">
        <f t="shared" si="349"/>
        <v>-0.33333333333333337</v>
      </c>
      <c r="BT347" s="561">
        <f t="shared" si="349"/>
        <v>-0.22222222222222221</v>
      </c>
      <c r="BU347" s="561"/>
      <c r="BV347" s="561"/>
      <c r="BW347" s="561"/>
      <c r="BX347" s="561"/>
      <c r="BY347" s="561"/>
      <c r="BZ347" s="561"/>
      <c r="CA347" s="561"/>
      <c r="CB347" s="561"/>
      <c r="CC347" s="561"/>
      <c r="CD347" s="561"/>
      <c r="CE347" s="561"/>
      <c r="CF347" s="561"/>
      <c r="CG347" s="561"/>
      <c r="CH347" s="561"/>
      <c r="CI347" s="561"/>
      <c r="CJ347" s="561"/>
    </row>
    <row r="348" spans="1:88" s="493" customFormat="1">
      <c r="A348" s="492" t="s">
        <v>69</v>
      </c>
      <c r="B348" s="561"/>
      <c r="C348" s="561"/>
      <c r="D348" s="561"/>
      <c r="E348" s="561"/>
      <c r="F348" s="561"/>
      <c r="G348" s="561"/>
      <c r="H348" s="561"/>
      <c r="I348" s="561"/>
      <c r="J348" s="561"/>
      <c r="K348" s="561"/>
      <c r="L348" s="561"/>
      <c r="M348" s="561"/>
      <c r="N348" s="561"/>
      <c r="O348" s="561"/>
      <c r="P348" s="561"/>
      <c r="Q348" s="561"/>
      <c r="R348" s="561"/>
      <c r="S348" s="561"/>
      <c r="T348" s="561"/>
      <c r="U348" s="561"/>
      <c r="V348" s="561"/>
      <c r="W348" s="561"/>
      <c r="X348" s="561"/>
      <c r="Y348" s="561"/>
      <c r="Z348" s="561"/>
      <c r="AA348" s="561"/>
      <c r="AB348" s="562"/>
      <c r="AC348" s="561"/>
      <c r="AD348" s="561"/>
      <c r="AE348" s="561"/>
      <c r="AF348" s="561"/>
      <c r="AG348" s="561"/>
      <c r="AH348" s="561"/>
      <c r="AI348" s="561"/>
      <c r="AJ348" s="561"/>
      <c r="AK348" s="561"/>
      <c r="AL348" s="561"/>
      <c r="AM348" s="561"/>
      <c r="AN348" s="561"/>
      <c r="AO348" s="561"/>
      <c r="AP348" s="561"/>
      <c r="AQ348" s="561"/>
      <c r="AR348" s="561"/>
      <c r="AS348" s="561"/>
      <c r="AT348" s="561"/>
      <c r="AU348" s="561"/>
      <c r="AV348" s="561"/>
      <c r="AW348" s="561"/>
      <c r="AX348" s="561"/>
      <c r="AY348" s="561"/>
      <c r="AZ348" s="561"/>
      <c r="BA348" s="561"/>
      <c r="BB348" s="561"/>
      <c r="BC348" s="561"/>
      <c r="BD348" s="561"/>
      <c r="BE348" s="561"/>
      <c r="BF348" s="561"/>
      <c r="BG348" s="561"/>
      <c r="BH348" s="561"/>
      <c r="BI348" s="561"/>
      <c r="BJ348" s="561"/>
      <c r="BK348" s="561"/>
      <c r="BL348" s="561"/>
      <c r="BM348" s="561"/>
      <c r="BN348" s="561"/>
      <c r="BO348" s="561"/>
      <c r="BP348" s="561"/>
      <c r="BQ348" s="561"/>
      <c r="BR348" s="561"/>
      <c r="BS348" s="561"/>
      <c r="BT348" s="561"/>
      <c r="BU348" s="561"/>
      <c r="BV348" s="561"/>
      <c r="BW348" s="561"/>
      <c r="BX348" s="561"/>
      <c r="BY348" s="561"/>
      <c r="BZ348" s="561"/>
      <c r="CA348" s="561"/>
      <c r="CB348" s="561"/>
      <c r="CC348" s="561"/>
      <c r="CD348" s="561"/>
      <c r="CE348" s="561"/>
      <c r="CF348" s="561"/>
      <c r="CG348" s="561"/>
      <c r="CH348" s="561"/>
      <c r="CI348" s="561"/>
      <c r="CJ348" s="561"/>
    </row>
    <row r="349" spans="1:88" s="493" customFormat="1">
      <c r="A349" s="493" t="s">
        <v>63</v>
      </c>
      <c r="B349" s="561"/>
      <c r="C349" s="561"/>
      <c r="D349" s="561"/>
      <c r="E349" s="561"/>
      <c r="F349" s="561"/>
      <c r="G349" s="561"/>
      <c r="H349" s="561"/>
      <c r="I349" s="561"/>
      <c r="J349" s="561"/>
      <c r="K349" s="561"/>
      <c r="L349" s="561"/>
      <c r="M349" s="563">
        <f t="shared" ref="M349:R353" si="350">M336/SUM(M$336:M$340)</f>
        <v>0.73627981852773305</v>
      </c>
      <c r="N349" s="563">
        <f t="shared" si="350"/>
        <v>0.76300159351006813</v>
      </c>
      <c r="O349" s="563">
        <f t="shared" si="350"/>
        <v>0.78386496924617366</v>
      </c>
      <c r="P349" s="563">
        <f t="shared" si="350"/>
        <v>0.79094579008073818</v>
      </c>
      <c r="Q349" s="563">
        <f t="shared" si="350"/>
        <v>0.79853742472039002</v>
      </c>
      <c r="R349" s="563">
        <f t="shared" si="350"/>
        <v>0.79956896551724133</v>
      </c>
      <c r="S349" s="563">
        <f>S336/SUM(S$336:S$340)</f>
        <v>0.80609092246579372</v>
      </c>
      <c r="T349" s="561"/>
      <c r="U349" s="561"/>
      <c r="V349" s="561"/>
      <c r="W349" s="561"/>
      <c r="X349" s="561"/>
      <c r="Y349" s="561"/>
      <c r="Z349" s="561"/>
      <c r="AA349" s="561"/>
      <c r="AB349" s="562"/>
      <c r="AC349" s="561"/>
      <c r="AD349" s="561"/>
      <c r="AE349" s="561"/>
      <c r="AF349" s="561"/>
      <c r="AG349" s="561"/>
      <c r="AH349" s="561"/>
      <c r="AI349" s="561"/>
      <c r="AJ349" s="561"/>
      <c r="AK349" s="561"/>
      <c r="AL349" s="561"/>
      <c r="AM349" s="561"/>
      <c r="AN349" s="561"/>
      <c r="AO349" s="561"/>
      <c r="AP349" s="561"/>
      <c r="AQ349" s="561"/>
      <c r="AR349" s="561"/>
      <c r="AS349" s="561"/>
      <c r="AT349" s="561"/>
      <c r="AU349" s="561"/>
      <c r="AV349" s="561"/>
      <c r="AW349" s="561"/>
      <c r="AX349" s="561"/>
      <c r="AY349" s="561"/>
      <c r="AZ349" s="561"/>
      <c r="BA349" s="561"/>
      <c r="BB349" s="561"/>
      <c r="BC349" s="561"/>
      <c r="BD349" s="561"/>
      <c r="BE349" s="561"/>
      <c r="BF349" s="561"/>
      <c r="BG349" s="561"/>
      <c r="BH349" s="561"/>
      <c r="BI349" s="563">
        <f t="shared" ref="BI349:BY349" si="351">BI336/SUM(BI$336:BI$340)</f>
        <v>0.75826193390452878</v>
      </c>
      <c r="BJ349" s="563">
        <f t="shared" si="351"/>
        <v>0.77032640949554898</v>
      </c>
      <c r="BK349" s="563">
        <f t="shared" si="351"/>
        <v>0.75</v>
      </c>
      <c r="BL349" s="563">
        <f t="shared" si="351"/>
        <v>0.77312775330396477</v>
      </c>
      <c r="BM349" s="563">
        <f t="shared" si="351"/>
        <v>0.77985524728588662</v>
      </c>
      <c r="BN349" s="563">
        <f t="shared" si="351"/>
        <v>0.79166666666666663</v>
      </c>
      <c r="BO349" s="563">
        <f t="shared" si="351"/>
        <v>0.76694677871148464</v>
      </c>
      <c r="BP349" s="563">
        <f t="shared" si="351"/>
        <v>0.79663774403470711</v>
      </c>
      <c r="BQ349" s="563">
        <f t="shared" si="351"/>
        <v>0.79604079184163168</v>
      </c>
      <c r="BR349" s="563">
        <f t="shared" si="351"/>
        <v>0.8032501450957632</v>
      </c>
      <c r="BS349" s="563">
        <f t="shared" si="351"/>
        <v>0.77670454545454548</v>
      </c>
      <c r="BT349" s="563">
        <f t="shared" si="351"/>
        <v>0.78835386338185887</v>
      </c>
      <c r="BU349" s="563">
        <f t="shared" si="351"/>
        <v>0.80737217598097499</v>
      </c>
      <c r="BV349" s="563">
        <f t="shared" si="351"/>
        <v>0.81727962638645646</v>
      </c>
      <c r="BW349" s="563">
        <f t="shared" si="351"/>
        <v>0.79897494305239181</v>
      </c>
      <c r="BX349" s="563">
        <f t="shared" si="351"/>
        <v>0.77235326385079539</v>
      </c>
      <c r="BY349" s="563">
        <f t="shared" si="351"/>
        <v>0.81253731343283586</v>
      </c>
      <c r="BZ349" s="563">
        <f t="shared" ref="BZ349:CB353" si="352">BZ336/SUM(BZ$336:BZ$340)</f>
        <v>0.81279069767441858</v>
      </c>
      <c r="CA349" s="563">
        <f t="shared" si="352"/>
        <v>0.80034227039361094</v>
      </c>
      <c r="CB349" s="563">
        <f t="shared" si="352"/>
        <v>0.77428256070640178</v>
      </c>
      <c r="CC349" s="563">
        <f t="shared" ref="CC349:CD353" si="353">CC336/SUM(CC$336:CC$340)</f>
        <v>0.80885922330097082</v>
      </c>
      <c r="CD349" s="563">
        <f t="shared" si="353"/>
        <v>0.82708200890019068</v>
      </c>
      <c r="CE349" s="563">
        <f>CE336/SUM(CE$336:CE$340)</f>
        <v>0.80394366197183098</v>
      </c>
      <c r="CF349" s="563"/>
      <c r="CG349" s="563"/>
      <c r="CH349" s="563"/>
      <c r="CI349" s="563"/>
      <c r="CJ349" s="563"/>
    </row>
    <row r="350" spans="1:88" s="493" customFormat="1">
      <c r="A350" s="493" t="s">
        <v>64</v>
      </c>
      <c r="B350" s="561"/>
      <c r="C350" s="561"/>
      <c r="D350" s="561"/>
      <c r="E350" s="561"/>
      <c r="F350" s="561"/>
      <c r="G350" s="561"/>
      <c r="H350" s="561"/>
      <c r="I350" s="561"/>
      <c r="J350" s="561"/>
      <c r="K350" s="561"/>
      <c r="L350" s="561"/>
      <c r="M350" s="563">
        <f t="shared" si="350"/>
        <v>5.1514708034538267E-2</v>
      </c>
      <c r="N350" s="563">
        <f t="shared" si="350"/>
        <v>4.8674489352455455E-2</v>
      </c>
      <c r="O350" s="563">
        <f t="shared" si="350"/>
        <v>4.6631383206980404E-2</v>
      </c>
      <c r="P350" s="563">
        <f t="shared" si="350"/>
        <v>4.2675893886966548E-2</v>
      </c>
      <c r="Q350" s="563">
        <f t="shared" si="350"/>
        <v>3.6707771723544592E-2</v>
      </c>
      <c r="R350" s="563">
        <f t="shared" si="350"/>
        <v>3.6637931034482756E-2</v>
      </c>
      <c r="S350" s="563">
        <f>S337/SUM(S$336:S$340)</f>
        <v>4.3107253199941152E-2</v>
      </c>
      <c r="T350" s="561"/>
      <c r="U350" s="561"/>
      <c r="V350" s="561"/>
      <c r="W350" s="561"/>
      <c r="X350" s="561"/>
      <c r="Y350" s="561"/>
      <c r="Z350" s="561"/>
      <c r="AA350" s="561"/>
      <c r="AB350" s="562"/>
      <c r="AC350" s="561"/>
      <c r="AD350" s="561"/>
      <c r="AE350" s="561"/>
      <c r="AF350" s="561"/>
      <c r="AG350" s="561"/>
      <c r="AH350" s="561"/>
      <c r="AI350" s="561"/>
      <c r="AJ350" s="561"/>
      <c r="AK350" s="561"/>
      <c r="AL350" s="561"/>
      <c r="AM350" s="561"/>
      <c r="AN350" s="561"/>
      <c r="AO350" s="561"/>
      <c r="AP350" s="561"/>
      <c r="AQ350" s="561"/>
      <c r="AR350" s="561"/>
      <c r="AS350" s="561"/>
      <c r="AT350" s="561"/>
      <c r="AU350" s="561"/>
      <c r="AV350" s="561"/>
      <c r="AW350" s="561"/>
      <c r="AX350" s="561"/>
      <c r="AY350" s="561"/>
      <c r="AZ350" s="561"/>
      <c r="BA350" s="561"/>
      <c r="BB350" s="561"/>
      <c r="BC350" s="561"/>
      <c r="BD350" s="561"/>
      <c r="BE350" s="561"/>
      <c r="BF350" s="561"/>
      <c r="BG350" s="561"/>
      <c r="BH350" s="561"/>
      <c r="BI350" s="563">
        <f t="shared" ref="BI350:BY350" si="354">BI337/SUM(BI$336:BI$340)</f>
        <v>4.6511627906976744E-2</v>
      </c>
      <c r="BJ350" s="563">
        <f t="shared" si="354"/>
        <v>3.323442136498516E-2</v>
      </c>
      <c r="BK350" s="563">
        <f t="shared" si="354"/>
        <v>5.090497737556561E-2</v>
      </c>
      <c r="BL350" s="563">
        <f t="shared" si="354"/>
        <v>6.2775330396475773E-2</v>
      </c>
      <c r="BM350" s="563">
        <f t="shared" si="354"/>
        <v>4.402895054282268E-2</v>
      </c>
      <c r="BN350" s="563">
        <f t="shared" si="354"/>
        <v>3.4037558685446008E-2</v>
      </c>
      <c r="BO350" s="563">
        <f t="shared" si="354"/>
        <v>4.6498599439775912E-2</v>
      </c>
      <c r="BP350" s="563">
        <f t="shared" si="354"/>
        <v>6.0737527114967459E-2</v>
      </c>
      <c r="BQ350" s="563">
        <f t="shared" si="354"/>
        <v>3.7792441511697659E-2</v>
      </c>
      <c r="BR350" s="563">
        <f t="shared" si="354"/>
        <v>2.9019152640742889E-2</v>
      </c>
      <c r="BS350" s="563">
        <f t="shared" si="354"/>
        <v>4.261363636363636E-2</v>
      </c>
      <c r="BT350" s="563">
        <f t="shared" si="354"/>
        <v>6.0470324748040316E-2</v>
      </c>
      <c r="BU350" s="563">
        <f t="shared" si="354"/>
        <v>3.3293697978596909E-2</v>
      </c>
      <c r="BV350" s="563">
        <f t="shared" si="354"/>
        <v>2.3934617629889084E-2</v>
      </c>
      <c r="BW350" s="563">
        <f t="shared" si="354"/>
        <v>3.644646924829157E-2</v>
      </c>
      <c r="BX350" s="563">
        <f t="shared" si="354"/>
        <v>5.2111903455842018E-2</v>
      </c>
      <c r="BY350" s="563">
        <f t="shared" si="354"/>
        <v>2.6865671641791045E-2</v>
      </c>
      <c r="BZ350" s="563">
        <f t="shared" si="352"/>
        <v>2.5000000000000001E-2</v>
      </c>
      <c r="CA350" s="563">
        <f t="shared" si="352"/>
        <v>3.7079292641186534E-2</v>
      </c>
      <c r="CB350" s="563">
        <f t="shared" si="352"/>
        <v>5.6291390728476824E-2</v>
      </c>
      <c r="CC350" s="563">
        <f t="shared" si="353"/>
        <v>4.2475728155339808E-2</v>
      </c>
      <c r="CD350" s="563">
        <f t="shared" si="353"/>
        <v>3.1786395422759059E-2</v>
      </c>
      <c r="CE350" s="563">
        <f>CE337/SUM(CE$336:CE$340)</f>
        <v>4.1690140845070424E-2</v>
      </c>
      <c r="CF350" s="563"/>
      <c r="CG350" s="563"/>
      <c r="CH350" s="563"/>
      <c r="CI350" s="563"/>
      <c r="CJ350" s="563"/>
    </row>
    <row r="351" spans="1:88" s="493" customFormat="1">
      <c r="A351" s="493" t="s">
        <v>65</v>
      </c>
      <c r="B351" s="561"/>
      <c r="C351" s="561"/>
      <c r="D351" s="561"/>
      <c r="E351" s="561"/>
      <c r="F351" s="561"/>
      <c r="G351" s="561"/>
      <c r="H351" s="561"/>
      <c r="I351" s="561"/>
      <c r="J351" s="561"/>
      <c r="K351" s="561"/>
      <c r="L351" s="561"/>
      <c r="M351" s="563">
        <f t="shared" si="350"/>
        <v>0.19771696180301479</v>
      </c>
      <c r="N351" s="563">
        <f t="shared" si="350"/>
        <v>0.18542662610459221</v>
      </c>
      <c r="O351" s="563">
        <f t="shared" si="350"/>
        <v>0.16950364754684594</v>
      </c>
      <c r="P351" s="563">
        <f t="shared" si="350"/>
        <v>0.16637831603229528</v>
      </c>
      <c r="Q351" s="563">
        <f t="shared" si="350"/>
        <v>0.16475480355606539</v>
      </c>
      <c r="R351" s="563">
        <f t="shared" si="350"/>
        <v>0.16379310344827586</v>
      </c>
      <c r="S351" s="563">
        <f>S338/SUM(S$336:S$340)</f>
        <v>0.15080182433426512</v>
      </c>
      <c r="T351" s="561"/>
      <c r="U351" s="561"/>
      <c r="V351" s="561"/>
      <c r="W351" s="561"/>
      <c r="X351" s="561"/>
      <c r="Y351" s="561"/>
      <c r="Z351" s="561"/>
      <c r="AA351" s="561"/>
      <c r="AB351" s="562"/>
      <c r="AC351" s="561"/>
      <c r="AD351" s="561"/>
      <c r="AE351" s="561"/>
      <c r="AF351" s="561"/>
      <c r="AG351" s="561"/>
      <c r="AH351" s="561"/>
      <c r="AI351" s="561"/>
      <c r="AJ351" s="561"/>
      <c r="AK351" s="561"/>
      <c r="AL351" s="561"/>
      <c r="AM351" s="561"/>
      <c r="AN351" s="561"/>
      <c r="AO351" s="561"/>
      <c r="AP351" s="561"/>
      <c r="AQ351" s="561"/>
      <c r="AR351" s="561"/>
      <c r="AS351" s="561"/>
      <c r="AT351" s="561"/>
      <c r="AU351" s="561"/>
      <c r="AV351" s="561"/>
      <c r="AW351" s="561"/>
      <c r="AX351" s="561"/>
      <c r="AY351" s="561"/>
      <c r="AZ351" s="561"/>
      <c r="BA351" s="561"/>
      <c r="BB351" s="561"/>
      <c r="BC351" s="561"/>
      <c r="BD351" s="561"/>
      <c r="BE351" s="561"/>
      <c r="BF351" s="561"/>
      <c r="BG351" s="561"/>
      <c r="BH351" s="561"/>
      <c r="BI351" s="563">
        <f t="shared" ref="BI351:BY351" si="355">BI338/SUM(BI$336:BI$340)</f>
        <v>0.18665850673194614</v>
      </c>
      <c r="BJ351" s="563">
        <f t="shared" si="355"/>
        <v>0.18516320474777448</v>
      </c>
      <c r="BK351" s="563">
        <f t="shared" si="355"/>
        <v>0.18891402714932126</v>
      </c>
      <c r="BL351" s="563">
        <f t="shared" si="355"/>
        <v>0.18116740088105726</v>
      </c>
      <c r="BM351" s="563">
        <f t="shared" si="355"/>
        <v>0.16767189384800965</v>
      </c>
      <c r="BN351" s="563">
        <f t="shared" si="355"/>
        <v>0.16314553990610328</v>
      </c>
      <c r="BO351" s="563">
        <f t="shared" si="355"/>
        <v>0.17478991596638654</v>
      </c>
      <c r="BP351" s="563">
        <f t="shared" si="355"/>
        <v>0.17190889370932755</v>
      </c>
      <c r="BQ351" s="563">
        <f t="shared" si="355"/>
        <v>0.15776844631073786</v>
      </c>
      <c r="BR351" s="563">
        <f t="shared" si="355"/>
        <v>0.1596053395240859</v>
      </c>
      <c r="BS351" s="563">
        <f t="shared" si="355"/>
        <v>0.17272727272727273</v>
      </c>
      <c r="BT351" s="563">
        <f t="shared" si="355"/>
        <v>0.17469204927211646</v>
      </c>
      <c r="BU351" s="563">
        <f t="shared" si="355"/>
        <v>0.15933412604042807</v>
      </c>
      <c r="BV351" s="563">
        <f t="shared" si="355"/>
        <v>0.15878575598365441</v>
      </c>
      <c r="BW351" s="563">
        <f t="shared" si="355"/>
        <v>0.16457858769931663</v>
      </c>
      <c r="BX351" s="563">
        <f t="shared" si="355"/>
        <v>0.17553483269336259</v>
      </c>
      <c r="BY351" s="563">
        <f t="shared" si="355"/>
        <v>0.16059701492537312</v>
      </c>
      <c r="BZ351" s="563">
        <f t="shared" si="352"/>
        <v>0.16220930232558139</v>
      </c>
      <c r="CA351" s="563">
        <f t="shared" si="352"/>
        <v>0.16257843696520252</v>
      </c>
      <c r="CB351" s="563">
        <f t="shared" si="352"/>
        <v>0.16942604856512142</v>
      </c>
      <c r="CC351" s="563">
        <f t="shared" si="353"/>
        <v>0.14866504854368931</v>
      </c>
      <c r="CD351" s="563">
        <f t="shared" si="353"/>
        <v>0.14113159567705022</v>
      </c>
      <c r="CE351" s="563">
        <f>CE338/SUM(CE$336:CE$340)</f>
        <v>0.1543661971830986</v>
      </c>
      <c r="CF351" s="563"/>
      <c r="CG351" s="563"/>
      <c r="CH351" s="563"/>
      <c r="CI351" s="563"/>
      <c r="CJ351" s="563"/>
    </row>
    <row r="352" spans="1:88" s="493" customFormat="1">
      <c r="A352" s="493" t="s">
        <v>66</v>
      </c>
      <c r="B352" s="561"/>
      <c r="C352" s="561"/>
      <c r="D352" s="561"/>
      <c r="E352" s="561"/>
      <c r="F352" s="561"/>
      <c r="G352" s="561"/>
      <c r="H352" s="561"/>
      <c r="I352" s="561"/>
      <c r="J352" s="561"/>
      <c r="K352" s="561"/>
      <c r="L352" s="561"/>
      <c r="M352" s="563">
        <f t="shared" si="350"/>
        <v>2.926972047416947E-4</v>
      </c>
      <c r="N352" s="563">
        <f t="shared" si="350"/>
        <v>1.4486455164421265E-4</v>
      </c>
      <c r="O352" s="563">
        <f t="shared" si="350"/>
        <v>0</v>
      </c>
      <c r="P352" s="563">
        <f t="shared" si="350"/>
        <v>0</v>
      </c>
      <c r="Q352" s="563">
        <f t="shared" si="350"/>
        <v>0</v>
      </c>
      <c r="R352" s="563">
        <f t="shared" si="350"/>
        <v>0</v>
      </c>
      <c r="S352" s="563">
        <f>S339/SUM(S$336:S$340)</f>
        <v>0</v>
      </c>
      <c r="T352" s="561"/>
      <c r="U352" s="561"/>
      <c r="V352" s="561"/>
      <c r="W352" s="561"/>
      <c r="X352" s="561"/>
      <c r="Y352" s="561"/>
      <c r="Z352" s="561"/>
      <c r="AA352" s="561"/>
      <c r="AB352" s="562"/>
      <c r="AC352" s="561"/>
      <c r="AD352" s="561"/>
      <c r="AE352" s="561"/>
      <c r="AF352" s="561"/>
      <c r="AG352" s="561"/>
      <c r="AH352" s="561"/>
      <c r="AI352" s="561"/>
      <c r="AJ352" s="561"/>
      <c r="AK352" s="561"/>
      <c r="AL352" s="561"/>
      <c r="AM352" s="561"/>
      <c r="AN352" s="561"/>
      <c r="AO352" s="561"/>
      <c r="AP352" s="561"/>
      <c r="AQ352" s="561"/>
      <c r="AR352" s="561"/>
      <c r="AS352" s="561"/>
      <c r="AT352" s="561"/>
      <c r="AU352" s="561"/>
      <c r="AV352" s="561"/>
      <c r="AW352" s="561"/>
      <c r="AX352" s="561"/>
      <c r="AY352" s="561"/>
      <c r="AZ352" s="561"/>
      <c r="BA352" s="561"/>
      <c r="BB352" s="561"/>
      <c r="BC352" s="561"/>
      <c r="BD352" s="561"/>
      <c r="BE352" s="561"/>
      <c r="BF352" s="561"/>
      <c r="BG352" s="561"/>
      <c r="BH352" s="561"/>
      <c r="BI352" s="563">
        <f t="shared" ref="BI352:BY352" si="356">BI339/SUM(BI$336:BI$340)</f>
        <v>0</v>
      </c>
      <c r="BJ352" s="563">
        <f t="shared" si="356"/>
        <v>5.9347181008902075E-4</v>
      </c>
      <c r="BK352" s="563">
        <f t="shared" si="356"/>
        <v>0</v>
      </c>
      <c r="BL352" s="563">
        <f t="shared" si="356"/>
        <v>0</v>
      </c>
      <c r="BM352" s="563">
        <f t="shared" si="356"/>
        <v>0</v>
      </c>
      <c r="BN352" s="563">
        <f t="shared" si="356"/>
        <v>0</v>
      </c>
      <c r="BO352" s="563">
        <f t="shared" si="356"/>
        <v>0</v>
      </c>
      <c r="BP352" s="563">
        <f t="shared" si="356"/>
        <v>0</v>
      </c>
      <c r="BQ352" s="563">
        <f t="shared" si="356"/>
        <v>0</v>
      </c>
      <c r="BR352" s="563">
        <f t="shared" si="356"/>
        <v>0</v>
      </c>
      <c r="BS352" s="563">
        <f t="shared" si="356"/>
        <v>0</v>
      </c>
      <c r="BT352" s="563">
        <f t="shared" si="356"/>
        <v>0</v>
      </c>
      <c r="BU352" s="563">
        <f t="shared" si="356"/>
        <v>0</v>
      </c>
      <c r="BV352" s="563">
        <f t="shared" si="356"/>
        <v>0</v>
      </c>
      <c r="BW352" s="563">
        <f t="shared" si="356"/>
        <v>0</v>
      </c>
      <c r="BX352" s="563">
        <f t="shared" si="356"/>
        <v>0</v>
      </c>
      <c r="BY352" s="563">
        <f t="shared" si="356"/>
        <v>0</v>
      </c>
      <c r="BZ352" s="563">
        <f t="shared" si="352"/>
        <v>0</v>
      </c>
      <c r="CA352" s="563">
        <f t="shared" si="352"/>
        <v>0</v>
      </c>
      <c r="CB352" s="563">
        <f t="shared" si="352"/>
        <v>0</v>
      </c>
      <c r="CC352" s="563">
        <f t="shared" si="353"/>
        <v>0</v>
      </c>
      <c r="CD352" s="563">
        <f t="shared" si="353"/>
        <v>0</v>
      </c>
      <c r="CE352" s="563">
        <f>CE339/SUM(CE$336:CE$340)</f>
        <v>0</v>
      </c>
      <c r="CF352" s="563"/>
      <c r="CG352" s="563"/>
      <c r="CH352" s="563"/>
      <c r="CI352" s="563"/>
      <c r="CJ352" s="563"/>
    </row>
    <row r="353" spans="1:88" s="493" customFormat="1">
      <c r="A353" s="493" t="s">
        <v>67</v>
      </c>
      <c r="B353" s="561"/>
      <c r="C353" s="561"/>
      <c r="D353" s="561"/>
      <c r="E353" s="561"/>
      <c r="F353" s="561"/>
      <c r="G353" s="561"/>
      <c r="H353" s="561"/>
      <c r="I353" s="561"/>
      <c r="J353" s="561"/>
      <c r="K353" s="561"/>
      <c r="L353" s="561"/>
      <c r="M353" s="563">
        <f t="shared" si="350"/>
        <v>1.4195814429972194E-2</v>
      </c>
      <c r="N353" s="563">
        <f t="shared" si="350"/>
        <v>2.7524264812400405E-3</v>
      </c>
      <c r="O353" s="563">
        <f t="shared" si="350"/>
        <v>0</v>
      </c>
      <c r="P353" s="563">
        <f t="shared" si="350"/>
        <v>0</v>
      </c>
      <c r="Q353" s="563">
        <f t="shared" si="350"/>
        <v>0</v>
      </c>
      <c r="R353" s="563">
        <f t="shared" si="350"/>
        <v>0</v>
      </c>
      <c r="S353" s="563">
        <f>S340/SUM(S$336:S$340)</f>
        <v>0</v>
      </c>
      <c r="T353" s="561"/>
      <c r="U353" s="561"/>
      <c r="V353" s="561"/>
      <c r="W353" s="561"/>
      <c r="X353" s="561"/>
      <c r="Y353" s="561"/>
      <c r="Z353" s="561"/>
      <c r="AA353" s="561"/>
      <c r="AB353" s="562"/>
      <c r="AC353" s="561"/>
      <c r="AD353" s="561"/>
      <c r="AE353" s="561"/>
      <c r="AF353" s="561"/>
      <c r="AG353" s="561"/>
      <c r="AH353" s="561"/>
      <c r="AI353" s="561"/>
      <c r="AJ353" s="561"/>
      <c r="AK353" s="561"/>
      <c r="AL353" s="561"/>
      <c r="AM353" s="561"/>
      <c r="AN353" s="561"/>
      <c r="AO353" s="561"/>
      <c r="AP353" s="561"/>
      <c r="AQ353" s="561"/>
      <c r="AR353" s="561"/>
      <c r="AS353" s="561"/>
      <c r="AT353" s="561"/>
      <c r="AU353" s="561"/>
      <c r="AV353" s="561"/>
      <c r="AW353" s="561"/>
      <c r="AX353" s="561"/>
      <c r="AY353" s="561"/>
      <c r="AZ353" s="561"/>
      <c r="BA353" s="561"/>
      <c r="BB353" s="561"/>
      <c r="BC353" s="561"/>
      <c r="BD353" s="561"/>
      <c r="BE353" s="561"/>
      <c r="BF353" s="561"/>
      <c r="BG353" s="561"/>
      <c r="BH353" s="561"/>
      <c r="BI353" s="563">
        <f t="shared" ref="BI353:BY353" si="357">BI340/SUM(BI$336:BI$340)</f>
        <v>8.5679314565483469E-3</v>
      </c>
      <c r="BJ353" s="563">
        <f t="shared" si="357"/>
        <v>1.0682492581602374E-2</v>
      </c>
      <c r="BK353" s="563">
        <f t="shared" si="357"/>
        <v>1.0180995475113122E-2</v>
      </c>
      <c r="BL353" s="563">
        <f t="shared" si="357"/>
        <v>-1.7070484581497798E-2</v>
      </c>
      <c r="BM353" s="563">
        <f t="shared" si="357"/>
        <v>8.4439083232810616E-3</v>
      </c>
      <c r="BN353" s="563">
        <f t="shared" si="357"/>
        <v>1.1150234741784037E-2</v>
      </c>
      <c r="BO353" s="563">
        <f t="shared" si="357"/>
        <v>1.1764705882352941E-2</v>
      </c>
      <c r="BP353" s="563">
        <f t="shared" si="357"/>
        <v>-2.9284164859002169E-2</v>
      </c>
      <c r="BQ353" s="563">
        <f t="shared" si="357"/>
        <v>8.3983203359328136E-3</v>
      </c>
      <c r="BR353" s="563">
        <f t="shared" si="357"/>
        <v>8.1253627394080093E-3</v>
      </c>
      <c r="BS353" s="563">
        <f t="shared" si="357"/>
        <v>7.9545454545454537E-3</v>
      </c>
      <c r="BT353" s="563">
        <f t="shared" si="357"/>
        <v>-2.3516237402015677E-2</v>
      </c>
      <c r="BU353" s="563">
        <f t="shared" si="357"/>
        <v>0</v>
      </c>
      <c r="BV353" s="563">
        <f t="shared" si="357"/>
        <v>0</v>
      </c>
      <c r="BW353" s="563">
        <f t="shared" si="357"/>
        <v>0</v>
      </c>
      <c r="BX353" s="563">
        <f t="shared" si="357"/>
        <v>0</v>
      </c>
      <c r="BY353" s="563">
        <f t="shared" si="357"/>
        <v>0</v>
      </c>
      <c r="BZ353" s="563">
        <f t="shared" si="352"/>
        <v>0</v>
      </c>
      <c r="CA353" s="563">
        <f t="shared" si="352"/>
        <v>0</v>
      </c>
      <c r="CB353" s="563">
        <f t="shared" si="352"/>
        <v>0</v>
      </c>
      <c r="CC353" s="563">
        <f t="shared" si="353"/>
        <v>0</v>
      </c>
      <c r="CD353" s="563">
        <f t="shared" si="353"/>
        <v>0</v>
      </c>
      <c r="CE353" s="563">
        <f>CE340/SUM(CE$336:CE$340)</f>
        <v>0</v>
      </c>
      <c r="CF353" s="563"/>
      <c r="CG353" s="563"/>
      <c r="CH353" s="563"/>
      <c r="CI353" s="563"/>
      <c r="CJ353" s="563"/>
    </row>
    <row r="354" spans="1:88" s="493" customFormat="1">
      <c r="B354" s="561"/>
      <c r="C354" s="561"/>
      <c r="D354" s="561"/>
      <c r="E354" s="561"/>
      <c r="F354" s="561"/>
      <c r="G354" s="561"/>
      <c r="H354" s="561"/>
      <c r="I354" s="561"/>
      <c r="J354" s="561"/>
      <c r="K354" s="561"/>
      <c r="L354" s="561"/>
      <c r="M354" s="561"/>
      <c r="N354" s="561"/>
      <c r="O354" s="561"/>
      <c r="P354" s="561"/>
      <c r="Q354" s="561"/>
      <c r="R354" s="561"/>
      <c r="S354" s="561"/>
      <c r="T354" s="561"/>
      <c r="U354" s="561"/>
      <c r="V354" s="561"/>
      <c r="W354" s="561"/>
      <c r="X354" s="561"/>
      <c r="Y354" s="561"/>
      <c r="Z354" s="561"/>
      <c r="AA354" s="561"/>
      <c r="AB354" s="562"/>
      <c r="AC354" s="561"/>
      <c r="AD354" s="561"/>
      <c r="AE354" s="561"/>
      <c r="AF354" s="561"/>
      <c r="AG354" s="561"/>
      <c r="AH354" s="561"/>
      <c r="AI354" s="561"/>
      <c r="AJ354" s="561"/>
      <c r="AK354" s="561"/>
      <c r="AL354" s="561"/>
      <c r="AM354" s="561"/>
      <c r="AN354" s="561"/>
      <c r="AO354" s="561"/>
      <c r="AP354" s="561"/>
      <c r="AQ354" s="561"/>
      <c r="AR354" s="561"/>
      <c r="AS354" s="561"/>
      <c r="AT354" s="561"/>
      <c r="AU354" s="561"/>
      <c r="AV354" s="561"/>
      <c r="AW354" s="561"/>
      <c r="AX354" s="561"/>
      <c r="AY354" s="561"/>
      <c r="AZ354" s="561"/>
      <c r="BA354" s="561"/>
      <c r="BB354" s="561"/>
      <c r="BC354" s="561"/>
      <c r="BD354" s="561"/>
      <c r="BE354" s="561"/>
      <c r="BF354" s="561"/>
      <c r="BG354" s="561"/>
      <c r="BH354" s="561"/>
      <c r="BI354" s="561"/>
      <c r="BJ354" s="561"/>
      <c r="BK354" s="561"/>
      <c r="BL354" s="561"/>
      <c r="BM354" s="561"/>
      <c r="BN354" s="561"/>
      <c r="BO354" s="561"/>
      <c r="BP354" s="561"/>
      <c r="BQ354" s="561"/>
      <c r="BR354" s="561"/>
      <c r="BS354" s="561"/>
      <c r="BT354" s="561"/>
      <c r="BU354" s="561"/>
      <c r="BV354" s="561"/>
      <c r="BW354" s="561"/>
      <c r="BX354" s="561"/>
      <c r="BY354" s="561"/>
      <c r="BZ354" s="561"/>
      <c r="CA354" s="561"/>
      <c r="CB354" s="561"/>
      <c r="CC354" s="561"/>
      <c r="CD354" s="561"/>
      <c r="CE354" s="561"/>
      <c r="CF354" s="561"/>
      <c r="CG354" s="561"/>
      <c r="CH354" s="561"/>
      <c r="CI354" s="561"/>
      <c r="CJ354" s="561"/>
    </row>
    <row r="355" spans="1:88">
      <c r="A355" s="25" t="s">
        <v>71</v>
      </c>
      <c r="B355" s="518"/>
      <c r="C355" s="518"/>
      <c r="D355" s="518"/>
      <c r="E355" s="518"/>
      <c r="F355" s="518"/>
      <c r="G355" s="518"/>
      <c r="H355" s="518"/>
      <c r="I355" s="518"/>
      <c r="J355" s="518"/>
      <c r="K355" s="518"/>
      <c r="L355" s="518"/>
      <c r="M355" s="518"/>
      <c r="N355" s="518"/>
      <c r="O355" s="518"/>
      <c r="P355" s="518"/>
      <c r="Q355" s="518"/>
      <c r="R355" s="518"/>
      <c r="S355" s="518"/>
      <c r="T355" s="518"/>
      <c r="U355" s="518"/>
      <c r="V355" s="518"/>
      <c r="W355" s="518"/>
      <c r="X355" s="518"/>
      <c r="Y355" s="518"/>
      <c r="Z355" s="518"/>
      <c r="AA355" s="518"/>
      <c r="AB355" s="519"/>
      <c r="AC355" s="518"/>
      <c r="AD355" s="518"/>
      <c r="AE355" s="518"/>
      <c r="AF355" s="518"/>
      <c r="AG355" s="518"/>
      <c r="AH355" s="518"/>
      <c r="AI355" s="518"/>
      <c r="AJ355" s="518"/>
      <c r="AK355" s="518"/>
      <c r="AL355" s="518"/>
      <c r="AM355" s="518"/>
      <c r="AN355" s="518"/>
      <c r="AO355" s="518"/>
      <c r="AP355" s="518"/>
      <c r="AQ355" s="518"/>
      <c r="AR355" s="518"/>
      <c r="AS355" s="518"/>
      <c r="AT355" s="518"/>
      <c r="AU355" s="518"/>
      <c r="AV355" s="518"/>
      <c r="AW355" s="518"/>
      <c r="AX355" s="518"/>
      <c r="AY355" s="518"/>
      <c r="AZ355" s="518"/>
      <c r="BA355" s="518"/>
      <c r="BB355" s="518"/>
      <c r="BC355" s="518"/>
      <c r="BD355" s="518"/>
      <c r="BE355" s="518"/>
      <c r="BF355" s="518"/>
      <c r="BG355" s="518"/>
      <c r="BH355" s="518"/>
      <c r="BI355" s="518"/>
      <c r="BJ355" s="518"/>
      <c r="BK355" s="518"/>
      <c r="BL355" s="518"/>
      <c r="BM355" s="520"/>
      <c r="BN355" s="520"/>
      <c r="BO355" s="518"/>
      <c r="BP355" s="518"/>
      <c r="BQ355" s="518"/>
      <c r="BR355" s="518"/>
      <c r="BS355" s="518"/>
      <c r="BT355" s="518"/>
      <c r="BU355" s="518"/>
      <c r="BV355" s="518"/>
      <c r="BW355" s="518"/>
      <c r="BX355" s="518"/>
      <c r="BY355" s="518"/>
      <c r="BZ355" s="518"/>
      <c r="CA355" s="518"/>
      <c r="CB355" s="518"/>
      <c r="CC355" s="518"/>
      <c r="CD355" s="518"/>
      <c r="CE355" s="518"/>
      <c r="CF355" s="518"/>
      <c r="CG355" s="518"/>
      <c r="CH355" s="518"/>
      <c r="CI355" s="518"/>
      <c r="CJ355" s="518"/>
    </row>
    <row r="356" spans="1:88">
      <c r="A356" s="28" t="s">
        <v>63</v>
      </c>
      <c r="M356" s="499"/>
      <c r="N356" s="499">
        <f t="shared" ref="N356:O360" si="358">+N336+N316+N297+N258+N238</f>
        <v>11153</v>
      </c>
      <c r="O356" s="499">
        <f t="shared" si="358"/>
        <v>11696</v>
      </c>
      <c r="P356" s="499">
        <f>+P238+P277+P316+P336</f>
        <v>11509</v>
      </c>
      <c r="Q356" s="499">
        <f>+Q238+Q277+Q316+Q336</f>
        <v>11393</v>
      </c>
      <c r="R356" s="499">
        <f t="shared" ref="R356:S360" si="359">+R336+R316+R297+R258+R238+R277</f>
        <v>10590</v>
      </c>
      <c r="S356" s="499">
        <f t="shared" si="359"/>
        <v>10772</v>
      </c>
      <c r="AC356" s="499"/>
      <c r="AD356" s="499"/>
      <c r="AE356" s="499"/>
      <c r="AF356" s="499"/>
      <c r="AG356" s="499"/>
      <c r="AH356" s="499"/>
      <c r="AI356" s="499"/>
      <c r="AJ356" s="499"/>
      <c r="AK356" s="499"/>
      <c r="AL356" s="499"/>
      <c r="AM356" s="499"/>
      <c r="AN356" s="499"/>
      <c r="AO356" s="499"/>
      <c r="AP356" s="499"/>
      <c r="AQ356" s="499"/>
      <c r="AR356" s="499"/>
      <c r="AS356" s="499"/>
      <c r="AT356" s="499"/>
      <c r="AU356" s="499"/>
      <c r="AV356" s="499"/>
      <c r="AW356" s="499"/>
      <c r="AX356" s="499"/>
      <c r="AY356" s="499"/>
      <c r="AZ356" s="499"/>
      <c r="BA356" s="499"/>
      <c r="BB356" s="499"/>
      <c r="BC356" s="499"/>
      <c r="BD356" s="499"/>
      <c r="BE356" s="499"/>
      <c r="BF356" s="499"/>
      <c r="BG356" s="499"/>
      <c r="BH356" s="499"/>
      <c r="BI356" s="499">
        <f t="shared" ref="BI356:CA356" si="360">+BI336+BI316+BI297+BI258+BI238</f>
        <v>2654</v>
      </c>
      <c r="BJ356" s="499">
        <f t="shared" si="360"/>
        <v>2835</v>
      </c>
      <c r="BK356" s="499">
        <f t="shared" si="360"/>
        <v>2776</v>
      </c>
      <c r="BL356" s="499">
        <f t="shared" si="360"/>
        <v>2888</v>
      </c>
      <c r="BM356" s="499">
        <f t="shared" si="360"/>
        <v>2823</v>
      </c>
      <c r="BN356" s="499">
        <f t="shared" si="360"/>
        <v>2992</v>
      </c>
      <c r="BO356" s="499">
        <f t="shared" si="360"/>
        <v>2898</v>
      </c>
      <c r="BP356" s="499">
        <f t="shared" si="360"/>
        <v>2983</v>
      </c>
      <c r="BQ356" s="499">
        <f t="shared" si="360"/>
        <v>2868</v>
      </c>
      <c r="BR356" s="499">
        <f t="shared" si="360"/>
        <v>2970</v>
      </c>
      <c r="BS356" s="499">
        <f t="shared" si="360"/>
        <v>2888</v>
      </c>
      <c r="BT356" s="499">
        <f t="shared" si="360"/>
        <v>3160</v>
      </c>
      <c r="BU356" s="499">
        <f t="shared" si="360"/>
        <v>2701</v>
      </c>
      <c r="BV356" s="499">
        <f t="shared" si="360"/>
        <v>2864</v>
      </c>
      <c r="BW356" s="499">
        <f t="shared" si="360"/>
        <v>2904</v>
      </c>
      <c r="BX356" s="499">
        <f t="shared" si="360"/>
        <v>3184</v>
      </c>
      <c r="BY356" s="499">
        <f>+BY336+BY316+BY277+BY238</f>
        <v>2585</v>
      </c>
      <c r="BZ356" s="499">
        <f t="shared" si="360"/>
        <v>2737</v>
      </c>
      <c r="CA356" s="499">
        <f t="shared" si="360"/>
        <v>2687</v>
      </c>
      <c r="CB356" s="499">
        <f>+R356-SUM(BY356:CA356)</f>
        <v>2581</v>
      </c>
      <c r="CC356" s="499">
        <f t="shared" ref="CC356:CD360" si="361">+CC336+CC316+CC277+CC238</f>
        <v>2553</v>
      </c>
      <c r="CD356" s="499">
        <f t="shared" si="361"/>
        <v>2574</v>
      </c>
      <c r="CE356" s="499">
        <f>+CE336+CE316+CE277+CE238</f>
        <v>2842</v>
      </c>
      <c r="CF356" s="499"/>
      <c r="CG356" s="499"/>
      <c r="CH356" s="499"/>
      <c r="CI356" s="499"/>
      <c r="CJ356" s="499"/>
    </row>
    <row r="357" spans="1:88">
      <c r="A357" s="28" t="s">
        <v>64</v>
      </c>
      <c r="N357" s="499">
        <f t="shared" si="358"/>
        <v>9355</v>
      </c>
      <c r="O357" s="499">
        <f t="shared" si="358"/>
        <v>9667</v>
      </c>
      <c r="P357" s="499">
        <f t="shared" ref="P357:Q360" si="362">+P239+P278+P317+P337</f>
        <v>9420</v>
      </c>
      <c r="Q357" s="499">
        <f t="shared" si="362"/>
        <v>8074</v>
      </c>
      <c r="R357" s="499">
        <f t="shared" si="359"/>
        <v>7739</v>
      </c>
      <c r="S357" s="499">
        <f t="shared" si="359"/>
        <v>8099</v>
      </c>
      <c r="AC357" s="499"/>
      <c r="AD357" s="499"/>
      <c r="AE357" s="499"/>
      <c r="AF357" s="499"/>
      <c r="AG357" s="499"/>
      <c r="AH357" s="499"/>
      <c r="AI357" s="499"/>
      <c r="AJ357" s="499"/>
      <c r="AK357" s="499"/>
      <c r="AL357" s="499"/>
      <c r="AM357" s="499"/>
      <c r="AN357" s="499"/>
      <c r="AO357" s="499"/>
      <c r="AP357" s="499"/>
      <c r="AQ357" s="499"/>
      <c r="AR357" s="499"/>
      <c r="AS357" s="499"/>
      <c r="AT357" s="499"/>
      <c r="AU357" s="499"/>
      <c r="AV357" s="499"/>
      <c r="AW357" s="499"/>
      <c r="AX357" s="499"/>
      <c r="AY357" s="499"/>
      <c r="AZ357" s="499"/>
      <c r="BA357" s="499"/>
      <c r="BB357" s="499"/>
      <c r="BC357" s="499"/>
      <c r="BD357" s="499"/>
      <c r="BE357" s="499"/>
      <c r="BF357" s="499"/>
      <c r="BG357" s="499"/>
      <c r="BH357" s="499"/>
      <c r="BI357" s="499">
        <f t="shared" ref="BI357:CA357" si="363">+BI337+BI317+BI298+BI259+BI239</f>
        <v>2514</v>
      </c>
      <c r="BJ357" s="499">
        <f t="shared" si="363"/>
        <v>1908</v>
      </c>
      <c r="BK357" s="499">
        <f t="shared" si="363"/>
        <v>2140</v>
      </c>
      <c r="BL357" s="499">
        <f t="shared" si="363"/>
        <v>2793</v>
      </c>
      <c r="BM357" s="499">
        <f t="shared" si="363"/>
        <v>2566</v>
      </c>
      <c r="BN357" s="499">
        <f t="shared" si="363"/>
        <v>1993</v>
      </c>
      <c r="BO357" s="499">
        <f t="shared" si="363"/>
        <v>2232</v>
      </c>
      <c r="BP357" s="499">
        <f t="shared" si="363"/>
        <v>2876</v>
      </c>
      <c r="BQ357" s="499">
        <f t="shared" si="363"/>
        <v>2525</v>
      </c>
      <c r="BR357" s="499">
        <f t="shared" si="363"/>
        <v>1969</v>
      </c>
      <c r="BS357" s="499">
        <f t="shared" si="363"/>
        <v>2237</v>
      </c>
      <c r="BT357" s="499">
        <f t="shared" si="363"/>
        <v>3253</v>
      </c>
      <c r="BU357" s="499">
        <f t="shared" si="363"/>
        <v>2179</v>
      </c>
      <c r="BV357" s="499">
        <f t="shared" si="363"/>
        <v>1631</v>
      </c>
      <c r="BW357" s="499">
        <f t="shared" si="363"/>
        <v>1936</v>
      </c>
      <c r="BX357" s="499">
        <f t="shared" si="363"/>
        <v>2740</v>
      </c>
      <c r="BY357" s="499">
        <f>+BY337+BY317+BY278+BY239</f>
        <v>2075</v>
      </c>
      <c r="BZ357" s="499">
        <f t="shared" si="363"/>
        <v>1676</v>
      </c>
      <c r="CA357" s="499">
        <f t="shared" si="363"/>
        <v>1882</v>
      </c>
      <c r="CB357" s="499">
        <f>+R357-SUM(BY357:CA357)</f>
        <v>2106</v>
      </c>
      <c r="CC357" s="499">
        <f t="shared" si="361"/>
        <v>2067</v>
      </c>
      <c r="CD357" s="499">
        <f t="shared" si="361"/>
        <v>1615</v>
      </c>
      <c r="CE357" s="499">
        <f>+CE337+CE317+CE278+CE239</f>
        <v>1997</v>
      </c>
      <c r="CF357" s="499"/>
      <c r="CG357" s="499"/>
      <c r="CH357" s="499"/>
      <c r="CI357" s="499"/>
      <c r="CJ357" s="499"/>
    </row>
    <row r="358" spans="1:88">
      <c r="A358" s="28" t="s">
        <v>65</v>
      </c>
      <c r="M358" s="471"/>
      <c r="N358" s="499">
        <f t="shared" si="358"/>
        <v>5338</v>
      </c>
      <c r="O358" s="499">
        <f t="shared" si="358"/>
        <v>5055</v>
      </c>
      <c r="P358" s="499">
        <f t="shared" si="362"/>
        <v>4660</v>
      </c>
      <c r="Q358" s="499">
        <f t="shared" si="362"/>
        <v>4258</v>
      </c>
      <c r="R358" s="499">
        <f t="shared" si="359"/>
        <v>3947</v>
      </c>
      <c r="S358" s="499">
        <f t="shared" si="359"/>
        <v>3638</v>
      </c>
      <c r="AC358" s="499"/>
      <c r="AD358" s="499"/>
      <c r="AE358" s="499"/>
      <c r="AF358" s="499"/>
      <c r="AG358" s="499"/>
      <c r="AH358" s="499"/>
      <c r="AI358" s="499"/>
      <c r="AJ358" s="499"/>
      <c r="AK358" s="499"/>
      <c r="AL358" s="499"/>
      <c r="AM358" s="499"/>
      <c r="AN358" s="499"/>
      <c r="AO358" s="499"/>
      <c r="AP358" s="499"/>
      <c r="AQ358" s="499"/>
      <c r="AR358" s="499"/>
      <c r="AS358" s="499"/>
      <c r="AT358" s="499"/>
      <c r="AU358" s="499"/>
      <c r="AV358" s="499"/>
      <c r="AW358" s="499"/>
      <c r="AX358" s="499"/>
      <c r="AY358" s="499"/>
      <c r="AZ358" s="499"/>
      <c r="BA358" s="499"/>
      <c r="BB358" s="499"/>
      <c r="BC358" s="499"/>
      <c r="BD358" s="499"/>
      <c r="BE358" s="499"/>
      <c r="BF358" s="499"/>
      <c r="BG358" s="499"/>
      <c r="BH358" s="499"/>
      <c r="BI358" s="499">
        <f t="shared" ref="BI358:CA358" si="364">+BI338+BI318+BI299+BI260+BI240</f>
        <v>1272</v>
      </c>
      <c r="BJ358" s="499">
        <f t="shared" si="364"/>
        <v>1354</v>
      </c>
      <c r="BK358" s="499">
        <f t="shared" si="364"/>
        <v>1321</v>
      </c>
      <c r="BL358" s="499">
        <f t="shared" si="364"/>
        <v>1391</v>
      </c>
      <c r="BM358" s="499">
        <f t="shared" si="364"/>
        <v>1217</v>
      </c>
      <c r="BN358" s="499">
        <f t="shared" si="364"/>
        <v>1284</v>
      </c>
      <c r="BO358" s="499">
        <f t="shared" si="364"/>
        <v>1261</v>
      </c>
      <c r="BP358" s="499">
        <f t="shared" si="364"/>
        <v>1293</v>
      </c>
      <c r="BQ358" s="499">
        <f t="shared" si="364"/>
        <v>1125</v>
      </c>
      <c r="BR358" s="499">
        <f t="shared" si="364"/>
        <v>1194</v>
      </c>
      <c r="BS358" s="499">
        <f t="shared" si="364"/>
        <v>1176</v>
      </c>
      <c r="BT358" s="499">
        <f t="shared" si="364"/>
        <v>1489</v>
      </c>
      <c r="BU358" s="499">
        <f t="shared" si="364"/>
        <v>1055</v>
      </c>
      <c r="BV358" s="499">
        <f t="shared" si="364"/>
        <v>1119</v>
      </c>
      <c r="BW358" s="499">
        <f t="shared" si="364"/>
        <v>1033</v>
      </c>
      <c r="BX358" s="499">
        <f t="shared" si="364"/>
        <v>1309</v>
      </c>
      <c r="BY358" s="499">
        <f>+BY338+BY318+BY279+BY240</f>
        <v>945</v>
      </c>
      <c r="BZ358" s="499">
        <f t="shared" si="364"/>
        <v>1110</v>
      </c>
      <c r="CA358" s="499">
        <f t="shared" si="364"/>
        <v>989</v>
      </c>
      <c r="CB358" s="499">
        <f>+R358-SUM(BY358:CA358)</f>
        <v>903</v>
      </c>
      <c r="CC358" s="499">
        <f t="shared" si="361"/>
        <v>880</v>
      </c>
      <c r="CD358" s="499">
        <f t="shared" si="361"/>
        <v>905</v>
      </c>
      <c r="CE358" s="499">
        <f>+CE338+CE318+CE279+CE240</f>
        <v>934</v>
      </c>
      <c r="CF358" s="499"/>
      <c r="CG358" s="499"/>
      <c r="CH358" s="499"/>
      <c r="CI358" s="499"/>
      <c r="CJ358" s="499"/>
    </row>
    <row r="359" spans="1:88">
      <c r="A359" s="28" t="s">
        <v>66</v>
      </c>
      <c r="N359" s="499">
        <f t="shared" si="358"/>
        <v>5843</v>
      </c>
      <c r="O359" s="499">
        <f t="shared" si="358"/>
        <v>5830</v>
      </c>
      <c r="P359" s="499">
        <f t="shared" si="362"/>
        <v>5678</v>
      </c>
      <c r="Q359" s="499">
        <f t="shared" si="362"/>
        <v>3260</v>
      </c>
      <c r="R359" s="499">
        <f t="shared" si="359"/>
        <v>1445</v>
      </c>
      <c r="S359" s="499">
        <f t="shared" si="359"/>
        <v>1355</v>
      </c>
      <c r="AC359" s="499"/>
      <c r="AD359" s="499"/>
      <c r="AE359" s="499"/>
      <c r="AF359" s="499"/>
      <c r="AG359" s="499"/>
      <c r="AH359" s="499"/>
      <c r="AI359" s="499"/>
      <c r="AJ359" s="499"/>
      <c r="AK359" s="499"/>
      <c r="AL359" s="499"/>
      <c r="AM359" s="499"/>
      <c r="AN359" s="499"/>
      <c r="AO359" s="499"/>
      <c r="AP359" s="499"/>
      <c r="AQ359" s="499"/>
      <c r="AR359" s="499"/>
      <c r="AS359" s="499"/>
      <c r="AT359" s="499"/>
      <c r="AU359" s="499"/>
      <c r="AV359" s="499"/>
      <c r="AW359" s="499"/>
      <c r="AX359" s="499"/>
      <c r="AY359" s="499"/>
      <c r="AZ359" s="499"/>
      <c r="BA359" s="499"/>
      <c r="BB359" s="499"/>
      <c r="BC359" s="499"/>
      <c r="BD359" s="499"/>
      <c r="BE359" s="499"/>
      <c r="BF359" s="499"/>
      <c r="BG359" s="499"/>
      <c r="BH359" s="499"/>
      <c r="BI359" s="499">
        <f t="shared" ref="BI359:CA359" si="365">+BI339+BI319+BI300+BI261+BI241</f>
        <v>1431</v>
      </c>
      <c r="BJ359" s="499">
        <f t="shared" si="365"/>
        <v>1534</v>
      </c>
      <c r="BK359" s="499">
        <f t="shared" si="365"/>
        <v>1285</v>
      </c>
      <c r="BL359" s="499">
        <f t="shared" si="365"/>
        <v>1593</v>
      </c>
      <c r="BM359" s="499">
        <f t="shared" si="365"/>
        <v>1411</v>
      </c>
      <c r="BN359" s="499">
        <f t="shared" si="365"/>
        <v>1545</v>
      </c>
      <c r="BO359" s="499">
        <f t="shared" si="365"/>
        <v>1329</v>
      </c>
      <c r="BP359" s="499">
        <f t="shared" si="365"/>
        <v>1545</v>
      </c>
      <c r="BQ359" s="499">
        <f t="shared" si="365"/>
        <v>1382</v>
      </c>
      <c r="BR359" s="499">
        <f t="shared" si="365"/>
        <v>1509</v>
      </c>
      <c r="BS359" s="499">
        <f t="shared" si="365"/>
        <v>1282</v>
      </c>
      <c r="BT359" s="499">
        <f t="shared" si="365"/>
        <v>2115</v>
      </c>
      <c r="BU359" s="499">
        <f t="shared" si="365"/>
        <v>1088</v>
      </c>
      <c r="BV359" s="499">
        <f t="shared" si="365"/>
        <v>1359</v>
      </c>
      <c r="BW359" s="499">
        <f t="shared" si="365"/>
        <v>342</v>
      </c>
      <c r="BX359" s="499">
        <f t="shared" si="365"/>
        <v>685</v>
      </c>
      <c r="BY359" s="499">
        <f>+BY339+BY319+BY280+BY241</f>
        <v>387</v>
      </c>
      <c r="BZ359" s="499">
        <f t="shared" si="365"/>
        <v>405</v>
      </c>
      <c r="CA359" s="499">
        <f t="shared" si="365"/>
        <v>308</v>
      </c>
      <c r="CB359" s="499">
        <f>+R359-SUM(BY359:CA359)</f>
        <v>345</v>
      </c>
      <c r="CC359" s="499">
        <f t="shared" si="361"/>
        <v>407</v>
      </c>
      <c r="CD359" s="499">
        <f t="shared" si="361"/>
        <v>342</v>
      </c>
      <c r="CE359" s="499">
        <f>+CE339+CE319+CE280+CE241</f>
        <v>282</v>
      </c>
      <c r="CF359" s="499"/>
      <c r="CG359" s="499"/>
      <c r="CH359" s="499"/>
      <c r="CI359" s="499"/>
      <c r="CJ359" s="499"/>
    </row>
    <row r="360" spans="1:88">
      <c r="A360" s="28" t="s">
        <v>67</v>
      </c>
      <c r="N360" s="499">
        <f t="shared" si="358"/>
        <v>3326</v>
      </c>
      <c r="O360" s="499">
        <f t="shared" si="358"/>
        <v>3051</v>
      </c>
      <c r="P360" s="499">
        <f t="shared" si="362"/>
        <v>2977</v>
      </c>
      <c r="Q360" s="499">
        <f t="shared" si="362"/>
        <v>2651</v>
      </c>
      <c r="R360" s="499">
        <f t="shared" si="359"/>
        <v>2202</v>
      </c>
      <c r="S360" s="499">
        <f t="shared" si="359"/>
        <v>2032</v>
      </c>
      <c r="AC360" s="499"/>
      <c r="AD360" s="499"/>
      <c r="AE360" s="499"/>
      <c r="AF360" s="499"/>
      <c r="AG360" s="499"/>
      <c r="AH360" s="499"/>
      <c r="AI360" s="499"/>
      <c r="AJ360" s="499"/>
      <c r="AK360" s="499"/>
      <c r="AL360" s="499"/>
      <c r="AM360" s="499"/>
      <c r="AN360" s="499"/>
      <c r="AO360" s="499"/>
      <c r="AP360" s="499"/>
      <c r="AQ360" s="499"/>
      <c r="AR360" s="499"/>
      <c r="AS360" s="499"/>
      <c r="AT360" s="499"/>
      <c r="AU360" s="499"/>
      <c r="AV360" s="499"/>
      <c r="AW360" s="499"/>
      <c r="AX360" s="499"/>
      <c r="AY360" s="499"/>
      <c r="AZ360" s="499"/>
      <c r="BA360" s="499"/>
      <c r="BB360" s="499"/>
      <c r="BC360" s="499"/>
      <c r="BD360" s="499"/>
      <c r="BE360" s="499"/>
      <c r="BF360" s="499"/>
      <c r="BG360" s="499"/>
      <c r="BH360" s="499"/>
      <c r="BI360" s="499">
        <f t="shared" ref="BI360:CA360" si="366">+BI340+BI320+BI301+BI262+BI242</f>
        <v>796</v>
      </c>
      <c r="BJ360" s="499">
        <f t="shared" si="366"/>
        <v>896</v>
      </c>
      <c r="BK360" s="499">
        <f t="shared" si="366"/>
        <v>804</v>
      </c>
      <c r="BL360" s="499">
        <f t="shared" si="366"/>
        <v>830</v>
      </c>
      <c r="BM360" s="499">
        <f t="shared" si="366"/>
        <v>727</v>
      </c>
      <c r="BN360" s="499">
        <f t="shared" si="366"/>
        <v>781</v>
      </c>
      <c r="BO360" s="499">
        <f t="shared" si="366"/>
        <v>752</v>
      </c>
      <c r="BP360" s="499">
        <f t="shared" si="366"/>
        <v>791</v>
      </c>
      <c r="BQ360" s="499">
        <f t="shared" si="366"/>
        <v>741</v>
      </c>
      <c r="BR360" s="499">
        <f t="shared" si="366"/>
        <v>794</v>
      </c>
      <c r="BS360" s="499">
        <f t="shared" si="366"/>
        <v>754</v>
      </c>
      <c r="BT360" s="499">
        <f t="shared" si="366"/>
        <v>689</v>
      </c>
      <c r="BU360" s="499">
        <f t="shared" si="366"/>
        <v>639</v>
      </c>
      <c r="BV360" s="499">
        <f t="shared" si="366"/>
        <v>688</v>
      </c>
      <c r="BW360" s="499">
        <f t="shared" si="366"/>
        <v>634</v>
      </c>
      <c r="BX360" s="499">
        <f t="shared" si="366"/>
        <v>690</v>
      </c>
      <c r="BY360" s="499">
        <f>+BY340+BY320+BY281+BY242</f>
        <v>497</v>
      </c>
      <c r="BZ360" s="499">
        <f t="shared" si="366"/>
        <v>599</v>
      </c>
      <c r="CA360" s="499">
        <f t="shared" si="366"/>
        <v>530</v>
      </c>
      <c r="CB360" s="499">
        <f>+R360-SUM(BY360:CA360)</f>
        <v>576</v>
      </c>
      <c r="CC360" s="499">
        <f t="shared" si="361"/>
        <v>507</v>
      </c>
      <c r="CD360" s="499">
        <f t="shared" si="361"/>
        <v>550</v>
      </c>
      <c r="CE360" s="499">
        <f>+CE340+CE320+CE281+CE242</f>
        <v>475</v>
      </c>
      <c r="CF360" s="499"/>
      <c r="CG360" s="499"/>
      <c r="CH360" s="499"/>
      <c r="CI360" s="499"/>
      <c r="CJ360" s="499"/>
    </row>
    <row r="361" spans="1:88" s="494" customFormat="1">
      <c r="A361" s="494" t="s">
        <v>189</v>
      </c>
      <c r="B361" s="567"/>
      <c r="C361" s="567"/>
      <c r="D361" s="567"/>
      <c r="E361" s="567"/>
      <c r="F361" s="567"/>
      <c r="G361" s="567"/>
      <c r="H361" s="567"/>
      <c r="I361" s="567"/>
      <c r="J361" s="567"/>
      <c r="K361" s="567"/>
      <c r="L361" s="567"/>
      <c r="M361" s="567"/>
      <c r="N361" s="567"/>
      <c r="O361" s="539">
        <f>+SUM(O356:O360)</f>
        <v>35299</v>
      </c>
      <c r="P361" s="539">
        <f>+SUM(P356:P360)</f>
        <v>34244</v>
      </c>
      <c r="Q361" s="539">
        <f>+SUM(Q356:Q360)</f>
        <v>29636</v>
      </c>
      <c r="R361" s="539">
        <f>+SUM(R356:R360)</f>
        <v>25923</v>
      </c>
      <c r="S361" s="539">
        <f>+SUM(S356:S360)</f>
        <v>25896</v>
      </c>
      <c r="T361" s="567"/>
      <c r="U361" s="567"/>
      <c r="V361" s="567"/>
      <c r="W361" s="567"/>
      <c r="X361" s="567"/>
      <c r="Y361" s="567"/>
      <c r="Z361" s="567"/>
      <c r="AA361" s="567"/>
      <c r="AB361" s="568"/>
      <c r="AC361" s="567"/>
      <c r="AD361" s="567"/>
      <c r="AE361" s="567"/>
      <c r="AF361" s="567"/>
      <c r="AG361" s="567"/>
      <c r="AH361" s="567"/>
      <c r="AI361" s="567"/>
      <c r="AJ361" s="567"/>
      <c r="AK361" s="567"/>
      <c r="AL361" s="567"/>
      <c r="AM361" s="567"/>
      <c r="AN361" s="567"/>
      <c r="AO361" s="567"/>
      <c r="AP361" s="567"/>
      <c r="AQ361" s="567"/>
      <c r="AR361" s="567"/>
      <c r="AS361" s="567"/>
      <c r="AT361" s="567"/>
      <c r="AU361" s="567"/>
      <c r="AV361" s="567"/>
      <c r="AW361" s="567"/>
      <c r="AX361" s="567"/>
      <c r="AY361" s="567"/>
      <c r="AZ361" s="567"/>
      <c r="BA361" s="567"/>
      <c r="BB361" s="567"/>
      <c r="BC361" s="567"/>
      <c r="BD361" s="567"/>
      <c r="BE361" s="567"/>
      <c r="BF361" s="567"/>
      <c r="BG361" s="567"/>
      <c r="BH361" s="567"/>
      <c r="BI361" s="567"/>
      <c r="BJ361" s="567"/>
      <c r="BK361" s="567"/>
      <c r="BL361" s="567"/>
      <c r="BM361" s="567"/>
      <c r="BN361" s="567"/>
      <c r="BO361" s="567"/>
      <c r="BP361" s="567"/>
      <c r="BQ361" s="567"/>
      <c r="BR361" s="567"/>
      <c r="BS361" s="567"/>
      <c r="BT361" s="568"/>
      <c r="BU361" s="539">
        <f t="shared" ref="BU361:CC361" si="367">+SUM(BU356:BU360)</f>
        <v>7662</v>
      </c>
      <c r="BV361" s="539">
        <f t="shared" si="367"/>
        <v>7661</v>
      </c>
      <c r="BW361" s="539">
        <f t="shared" si="367"/>
        <v>6849</v>
      </c>
      <c r="BX361" s="539">
        <f t="shared" si="367"/>
        <v>8608</v>
      </c>
      <c r="BY361" s="539">
        <f t="shared" si="367"/>
        <v>6489</v>
      </c>
      <c r="BZ361" s="539">
        <f t="shared" si="367"/>
        <v>6527</v>
      </c>
      <c r="CA361" s="539">
        <f t="shared" si="367"/>
        <v>6396</v>
      </c>
      <c r="CB361" s="539">
        <f t="shared" si="367"/>
        <v>6511</v>
      </c>
      <c r="CC361" s="539">
        <f t="shared" si="367"/>
        <v>6414</v>
      </c>
      <c r="CD361" s="539">
        <f>+SUM(CD356:CD360)</f>
        <v>5986</v>
      </c>
      <c r="CE361" s="539">
        <f>+SUM(CE356:CE360)</f>
        <v>6530</v>
      </c>
      <c r="CF361" s="567"/>
      <c r="CG361" s="567"/>
      <c r="CH361" s="567"/>
      <c r="CI361" s="567"/>
      <c r="CJ361" s="567"/>
    </row>
    <row r="362" spans="1:88" s="493" customFormat="1">
      <c r="A362" s="492" t="s">
        <v>68</v>
      </c>
      <c r="B362" s="561"/>
      <c r="C362" s="561"/>
      <c r="D362" s="561"/>
      <c r="E362" s="561"/>
      <c r="F362" s="561"/>
      <c r="G362" s="561"/>
      <c r="H362" s="561"/>
      <c r="I362" s="561"/>
      <c r="J362" s="561"/>
      <c r="K362" s="561"/>
      <c r="L362" s="561"/>
      <c r="M362" s="561"/>
      <c r="N362" s="561"/>
      <c r="O362" s="561"/>
      <c r="P362" s="561"/>
      <c r="Q362" s="561"/>
      <c r="R362" s="561"/>
      <c r="S362" s="561"/>
      <c r="T362" s="561"/>
      <c r="U362" s="561"/>
      <c r="V362" s="561"/>
      <c r="W362" s="561"/>
      <c r="X362" s="561"/>
      <c r="Y362" s="561"/>
      <c r="Z362" s="561"/>
      <c r="AA362" s="561"/>
      <c r="AB362" s="562"/>
      <c r="AC362" s="561"/>
      <c r="AD362" s="561"/>
      <c r="AE362" s="561"/>
      <c r="AF362" s="561"/>
      <c r="AG362" s="561"/>
      <c r="AH362" s="561"/>
      <c r="AI362" s="561"/>
      <c r="AJ362" s="561"/>
      <c r="AK362" s="561"/>
      <c r="AL362" s="561"/>
      <c r="AM362" s="561"/>
      <c r="AN362" s="561"/>
      <c r="AO362" s="561"/>
      <c r="AP362" s="561"/>
      <c r="AQ362" s="561"/>
      <c r="AR362" s="561"/>
      <c r="AS362" s="561"/>
      <c r="AT362" s="561"/>
      <c r="AU362" s="561"/>
      <c r="AV362" s="561"/>
      <c r="AW362" s="561"/>
      <c r="AX362" s="561"/>
      <c r="AY362" s="561"/>
      <c r="AZ362" s="561"/>
      <c r="BA362" s="561"/>
      <c r="BB362" s="561"/>
      <c r="BC362" s="561"/>
      <c r="BD362" s="561"/>
      <c r="BE362" s="561"/>
      <c r="BF362" s="561"/>
      <c r="BG362" s="561"/>
      <c r="BH362" s="561"/>
      <c r="BI362" s="561"/>
      <c r="BJ362" s="561"/>
      <c r="BK362" s="561"/>
      <c r="BL362" s="561"/>
      <c r="BM362" s="561"/>
      <c r="BN362" s="561"/>
      <c r="BO362" s="561"/>
      <c r="BP362" s="561"/>
      <c r="BQ362" s="561"/>
      <c r="BR362" s="561"/>
      <c r="BS362" s="561"/>
      <c r="BT362" s="561"/>
      <c r="BU362" s="561"/>
      <c r="BV362" s="561"/>
      <c r="BW362" s="561"/>
      <c r="BX362" s="561"/>
      <c r="BY362" s="561"/>
      <c r="BZ362" s="561"/>
      <c r="CA362" s="561"/>
      <c r="CB362" s="561"/>
      <c r="CC362" s="561"/>
      <c r="CD362" s="561"/>
      <c r="CE362" s="561"/>
      <c r="CF362" s="561"/>
      <c r="CG362" s="561"/>
      <c r="CH362" s="561"/>
      <c r="CI362" s="561"/>
      <c r="CJ362" s="561"/>
    </row>
    <row r="363" spans="1:88" s="493" customFormat="1">
      <c r="A363" s="493" t="s">
        <v>63</v>
      </c>
      <c r="B363" s="561"/>
      <c r="C363" s="561"/>
      <c r="D363" s="561"/>
      <c r="E363" s="561"/>
      <c r="F363" s="561"/>
      <c r="G363" s="561"/>
      <c r="H363" s="561"/>
      <c r="I363" s="561"/>
      <c r="J363" s="561"/>
      <c r="K363" s="561"/>
      <c r="L363" s="561"/>
      <c r="M363" s="561"/>
      <c r="N363" s="561"/>
      <c r="O363" s="561">
        <f t="shared" ref="O363:S367" si="368">+O356/N356-1</f>
        <v>4.868645207567468E-2</v>
      </c>
      <c r="P363" s="561">
        <f t="shared" si="368"/>
        <v>-1.5988372093023284E-2</v>
      </c>
      <c r="Q363" s="561">
        <f t="shared" si="368"/>
        <v>-1.0079068555043924E-2</v>
      </c>
      <c r="R363" s="561">
        <f t="shared" si="368"/>
        <v>-7.0481874835425229E-2</v>
      </c>
      <c r="S363" s="561">
        <f t="shared" si="368"/>
        <v>1.7186024551463674E-2</v>
      </c>
      <c r="T363" s="561"/>
      <c r="U363" s="561"/>
      <c r="V363" s="561"/>
      <c r="W363" s="561"/>
      <c r="X363" s="561"/>
      <c r="Y363" s="561"/>
      <c r="Z363" s="561"/>
      <c r="AA363" s="561"/>
      <c r="AB363" s="562"/>
      <c r="AC363" s="561"/>
      <c r="AD363" s="561"/>
      <c r="AE363" s="561"/>
      <c r="AF363" s="561"/>
      <c r="AG363" s="561"/>
      <c r="AH363" s="561"/>
      <c r="AI363" s="561"/>
      <c r="AJ363" s="561"/>
      <c r="AK363" s="561"/>
      <c r="AL363" s="561"/>
      <c r="AM363" s="561"/>
      <c r="AN363" s="561"/>
      <c r="AO363" s="561"/>
      <c r="AP363" s="561"/>
      <c r="AQ363" s="561"/>
      <c r="AR363" s="561"/>
      <c r="AS363" s="561"/>
      <c r="AT363" s="561"/>
      <c r="AU363" s="561"/>
      <c r="AV363" s="561"/>
      <c r="AW363" s="561"/>
      <c r="AX363" s="561"/>
      <c r="AY363" s="561"/>
      <c r="AZ363" s="561"/>
      <c r="BA363" s="561"/>
      <c r="BB363" s="561"/>
      <c r="BC363" s="561"/>
      <c r="BD363" s="561"/>
      <c r="BE363" s="561"/>
      <c r="BF363" s="561"/>
      <c r="BG363" s="561"/>
      <c r="BH363" s="561"/>
      <c r="BI363" s="561"/>
      <c r="BJ363" s="561"/>
      <c r="BK363" s="561"/>
      <c r="BL363" s="561"/>
      <c r="BM363" s="561">
        <f t="shared" ref="BM363:CE367" si="369">+BM356/BI356-1</f>
        <v>6.3677467972871105E-2</v>
      </c>
      <c r="BN363" s="561">
        <f t="shared" si="369"/>
        <v>5.537918871252212E-2</v>
      </c>
      <c r="BO363" s="561">
        <f t="shared" si="369"/>
        <v>4.3948126801152787E-2</v>
      </c>
      <c r="BP363" s="561">
        <f t="shared" si="369"/>
        <v>3.289473684210531E-2</v>
      </c>
      <c r="BQ363" s="561">
        <f t="shared" si="369"/>
        <v>1.5940488841657885E-2</v>
      </c>
      <c r="BR363" s="561">
        <f t="shared" si="369"/>
        <v>-7.3529411764705621E-3</v>
      </c>
      <c r="BS363" s="561">
        <f t="shared" si="369"/>
        <v>-3.4506556245686992E-3</v>
      </c>
      <c r="BT363" s="561">
        <f t="shared" si="369"/>
        <v>5.9336238685886666E-2</v>
      </c>
      <c r="BU363" s="561">
        <f t="shared" si="369"/>
        <v>-5.8228730822873054E-2</v>
      </c>
      <c r="BV363" s="561">
        <f t="shared" si="369"/>
        <v>-3.5690235690235661E-2</v>
      </c>
      <c r="BW363" s="561">
        <f t="shared" si="369"/>
        <v>5.5401662049860967E-3</v>
      </c>
      <c r="BX363" s="561">
        <f t="shared" si="369"/>
        <v>7.5949367088608E-3</v>
      </c>
      <c r="BY363" s="561">
        <f t="shared" si="369"/>
        <v>-4.2947056645686765E-2</v>
      </c>
      <c r="BZ363" s="561">
        <f t="shared" si="369"/>
        <v>-4.4343575418994363E-2</v>
      </c>
      <c r="CA363" s="561">
        <f t="shared" si="369"/>
        <v>-7.4724517906336052E-2</v>
      </c>
      <c r="CB363" s="561">
        <f t="shared" si="369"/>
        <v>-0.18938442211055273</v>
      </c>
      <c r="CC363" s="561">
        <f t="shared" si="369"/>
        <v>-1.2379110251450665E-2</v>
      </c>
      <c r="CD363" s="561">
        <f t="shared" si="369"/>
        <v>-5.9554256485202739E-2</v>
      </c>
      <c r="CE363" s="561">
        <f t="shared" si="369"/>
        <v>5.7685150725716339E-2</v>
      </c>
      <c r="CF363" s="561"/>
      <c r="CG363" s="561"/>
      <c r="CH363" s="561"/>
      <c r="CI363" s="561"/>
      <c r="CJ363" s="561"/>
    </row>
    <row r="364" spans="1:88" s="493" customFormat="1">
      <c r="A364" s="493" t="s">
        <v>64</v>
      </c>
      <c r="B364" s="561"/>
      <c r="C364" s="561"/>
      <c r="D364" s="561"/>
      <c r="E364" s="561"/>
      <c r="F364" s="561"/>
      <c r="G364" s="561"/>
      <c r="H364" s="561"/>
      <c r="I364" s="561"/>
      <c r="J364" s="561"/>
      <c r="K364" s="561"/>
      <c r="L364" s="561"/>
      <c r="M364" s="561"/>
      <c r="N364" s="561"/>
      <c r="O364" s="561">
        <f t="shared" si="368"/>
        <v>3.335114911811865E-2</v>
      </c>
      <c r="P364" s="561">
        <f t="shared" si="368"/>
        <v>-2.5550843074376717E-2</v>
      </c>
      <c r="Q364" s="561">
        <f t="shared" si="368"/>
        <v>-0.14288747346072184</v>
      </c>
      <c r="R364" s="561">
        <f t="shared" si="368"/>
        <v>-4.1491206341342624E-2</v>
      </c>
      <c r="S364" s="561">
        <f t="shared" si="368"/>
        <v>4.6517637937718126E-2</v>
      </c>
      <c r="T364" s="561"/>
      <c r="U364" s="561"/>
      <c r="V364" s="561"/>
      <c r="W364" s="561"/>
      <c r="X364" s="561"/>
      <c r="Y364" s="561"/>
      <c r="Z364" s="561"/>
      <c r="AA364" s="561"/>
      <c r="AB364" s="562"/>
      <c r="AC364" s="561"/>
      <c r="AD364" s="561"/>
      <c r="AE364" s="561"/>
      <c r="AF364" s="561"/>
      <c r="AG364" s="561"/>
      <c r="AH364" s="561"/>
      <c r="AI364" s="561"/>
      <c r="AJ364" s="561"/>
      <c r="AK364" s="561"/>
      <c r="AL364" s="561"/>
      <c r="AM364" s="561"/>
      <c r="AN364" s="561"/>
      <c r="AO364" s="561"/>
      <c r="AP364" s="561"/>
      <c r="AQ364" s="561"/>
      <c r="AR364" s="561"/>
      <c r="AS364" s="561"/>
      <c r="AT364" s="561"/>
      <c r="AU364" s="561"/>
      <c r="AV364" s="561"/>
      <c r="AW364" s="561"/>
      <c r="AX364" s="561"/>
      <c r="AY364" s="561"/>
      <c r="AZ364" s="561"/>
      <c r="BA364" s="561"/>
      <c r="BB364" s="561"/>
      <c r="BC364" s="561"/>
      <c r="BD364" s="561"/>
      <c r="BE364" s="561"/>
      <c r="BF364" s="561"/>
      <c r="BG364" s="561"/>
      <c r="BH364" s="561"/>
      <c r="BI364" s="561"/>
      <c r="BJ364" s="561"/>
      <c r="BK364" s="561"/>
      <c r="BL364" s="561"/>
      <c r="BM364" s="561">
        <f t="shared" si="369"/>
        <v>2.0684168655529023E-2</v>
      </c>
      <c r="BN364" s="561">
        <f t="shared" si="369"/>
        <v>4.4549266247379427E-2</v>
      </c>
      <c r="BO364" s="561">
        <f t="shared" si="369"/>
        <v>4.2990654205607548E-2</v>
      </c>
      <c r="BP364" s="561">
        <f t="shared" si="369"/>
        <v>2.9717150017901872E-2</v>
      </c>
      <c r="BQ364" s="561">
        <f t="shared" si="369"/>
        <v>-1.5978176149649248E-2</v>
      </c>
      <c r="BR364" s="561">
        <f t="shared" si="369"/>
        <v>-1.2042147516307056E-2</v>
      </c>
      <c r="BS364" s="561">
        <f t="shared" si="369"/>
        <v>2.2401433691756623E-3</v>
      </c>
      <c r="BT364" s="561">
        <f t="shared" si="369"/>
        <v>0.13108484005563281</v>
      </c>
      <c r="BU364" s="561">
        <f t="shared" si="369"/>
        <v>-0.13702970297029704</v>
      </c>
      <c r="BV364" s="561">
        <f t="shared" si="369"/>
        <v>-0.1716607414931437</v>
      </c>
      <c r="BW364" s="561">
        <f t="shared" si="369"/>
        <v>-0.13455520786767994</v>
      </c>
      <c r="BX364" s="561">
        <f t="shared" si="369"/>
        <v>-0.15770058407623733</v>
      </c>
      <c r="BY364" s="561">
        <f t="shared" si="369"/>
        <v>-4.772831574116565E-2</v>
      </c>
      <c r="BZ364" s="561">
        <f t="shared" si="369"/>
        <v>2.7590435315757222E-2</v>
      </c>
      <c r="CA364" s="561">
        <f t="shared" si="369"/>
        <v>-2.789256198347112E-2</v>
      </c>
      <c r="CB364" s="561">
        <f t="shared" si="369"/>
        <v>-0.23138686131386865</v>
      </c>
      <c r="CC364" s="561">
        <f t="shared" si="369"/>
        <v>-3.8554216867470181E-3</v>
      </c>
      <c r="CD364" s="561">
        <f t="shared" si="369"/>
        <v>-3.6396181384248161E-2</v>
      </c>
      <c r="CE364" s="561">
        <f t="shared" si="369"/>
        <v>6.110520722635493E-2</v>
      </c>
      <c r="CF364" s="561"/>
      <c r="CG364" s="561"/>
      <c r="CH364" s="561"/>
      <c r="CI364" s="561"/>
      <c r="CJ364" s="561"/>
    </row>
    <row r="365" spans="1:88" s="493" customFormat="1">
      <c r="A365" s="493" t="s">
        <v>65</v>
      </c>
      <c r="B365" s="561"/>
      <c r="C365" s="561"/>
      <c r="D365" s="561"/>
      <c r="E365" s="561"/>
      <c r="F365" s="561"/>
      <c r="G365" s="561"/>
      <c r="H365" s="561"/>
      <c r="I365" s="561"/>
      <c r="J365" s="561"/>
      <c r="K365" s="561"/>
      <c r="L365" s="561"/>
      <c r="M365" s="561"/>
      <c r="N365" s="561"/>
      <c r="O365" s="561">
        <f t="shared" si="368"/>
        <v>-5.3016110902959879E-2</v>
      </c>
      <c r="P365" s="561">
        <f t="shared" si="368"/>
        <v>-7.8140454995054398E-2</v>
      </c>
      <c r="Q365" s="561">
        <f t="shared" si="368"/>
        <v>-8.6266094420600847E-2</v>
      </c>
      <c r="R365" s="561">
        <f t="shared" si="368"/>
        <v>-7.303898543917331E-2</v>
      </c>
      <c r="S365" s="561">
        <f t="shared" si="368"/>
        <v>-7.8287306815302715E-2</v>
      </c>
      <c r="T365" s="561"/>
      <c r="U365" s="561"/>
      <c r="V365" s="561"/>
      <c r="W365" s="561"/>
      <c r="X365" s="561"/>
      <c r="Y365" s="561"/>
      <c r="Z365" s="561"/>
      <c r="AA365" s="561"/>
      <c r="AB365" s="562"/>
      <c r="AC365" s="561"/>
      <c r="AD365" s="561"/>
      <c r="AE365" s="561"/>
      <c r="AF365" s="561"/>
      <c r="AG365" s="561"/>
      <c r="AH365" s="561"/>
      <c r="AI365" s="561"/>
      <c r="AJ365" s="561"/>
      <c r="AK365" s="561"/>
      <c r="AL365" s="561"/>
      <c r="AM365" s="561"/>
      <c r="AN365" s="561"/>
      <c r="AO365" s="561"/>
      <c r="AP365" s="561"/>
      <c r="AQ365" s="561"/>
      <c r="AR365" s="561"/>
      <c r="AS365" s="561"/>
      <c r="AT365" s="561"/>
      <c r="AU365" s="561"/>
      <c r="AV365" s="561"/>
      <c r="AW365" s="561"/>
      <c r="AX365" s="561"/>
      <c r="AY365" s="561"/>
      <c r="AZ365" s="561"/>
      <c r="BA365" s="561"/>
      <c r="BB365" s="561"/>
      <c r="BC365" s="561"/>
      <c r="BD365" s="561"/>
      <c r="BE365" s="561"/>
      <c r="BF365" s="561"/>
      <c r="BG365" s="561"/>
      <c r="BH365" s="561"/>
      <c r="BI365" s="561"/>
      <c r="BJ365" s="561"/>
      <c r="BK365" s="561"/>
      <c r="BL365" s="561"/>
      <c r="BM365" s="561">
        <f t="shared" si="369"/>
        <v>-4.3238993710691842E-2</v>
      </c>
      <c r="BN365" s="561">
        <f t="shared" si="369"/>
        <v>-5.1698670605612951E-2</v>
      </c>
      <c r="BO365" s="561">
        <f t="shared" si="369"/>
        <v>-4.542013626040875E-2</v>
      </c>
      <c r="BP365" s="561">
        <f t="shared" si="369"/>
        <v>-7.0452911574406918E-2</v>
      </c>
      <c r="BQ365" s="561">
        <f t="shared" si="369"/>
        <v>-7.5595727198027984E-2</v>
      </c>
      <c r="BR365" s="561">
        <f t="shared" si="369"/>
        <v>-7.0093457943925186E-2</v>
      </c>
      <c r="BS365" s="561">
        <f t="shared" si="369"/>
        <v>-6.7406819984139554E-2</v>
      </c>
      <c r="BT365" s="561">
        <f t="shared" si="369"/>
        <v>0.15158546017014696</v>
      </c>
      <c r="BU365" s="561">
        <f t="shared" si="369"/>
        <v>-6.2222222222222179E-2</v>
      </c>
      <c r="BV365" s="561">
        <f t="shared" si="369"/>
        <v>-6.2814070351758788E-2</v>
      </c>
      <c r="BW365" s="561">
        <f t="shared" si="369"/>
        <v>-0.12159863945578231</v>
      </c>
      <c r="BX365" s="561">
        <f t="shared" si="369"/>
        <v>-0.12088650100738751</v>
      </c>
      <c r="BY365" s="561">
        <f t="shared" si="369"/>
        <v>-0.10426540284360186</v>
      </c>
      <c r="BZ365" s="561">
        <f t="shared" si="369"/>
        <v>-8.0428954423592547E-3</v>
      </c>
      <c r="CA365" s="561">
        <f t="shared" si="369"/>
        <v>-4.259438528557602E-2</v>
      </c>
      <c r="CB365" s="561">
        <f t="shared" si="369"/>
        <v>-0.31016042780748665</v>
      </c>
      <c r="CC365" s="561">
        <f t="shared" si="369"/>
        <v>-6.8783068783068835E-2</v>
      </c>
      <c r="CD365" s="561">
        <f t="shared" si="369"/>
        <v>-0.18468468468468469</v>
      </c>
      <c r="CE365" s="561">
        <f t="shared" si="369"/>
        <v>-5.5611729019211298E-2</v>
      </c>
      <c r="CF365" s="561"/>
      <c r="CG365" s="561"/>
      <c r="CH365" s="561"/>
      <c r="CI365" s="561"/>
      <c r="CJ365" s="561"/>
    </row>
    <row r="366" spans="1:88" s="493" customFormat="1">
      <c r="A366" s="493" t="s">
        <v>66</v>
      </c>
      <c r="B366" s="561"/>
      <c r="C366" s="561"/>
      <c r="D366" s="561"/>
      <c r="E366" s="561"/>
      <c r="F366" s="561"/>
      <c r="G366" s="561"/>
      <c r="H366" s="561"/>
      <c r="I366" s="561"/>
      <c r="J366" s="561"/>
      <c r="K366" s="561"/>
      <c r="L366" s="561"/>
      <c r="M366" s="561"/>
      <c r="N366" s="561"/>
      <c r="O366" s="561">
        <f t="shared" si="368"/>
        <v>-2.2248844771521892E-3</v>
      </c>
      <c r="P366" s="561">
        <f t="shared" si="368"/>
        <v>-2.6072041166380844E-2</v>
      </c>
      <c r="Q366" s="561">
        <f t="shared" si="368"/>
        <v>-0.42585417400493131</v>
      </c>
      <c r="R366" s="561">
        <f t="shared" si="368"/>
        <v>-0.55674846625766872</v>
      </c>
      <c r="S366" s="561">
        <f t="shared" si="368"/>
        <v>-6.2283737024221408E-2</v>
      </c>
      <c r="T366" s="561"/>
      <c r="U366" s="561"/>
      <c r="V366" s="561"/>
      <c r="W366" s="561"/>
      <c r="X366" s="561"/>
      <c r="Y366" s="561"/>
      <c r="Z366" s="561"/>
      <c r="AA366" s="561"/>
      <c r="AB366" s="562"/>
      <c r="AC366" s="561"/>
      <c r="AD366" s="561"/>
      <c r="AE366" s="561"/>
      <c r="AF366" s="561"/>
      <c r="AG366" s="561"/>
      <c r="AH366" s="561"/>
      <c r="AI366" s="561"/>
      <c r="AJ366" s="561"/>
      <c r="AK366" s="561"/>
      <c r="AL366" s="561"/>
      <c r="AM366" s="561"/>
      <c r="AN366" s="561"/>
      <c r="AO366" s="561"/>
      <c r="AP366" s="561"/>
      <c r="AQ366" s="561"/>
      <c r="AR366" s="561"/>
      <c r="AS366" s="561"/>
      <c r="AT366" s="561"/>
      <c r="AU366" s="561"/>
      <c r="AV366" s="561"/>
      <c r="AW366" s="561"/>
      <c r="AX366" s="561"/>
      <c r="AY366" s="561"/>
      <c r="AZ366" s="561"/>
      <c r="BA366" s="561"/>
      <c r="BB366" s="561"/>
      <c r="BC366" s="561"/>
      <c r="BD366" s="561"/>
      <c r="BE366" s="561"/>
      <c r="BF366" s="561"/>
      <c r="BG366" s="561"/>
      <c r="BH366" s="561"/>
      <c r="BI366" s="561"/>
      <c r="BJ366" s="561"/>
      <c r="BK366" s="561"/>
      <c r="BL366" s="561"/>
      <c r="BM366" s="561">
        <f t="shared" si="369"/>
        <v>-1.3976240391334716E-2</v>
      </c>
      <c r="BN366" s="561">
        <f t="shared" si="369"/>
        <v>7.1707953063884222E-3</v>
      </c>
      <c r="BO366" s="561">
        <f t="shared" si="369"/>
        <v>3.4241245136186871E-2</v>
      </c>
      <c r="BP366" s="561">
        <f t="shared" si="369"/>
        <v>-3.0131826741996215E-2</v>
      </c>
      <c r="BQ366" s="561">
        <f t="shared" si="369"/>
        <v>-2.0552799433026236E-2</v>
      </c>
      <c r="BR366" s="561">
        <f t="shared" si="369"/>
        <v>-2.3300970873786353E-2</v>
      </c>
      <c r="BS366" s="561">
        <f t="shared" si="369"/>
        <v>-3.5364936042136974E-2</v>
      </c>
      <c r="BT366" s="561">
        <f t="shared" si="369"/>
        <v>0.36893203883495151</v>
      </c>
      <c r="BU366" s="561">
        <f t="shared" si="369"/>
        <v>-0.2127351664254703</v>
      </c>
      <c r="BV366" s="561">
        <f t="shared" si="369"/>
        <v>-9.9403578528827086E-2</v>
      </c>
      <c r="BW366" s="561">
        <f t="shared" si="369"/>
        <v>-0.73322932917316685</v>
      </c>
      <c r="BX366" s="561">
        <f t="shared" si="369"/>
        <v>-0.67612293144208035</v>
      </c>
      <c r="BY366" s="561">
        <f t="shared" si="369"/>
        <v>-0.64430147058823528</v>
      </c>
      <c r="BZ366" s="561">
        <f t="shared" si="369"/>
        <v>-0.70198675496688745</v>
      </c>
      <c r="CA366" s="561">
        <f t="shared" si="369"/>
        <v>-9.9415204678362623E-2</v>
      </c>
      <c r="CB366" s="561">
        <f t="shared" si="369"/>
        <v>-0.4963503649635036</v>
      </c>
      <c r="CC366" s="561">
        <f t="shared" si="369"/>
        <v>5.1679586563307511E-2</v>
      </c>
      <c r="CD366" s="561">
        <f t="shared" si="369"/>
        <v>-0.15555555555555556</v>
      </c>
      <c r="CE366" s="561">
        <f t="shared" si="369"/>
        <v>-8.4415584415584388E-2</v>
      </c>
      <c r="CF366" s="561"/>
      <c r="CG366" s="561"/>
      <c r="CH366" s="561"/>
      <c r="CI366" s="561"/>
      <c r="CJ366" s="561"/>
    </row>
    <row r="367" spans="1:88" s="493" customFormat="1">
      <c r="A367" s="493" t="s">
        <v>67</v>
      </c>
      <c r="B367" s="561"/>
      <c r="C367" s="561"/>
      <c r="D367" s="561"/>
      <c r="E367" s="561"/>
      <c r="F367" s="561"/>
      <c r="G367" s="561"/>
      <c r="H367" s="561"/>
      <c r="I367" s="561"/>
      <c r="J367" s="561"/>
      <c r="K367" s="561"/>
      <c r="L367" s="561"/>
      <c r="M367" s="561"/>
      <c r="N367" s="561"/>
      <c r="O367" s="561">
        <f t="shared" si="368"/>
        <v>-8.2681900180396894E-2</v>
      </c>
      <c r="P367" s="561">
        <f t="shared" si="368"/>
        <v>-2.4254342838413656E-2</v>
      </c>
      <c r="Q367" s="561">
        <f t="shared" si="368"/>
        <v>-0.10950621430970775</v>
      </c>
      <c r="R367" s="561">
        <f t="shared" si="368"/>
        <v>-0.16937004903809882</v>
      </c>
      <c r="S367" s="561">
        <f t="shared" si="368"/>
        <v>-7.7202543142597668E-2</v>
      </c>
      <c r="T367" s="561"/>
      <c r="U367" s="561"/>
      <c r="V367" s="561"/>
      <c r="W367" s="561"/>
      <c r="X367" s="561"/>
      <c r="Y367" s="561"/>
      <c r="Z367" s="561"/>
      <c r="AA367" s="561"/>
      <c r="AB367" s="562"/>
      <c r="AC367" s="561"/>
      <c r="AD367" s="561"/>
      <c r="AE367" s="561"/>
      <c r="AF367" s="561"/>
      <c r="AG367" s="561"/>
      <c r="AH367" s="561"/>
      <c r="AI367" s="561"/>
      <c r="AJ367" s="561"/>
      <c r="AK367" s="561"/>
      <c r="AL367" s="561"/>
      <c r="AM367" s="561"/>
      <c r="AN367" s="561"/>
      <c r="AO367" s="561"/>
      <c r="AP367" s="561"/>
      <c r="AQ367" s="561"/>
      <c r="AR367" s="561"/>
      <c r="AS367" s="561"/>
      <c r="AT367" s="561"/>
      <c r="AU367" s="561"/>
      <c r="AV367" s="561"/>
      <c r="AW367" s="561"/>
      <c r="AX367" s="561"/>
      <c r="AY367" s="561"/>
      <c r="AZ367" s="561"/>
      <c r="BA367" s="561"/>
      <c r="BB367" s="561"/>
      <c r="BC367" s="561"/>
      <c r="BD367" s="561"/>
      <c r="BE367" s="561"/>
      <c r="BF367" s="561"/>
      <c r="BG367" s="561"/>
      <c r="BH367" s="561"/>
      <c r="BI367" s="561"/>
      <c r="BJ367" s="561"/>
      <c r="BK367" s="561"/>
      <c r="BL367" s="561"/>
      <c r="BM367" s="561">
        <f t="shared" si="369"/>
        <v>-8.668341708542715E-2</v>
      </c>
      <c r="BN367" s="561">
        <f t="shared" si="369"/>
        <v>-0.1283482142857143</v>
      </c>
      <c r="BO367" s="561">
        <f t="shared" si="369"/>
        <v>-6.4676616915422924E-2</v>
      </c>
      <c r="BP367" s="561">
        <f t="shared" si="369"/>
        <v>-4.6987951807228923E-2</v>
      </c>
      <c r="BQ367" s="561">
        <f t="shared" si="369"/>
        <v>1.9257221458046869E-2</v>
      </c>
      <c r="BR367" s="561">
        <f t="shared" si="369"/>
        <v>1.6645326504481472E-2</v>
      </c>
      <c r="BS367" s="561">
        <f t="shared" si="369"/>
        <v>2.6595744680850686E-3</v>
      </c>
      <c r="BT367" s="561">
        <f t="shared" si="369"/>
        <v>-0.12895069532237668</v>
      </c>
      <c r="BU367" s="561">
        <f t="shared" si="369"/>
        <v>-0.13765182186234814</v>
      </c>
      <c r="BV367" s="561">
        <f t="shared" si="369"/>
        <v>-0.13350125944584379</v>
      </c>
      <c r="BW367" s="561">
        <f t="shared" si="369"/>
        <v>-0.15915119363395225</v>
      </c>
      <c r="BX367" s="561">
        <f t="shared" si="369"/>
        <v>1.4513788098693414E-3</v>
      </c>
      <c r="BY367" s="561">
        <f t="shared" si="369"/>
        <v>-0.22222222222222221</v>
      </c>
      <c r="BZ367" s="561">
        <f t="shared" si="369"/>
        <v>-0.12936046511627908</v>
      </c>
      <c r="CA367" s="561">
        <f t="shared" si="369"/>
        <v>-0.16403785488958988</v>
      </c>
      <c r="CB367" s="561">
        <f t="shared" si="369"/>
        <v>-0.16521739130434787</v>
      </c>
      <c r="CC367" s="561">
        <f t="shared" si="369"/>
        <v>2.0120724346076369E-2</v>
      </c>
      <c r="CD367" s="561">
        <f t="shared" si="369"/>
        <v>-8.1803005008347252E-2</v>
      </c>
      <c r="CE367" s="561">
        <f t="shared" si="369"/>
        <v>-0.10377358490566035</v>
      </c>
      <c r="CF367" s="561"/>
      <c r="CG367" s="561"/>
      <c r="CH367" s="561"/>
      <c r="CI367" s="561"/>
      <c r="CJ367" s="561"/>
    </row>
    <row r="368" spans="1:88" s="493" customFormat="1">
      <c r="A368" s="492" t="s">
        <v>69</v>
      </c>
      <c r="B368" s="561"/>
      <c r="C368" s="561"/>
      <c r="D368" s="561"/>
      <c r="E368" s="561"/>
      <c r="F368" s="561"/>
      <c r="G368" s="561"/>
      <c r="H368" s="561"/>
      <c r="I368" s="561"/>
      <c r="J368" s="561"/>
      <c r="K368" s="561"/>
      <c r="L368" s="561"/>
      <c r="M368" s="561"/>
      <c r="N368" s="561"/>
      <c r="O368" s="561"/>
      <c r="P368" s="561"/>
      <c r="Q368" s="561"/>
      <c r="R368" s="561"/>
      <c r="S368" s="561"/>
      <c r="T368" s="561"/>
      <c r="U368" s="561"/>
      <c r="V368" s="561"/>
      <c r="W368" s="561"/>
      <c r="X368" s="561"/>
      <c r="Y368" s="561"/>
      <c r="Z368" s="561"/>
      <c r="AA368" s="561"/>
      <c r="AB368" s="562"/>
      <c r="AC368" s="561"/>
      <c r="AD368" s="561"/>
      <c r="AE368" s="561"/>
      <c r="AF368" s="561"/>
      <c r="AG368" s="561"/>
      <c r="AH368" s="561"/>
      <c r="AI368" s="561"/>
      <c r="AJ368" s="561"/>
      <c r="AK368" s="561"/>
      <c r="AL368" s="561"/>
      <c r="AM368" s="561"/>
      <c r="AN368" s="561"/>
      <c r="AO368" s="561"/>
      <c r="AP368" s="561"/>
      <c r="AQ368" s="561"/>
      <c r="AR368" s="561"/>
      <c r="AS368" s="561"/>
      <c r="AT368" s="561"/>
      <c r="AU368" s="561"/>
      <c r="AV368" s="561"/>
      <c r="AW368" s="561"/>
      <c r="AX368" s="561"/>
      <c r="AY368" s="561"/>
      <c r="AZ368" s="561"/>
      <c r="BA368" s="561"/>
      <c r="BB368" s="561"/>
      <c r="BC368" s="561"/>
      <c r="BD368" s="561"/>
      <c r="BE368" s="561"/>
      <c r="BF368" s="561"/>
      <c r="BG368" s="561"/>
      <c r="BH368" s="561"/>
      <c r="BI368" s="561"/>
      <c r="BJ368" s="561"/>
      <c r="BK368" s="561"/>
      <c r="BL368" s="561"/>
      <c r="BM368" s="561"/>
      <c r="BN368" s="561"/>
      <c r="BO368" s="561"/>
      <c r="BP368" s="561"/>
      <c r="BQ368" s="561"/>
      <c r="BR368" s="561"/>
      <c r="BS368" s="561"/>
      <c r="BT368" s="561"/>
      <c r="BU368" s="561"/>
      <c r="BV368" s="561"/>
      <c r="BW368" s="561"/>
      <c r="BX368" s="561"/>
      <c r="BY368" s="561"/>
      <c r="BZ368" s="561"/>
      <c r="CA368" s="561"/>
      <c r="CB368" s="561"/>
      <c r="CC368" s="561"/>
      <c r="CD368" s="561"/>
      <c r="CE368" s="561"/>
      <c r="CF368" s="561"/>
      <c r="CG368" s="561"/>
      <c r="CH368" s="561"/>
      <c r="CI368" s="561"/>
      <c r="CJ368" s="561"/>
    </row>
    <row r="369" spans="1:89" s="493" customFormat="1">
      <c r="A369" s="493" t="s">
        <v>63</v>
      </c>
      <c r="B369" s="561"/>
      <c r="C369" s="561"/>
      <c r="D369" s="561"/>
      <c r="E369" s="561"/>
      <c r="F369" s="561"/>
      <c r="G369" s="561"/>
      <c r="H369" s="561"/>
      <c r="I369" s="561"/>
      <c r="J369" s="561"/>
      <c r="K369" s="561"/>
      <c r="L369" s="561"/>
      <c r="M369" s="561"/>
      <c r="N369" s="561"/>
      <c r="O369" s="563">
        <f t="shared" ref="O369:R373" si="370">+O356/SUM(O$356:O$360)</f>
        <v>0.33134083118501939</v>
      </c>
      <c r="P369" s="563">
        <f t="shared" si="370"/>
        <v>0.33608807382315148</v>
      </c>
      <c r="Q369" s="563">
        <f t="shared" si="370"/>
        <v>0.38443109731407749</v>
      </c>
      <c r="R369" s="563">
        <f t="shared" si="370"/>
        <v>0.40851753269297536</v>
      </c>
      <c r="S369" s="563">
        <f>+S356/SUM(S$356:S$360)</f>
        <v>0.41597157862218104</v>
      </c>
      <c r="T369" s="561"/>
      <c r="U369" s="561"/>
      <c r="V369" s="561"/>
      <c r="W369" s="561"/>
      <c r="X369" s="561"/>
      <c r="Y369" s="561"/>
      <c r="Z369" s="561"/>
      <c r="AA369" s="561"/>
      <c r="AB369" s="562"/>
      <c r="AC369" s="561"/>
      <c r="AD369" s="561"/>
      <c r="AE369" s="561"/>
      <c r="AF369" s="561"/>
      <c r="AG369" s="561"/>
      <c r="AH369" s="561"/>
      <c r="AI369" s="561"/>
      <c r="AJ369" s="561"/>
      <c r="AK369" s="561"/>
      <c r="AL369" s="561"/>
      <c r="AM369" s="561"/>
      <c r="AN369" s="561"/>
      <c r="AO369" s="561"/>
      <c r="AP369" s="561"/>
      <c r="AQ369" s="561"/>
      <c r="AR369" s="561"/>
      <c r="AS369" s="561"/>
      <c r="AT369" s="561"/>
      <c r="AU369" s="561"/>
      <c r="AV369" s="561"/>
      <c r="AW369" s="561"/>
      <c r="AX369" s="561"/>
      <c r="AY369" s="561"/>
      <c r="AZ369" s="561"/>
      <c r="BA369" s="561"/>
      <c r="BB369" s="561"/>
      <c r="BC369" s="561"/>
      <c r="BD369" s="561"/>
      <c r="BE369" s="561"/>
      <c r="BF369" s="561"/>
      <c r="BG369" s="561"/>
      <c r="BH369" s="561"/>
      <c r="BI369" s="561"/>
      <c r="BJ369" s="561"/>
      <c r="BK369" s="561"/>
      <c r="BL369" s="561"/>
      <c r="BM369" s="563">
        <f t="shared" ref="BM369:CB369" si="371">+BM356/SUM(BM$356:BM$360)</f>
        <v>0.32284995425434582</v>
      </c>
      <c r="BN369" s="563">
        <f t="shared" si="371"/>
        <v>0.34810936591041303</v>
      </c>
      <c r="BO369" s="563">
        <f t="shared" si="371"/>
        <v>0.34206798866855526</v>
      </c>
      <c r="BP369" s="563">
        <f t="shared" si="371"/>
        <v>0.31439713322091062</v>
      </c>
      <c r="BQ369" s="563">
        <f t="shared" si="371"/>
        <v>0.331906029394746</v>
      </c>
      <c r="BR369" s="563">
        <f t="shared" si="371"/>
        <v>0.35206258890469416</v>
      </c>
      <c r="BS369" s="563">
        <f t="shared" si="371"/>
        <v>0.34640758066450761</v>
      </c>
      <c r="BT369" s="563">
        <f t="shared" si="371"/>
        <v>0.2951615916308612</v>
      </c>
      <c r="BU369" s="563">
        <f t="shared" si="371"/>
        <v>0.35251892456277734</v>
      </c>
      <c r="BV369" s="563">
        <f t="shared" si="371"/>
        <v>0.37384153504764389</v>
      </c>
      <c r="BW369" s="563">
        <f t="shared" si="371"/>
        <v>0.42400350416119142</v>
      </c>
      <c r="BX369" s="563">
        <f t="shared" si="371"/>
        <v>0.36988847583643125</v>
      </c>
      <c r="BY369" s="563">
        <f t="shared" si="371"/>
        <v>0.3983664663276314</v>
      </c>
      <c r="BZ369" s="563">
        <f t="shared" si="371"/>
        <v>0.41933506971043361</v>
      </c>
      <c r="CA369" s="563">
        <f t="shared" si="371"/>
        <v>0.42010631644777985</v>
      </c>
      <c r="CB369" s="563">
        <f t="shared" si="371"/>
        <v>0.39640608201505145</v>
      </c>
      <c r="CC369" s="563">
        <f t="shared" ref="CC369:CD373" si="372">+CC356/SUM(CC$356:CC$360)</f>
        <v>0.39803554724041162</v>
      </c>
      <c r="CD369" s="563">
        <f t="shared" si="372"/>
        <v>0.43000334112930172</v>
      </c>
      <c r="CE369" s="563">
        <f>+CE356/SUM(CE$356:CE$360)</f>
        <v>0.43522205206738129</v>
      </c>
      <c r="CF369" s="563"/>
      <c r="CG369" s="563"/>
      <c r="CH369" s="563"/>
      <c r="CI369" s="563"/>
      <c r="CJ369" s="563"/>
    </row>
    <row r="370" spans="1:89" s="493" customFormat="1">
      <c r="A370" s="493" t="s">
        <v>64</v>
      </c>
      <c r="B370" s="561"/>
      <c r="C370" s="561"/>
      <c r="D370" s="561"/>
      <c r="E370" s="561"/>
      <c r="F370" s="561"/>
      <c r="G370" s="561"/>
      <c r="H370" s="561"/>
      <c r="I370" s="561"/>
      <c r="J370" s="561"/>
      <c r="K370" s="561"/>
      <c r="L370" s="561"/>
      <c r="M370" s="561"/>
      <c r="N370" s="561"/>
      <c r="O370" s="563">
        <f t="shared" si="370"/>
        <v>0.27386044930451287</v>
      </c>
      <c r="P370" s="563">
        <f t="shared" si="370"/>
        <v>0.27508468636841493</v>
      </c>
      <c r="Q370" s="563">
        <f t="shared" si="370"/>
        <v>0.27243892563098931</v>
      </c>
      <c r="R370" s="563">
        <f t="shared" si="370"/>
        <v>0.29853797785750108</v>
      </c>
      <c r="S370" s="563">
        <f>+S357/SUM(S$356:S$360)</f>
        <v>0.31275100401606426</v>
      </c>
      <c r="T370" s="561"/>
      <c r="U370" s="561"/>
      <c r="V370" s="561"/>
      <c r="W370" s="561"/>
      <c r="X370" s="561"/>
      <c r="Y370" s="561"/>
      <c r="Z370" s="561"/>
      <c r="AA370" s="561"/>
      <c r="AB370" s="562"/>
      <c r="AC370" s="561"/>
      <c r="AD370" s="561"/>
      <c r="AE370" s="561"/>
      <c r="AF370" s="561"/>
      <c r="AG370" s="561"/>
      <c r="AH370" s="561"/>
      <c r="AI370" s="561"/>
      <c r="AJ370" s="561"/>
      <c r="AK370" s="561"/>
      <c r="AL370" s="561"/>
      <c r="AM370" s="561"/>
      <c r="AN370" s="561"/>
      <c r="AO370" s="561"/>
      <c r="AP370" s="561"/>
      <c r="AQ370" s="561"/>
      <c r="AR370" s="561"/>
      <c r="AS370" s="561"/>
      <c r="AT370" s="561"/>
      <c r="AU370" s="561"/>
      <c r="AV370" s="561"/>
      <c r="AW370" s="561"/>
      <c r="AX370" s="561"/>
      <c r="AY370" s="561"/>
      <c r="AZ370" s="561"/>
      <c r="BA370" s="561"/>
      <c r="BB370" s="561"/>
      <c r="BC370" s="561"/>
      <c r="BD370" s="561"/>
      <c r="BE370" s="561"/>
      <c r="BF370" s="561"/>
      <c r="BG370" s="561"/>
      <c r="BH370" s="561"/>
      <c r="BI370" s="561"/>
      <c r="BJ370" s="561"/>
      <c r="BK370" s="561"/>
      <c r="BL370" s="561"/>
      <c r="BM370" s="563">
        <f t="shared" ref="BM370:CB370" si="373">+BM357/SUM(BM$356:BM$360)</f>
        <v>0.29345837145471182</v>
      </c>
      <c r="BN370" s="563">
        <f t="shared" si="373"/>
        <v>0.23187899941826642</v>
      </c>
      <c r="BO370" s="563">
        <f t="shared" si="373"/>
        <v>0.26345609065155806</v>
      </c>
      <c r="BP370" s="563">
        <f t="shared" si="373"/>
        <v>0.30311973018549748</v>
      </c>
      <c r="BQ370" s="563">
        <f t="shared" si="373"/>
        <v>0.2922115495891679</v>
      </c>
      <c r="BR370" s="563">
        <f t="shared" si="373"/>
        <v>0.23340445708866761</v>
      </c>
      <c r="BS370" s="563">
        <f t="shared" si="373"/>
        <v>0.26832193834712725</v>
      </c>
      <c r="BT370" s="563">
        <f t="shared" si="373"/>
        <v>0.30384830935923779</v>
      </c>
      <c r="BU370" s="563">
        <f t="shared" si="373"/>
        <v>0.28439049856434351</v>
      </c>
      <c r="BV370" s="563">
        <f t="shared" si="373"/>
        <v>0.21289648870904582</v>
      </c>
      <c r="BW370" s="563">
        <f t="shared" si="373"/>
        <v>0.2826690027741276</v>
      </c>
      <c r="BX370" s="563">
        <f t="shared" si="373"/>
        <v>0.31830855018587362</v>
      </c>
      <c r="BY370" s="563">
        <f t="shared" si="373"/>
        <v>0.3197719217136693</v>
      </c>
      <c r="BZ370" s="563">
        <f t="shared" si="373"/>
        <v>0.25677953117818292</v>
      </c>
      <c r="CA370" s="563">
        <f t="shared" si="373"/>
        <v>0.29424640400250157</v>
      </c>
      <c r="CB370" s="563">
        <f t="shared" si="373"/>
        <v>0.32345261864536939</v>
      </c>
      <c r="CC370" s="563">
        <f t="shared" si="372"/>
        <v>0.32226379794200188</v>
      </c>
      <c r="CD370" s="563">
        <f t="shared" si="372"/>
        <v>0.26979619111259606</v>
      </c>
      <c r="CE370" s="563">
        <f>+CE357/SUM(CE$356:CE$360)</f>
        <v>0.30581929555895865</v>
      </c>
      <c r="CF370" s="563"/>
      <c r="CG370" s="563"/>
      <c r="CH370" s="563"/>
      <c r="CI370" s="563"/>
      <c r="CJ370" s="563"/>
    </row>
    <row r="371" spans="1:89" s="493" customFormat="1">
      <c r="A371" s="493" t="s">
        <v>65</v>
      </c>
      <c r="B371" s="561"/>
      <c r="C371" s="561"/>
      <c r="D371" s="561"/>
      <c r="E371" s="561"/>
      <c r="F371" s="561"/>
      <c r="G371" s="561"/>
      <c r="H371" s="561"/>
      <c r="I371" s="561"/>
      <c r="J371" s="561"/>
      <c r="K371" s="561"/>
      <c r="L371" s="561"/>
      <c r="M371" s="561"/>
      <c r="N371" s="561"/>
      <c r="O371" s="563">
        <f t="shared" si="370"/>
        <v>0.14320518994872375</v>
      </c>
      <c r="P371" s="563">
        <f t="shared" si="370"/>
        <v>0.13608223338395048</v>
      </c>
      <c r="Q371" s="563">
        <f t="shared" si="370"/>
        <v>0.14367660952895128</v>
      </c>
      <c r="R371" s="563">
        <f t="shared" si="370"/>
        <v>0.15225861204335919</v>
      </c>
      <c r="S371" s="563">
        <f>+S358/SUM(S$356:S$360)</f>
        <v>0.1404850169910411</v>
      </c>
      <c r="T371" s="561"/>
      <c r="U371" s="561"/>
      <c r="V371" s="561"/>
      <c r="W371" s="561"/>
      <c r="X371" s="561"/>
      <c r="Y371" s="561"/>
      <c r="Z371" s="561"/>
      <c r="AA371" s="561"/>
      <c r="AB371" s="562"/>
      <c r="AC371" s="561"/>
      <c r="AD371" s="561"/>
      <c r="AE371" s="561"/>
      <c r="AF371" s="561"/>
      <c r="AG371" s="561"/>
      <c r="AH371" s="561"/>
      <c r="AI371" s="561"/>
      <c r="AJ371" s="561"/>
      <c r="AK371" s="561"/>
      <c r="AL371" s="561"/>
      <c r="AM371" s="561"/>
      <c r="AN371" s="561"/>
      <c r="AO371" s="561"/>
      <c r="AP371" s="561"/>
      <c r="AQ371" s="561"/>
      <c r="AR371" s="561"/>
      <c r="AS371" s="561"/>
      <c r="AT371" s="561"/>
      <c r="AU371" s="561"/>
      <c r="AV371" s="561"/>
      <c r="AW371" s="561"/>
      <c r="AX371" s="561"/>
      <c r="AY371" s="561"/>
      <c r="AZ371" s="561"/>
      <c r="BA371" s="561"/>
      <c r="BB371" s="561"/>
      <c r="BC371" s="561"/>
      <c r="BD371" s="561"/>
      <c r="BE371" s="561"/>
      <c r="BF371" s="561"/>
      <c r="BG371" s="561"/>
      <c r="BH371" s="561"/>
      <c r="BI371" s="561"/>
      <c r="BJ371" s="561"/>
      <c r="BK371" s="561"/>
      <c r="BL371" s="561"/>
      <c r="BM371" s="563">
        <f t="shared" ref="BM371:CB371" si="374">+BM358/SUM(BM$356:BM$360)</f>
        <v>0.1391811527904849</v>
      </c>
      <c r="BN371" s="563">
        <f t="shared" si="374"/>
        <v>0.1493891797556719</v>
      </c>
      <c r="BO371" s="563">
        <f t="shared" si="374"/>
        <v>0.14884324834749765</v>
      </c>
      <c r="BP371" s="563">
        <f t="shared" si="374"/>
        <v>0.13627740303541316</v>
      </c>
      <c r="BQ371" s="563">
        <f t="shared" si="374"/>
        <v>0.13019326466844117</v>
      </c>
      <c r="BR371" s="563">
        <f t="shared" si="374"/>
        <v>0.14153627311522049</v>
      </c>
      <c r="BS371" s="563">
        <f t="shared" si="374"/>
        <v>0.14105793450881612</v>
      </c>
      <c r="BT371" s="563">
        <f t="shared" si="374"/>
        <v>0.13908088922099757</v>
      </c>
      <c r="BU371" s="563">
        <f t="shared" si="374"/>
        <v>0.13769250848342468</v>
      </c>
      <c r="BV371" s="563">
        <f t="shared" si="374"/>
        <v>0.14606448244354522</v>
      </c>
      <c r="BW371" s="563">
        <f t="shared" si="374"/>
        <v>0.15082493794714558</v>
      </c>
      <c r="BX371" s="563">
        <f t="shared" si="374"/>
        <v>0.152067843866171</v>
      </c>
      <c r="BY371" s="563">
        <f t="shared" si="374"/>
        <v>0.14563106796116504</v>
      </c>
      <c r="BZ371" s="563">
        <f t="shared" si="374"/>
        <v>0.17006281599509729</v>
      </c>
      <c r="CA371" s="563">
        <f t="shared" si="374"/>
        <v>0.15462789243277048</v>
      </c>
      <c r="CB371" s="563">
        <f t="shared" si="374"/>
        <v>0.13868837352173247</v>
      </c>
      <c r="CC371" s="563">
        <f t="shared" si="372"/>
        <v>0.13719987527284067</v>
      </c>
      <c r="CD371" s="563">
        <f t="shared" si="372"/>
        <v>0.15118610090210491</v>
      </c>
      <c r="CE371" s="563">
        <f>+CE358/SUM(CE$356:CE$360)</f>
        <v>0.1430321592649311</v>
      </c>
      <c r="CF371" s="563"/>
      <c r="CG371" s="563"/>
      <c r="CH371" s="563"/>
      <c r="CI371" s="563"/>
      <c r="CJ371" s="563"/>
    </row>
    <row r="372" spans="1:89" s="493" customFormat="1">
      <c r="A372" s="493" t="s">
        <v>66</v>
      </c>
      <c r="B372" s="561"/>
      <c r="C372" s="561"/>
      <c r="D372" s="561"/>
      <c r="E372" s="561"/>
      <c r="F372" s="561"/>
      <c r="G372" s="561"/>
      <c r="H372" s="561"/>
      <c r="I372" s="561"/>
      <c r="J372" s="561"/>
      <c r="K372" s="561"/>
      <c r="L372" s="561"/>
      <c r="M372" s="561"/>
      <c r="N372" s="561"/>
      <c r="O372" s="563">
        <f t="shared" si="370"/>
        <v>0.16516048613275164</v>
      </c>
      <c r="P372" s="563">
        <f t="shared" si="370"/>
        <v>0.16581006891718258</v>
      </c>
      <c r="Q372" s="563">
        <f t="shared" si="370"/>
        <v>0.11000134970981239</v>
      </c>
      <c r="R372" s="563">
        <f t="shared" si="370"/>
        <v>5.5742005169154805E-2</v>
      </c>
      <c r="S372" s="563">
        <f>+S359/SUM(S$356:S$360)</f>
        <v>5.2324683348779731E-2</v>
      </c>
      <c r="T372" s="561"/>
      <c r="U372" s="561"/>
      <c r="V372" s="561"/>
      <c r="W372" s="561"/>
      <c r="X372" s="561"/>
      <c r="Y372" s="561"/>
      <c r="Z372" s="561"/>
      <c r="AA372" s="561"/>
      <c r="AB372" s="562"/>
      <c r="AC372" s="561"/>
      <c r="AD372" s="561"/>
      <c r="AE372" s="561"/>
      <c r="AF372" s="561"/>
      <c r="AG372" s="561"/>
      <c r="AH372" s="561"/>
      <c r="AI372" s="561"/>
      <c r="AJ372" s="561"/>
      <c r="AK372" s="561"/>
      <c r="AL372" s="561"/>
      <c r="AM372" s="561"/>
      <c r="AN372" s="561"/>
      <c r="AO372" s="561"/>
      <c r="AP372" s="561"/>
      <c r="AQ372" s="561"/>
      <c r="AR372" s="561"/>
      <c r="AS372" s="561"/>
      <c r="AT372" s="561"/>
      <c r="AU372" s="561"/>
      <c r="AV372" s="561"/>
      <c r="AW372" s="561"/>
      <c r="AX372" s="561"/>
      <c r="AY372" s="561"/>
      <c r="AZ372" s="561"/>
      <c r="BA372" s="561"/>
      <c r="BB372" s="561"/>
      <c r="BC372" s="561"/>
      <c r="BD372" s="561"/>
      <c r="BE372" s="561"/>
      <c r="BF372" s="561"/>
      <c r="BG372" s="561"/>
      <c r="BH372" s="561"/>
      <c r="BI372" s="561"/>
      <c r="BJ372" s="561"/>
      <c r="BK372" s="561"/>
      <c r="BL372" s="561"/>
      <c r="BM372" s="563">
        <f t="shared" ref="BM372:CB372" si="375">+BM359/SUM(BM$356:BM$360)</f>
        <v>0.16136779505946935</v>
      </c>
      <c r="BN372" s="563">
        <f t="shared" si="375"/>
        <v>0.17975567190226877</v>
      </c>
      <c r="BO372" s="563">
        <f t="shared" si="375"/>
        <v>0.15686968838526913</v>
      </c>
      <c r="BP372" s="563">
        <f t="shared" si="375"/>
        <v>0.16283726812816188</v>
      </c>
      <c r="BQ372" s="563">
        <f t="shared" si="375"/>
        <v>0.15993519268603171</v>
      </c>
      <c r="BR372" s="563">
        <f t="shared" si="375"/>
        <v>0.17887624466571836</v>
      </c>
      <c r="BS372" s="563">
        <f t="shared" si="375"/>
        <v>0.15377234017032507</v>
      </c>
      <c r="BT372" s="563">
        <f t="shared" si="375"/>
        <v>0.19755277414533906</v>
      </c>
      <c r="BU372" s="563">
        <f t="shared" si="375"/>
        <v>0.14199947794309581</v>
      </c>
      <c r="BV372" s="563">
        <f t="shared" si="375"/>
        <v>0.17739198538049863</v>
      </c>
      <c r="BW372" s="563">
        <f t="shared" si="375"/>
        <v>4.9934296977660969E-2</v>
      </c>
      <c r="BX372" s="563">
        <f t="shared" si="375"/>
        <v>7.9577137546468404E-2</v>
      </c>
      <c r="BY372" s="563">
        <f t="shared" si="375"/>
        <v>5.9639389736477116E-2</v>
      </c>
      <c r="BZ372" s="563">
        <f t="shared" si="375"/>
        <v>6.2049946376589553E-2</v>
      </c>
      <c r="CA372" s="563">
        <f t="shared" si="375"/>
        <v>4.8155096935584743E-2</v>
      </c>
      <c r="CB372" s="563">
        <f t="shared" si="375"/>
        <v>5.2987252342190143E-2</v>
      </c>
      <c r="CC372" s="563">
        <f t="shared" si="372"/>
        <v>6.3454942313688811E-2</v>
      </c>
      <c r="CD372" s="563">
        <f t="shared" si="372"/>
        <v>5.7133311059137985E-2</v>
      </c>
      <c r="CE372" s="563">
        <f>+CE359/SUM(CE$356:CE$360)</f>
        <v>4.3185298621745791E-2</v>
      </c>
      <c r="CF372" s="563"/>
      <c r="CG372" s="563"/>
      <c r="CH372" s="563"/>
      <c r="CI372" s="563"/>
      <c r="CJ372" s="563"/>
    </row>
    <row r="373" spans="1:89" s="493" customFormat="1">
      <c r="A373" s="493" t="s">
        <v>67</v>
      </c>
      <c r="B373" s="561"/>
      <c r="C373" s="561"/>
      <c r="D373" s="561"/>
      <c r="E373" s="561"/>
      <c r="F373" s="561"/>
      <c r="G373" s="561"/>
      <c r="H373" s="561"/>
      <c r="I373" s="561"/>
      <c r="J373" s="561"/>
      <c r="K373" s="561"/>
      <c r="L373" s="561"/>
      <c r="M373" s="561"/>
      <c r="N373" s="561"/>
      <c r="O373" s="563">
        <f t="shared" si="370"/>
        <v>8.6433043428992329E-2</v>
      </c>
      <c r="P373" s="563">
        <f t="shared" si="370"/>
        <v>8.6934937507300553E-2</v>
      </c>
      <c r="Q373" s="563">
        <f t="shared" si="370"/>
        <v>8.945201781616953E-2</v>
      </c>
      <c r="R373" s="563">
        <f t="shared" si="370"/>
        <v>8.494387223700961E-2</v>
      </c>
      <c r="S373" s="563">
        <f>+S360/SUM(S$356:S$360)</f>
        <v>7.8467717021933892E-2</v>
      </c>
      <c r="T373" s="561"/>
      <c r="U373" s="561"/>
      <c r="V373" s="561"/>
      <c r="W373" s="561"/>
      <c r="X373" s="561"/>
      <c r="Y373" s="561"/>
      <c r="Z373" s="561"/>
      <c r="AA373" s="561"/>
      <c r="AB373" s="562"/>
      <c r="AC373" s="561"/>
      <c r="AD373" s="561"/>
      <c r="AE373" s="561"/>
      <c r="AF373" s="561"/>
      <c r="AG373" s="561"/>
      <c r="AH373" s="561"/>
      <c r="AI373" s="561"/>
      <c r="AJ373" s="561"/>
      <c r="AK373" s="561"/>
      <c r="AL373" s="561"/>
      <c r="AM373" s="561"/>
      <c r="AN373" s="561"/>
      <c r="AO373" s="561"/>
      <c r="AP373" s="561"/>
      <c r="AQ373" s="561"/>
      <c r="AR373" s="561"/>
      <c r="AS373" s="561"/>
      <c r="AT373" s="561"/>
      <c r="AU373" s="561"/>
      <c r="AV373" s="561"/>
      <c r="AW373" s="561"/>
      <c r="AX373" s="561"/>
      <c r="AY373" s="561"/>
      <c r="AZ373" s="561"/>
      <c r="BA373" s="561"/>
      <c r="BB373" s="561"/>
      <c r="BC373" s="561"/>
      <c r="BD373" s="561"/>
      <c r="BE373" s="561"/>
      <c r="BF373" s="561"/>
      <c r="BG373" s="561"/>
      <c r="BH373" s="561"/>
      <c r="BI373" s="561"/>
      <c r="BJ373" s="561"/>
      <c r="BK373" s="561"/>
      <c r="BL373" s="561"/>
      <c r="BM373" s="563">
        <f t="shared" ref="BM373:CB373" si="376">+BM360/SUM(BM$356:BM$360)</f>
        <v>8.3142726440988107E-2</v>
      </c>
      <c r="BN373" s="563">
        <f t="shared" si="376"/>
        <v>9.0866783013379873E-2</v>
      </c>
      <c r="BO373" s="563">
        <f t="shared" si="376"/>
        <v>8.8762983947119928E-2</v>
      </c>
      <c r="BP373" s="563">
        <f t="shared" si="376"/>
        <v>8.3368465430016858E-2</v>
      </c>
      <c r="BQ373" s="563">
        <f t="shared" si="376"/>
        <v>8.5753963661613239E-2</v>
      </c>
      <c r="BR373" s="563">
        <f t="shared" si="376"/>
        <v>9.4120436225699378E-2</v>
      </c>
      <c r="BS373" s="563">
        <f t="shared" si="376"/>
        <v>9.0440206309223947E-2</v>
      </c>
      <c r="BT373" s="563">
        <f t="shared" si="376"/>
        <v>6.4356435643564358E-2</v>
      </c>
      <c r="BU373" s="563">
        <f t="shared" si="376"/>
        <v>8.3398590446358653E-2</v>
      </c>
      <c r="BV373" s="563">
        <f t="shared" si="376"/>
        <v>8.9805508419266419E-2</v>
      </c>
      <c r="BW373" s="563">
        <f t="shared" si="376"/>
        <v>9.2568258139874432E-2</v>
      </c>
      <c r="BX373" s="563">
        <f t="shared" si="376"/>
        <v>8.0157992565055763E-2</v>
      </c>
      <c r="BY373" s="563">
        <f t="shared" si="376"/>
        <v>7.6591154261057171E-2</v>
      </c>
      <c r="BZ373" s="563">
        <f t="shared" si="376"/>
        <v>9.1772636739696642E-2</v>
      </c>
      <c r="CA373" s="563">
        <f t="shared" si="376"/>
        <v>8.2864290181363348E-2</v>
      </c>
      <c r="CB373" s="563">
        <f t="shared" si="376"/>
        <v>8.8465673475656578E-2</v>
      </c>
      <c r="CC373" s="563">
        <f t="shared" si="372"/>
        <v>7.9045837231057056E-2</v>
      </c>
      <c r="CD373" s="563">
        <f t="shared" si="372"/>
        <v>9.1881055796859332E-2</v>
      </c>
      <c r="CE373" s="563">
        <f>+CE360/SUM(CE$356:CE$360)</f>
        <v>7.2741194486983157E-2</v>
      </c>
      <c r="CF373" s="563"/>
      <c r="CG373" s="563"/>
      <c r="CH373" s="563"/>
      <c r="CI373" s="563"/>
      <c r="CJ373" s="563"/>
    </row>
    <row r="374" spans="1:89" s="493" customFormat="1">
      <c r="B374" s="561"/>
      <c r="C374" s="561"/>
      <c r="D374" s="561"/>
      <c r="E374" s="561"/>
      <c r="F374" s="561"/>
      <c r="G374" s="561"/>
      <c r="H374" s="561"/>
      <c r="I374" s="561"/>
      <c r="J374" s="561"/>
      <c r="K374" s="561"/>
      <c r="L374" s="561"/>
      <c r="M374" s="561"/>
      <c r="N374" s="561"/>
      <c r="O374" s="561"/>
      <c r="P374" s="561"/>
      <c r="Q374" s="561"/>
      <c r="R374" s="561"/>
      <c r="S374" s="561"/>
      <c r="T374" s="561"/>
      <c r="U374" s="561"/>
      <c r="V374" s="561"/>
      <c r="W374" s="561"/>
      <c r="X374" s="561"/>
      <c r="Y374" s="561"/>
      <c r="Z374" s="561"/>
      <c r="AA374" s="561"/>
      <c r="AB374" s="562"/>
      <c r="AC374" s="561"/>
      <c r="AD374" s="561"/>
      <c r="AE374" s="561"/>
      <c r="AF374" s="561"/>
      <c r="AG374" s="561"/>
      <c r="AH374" s="561"/>
      <c r="AI374" s="561"/>
      <c r="AJ374" s="561"/>
      <c r="AK374" s="561"/>
      <c r="AL374" s="561"/>
      <c r="AM374" s="561"/>
      <c r="AN374" s="561"/>
      <c r="AO374" s="561"/>
      <c r="AP374" s="561"/>
      <c r="AQ374" s="561"/>
      <c r="AR374" s="561"/>
      <c r="AS374" s="561"/>
      <c r="AT374" s="561"/>
      <c r="AU374" s="561"/>
      <c r="AV374" s="561"/>
      <c r="AW374" s="561"/>
      <c r="AX374" s="561"/>
      <c r="AY374" s="561"/>
      <c r="AZ374" s="561"/>
      <c r="BA374" s="561"/>
      <c r="BB374" s="561"/>
      <c r="BC374" s="561"/>
      <c r="BD374" s="561"/>
      <c r="BE374" s="561"/>
      <c r="BF374" s="561"/>
      <c r="BG374" s="561"/>
      <c r="BH374" s="561"/>
      <c r="BI374" s="561"/>
      <c r="BJ374" s="561"/>
      <c r="BK374" s="561"/>
      <c r="BL374" s="561"/>
      <c r="BM374" s="561"/>
      <c r="BN374" s="561"/>
      <c r="BO374" s="561"/>
      <c r="BP374" s="561"/>
      <c r="BQ374" s="561"/>
      <c r="BR374" s="561"/>
      <c r="BS374" s="561"/>
      <c r="BT374" s="561"/>
      <c r="BU374" s="561"/>
      <c r="BV374" s="561"/>
      <c r="BW374" s="561"/>
      <c r="BX374" s="561"/>
      <c r="BY374" s="561"/>
      <c r="BZ374" s="561"/>
      <c r="CA374" s="561"/>
      <c r="CB374" s="561"/>
      <c r="CC374" s="561"/>
      <c r="CD374" s="561"/>
      <c r="CE374" s="561"/>
      <c r="CF374" s="561"/>
      <c r="CG374" s="561"/>
      <c r="CH374" s="561"/>
      <c r="CI374" s="561"/>
      <c r="CJ374" s="561"/>
    </row>
    <row r="375" spans="1:89" s="493" customFormat="1">
      <c r="A375" s="494" t="s">
        <v>72</v>
      </c>
      <c r="B375" s="567"/>
      <c r="C375" s="567"/>
      <c r="D375" s="567"/>
      <c r="E375" s="567"/>
      <c r="F375" s="567"/>
      <c r="G375" s="567"/>
      <c r="H375" s="567"/>
      <c r="I375" s="567"/>
      <c r="J375" s="567"/>
      <c r="K375" s="567"/>
      <c r="L375" s="567"/>
      <c r="M375" s="567"/>
      <c r="N375" s="567">
        <f>SUM(N376:N377)</f>
        <v>3.4851152695103103E-2</v>
      </c>
      <c r="O375" s="567">
        <f>SUM(O376:O377)</f>
        <v>2.233228670785644E-2</v>
      </c>
      <c r="P375" s="567">
        <f>SUM(P376:P377)</f>
        <v>1.3437510445566056E-3</v>
      </c>
      <c r="Q375" s="567">
        <f>SUM(Q376:Q377)</f>
        <v>4.0625592417061623E-3</v>
      </c>
      <c r="R375" s="567">
        <f>SUM(R376:R377)</f>
        <v>1.0403051245273177E-2</v>
      </c>
      <c r="S375" s="567"/>
      <c r="T375" s="567"/>
      <c r="U375" s="567"/>
      <c r="V375" s="567"/>
      <c r="W375" s="567"/>
      <c r="X375" s="567"/>
      <c r="Y375" s="567"/>
      <c r="Z375" s="567"/>
      <c r="AA375" s="567"/>
      <c r="AB375" s="568"/>
      <c r="AC375" s="567"/>
      <c r="AD375" s="567"/>
      <c r="AE375" s="567"/>
      <c r="AF375" s="567"/>
      <c r="AG375" s="567"/>
      <c r="AH375" s="567"/>
      <c r="AI375" s="567"/>
      <c r="AJ375" s="567"/>
      <c r="AK375" s="567"/>
      <c r="AL375" s="567"/>
      <c r="AM375" s="567"/>
      <c r="AN375" s="567"/>
      <c r="AO375" s="567"/>
      <c r="AP375" s="567"/>
      <c r="AQ375" s="567"/>
      <c r="AR375" s="567"/>
      <c r="AS375" s="567"/>
      <c r="AT375" s="567"/>
      <c r="AU375" s="567"/>
      <c r="AV375" s="567"/>
      <c r="AW375" s="567"/>
      <c r="AX375" s="567"/>
      <c r="AY375" s="567"/>
      <c r="AZ375" s="567"/>
      <c r="BA375" s="567"/>
      <c r="BB375" s="567"/>
      <c r="BC375" s="567"/>
      <c r="BD375" s="567"/>
      <c r="BE375" s="567"/>
      <c r="BF375" s="567"/>
      <c r="BG375" s="567"/>
      <c r="BH375" s="567"/>
      <c r="BI375" s="567">
        <f t="shared" ref="BI375:BV375" si="377">SUM(BI376:BI377)</f>
        <v>7.068676088837611E-2</v>
      </c>
      <c r="BJ375" s="567">
        <f t="shared" si="377"/>
        <v>3.5506324212700051E-2</v>
      </c>
      <c r="BK375" s="567">
        <f t="shared" si="377"/>
        <v>1.1119475604811462E-2</v>
      </c>
      <c r="BL375" s="567">
        <f t="shared" si="377"/>
        <v>2.54865481623829E-2</v>
      </c>
      <c r="BM375" s="567">
        <f t="shared" si="377"/>
        <v>2.0999040701658218E-2</v>
      </c>
      <c r="BN375" s="567">
        <f t="shared" si="377"/>
        <v>2.7098372060665087E-2</v>
      </c>
      <c r="BO375" s="567">
        <f t="shared" si="377"/>
        <v>3.1085511363636367E-2</v>
      </c>
      <c r="BP375" s="567">
        <f t="shared" si="377"/>
        <v>1.1690179122915378E-2</v>
      </c>
      <c r="BQ375" s="567">
        <f t="shared" si="377"/>
        <v>5.191668935475088E-3</v>
      </c>
      <c r="BR375" s="567">
        <f t="shared" si="377"/>
        <v>-7.3927783902976874E-3</v>
      </c>
      <c r="BS375" s="567">
        <f t="shared" si="377"/>
        <v>-2.0650474595198254E-3</v>
      </c>
      <c r="BT375" s="567">
        <f t="shared" si="377"/>
        <v>8.6491228070175348E-3</v>
      </c>
      <c r="BU375" s="567">
        <f t="shared" si="377"/>
        <v>-2.0757812500000021E-3</v>
      </c>
      <c r="BV375" s="567">
        <f t="shared" si="377"/>
        <v>-3.9675397718142574E-4</v>
      </c>
      <c r="BW375" s="567">
        <f t="shared" ref="BW375:CB375" si="378">SUM(BW376:BW377)</f>
        <v>8.2312307442840918E-3</v>
      </c>
      <c r="BX375" s="567">
        <f t="shared" si="378"/>
        <v>1.0391424196018373E-2</v>
      </c>
      <c r="BY375" s="567">
        <f t="shared" si="378"/>
        <v>1.8963671128107075E-2</v>
      </c>
      <c r="BZ375" s="567">
        <f t="shared" si="378"/>
        <v>2.9778218535881709E-3</v>
      </c>
      <c r="CA375" s="567">
        <f t="shared" si="378"/>
        <v>7.7466168091168078E-3</v>
      </c>
      <c r="CB375" s="567">
        <f t="shared" si="378"/>
        <v>6.2255158860137555E-3</v>
      </c>
      <c r="CC375" s="567"/>
      <c r="CD375" s="567"/>
      <c r="CE375" s="567"/>
      <c r="CF375" s="567"/>
      <c r="CG375" s="567"/>
      <c r="CH375" s="567"/>
      <c r="CI375" s="567"/>
      <c r="CJ375" s="567"/>
    </row>
    <row r="376" spans="1:89" s="493" customFormat="1" ht="12.75">
      <c r="A376" s="493" t="s">
        <v>73</v>
      </c>
      <c r="B376" s="561"/>
      <c r="C376" s="561"/>
      <c r="D376" s="561"/>
      <c r="E376" s="561"/>
      <c r="F376" s="561"/>
      <c r="G376" s="561"/>
      <c r="H376" s="561"/>
      <c r="I376" s="561"/>
      <c r="J376" s="561"/>
      <c r="K376" s="561"/>
      <c r="L376" s="561"/>
      <c r="M376" s="561"/>
      <c r="N376" s="563">
        <f t="shared" ref="N376:R377" si="379">SUM(N223,N210,N183,N170)/SUM(M$179,M$192,M$219,M$232)</f>
        <v>1.3977044759430395E-2</v>
      </c>
      <c r="O376" s="563">
        <f t="shared" si="379"/>
        <v>3.8454505553867445E-2</v>
      </c>
      <c r="P376" s="563">
        <f t="shared" si="379"/>
        <v>-1.7168967476685497E-2</v>
      </c>
      <c r="Q376" s="563">
        <f t="shared" si="379"/>
        <v>-2.0523391747295901E-2</v>
      </c>
      <c r="R376" s="563">
        <f t="shared" si="379"/>
        <v>9.7454687703742333E-3</v>
      </c>
      <c r="S376" s="561"/>
      <c r="T376" s="561"/>
      <c r="U376" s="561"/>
      <c r="V376" s="561"/>
      <c r="W376" s="561"/>
      <c r="X376" s="561"/>
      <c r="Y376" s="561"/>
      <c r="Z376" s="561"/>
      <c r="AA376" s="561"/>
      <c r="AB376" s="562"/>
      <c r="AC376" s="561"/>
      <c r="AD376" s="561"/>
      <c r="AE376" s="561"/>
      <c r="AF376" s="561"/>
      <c r="AG376" s="561"/>
      <c r="AH376" s="561"/>
      <c r="AI376" s="561"/>
      <c r="AJ376" s="561"/>
      <c r="AK376" s="561"/>
      <c r="AL376" s="561"/>
      <c r="AM376" s="561"/>
      <c r="AN376" s="561"/>
      <c r="AO376" s="561"/>
      <c r="AP376" s="561"/>
      <c r="AQ376" s="561"/>
      <c r="AR376" s="561"/>
      <c r="AS376" s="561"/>
      <c r="AT376" s="561"/>
      <c r="AU376" s="561"/>
      <c r="AV376" s="561"/>
      <c r="AW376" s="561"/>
      <c r="AX376" s="561"/>
      <c r="AY376" s="561"/>
      <c r="AZ376" s="561"/>
      <c r="BA376" s="561"/>
      <c r="BB376" s="561"/>
      <c r="BC376" s="561"/>
      <c r="BD376" s="561"/>
      <c r="BE376" s="561"/>
      <c r="BF376" s="561"/>
      <c r="BG376" s="561"/>
      <c r="BH376" s="561"/>
      <c r="BI376" s="563">
        <f t="shared" ref="BI376:BR377" si="380">SUM(BI223,BI210,BI183,BI170)/SUM(BE$179,BE$192,BE$219,BE$232)</f>
        <v>3.3072973752523792E-2</v>
      </c>
      <c r="BJ376" s="563">
        <f t="shared" si="380"/>
        <v>8.2679401135776873E-4</v>
      </c>
      <c r="BK376" s="563">
        <f t="shared" si="380"/>
        <v>1.0992025949452633E-3</v>
      </c>
      <c r="BL376" s="563">
        <f t="shared" si="380"/>
        <v>2.175510449195292E-2</v>
      </c>
      <c r="BM376" s="563">
        <f t="shared" si="380"/>
        <v>2.4266684939016035E-2</v>
      </c>
      <c r="BN376" s="563">
        <f t="shared" si="380"/>
        <v>4.7496173646862386E-2</v>
      </c>
      <c r="BO376" s="563">
        <f t="shared" si="380"/>
        <v>5.4944034090909095E-2</v>
      </c>
      <c r="BP376" s="563">
        <f t="shared" si="380"/>
        <v>2.8875725756639901E-2</v>
      </c>
      <c r="BQ376" s="563">
        <f t="shared" si="380"/>
        <v>6.0010890280424722E-3</v>
      </c>
      <c r="BR376" s="563">
        <f t="shared" si="380"/>
        <v>-1.5652839029768471E-2</v>
      </c>
      <c r="BS376" s="563">
        <f t="shared" ref="BS376:CB377" si="381">SUM(BS223,BS210,BS183,BS170)/SUM(BO$179,BO$192,BO$219,BO$232)</f>
        <v>-3.1239810161920716E-2</v>
      </c>
      <c r="BT376" s="563">
        <f t="shared" si="381"/>
        <v>-2.7033370138633297E-2</v>
      </c>
      <c r="BU376" s="563">
        <f t="shared" si="381"/>
        <v>-2.6024221417140829E-2</v>
      </c>
      <c r="BV376" s="563">
        <f t="shared" si="381"/>
        <v>-2.1712238787053029E-2</v>
      </c>
      <c r="BW376" s="563">
        <f t="shared" si="381"/>
        <v>-2.2575482406356415E-2</v>
      </c>
      <c r="BX376" s="563">
        <f t="shared" si="381"/>
        <v>-1.2061102603369065E-2</v>
      </c>
      <c r="BY376" s="563">
        <f t="shared" si="381"/>
        <v>7.2574309056144615E-3</v>
      </c>
      <c r="BZ376" s="563">
        <f t="shared" si="381"/>
        <v>1.0232600072124052E-3</v>
      </c>
      <c r="CA376" s="563">
        <f t="shared" si="381"/>
        <v>1.720281339031339E-2</v>
      </c>
      <c r="CB376" s="563">
        <f t="shared" si="381"/>
        <v>1.2758925646904683E-2</v>
      </c>
      <c r="CC376" s="563"/>
      <c r="CD376" s="563"/>
      <c r="CE376" s="563"/>
      <c r="CF376" s="563"/>
      <c r="CG376" s="563"/>
      <c r="CH376" s="563"/>
      <c r="CI376" s="563"/>
      <c r="CJ376" s="563"/>
      <c r="CK376" s="495"/>
    </row>
    <row r="377" spans="1:89" s="493" customFormat="1">
      <c r="A377" s="493" t="s">
        <v>42</v>
      </c>
      <c r="B377" s="561"/>
      <c r="C377" s="561"/>
      <c r="D377" s="561"/>
      <c r="E377" s="561"/>
      <c r="F377" s="561"/>
      <c r="G377" s="561"/>
      <c r="H377" s="561"/>
      <c r="I377" s="561"/>
      <c r="J377" s="561"/>
      <c r="K377" s="561"/>
      <c r="L377" s="561"/>
      <c r="M377" s="561"/>
      <c r="N377" s="563">
        <f t="shared" si="379"/>
        <v>2.0874107935672709E-2</v>
      </c>
      <c r="O377" s="563">
        <f t="shared" si="379"/>
        <v>-1.6122218846011005E-2</v>
      </c>
      <c r="P377" s="563">
        <f t="shared" si="379"/>
        <v>1.8512718521242102E-2</v>
      </c>
      <c r="Q377" s="563">
        <f t="shared" si="379"/>
        <v>2.4585950989002063E-2</v>
      </c>
      <c r="R377" s="563">
        <f t="shared" si="379"/>
        <v>6.5758247489894263E-4</v>
      </c>
      <c r="S377" s="561"/>
      <c r="T377" s="561"/>
      <c r="U377" s="561"/>
      <c r="V377" s="561"/>
      <c r="W377" s="561"/>
      <c r="X377" s="561"/>
      <c r="Y377" s="561"/>
      <c r="Z377" s="561"/>
      <c r="AA377" s="561"/>
      <c r="AB377" s="562"/>
      <c r="AC377" s="561"/>
      <c r="AD377" s="561"/>
      <c r="AE377" s="561"/>
      <c r="AF377" s="561"/>
      <c r="AG377" s="561"/>
      <c r="AH377" s="561"/>
      <c r="AI377" s="561"/>
      <c r="AJ377" s="561"/>
      <c r="AK377" s="561"/>
      <c r="AL377" s="561"/>
      <c r="AM377" s="561"/>
      <c r="AN377" s="561"/>
      <c r="AO377" s="561"/>
      <c r="AP377" s="561"/>
      <c r="AQ377" s="561"/>
      <c r="AR377" s="561"/>
      <c r="AS377" s="561"/>
      <c r="AT377" s="561"/>
      <c r="AU377" s="561"/>
      <c r="AV377" s="561"/>
      <c r="AW377" s="561"/>
      <c r="AX377" s="561"/>
      <c r="AY377" s="561"/>
      <c r="AZ377" s="561"/>
      <c r="BA377" s="561"/>
      <c r="BB377" s="561"/>
      <c r="BC377" s="561"/>
      <c r="BD377" s="561"/>
      <c r="BE377" s="561"/>
      <c r="BF377" s="561"/>
      <c r="BG377" s="561"/>
      <c r="BH377" s="561"/>
      <c r="BI377" s="563">
        <f t="shared" si="380"/>
        <v>3.7613787135852325E-2</v>
      </c>
      <c r="BJ377" s="563">
        <f t="shared" si="380"/>
        <v>3.4679530201342283E-2</v>
      </c>
      <c r="BK377" s="563">
        <f t="shared" si="380"/>
        <v>1.0020273009866198E-2</v>
      </c>
      <c r="BL377" s="563">
        <f t="shared" si="380"/>
        <v>3.7314436704299794E-3</v>
      </c>
      <c r="BM377" s="563">
        <f t="shared" si="380"/>
        <v>-3.2676442373578188E-3</v>
      </c>
      <c r="BN377" s="563">
        <f t="shared" si="380"/>
        <v>-2.0397801586197299E-2</v>
      </c>
      <c r="BO377" s="563">
        <f t="shared" si="380"/>
        <v>-2.3858522727272728E-2</v>
      </c>
      <c r="BP377" s="563">
        <f t="shared" si="380"/>
        <v>-1.7185546633724524E-2</v>
      </c>
      <c r="BQ377" s="563">
        <f t="shared" si="380"/>
        <v>-8.0942009256738381E-4</v>
      </c>
      <c r="BR377" s="563">
        <f t="shared" si="380"/>
        <v>8.2600606394707832E-3</v>
      </c>
      <c r="BS377" s="563">
        <f t="shared" si="381"/>
        <v>2.9174762702400891E-2</v>
      </c>
      <c r="BT377" s="563">
        <f t="shared" si="381"/>
        <v>3.5682492945650832E-2</v>
      </c>
      <c r="BU377" s="563">
        <f t="shared" si="381"/>
        <v>2.3948440167140827E-2</v>
      </c>
      <c r="BV377" s="563">
        <f t="shared" si="381"/>
        <v>2.1315484809871603E-2</v>
      </c>
      <c r="BW377" s="563">
        <f t="shared" si="381"/>
        <v>3.0806713150640506E-2</v>
      </c>
      <c r="BX377" s="563">
        <f t="shared" si="381"/>
        <v>2.2452526799387439E-2</v>
      </c>
      <c r="BY377" s="563">
        <f t="shared" si="381"/>
        <v>1.1706240222492613E-2</v>
      </c>
      <c r="BZ377" s="563">
        <f t="shared" si="381"/>
        <v>1.9545618463757655E-3</v>
      </c>
      <c r="CA377" s="563">
        <f t="shared" si="381"/>
        <v>-9.4561965811965822E-3</v>
      </c>
      <c r="CB377" s="563">
        <f t="shared" si="381"/>
        <v>-6.533409760890928E-3</v>
      </c>
      <c r="CC377" s="563"/>
      <c r="CD377" s="563"/>
      <c r="CE377" s="563"/>
      <c r="CF377" s="563"/>
      <c r="CG377" s="563"/>
      <c r="CH377" s="563"/>
      <c r="CI377" s="563"/>
      <c r="CJ377" s="563"/>
    </row>
    <row r="378" spans="1:89" s="493" customFormat="1">
      <c r="B378" s="561"/>
      <c r="C378" s="561"/>
      <c r="D378" s="561"/>
      <c r="E378" s="561"/>
      <c r="F378" s="561"/>
      <c r="G378" s="561"/>
      <c r="H378" s="561"/>
      <c r="I378" s="561"/>
      <c r="J378" s="561"/>
      <c r="K378" s="561"/>
      <c r="L378" s="561"/>
      <c r="M378" s="561"/>
      <c r="N378" s="561"/>
      <c r="O378" s="561"/>
      <c r="P378" s="561"/>
      <c r="Q378" s="561"/>
      <c r="R378" s="561"/>
      <c r="S378" s="561"/>
      <c r="T378" s="561"/>
      <c r="U378" s="561"/>
      <c r="V378" s="561"/>
      <c r="W378" s="561"/>
      <c r="X378" s="561"/>
      <c r="Y378" s="561"/>
      <c r="Z378" s="561"/>
      <c r="AA378" s="561"/>
      <c r="AB378" s="562"/>
      <c r="AC378" s="561"/>
      <c r="AD378" s="561"/>
      <c r="AE378" s="561"/>
      <c r="AF378" s="561"/>
      <c r="AG378" s="561"/>
      <c r="AH378" s="561"/>
      <c r="AI378" s="561"/>
      <c r="AJ378" s="561"/>
      <c r="AK378" s="561"/>
      <c r="AL378" s="561"/>
      <c r="AM378" s="561"/>
      <c r="AN378" s="561"/>
      <c r="AO378" s="561"/>
      <c r="AP378" s="561"/>
      <c r="AQ378" s="561"/>
      <c r="AR378" s="561"/>
      <c r="AS378" s="561"/>
      <c r="AT378" s="561"/>
      <c r="AU378" s="561"/>
      <c r="AV378" s="561"/>
      <c r="AW378" s="561"/>
      <c r="AX378" s="561"/>
      <c r="AY378" s="561"/>
      <c r="AZ378" s="561"/>
      <c r="BA378" s="561"/>
      <c r="BB378" s="561"/>
      <c r="BC378" s="561"/>
      <c r="BD378" s="561"/>
      <c r="BE378" s="561"/>
      <c r="BF378" s="561"/>
      <c r="BG378" s="561"/>
      <c r="BH378" s="561"/>
      <c r="BI378" s="561"/>
      <c r="BJ378" s="561"/>
      <c r="BK378" s="561"/>
      <c r="BL378" s="561"/>
      <c r="BM378" s="561"/>
      <c r="BN378" s="561"/>
      <c r="BO378" s="561"/>
      <c r="BP378" s="561"/>
      <c r="BQ378" s="561"/>
      <c r="BR378" s="561"/>
      <c r="BS378" s="561"/>
      <c r="BT378" s="561"/>
      <c r="BU378" s="561"/>
      <c r="BV378" s="561"/>
      <c r="BW378" s="561"/>
      <c r="BX378" s="561"/>
      <c r="BY378" s="561"/>
      <c r="BZ378" s="561"/>
      <c r="CA378" s="561"/>
      <c r="CB378" s="561"/>
      <c r="CC378" s="561"/>
      <c r="CD378" s="561"/>
      <c r="CE378" s="561"/>
      <c r="CF378" s="561"/>
      <c r="CG378" s="561"/>
      <c r="CH378" s="561"/>
      <c r="CI378" s="561"/>
      <c r="CJ378" s="561"/>
    </row>
    <row r="381" spans="1:89">
      <c r="A381" s="29" t="s">
        <v>74</v>
      </c>
    </row>
    <row r="382" spans="1:89">
      <c r="A382" s="2" t="s">
        <v>75</v>
      </c>
      <c r="P382" s="32" t="s">
        <v>76</v>
      </c>
      <c r="Q382" s="33" t="s">
        <v>77</v>
      </c>
      <c r="BU382" s="33">
        <v>0.1</v>
      </c>
      <c r="BV382" s="31" t="s">
        <v>78</v>
      </c>
      <c r="BW382" s="34" t="s">
        <v>77</v>
      </c>
      <c r="BY382" s="32" t="s">
        <v>557</v>
      </c>
    </row>
    <row r="383" spans="1:89">
      <c r="A383" s="2" t="s">
        <v>79</v>
      </c>
      <c r="P383" s="32" t="s">
        <v>76</v>
      </c>
      <c r="Q383" s="31" t="s">
        <v>80</v>
      </c>
      <c r="BU383" s="32" t="s">
        <v>81</v>
      </c>
      <c r="BV383" s="32" t="s">
        <v>82</v>
      </c>
      <c r="BW383" s="32" t="s">
        <v>82</v>
      </c>
      <c r="BY383" s="32" t="s">
        <v>561</v>
      </c>
    </row>
    <row r="384" spans="1:89">
      <c r="A384" s="2" t="s">
        <v>83</v>
      </c>
      <c r="P384" s="32" t="s">
        <v>84</v>
      </c>
      <c r="Q384" s="31" t="s">
        <v>85</v>
      </c>
      <c r="BU384" s="31" t="s">
        <v>85</v>
      </c>
      <c r="BV384" s="32" t="s">
        <v>82</v>
      </c>
      <c r="BW384" s="33">
        <v>0.06</v>
      </c>
      <c r="BY384" s="33">
        <v>0</v>
      </c>
    </row>
    <row r="385" spans="1:77">
      <c r="A385" s="2" t="s">
        <v>86</v>
      </c>
      <c r="P385" s="32" t="s">
        <v>76</v>
      </c>
      <c r="Q385" s="31" t="s">
        <v>87</v>
      </c>
      <c r="BU385" s="31" t="s">
        <v>77</v>
      </c>
      <c r="BV385" s="31" t="s">
        <v>88</v>
      </c>
      <c r="BW385" s="31" t="s">
        <v>87</v>
      </c>
      <c r="BY385" s="32" t="s">
        <v>76</v>
      </c>
    </row>
    <row r="386" spans="1:77">
      <c r="A386" s="2" t="s">
        <v>313</v>
      </c>
      <c r="BY386" s="32" t="s">
        <v>559</v>
      </c>
    </row>
    <row r="387" spans="1:77">
      <c r="A387" s="2" t="s">
        <v>558</v>
      </c>
      <c r="BY387" s="32" t="s">
        <v>560</v>
      </c>
    </row>
  </sheetData>
  <pageMargins left="0.75" right="0.75" top="1" bottom="1" header="0.5" footer="0.5"/>
  <pageSetup scale="53" orientation="landscape" r:id="rId1"/>
  <headerFooter alignWithMargins="0"/>
  <rowBreaks count="1" manualBreakCount="1">
    <brk id="126"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0000FF"/>
    <pageSetUpPr fitToPage="1"/>
  </sheetPr>
  <dimension ref="A1:IV435"/>
  <sheetViews>
    <sheetView showGridLines="0" zoomScaleNormal="100" workbookViewId="0">
      <pane xSplit="1" ySplit="8" topLeftCell="P9" activePane="bottomRight" state="frozen"/>
      <selection activeCell="G31" sqref="G31"/>
      <selection pane="topRight" activeCell="G31" sqref="G31"/>
      <selection pane="bottomLeft" activeCell="G31" sqref="G31"/>
      <selection pane="bottomRight" activeCell="T50" sqref="T50"/>
    </sheetView>
  </sheetViews>
  <sheetFormatPr defaultRowHeight="12.75" outlineLevelRow="1" outlineLevelCol="1"/>
  <cols>
    <col min="1" max="1" width="43.1640625" customWidth="1"/>
    <col min="2" max="15" width="10.1640625" hidden="1" customWidth="1" outlineLevel="1" collapsed="1"/>
    <col min="16" max="16" width="10.1640625" customWidth="1" collapsed="1"/>
    <col min="17" max="22" width="10.1640625" customWidth="1"/>
    <col min="23" max="27" width="10.1640625" hidden="1" customWidth="1" outlineLevel="1"/>
    <col min="28" max="28" width="2.83203125" style="69" customWidth="1" collapsed="1"/>
    <col min="29" max="57" width="10.1640625" hidden="1" customWidth="1" outlineLevel="1" collapsed="1"/>
    <col min="58" max="60" width="10.1640625" hidden="1" customWidth="1" outlineLevel="1"/>
    <col min="61" max="61" width="10.1640625" hidden="1" customWidth="1" outlineLevel="1" collapsed="1"/>
    <col min="62" max="64" width="10.1640625" hidden="1" customWidth="1" outlineLevel="1"/>
    <col min="65" max="65" width="10.1640625" hidden="1" customWidth="1" outlineLevel="1" collapsed="1"/>
    <col min="66" max="68" width="10.1640625" hidden="1" customWidth="1" outlineLevel="1"/>
    <col min="69" max="69" width="10.1640625" hidden="1" customWidth="1" outlineLevel="1" collapsed="1"/>
    <col min="70" max="72" width="10.1640625" hidden="1" customWidth="1" outlineLevel="1"/>
    <col min="73" max="73" width="10.1640625" hidden="1" customWidth="1" outlineLevel="1" collapsed="1"/>
    <col min="74" max="76" width="10.1640625" hidden="1" customWidth="1" outlineLevel="1"/>
    <col min="77" max="77" width="10.1640625" hidden="1" customWidth="1" outlineLevel="1" collapsed="1"/>
    <col min="78" max="80" width="10.1640625" hidden="1" customWidth="1" outlineLevel="1"/>
    <col min="81" max="81" width="10.1640625" customWidth="1" collapsed="1"/>
    <col min="82" max="88" width="10.1640625" customWidth="1"/>
    <col min="89" max="92" width="9.33203125" customWidth="1"/>
    <col min="93" max="93" width="4.1640625" customWidth="1"/>
    <col min="94" max="115" width="9.33203125" customWidth="1"/>
    <col min="116" max="130" width="9.33203125" style="238" customWidth="1"/>
  </cols>
  <sheetData>
    <row r="1" spans="1:136">
      <c r="A1" s="1" t="s">
        <v>89</v>
      </c>
      <c r="B1" s="35"/>
      <c r="C1" s="35"/>
      <c r="D1" s="35"/>
      <c r="E1" s="35"/>
      <c r="F1" s="35"/>
      <c r="G1" s="35"/>
      <c r="H1" s="35"/>
      <c r="I1" s="35"/>
      <c r="J1" s="35"/>
      <c r="K1" s="35"/>
      <c r="L1" s="35"/>
      <c r="M1" s="36"/>
      <c r="U1" s="35"/>
      <c r="V1" s="35"/>
      <c r="W1" s="35"/>
      <c r="X1" s="35"/>
      <c r="Y1" s="35"/>
      <c r="Z1" s="35"/>
      <c r="AA1" s="35"/>
      <c r="AB1" s="3"/>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8"/>
      <c r="BK1" s="37"/>
      <c r="BL1" s="37"/>
      <c r="BM1" s="37"/>
      <c r="BN1" s="37"/>
      <c r="BO1" s="37"/>
      <c r="BP1" s="37"/>
      <c r="BQ1" s="37"/>
      <c r="BR1" s="37"/>
      <c r="BS1" s="37"/>
      <c r="BT1" s="37"/>
      <c r="BU1" s="37"/>
      <c r="BV1" s="37"/>
      <c r="BW1" s="37"/>
      <c r="BY1" s="37"/>
      <c r="BZ1" s="37"/>
      <c r="CC1" s="37"/>
      <c r="CD1" s="37"/>
      <c r="CE1" s="37"/>
      <c r="CF1" s="580" t="s">
        <v>1</v>
      </c>
      <c r="CG1" s="37"/>
      <c r="CH1" s="37"/>
      <c r="CI1" s="37"/>
      <c r="CJ1" s="580"/>
      <c r="CL1" s="40"/>
      <c r="CO1" s="37"/>
      <c r="DK1" s="37"/>
      <c r="DL1" s="37"/>
      <c r="DM1" s="37"/>
      <c r="DN1" s="37"/>
      <c r="DO1" s="37"/>
      <c r="DP1" s="37"/>
      <c r="DQ1" s="37"/>
      <c r="DR1" s="37"/>
      <c r="DS1" s="37"/>
      <c r="DT1" s="37"/>
      <c r="DU1" s="37"/>
      <c r="DV1" s="37"/>
      <c r="DW1" s="37"/>
      <c r="DX1" s="37"/>
      <c r="DY1" s="37"/>
      <c r="DZ1" s="37"/>
    </row>
    <row r="2" spans="1:136">
      <c r="A2" s="2" t="s">
        <v>90</v>
      </c>
      <c r="B2" s="35"/>
      <c r="C2" s="35"/>
      <c r="D2" s="35"/>
      <c r="E2" s="35"/>
      <c r="F2" s="35"/>
      <c r="G2" s="35"/>
      <c r="H2" s="35"/>
      <c r="I2" s="35"/>
      <c r="J2" s="35"/>
      <c r="K2" s="35"/>
      <c r="L2" s="35"/>
      <c r="M2" s="40"/>
      <c r="R2" s="59"/>
      <c r="S2" s="59"/>
      <c r="T2" s="59"/>
      <c r="U2" s="59"/>
      <c r="V2" s="59"/>
      <c r="W2" s="59"/>
      <c r="X2" s="59"/>
      <c r="Y2" s="59"/>
      <c r="Z2" s="59"/>
      <c r="AA2" s="59"/>
      <c r="AB2" s="5"/>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37"/>
      <c r="BG2" s="37"/>
      <c r="BH2" s="37"/>
      <c r="BI2" s="37"/>
      <c r="BJ2" s="43"/>
      <c r="BK2" s="37"/>
      <c r="BL2" s="37"/>
      <c r="BM2" s="37"/>
      <c r="BN2" s="37"/>
      <c r="BO2" s="37"/>
      <c r="BP2" s="37"/>
      <c r="BQ2" s="37"/>
      <c r="BR2" s="37"/>
      <c r="BS2" s="37"/>
      <c r="BT2" s="37"/>
      <c r="BU2" s="37"/>
      <c r="BV2" s="44"/>
      <c r="BW2" s="44"/>
      <c r="BY2" s="37"/>
      <c r="BZ2" s="37"/>
      <c r="CC2" s="37"/>
      <c r="CD2" s="37"/>
      <c r="CE2" s="37"/>
      <c r="CF2" s="580" t="s">
        <v>3</v>
      </c>
      <c r="CG2" s="37"/>
      <c r="CH2" s="37"/>
      <c r="CI2" s="37"/>
      <c r="CJ2" s="580"/>
      <c r="CK2" s="45"/>
      <c r="CL2" s="45"/>
      <c r="CO2" s="37"/>
      <c r="DK2" s="37"/>
      <c r="DL2" s="37"/>
      <c r="DM2" s="37"/>
      <c r="DN2" s="37"/>
      <c r="DO2" s="37"/>
      <c r="DP2" s="37"/>
      <c r="DQ2" s="37"/>
      <c r="DR2" s="37"/>
      <c r="DS2" s="37"/>
      <c r="DT2" s="37"/>
      <c r="DU2" s="37"/>
      <c r="DV2" s="37"/>
      <c r="DW2" s="37"/>
      <c r="DX2" s="37"/>
      <c r="DY2" s="37"/>
      <c r="DZ2" s="37"/>
    </row>
    <row r="3" spans="1:136">
      <c r="A3" s="46"/>
      <c r="B3" s="40"/>
      <c r="C3" s="40"/>
      <c r="D3" s="40"/>
      <c r="E3" s="40"/>
      <c r="F3" s="40"/>
      <c r="G3" s="40"/>
      <c r="H3" s="40"/>
      <c r="I3" s="40"/>
      <c r="J3" s="40"/>
      <c r="K3" s="40"/>
      <c r="L3" s="40"/>
      <c r="M3" s="40"/>
      <c r="P3" s="47"/>
      <c r="Q3" s="47"/>
      <c r="R3" s="606"/>
      <c r="S3" s="606"/>
      <c r="T3" s="153"/>
      <c r="U3" s="606"/>
      <c r="V3" s="606"/>
      <c r="W3" s="606"/>
      <c r="X3" s="606"/>
      <c r="Y3" s="606"/>
      <c r="Z3" s="606"/>
      <c r="AA3" s="606"/>
      <c r="AB3" s="49"/>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37"/>
      <c r="BG3" s="37"/>
      <c r="BH3" s="37"/>
      <c r="BI3" s="37"/>
      <c r="BJ3" s="37"/>
      <c r="BK3" s="37"/>
      <c r="BL3" s="37"/>
      <c r="BM3" s="44"/>
      <c r="BN3" s="50"/>
      <c r="BO3" s="37"/>
      <c r="BP3" s="37"/>
      <c r="BQ3" s="51"/>
      <c r="BR3" s="37"/>
      <c r="BS3" s="37"/>
      <c r="BT3" s="37"/>
      <c r="BU3" s="37"/>
      <c r="BV3" s="44"/>
      <c r="BW3" s="44"/>
      <c r="BY3" s="37"/>
      <c r="BZ3" s="37"/>
      <c r="CC3" s="37"/>
      <c r="CD3" s="37"/>
      <c r="CE3" s="37"/>
      <c r="CF3" s="580" t="s">
        <v>4</v>
      </c>
      <c r="CG3" s="37"/>
      <c r="CH3" s="37"/>
      <c r="CI3" s="37"/>
      <c r="CJ3" s="580"/>
      <c r="CK3" s="38"/>
      <c r="CL3" s="38"/>
      <c r="CO3" s="37"/>
      <c r="DK3" s="37"/>
      <c r="DL3" s="37"/>
      <c r="DM3" s="37"/>
      <c r="DN3" s="37"/>
      <c r="DO3" s="37"/>
      <c r="DP3" s="37"/>
      <c r="DQ3" s="37"/>
      <c r="DR3" s="37"/>
      <c r="DS3" s="37"/>
      <c r="DT3" s="37"/>
      <c r="DU3" s="37"/>
      <c r="DV3" s="37"/>
      <c r="DW3" s="37"/>
      <c r="DX3" s="37"/>
      <c r="DY3" s="37"/>
      <c r="DZ3" s="37"/>
    </row>
    <row r="4" spans="1:136">
      <c r="A4" s="52"/>
      <c r="B4" s="53"/>
      <c r="C4" s="53"/>
      <c r="D4" s="53"/>
      <c r="E4" s="53"/>
      <c r="F4" s="53"/>
      <c r="G4" s="53"/>
      <c r="H4" s="53"/>
      <c r="I4" s="53"/>
      <c r="J4" s="53"/>
      <c r="K4" s="53"/>
      <c r="L4" s="53"/>
      <c r="M4" s="50"/>
      <c r="P4" s="48"/>
      <c r="Q4" s="710"/>
      <c r="R4" s="710"/>
      <c r="S4" s="47"/>
      <c r="T4" s="47"/>
      <c r="U4" s="48"/>
      <c r="V4" s="57"/>
      <c r="W4" s="48"/>
      <c r="X4" s="48"/>
      <c r="Y4" s="48"/>
      <c r="Z4" s="48"/>
      <c r="AA4" s="48"/>
      <c r="AB4" s="55"/>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37"/>
      <c r="BG4" s="56"/>
      <c r="BH4" s="37"/>
      <c r="BI4" s="37"/>
      <c r="BJ4" s="43"/>
      <c r="BK4" s="37"/>
      <c r="BL4" s="37"/>
      <c r="BM4" s="37"/>
      <c r="BN4" s="37"/>
      <c r="BO4" s="37"/>
      <c r="BP4" s="43"/>
      <c r="BQ4" s="57"/>
      <c r="BR4" s="50"/>
      <c r="BS4" s="58"/>
      <c r="BT4" s="59"/>
      <c r="BU4" s="57"/>
      <c r="BV4" s="60"/>
      <c r="BW4" s="60"/>
      <c r="BY4" s="59"/>
      <c r="BZ4" s="59"/>
      <c r="CC4" s="59"/>
      <c r="CD4" s="59"/>
      <c r="CE4" s="59"/>
      <c r="CF4" s="706" t="s">
        <v>5</v>
      </c>
      <c r="CG4" s="59"/>
      <c r="CH4" s="59"/>
      <c r="CI4" s="59"/>
      <c r="CJ4" s="706"/>
      <c r="CK4" s="38"/>
      <c r="CL4" s="38"/>
      <c r="CO4" s="37"/>
      <c r="DK4" s="37"/>
      <c r="DL4" s="50"/>
      <c r="DM4" s="37"/>
      <c r="DN4" s="37"/>
      <c r="DO4" s="37"/>
      <c r="DP4" s="37"/>
      <c r="DQ4" s="37"/>
      <c r="DR4" s="37"/>
      <c r="DS4" s="37"/>
      <c r="DT4" s="37"/>
      <c r="DU4" s="37"/>
      <c r="DV4" s="37"/>
      <c r="DW4" s="37"/>
      <c r="DX4" s="37"/>
      <c r="DY4" s="37"/>
      <c r="DZ4" s="37"/>
    </row>
    <row r="5" spans="1:136">
      <c r="A5" s="61"/>
      <c r="B5" s="62"/>
      <c r="C5" s="62"/>
      <c r="D5" s="62"/>
      <c r="E5" s="62"/>
      <c r="F5" s="62"/>
      <c r="G5" s="62" t="s">
        <v>91</v>
      </c>
      <c r="H5" s="62" t="s">
        <v>91</v>
      </c>
      <c r="I5" s="62" t="s">
        <v>91</v>
      </c>
      <c r="J5" s="62" t="s">
        <v>91</v>
      </c>
      <c r="K5" s="62"/>
      <c r="L5" s="62"/>
      <c r="M5" s="44"/>
      <c r="P5" s="476"/>
      <c r="Q5" s="50"/>
      <c r="R5" s="472"/>
      <c r="S5" s="47"/>
      <c r="T5" s="47"/>
      <c r="U5" s="47"/>
      <c r="V5" s="47"/>
      <c r="W5" s="54"/>
      <c r="X5" s="54"/>
      <c r="Y5" s="54"/>
      <c r="Z5" s="54"/>
      <c r="AA5" s="54"/>
      <c r="AB5" s="63"/>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37"/>
      <c r="BG5" s="56"/>
      <c r="BH5" s="43"/>
      <c r="BI5" s="64"/>
      <c r="BJ5" s="64"/>
      <c r="BK5" s="64"/>
      <c r="BL5" s="43"/>
      <c r="BM5" s="43"/>
      <c r="BN5" s="65"/>
      <c r="BO5" s="66"/>
      <c r="BQ5" s="44"/>
      <c r="BR5" s="44"/>
      <c r="BS5" s="44"/>
      <c r="BT5" s="44"/>
      <c r="BU5" s="65"/>
      <c r="BV5" s="59"/>
      <c r="BW5" s="59"/>
      <c r="BY5" s="50"/>
      <c r="BZ5" s="50"/>
      <c r="CA5" s="58"/>
      <c r="CB5" s="58"/>
      <c r="CC5" s="59"/>
      <c r="CD5" s="59"/>
      <c r="CE5" s="59"/>
      <c r="CF5" s="59"/>
      <c r="CG5" s="59"/>
      <c r="CH5" s="59"/>
      <c r="CI5" s="59"/>
      <c r="CJ5" s="59"/>
      <c r="CK5" s="38"/>
      <c r="CL5" s="38"/>
      <c r="CO5" s="37"/>
      <c r="DK5" s="37"/>
      <c r="DL5" s="67"/>
      <c r="DM5" s="67"/>
      <c r="DN5" s="67"/>
      <c r="DO5" s="67"/>
      <c r="DP5" s="67"/>
      <c r="DQ5" s="67"/>
      <c r="DR5" s="67"/>
      <c r="DS5" s="67"/>
      <c r="DT5" s="67"/>
      <c r="DU5" s="67"/>
      <c r="DV5" s="67"/>
      <c r="DW5" s="67"/>
      <c r="DX5" s="67"/>
      <c r="DY5" s="67"/>
      <c r="DZ5" s="67"/>
    </row>
    <row r="6" spans="1:136" s="69" customFormat="1">
      <c r="A6" s="42"/>
      <c r="B6" s="68"/>
      <c r="C6" s="68"/>
      <c r="D6" s="68"/>
      <c r="E6" s="68"/>
      <c r="F6" s="68"/>
      <c r="G6" s="68"/>
      <c r="H6" s="68"/>
      <c r="I6" s="68"/>
      <c r="J6" s="68"/>
      <c r="K6" s="68"/>
      <c r="L6" s="68"/>
      <c r="M6" s="68"/>
      <c r="P6" s="70"/>
      <c r="Q6" s="572"/>
      <c r="R6" s="38"/>
      <c r="S6" s="38"/>
      <c r="T6" s="38"/>
      <c r="U6" s="38"/>
      <c r="V6" s="703"/>
      <c r="W6" s="703"/>
      <c r="X6" s="703"/>
      <c r="Y6" s="703"/>
      <c r="Z6" s="703"/>
      <c r="AA6" s="703"/>
      <c r="AB6" s="42"/>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BC6" s="68"/>
      <c r="BD6" s="68"/>
      <c r="BE6" s="68"/>
      <c r="BF6" s="37"/>
      <c r="BG6" s="37"/>
      <c r="BH6" s="37"/>
      <c r="BI6" s="37"/>
      <c r="BJ6" s="37"/>
      <c r="BK6" s="37"/>
      <c r="BL6" s="37"/>
      <c r="BM6" s="37"/>
      <c r="BN6" s="37"/>
      <c r="BO6" s="37"/>
      <c r="BP6" s="37"/>
      <c r="BQ6" s="44"/>
      <c r="BR6" s="44"/>
      <c r="BS6" s="44"/>
      <c r="BT6" s="44"/>
      <c r="BU6" s="70"/>
      <c r="BV6" s="723"/>
      <c r="BW6" s="723"/>
      <c r="BX6" s="723"/>
      <c r="BY6" s="91"/>
      <c r="BZ6" s="724"/>
      <c r="CA6" s="260"/>
      <c r="CB6" s="260"/>
      <c r="CC6" s="59"/>
      <c r="CD6" s="59"/>
      <c r="CE6" s="59"/>
      <c r="CF6" s="59"/>
      <c r="CG6" s="59"/>
      <c r="CH6" s="59"/>
      <c r="CI6" s="59"/>
      <c r="CJ6" s="59"/>
      <c r="CK6" s="38"/>
      <c r="CL6" s="38"/>
      <c r="CO6" s="37"/>
      <c r="DK6" s="71"/>
      <c r="DL6" s="37"/>
      <c r="DM6" s="37"/>
      <c r="DN6" s="37"/>
      <c r="DO6" s="37"/>
      <c r="DP6" s="37"/>
      <c r="DQ6" s="37"/>
      <c r="DR6" s="37"/>
      <c r="DS6" s="37"/>
      <c r="DT6" s="37"/>
      <c r="DU6" s="37"/>
      <c r="DV6" s="37"/>
      <c r="DW6" s="37"/>
      <c r="DX6" s="37"/>
      <c r="DY6" s="37"/>
      <c r="DZ6" s="37"/>
      <c r="EA6"/>
      <c r="EB6"/>
      <c r="EC6"/>
      <c r="ED6"/>
      <c r="EE6"/>
      <c r="EF6"/>
    </row>
    <row r="7" spans="1:136" ht="12.75" hidden="1" customHeight="1" outlineLevel="1">
      <c r="A7" s="72"/>
      <c r="B7" s="73">
        <v>36891</v>
      </c>
      <c r="C7" s="73">
        <v>37256</v>
      </c>
      <c r="D7" s="73">
        <v>37621</v>
      </c>
      <c r="E7" s="73">
        <v>37986</v>
      </c>
      <c r="F7" s="73">
        <v>38352</v>
      </c>
      <c r="G7" s="73">
        <v>38717</v>
      </c>
      <c r="H7" s="73">
        <v>39082</v>
      </c>
      <c r="I7" s="73">
        <v>39447</v>
      </c>
      <c r="J7" s="73">
        <v>39813</v>
      </c>
      <c r="K7" s="73">
        <v>40178</v>
      </c>
      <c r="L7" s="73">
        <v>40543</v>
      </c>
      <c r="M7" s="73">
        <v>40908</v>
      </c>
      <c r="N7" s="73" t="s">
        <v>92</v>
      </c>
      <c r="O7" s="73" t="s">
        <v>93</v>
      </c>
      <c r="P7" s="73" t="s">
        <v>94</v>
      </c>
      <c r="Q7" s="73" t="s">
        <v>95</v>
      </c>
      <c r="R7" s="73" t="s">
        <v>96</v>
      </c>
      <c r="S7" s="73" t="s">
        <v>97</v>
      </c>
      <c r="T7" s="73" t="s">
        <v>98</v>
      </c>
      <c r="U7" s="73" t="s">
        <v>99</v>
      </c>
      <c r="V7" s="73" t="s">
        <v>100</v>
      </c>
      <c r="W7" s="73" t="s">
        <v>100</v>
      </c>
      <c r="X7" s="73" t="s">
        <v>100</v>
      </c>
      <c r="Y7" s="73" t="s">
        <v>100</v>
      </c>
      <c r="Z7" s="73" t="s">
        <v>100</v>
      </c>
      <c r="AA7" s="73" t="s">
        <v>100</v>
      </c>
      <c r="AB7" s="74"/>
      <c r="AC7" s="75">
        <v>38077</v>
      </c>
      <c r="AD7" s="75">
        <v>38168</v>
      </c>
      <c r="AE7" s="75">
        <v>38260</v>
      </c>
      <c r="AF7" s="75">
        <v>38352</v>
      </c>
      <c r="AG7" s="75">
        <v>38442</v>
      </c>
      <c r="AH7" s="75">
        <v>38533</v>
      </c>
      <c r="AI7" s="75">
        <v>38625</v>
      </c>
      <c r="AJ7" s="75">
        <v>38717</v>
      </c>
      <c r="AK7" s="75">
        <v>38807</v>
      </c>
      <c r="AL7" s="75">
        <v>38898</v>
      </c>
      <c r="AM7" s="75">
        <v>38990</v>
      </c>
      <c r="AN7" s="75">
        <v>39082</v>
      </c>
      <c r="AO7" s="75">
        <v>39172</v>
      </c>
      <c r="AP7" s="75">
        <v>39263</v>
      </c>
      <c r="AQ7" s="75">
        <v>39355</v>
      </c>
      <c r="AR7" s="75">
        <v>39447</v>
      </c>
      <c r="AS7" s="75">
        <v>39538</v>
      </c>
      <c r="AT7" s="75" t="s">
        <v>101</v>
      </c>
      <c r="AU7" s="75" t="s">
        <v>102</v>
      </c>
      <c r="AV7" s="75" t="s">
        <v>103</v>
      </c>
      <c r="AW7" s="75"/>
      <c r="AX7" s="75"/>
      <c r="AY7" s="75"/>
      <c r="AZ7" s="75"/>
      <c r="BA7" s="75"/>
      <c r="BB7" s="75"/>
      <c r="BC7" s="75"/>
      <c r="BD7" s="75"/>
      <c r="BE7" s="75"/>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O7" s="77"/>
      <c r="DK7" s="78"/>
      <c r="DL7" s="77"/>
      <c r="DM7" s="77"/>
      <c r="DN7" s="77"/>
      <c r="DO7" s="77"/>
      <c r="DP7" s="77"/>
      <c r="DQ7" s="77"/>
      <c r="DR7" s="77"/>
      <c r="DS7" s="77"/>
      <c r="DT7" s="77"/>
      <c r="DU7" s="77"/>
      <c r="DV7" s="77"/>
      <c r="DW7" s="77"/>
      <c r="DX7" s="77"/>
      <c r="DY7" s="77"/>
      <c r="DZ7" s="77"/>
    </row>
    <row r="8" spans="1:136" s="82" customFormat="1" collapsed="1">
      <c r="A8" s="79" t="s">
        <v>6</v>
      </c>
      <c r="B8" s="13">
        <v>2000</v>
      </c>
      <c r="C8" s="13">
        <v>2001</v>
      </c>
      <c r="D8" s="13">
        <v>2002</v>
      </c>
      <c r="E8" s="13">
        <v>2003</v>
      </c>
      <c r="F8" s="13">
        <v>2004</v>
      </c>
      <c r="G8" s="13">
        <v>2005</v>
      </c>
      <c r="H8" s="13">
        <v>2006</v>
      </c>
      <c r="I8" s="13">
        <v>2007</v>
      </c>
      <c r="J8" s="13">
        <v>2008</v>
      </c>
      <c r="K8" s="13" t="s">
        <v>104</v>
      </c>
      <c r="L8" s="13">
        <v>2010</v>
      </c>
      <c r="M8" s="13">
        <v>2011</v>
      </c>
      <c r="N8" s="13">
        <v>2012</v>
      </c>
      <c r="O8" s="599">
        <v>2013</v>
      </c>
      <c r="P8" s="599">
        <v>2014</v>
      </c>
      <c r="Q8" s="599">
        <v>2015</v>
      </c>
      <c r="R8" s="599">
        <v>2016</v>
      </c>
      <c r="S8" s="599">
        <v>2017</v>
      </c>
      <c r="T8" s="599" t="s">
        <v>105</v>
      </c>
      <c r="U8" s="599" t="s">
        <v>106</v>
      </c>
      <c r="V8" s="599" t="s">
        <v>107</v>
      </c>
      <c r="W8" s="599" t="s">
        <v>108</v>
      </c>
      <c r="X8" s="599" t="s">
        <v>109</v>
      </c>
      <c r="Y8" s="599" t="s">
        <v>110</v>
      </c>
      <c r="Z8" s="599" t="s">
        <v>111</v>
      </c>
      <c r="AA8" s="599" t="s">
        <v>112</v>
      </c>
      <c r="AB8" s="80"/>
      <c r="AC8" s="81" t="s">
        <v>7</v>
      </c>
      <c r="AD8" s="81" t="s">
        <v>8</v>
      </c>
      <c r="AE8" s="81" t="s">
        <v>9</v>
      </c>
      <c r="AF8" s="81" t="s">
        <v>10</v>
      </c>
      <c r="AG8" s="81" t="s">
        <v>11</v>
      </c>
      <c r="AH8" s="81" t="s">
        <v>12</v>
      </c>
      <c r="AI8" s="81" t="s">
        <v>13</v>
      </c>
      <c r="AJ8" s="81" t="s">
        <v>14</v>
      </c>
      <c r="AK8" s="81" t="s">
        <v>15</v>
      </c>
      <c r="AL8" s="81" t="s">
        <v>16</v>
      </c>
      <c r="AM8" s="81" t="s">
        <v>17</v>
      </c>
      <c r="AN8" s="81" t="s">
        <v>18</v>
      </c>
      <c r="AO8" s="81" t="s">
        <v>19</v>
      </c>
      <c r="AP8" s="81" t="s">
        <v>20</v>
      </c>
      <c r="AQ8" s="81" t="s">
        <v>21</v>
      </c>
      <c r="AR8" s="81" t="s">
        <v>22</v>
      </c>
      <c r="AS8" s="81" t="s">
        <v>23</v>
      </c>
      <c r="AT8" s="81" t="s">
        <v>24</v>
      </c>
      <c r="AU8" s="81" t="s">
        <v>25</v>
      </c>
      <c r="AV8" s="81" t="s">
        <v>26</v>
      </c>
      <c r="AW8" s="81" t="s">
        <v>27</v>
      </c>
      <c r="AX8" s="81" t="s">
        <v>28</v>
      </c>
      <c r="AY8" s="81" t="s">
        <v>29</v>
      </c>
      <c r="AZ8" s="81" t="s">
        <v>30</v>
      </c>
      <c r="BA8" s="81" t="s">
        <v>31</v>
      </c>
      <c r="BB8" s="81" t="s">
        <v>32</v>
      </c>
      <c r="BC8" s="81" t="s">
        <v>33</v>
      </c>
      <c r="BD8" s="81" t="s">
        <v>34</v>
      </c>
      <c r="BE8" s="81" t="s">
        <v>35</v>
      </c>
      <c r="BF8" s="81" t="s">
        <v>36</v>
      </c>
      <c r="BG8" s="81" t="s">
        <v>37</v>
      </c>
      <c r="BH8" s="81" t="s">
        <v>38</v>
      </c>
      <c r="BI8" s="81" t="s">
        <v>113</v>
      </c>
      <c r="BJ8" s="81" t="s">
        <v>114</v>
      </c>
      <c r="BK8" s="81" t="s">
        <v>115</v>
      </c>
      <c r="BL8" s="81" t="s">
        <v>116</v>
      </c>
      <c r="BM8" s="81" t="s">
        <v>117</v>
      </c>
      <c r="BN8" s="81" t="s">
        <v>118</v>
      </c>
      <c r="BO8" s="81" t="s">
        <v>119</v>
      </c>
      <c r="BP8" s="81" t="s">
        <v>120</v>
      </c>
      <c r="BQ8" s="81" t="s">
        <v>121</v>
      </c>
      <c r="BR8" s="81" t="s">
        <v>122</v>
      </c>
      <c r="BS8" s="81" t="s">
        <v>123</v>
      </c>
      <c r="BT8" s="81" t="s">
        <v>124</v>
      </c>
      <c r="BU8" s="598" t="s">
        <v>125</v>
      </c>
      <c r="BV8" s="598" t="s">
        <v>126</v>
      </c>
      <c r="BW8" s="598" t="s">
        <v>127</v>
      </c>
      <c r="BX8" s="598" t="s">
        <v>128</v>
      </c>
      <c r="BY8" s="598" t="s">
        <v>541</v>
      </c>
      <c r="BZ8" s="598" t="s">
        <v>542</v>
      </c>
      <c r="CA8" s="598" t="s">
        <v>543</v>
      </c>
      <c r="CB8" s="598" t="s">
        <v>544</v>
      </c>
      <c r="CC8" s="598" t="s">
        <v>583</v>
      </c>
      <c r="CD8" s="598" t="s">
        <v>584</v>
      </c>
      <c r="CE8" s="598" t="s">
        <v>585</v>
      </c>
      <c r="CF8" s="598" t="s">
        <v>586</v>
      </c>
      <c r="CG8" s="598" t="s">
        <v>579</v>
      </c>
      <c r="CH8" s="598" t="s">
        <v>580</v>
      </c>
      <c r="CI8" s="598" t="s">
        <v>581</v>
      </c>
      <c r="CJ8" s="598" t="s">
        <v>582</v>
      </c>
      <c r="CO8" s="83"/>
      <c r="DK8" s="84"/>
      <c r="DL8" s="85"/>
      <c r="DM8" s="85"/>
      <c r="DN8" s="85"/>
      <c r="DO8" s="85"/>
      <c r="DP8" s="85"/>
      <c r="DQ8" s="85"/>
      <c r="DR8" s="85"/>
      <c r="DS8" s="85"/>
      <c r="DT8" s="85"/>
      <c r="DU8" s="85"/>
      <c r="DV8" s="85"/>
      <c r="DW8" s="86"/>
      <c r="DX8" s="84"/>
      <c r="DY8" s="84"/>
      <c r="DZ8" s="84"/>
      <c r="EA8"/>
      <c r="EB8"/>
      <c r="EC8"/>
      <c r="ED8"/>
      <c r="EE8"/>
      <c r="EF8"/>
    </row>
    <row r="9" spans="1:136" s="90" customFormat="1" ht="6" customHeight="1">
      <c r="A9" s="87"/>
      <c r="B9" s="88"/>
      <c r="C9" s="88"/>
      <c r="D9" s="88"/>
      <c r="E9" s="88"/>
      <c r="F9" s="88"/>
      <c r="G9" s="88"/>
      <c r="H9" s="88"/>
      <c r="I9" s="88"/>
      <c r="J9" s="88"/>
      <c r="K9" s="88"/>
      <c r="L9" s="88"/>
      <c r="M9" s="39"/>
      <c r="N9" s="39"/>
      <c r="O9" s="39"/>
      <c r="P9" s="89"/>
      <c r="Q9" s="87"/>
      <c r="R9" s="87"/>
      <c r="S9" s="87"/>
      <c r="T9" s="87"/>
      <c r="U9" s="87"/>
      <c r="V9" s="87"/>
      <c r="W9" s="87"/>
      <c r="X9" s="87"/>
      <c r="Y9" s="87"/>
      <c r="Z9" s="87"/>
      <c r="AA9" s="87"/>
      <c r="AB9" s="87"/>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39"/>
      <c r="BH9" s="39"/>
      <c r="BI9" s="39"/>
      <c r="BJ9" s="39"/>
      <c r="BK9" s="39"/>
      <c r="BL9" s="39"/>
      <c r="BM9" s="39"/>
      <c r="BN9" s="39"/>
      <c r="BO9" s="39"/>
      <c r="BP9" s="39"/>
      <c r="BQ9" s="39"/>
      <c r="BR9" s="39"/>
      <c r="BS9" s="39"/>
      <c r="BT9" s="39"/>
      <c r="BU9" s="39"/>
      <c r="BV9" s="39"/>
      <c r="BW9" s="39"/>
      <c r="BX9" s="39"/>
      <c r="BY9" s="39"/>
      <c r="BZ9" s="39"/>
      <c r="CA9" s="39"/>
      <c r="CB9" s="39"/>
      <c r="CF9" s="39"/>
      <c r="CG9" s="39"/>
      <c r="CH9" s="39"/>
      <c r="CI9" s="39"/>
      <c r="CJ9" s="39"/>
      <c r="CO9" s="39"/>
      <c r="DK9" s="39"/>
      <c r="DL9" s="39"/>
      <c r="DM9" s="39"/>
      <c r="DN9" s="39"/>
      <c r="DO9" s="39"/>
      <c r="DP9" s="39"/>
      <c r="DQ9" s="91"/>
      <c r="DR9" s="39"/>
      <c r="DS9" s="39"/>
      <c r="DT9" s="39"/>
      <c r="DU9" s="39"/>
      <c r="DV9" s="39"/>
      <c r="DW9" s="39"/>
      <c r="DX9" s="39"/>
      <c r="DY9" s="39"/>
      <c r="DZ9" s="39"/>
      <c r="EA9"/>
      <c r="EB9"/>
      <c r="EC9"/>
      <c r="ED9"/>
      <c r="EE9"/>
      <c r="EF9"/>
    </row>
    <row r="10" spans="1:136" s="90" customFormat="1">
      <c r="A10" s="93" t="s">
        <v>129</v>
      </c>
      <c r="B10" s="93">
        <v>29667</v>
      </c>
      <c r="C10" s="93">
        <v>29364.794000000002</v>
      </c>
      <c r="D10" s="93">
        <v>29723</v>
      </c>
      <c r="E10" s="93">
        <v>31010</v>
      </c>
      <c r="F10" s="93">
        <v>32168</v>
      </c>
      <c r="G10" s="93">
        <v>34113</v>
      </c>
      <c r="H10" s="93">
        <v>34356</v>
      </c>
      <c r="I10" s="93">
        <v>19942</v>
      </c>
      <c r="J10" s="93">
        <v>24224</v>
      </c>
      <c r="K10" s="93">
        <v>23108</v>
      </c>
      <c r="L10" s="93">
        <f>+L159</f>
        <v>31489</v>
      </c>
      <c r="M10" s="93">
        <f>+M159</f>
        <v>35810</v>
      </c>
      <c r="N10" s="93">
        <f>+N159</f>
        <v>35015</v>
      </c>
      <c r="O10" s="93">
        <f>+O159</f>
        <v>35299</v>
      </c>
      <c r="P10" s="93">
        <f>+P159</f>
        <v>29708</v>
      </c>
      <c r="Q10" s="93">
        <f>+Q144</f>
        <v>26211</v>
      </c>
      <c r="R10" s="93">
        <f>+R144</f>
        <v>25270</v>
      </c>
      <c r="S10" s="93">
        <f t="shared" ref="S10:AA10" si="0">+S144</f>
        <v>25626</v>
      </c>
      <c r="T10" s="93">
        <f t="shared" ca="1" si="0"/>
        <v>26914.720815258828</v>
      </c>
      <c r="U10" s="93">
        <f t="shared" ca="1" si="0"/>
        <v>27562.431522368257</v>
      </c>
      <c r="V10" s="93">
        <f t="shared" ca="1" si="0"/>
        <v>28353.743498129828</v>
      </c>
      <c r="W10" s="93">
        <f t="shared" ca="1" si="0"/>
        <v>29264.453931995518</v>
      </c>
      <c r="X10" s="93">
        <f t="shared" ca="1" si="0"/>
        <v>30174.701768154526</v>
      </c>
      <c r="Y10" s="93">
        <f t="shared" ca="1" si="0"/>
        <v>31086.258951019481</v>
      </c>
      <c r="Z10" s="93">
        <f t="shared" ca="1" si="0"/>
        <v>32000.93044051859</v>
      </c>
      <c r="AA10" s="93">
        <f t="shared" ca="1" si="0"/>
        <v>32920.542227121507</v>
      </c>
      <c r="AB10" s="93"/>
      <c r="AC10" s="93">
        <v>2283</v>
      </c>
      <c r="AD10" s="93">
        <v>2495</v>
      </c>
      <c r="AE10" s="93">
        <v>2347</v>
      </c>
      <c r="AF10" s="93">
        <v>2983</v>
      </c>
      <c r="AG10" s="93">
        <v>2506</v>
      </c>
      <c r="AH10" s="93">
        <v>2583</v>
      </c>
      <c r="AI10" s="93">
        <v>2506</v>
      </c>
      <c r="AJ10" s="93">
        <v>3225</v>
      </c>
      <c r="AK10" s="93">
        <v>2480</v>
      </c>
      <c r="AL10" s="93">
        <v>2674</v>
      </c>
      <c r="AM10" s="93">
        <v>2652</v>
      </c>
      <c r="AN10" s="93">
        <v>3432</v>
      </c>
      <c r="AO10" s="93">
        <v>2830</v>
      </c>
      <c r="AP10" s="93">
        <v>3080</v>
      </c>
      <c r="AQ10" s="93">
        <v>3119</v>
      </c>
      <c r="AR10" s="93">
        <v>3997</v>
      </c>
      <c r="AS10" s="93">
        <v>4274</v>
      </c>
      <c r="AT10" s="93">
        <v>4629</v>
      </c>
      <c r="AU10" s="93">
        <v>4473</v>
      </c>
      <c r="AV10" s="93">
        <v>4600</v>
      </c>
      <c r="AW10" s="93">
        <v>3680</v>
      </c>
      <c r="AX10" s="93">
        <v>3985</v>
      </c>
      <c r="AY10" s="93">
        <v>4025</v>
      </c>
      <c r="AZ10" s="93">
        <v>5034</v>
      </c>
      <c r="BA10" s="93">
        <v>5630</v>
      </c>
      <c r="BB10" s="93">
        <v>6092</v>
      </c>
      <c r="BC10" s="93">
        <v>5941</v>
      </c>
      <c r="BD10" s="93">
        <v>7529</v>
      </c>
      <c r="BE10" s="93">
        <f t="shared" ref="BE10:BT10" si="1">+BE159</f>
        <v>8190</v>
      </c>
      <c r="BF10" s="93">
        <f t="shared" si="1"/>
        <v>9163</v>
      </c>
      <c r="BG10" s="93">
        <f t="shared" si="1"/>
        <v>8778</v>
      </c>
      <c r="BH10" s="93">
        <f t="shared" si="1"/>
        <v>9679</v>
      </c>
      <c r="BI10" s="93">
        <f t="shared" si="1"/>
        <v>8667</v>
      </c>
      <c r="BJ10" s="93">
        <f t="shared" si="1"/>
        <v>8527</v>
      </c>
      <c r="BK10" s="93">
        <f t="shared" si="1"/>
        <v>8326</v>
      </c>
      <c r="BL10" s="93">
        <f t="shared" si="1"/>
        <v>9495</v>
      </c>
      <c r="BM10" s="93">
        <f t="shared" si="1"/>
        <v>8744</v>
      </c>
      <c r="BN10" s="93">
        <f t="shared" si="1"/>
        <v>8595</v>
      </c>
      <c r="BO10" s="93">
        <f t="shared" si="1"/>
        <v>8472</v>
      </c>
      <c r="BP10" s="93">
        <f t="shared" si="1"/>
        <v>9488</v>
      </c>
      <c r="BQ10" s="93">
        <f t="shared" si="1"/>
        <v>7518</v>
      </c>
      <c r="BR10" s="93">
        <f t="shared" si="1"/>
        <v>7309</v>
      </c>
      <c r="BS10" s="93">
        <f t="shared" si="1"/>
        <v>7290</v>
      </c>
      <c r="BT10" s="93">
        <f t="shared" si="1"/>
        <v>7591</v>
      </c>
      <c r="BU10" s="93">
        <f t="shared" ref="BU10:CB10" si="2">+BU144</f>
        <v>6655</v>
      </c>
      <c r="BV10" s="93">
        <f t="shared" si="2"/>
        <v>6346</v>
      </c>
      <c r="BW10" s="93">
        <f t="shared" si="2"/>
        <v>6396</v>
      </c>
      <c r="BX10" s="93">
        <f t="shared" si="2"/>
        <v>6814</v>
      </c>
      <c r="BY10" s="93">
        <f t="shared" si="2"/>
        <v>6308</v>
      </c>
      <c r="BZ10" s="93">
        <f t="shared" si="2"/>
        <v>6149</v>
      </c>
      <c r="CA10" s="93">
        <f t="shared" si="2"/>
        <v>6235</v>
      </c>
      <c r="CB10" s="93">
        <f t="shared" si="2"/>
        <v>6578</v>
      </c>
      <c r="CC10" s="93">
        <f t="shared" ref="CC10:CJ10" si="3">+CC144</f>
        <v>6278</v>
      </c>
      <c r="CD10" s="93">
        <f t="shared" si="3"/>
        <v>5876</v>
      </c>
      <c r="CE10" s="93">
        <f t="shared" si="3"/>
        <v>6512</v>
      </c>
      <c r="CF10" s="93">
        <f t="shared" si="3"/>
        <v>6960</v>
      </c>
      <c r="CG10" s="93">
        <f t="shared" si="3"/>
        <v>6708.8030285608711</v>
      </c>
      <c r="CH10" s="93">
        <f t="shared" si="3"/>
        <v>6323.653786697957</v>
      </c>
      <c r="CI10" s="93">
        <f t="shared" ca="1" si="3"/>
        <v>6700.5010000000002</v>
      </c>
      <c r="CJ10" s="93">
        <f t="shared" si="3"/>
        <v>7181.7629999999999</v>
      </c>
      <c r="CO10" s="94"/>
      <c r="DK10" s="94"/>
      <c r="DL10" s="95"/>
      <c r="DM10" s="95"/>
      <c r="DN10" s="95"/>
      <c r="DO10" s="94"/>
      <c r="DP10" s="95"/>
      <c r="DQ10" s="96"/>
      <c r="DR10" s="95"/>
      <c r="DS10" s="95"/>
      <c r="DT10" s="95"/>
      <c r="DU10" s="95"/>
      <c r="DV10" s="95"/>
      <c r="DW10" s="94"/>
      <c r="DX10" s="95"/>
      <c r="DY10" s="95"/>
      <c r="DZ10" s="95"/>
      <c r="EA10"/>
      <c r="EB10"/>
      <c r="EC10"/>
      <c r="ED10"/>
      <c r="EE10"/>
      <c r="EF10"/>
    </row>
    <row r="11" spans="1:136" s="90" customFormat="1">
      <c r="A11" s="39" t="s">
        <v>130</v>
      </c>
      <c r="B11" s="97">
        <v>18129</v>
      </c>
      <c r="C11" s="97">
        <v>17566</v>
      </c>
      <c r="D11" s="97">
        <v>17720</v>
      </c>
      <c r="E11" s="97">
        <v>18828</v>
      </c>
      <c r="F11" s="97">
        <v>20281</v>
      </c>
      <c r="G11" s="97">
        <v>21845</v>
      </c>
      <c r="H11" s="97">
        <v>21940</v>
      </c>
      <c r="I11" s="97">
        <v>12747</v>
      </c>
      <c r="J11" s="97">
        <v>16058</v>
      </c>
      <c r="K11" s="97">
        <v>14505</v>
      </c>
      <c r="L11" s="97">
        <v>19567</v>
      </c>
      <c r="M11" s="97">
        <v>22557</v>
      </c>
      <c r="N11" s="97">
        <v>21878</v>
      </c>
      <c r="O11" s="98">
        <f>+SUM(BM11:BP11)</f>
        <v>22149</v>
      </c>
      <c r="P11" s="98">
        <f>+SUM(BQ11:BT11)</f>
        <v>18814</v>
      </c>
      <c r="Q11" s="98">
        <f>+SUM(BU11:BX11)</f>
        <v>15917</v>
      </c>
      <c r="R11" s="98">
        <f>+SUM(BY11:CB11)</f>
        <v>15172</v>
      </c>
      <c r="S11" s="98">
        <f>+SUM(CC11:CF11)</f>
        <v>15449</v>
      </c>
      <c r="T11" s="98">
        <f t="shared" ref="T11:AA11" ca="1" si="4">+T10*(1-T113)</f>
        <v>16118.264861175618</v>
      </c>
      <c r="U11" s="98">
        <f t="shared" ca="1" si="4"/>
        <v>16368.343508832329</v>
      </c>
      <c r="V11" s="98">
        <f t="shared" ca="1" si="4"/>
        <v>16696.506706869768</v>
      </c>
      <c r="W11" s="98">
        <f t="shared" ca="1" si="4"/>
        <v>17174.262641536632</v>
      </c>
      <c r="X11" s="98">
        <f t="shared" ca="1" si="4"/>
        <v>17663.192528478168</v>
      </c>
      <c r="Y11" s="98">
        <f t="shared" ca="1" si="4"/>
        <v>18150.156152680956</v>
      </c>
      <c r="Z11" s="98">
        <f t="shared" ca="1" si="4"/>
        <v>18652.199231491344</v>
      </c>
      <c r="AA11" s="98">
        <f t="shared" ca="1" si="4"/>
        <v>19155.287549732442</v>
      </c>
      <c r="AB11" s="39"/>
      <c r="AC11" s="97">
        <v>4748</v>
      </c>
      <c r="AD11" s="97">
        <v>5173</v>
      </c>
      <c r="AE11" s="97">
        <v>4927</v>
      </c>
      <c r="AF11" s="97">
        <v>5645</v>
      </c>
      <c r="AG11" s="97">
        <v>5104</v>
      </c>
      <c r="AH11" s="97">
        <v>5275</v>
      </c>
      <c r="AI11" s="97">
        <v>5201</v>
      </c>
      <c r="AJ11" s="97">
        <v>6265</v>
      </c>
      <c r="AK11" s="97">
        <v>5191</v>
      </c>
      <c r="AL11" s="97">
        <v>5435</v>
      </c>
      <c r="AM11" s="97">
        <v>5243</v>
      </c>
      <c r="AN11" s="97">
        <v>6071</v>
      </c>
      <c r="AO11" s="97">
        <v>5476.75</v>
      </c>
      <c r="AP11" s="97">
        <v>5871.75</v>
      </c>
      <c r="AQ11" s="97">
        <v>5918.75</v>
      </c>
      <c r="AR11" s="97">
        <v>6946.75</v>
      </c>
      <c r="AS11" s="97">
        <v>6881</v>
      </c>
      <c r="AT11" s="97">
        <v>7097</v>
      </c>
      <c r="AU11" s="97">
        <v>7090</v>
      </c>
      <c r="AV11" s="97">
        <v>7288</v>
      </c>
      <c r="AW11" s="97">
        <v>6131</v>
      </c>
      <c r="AX11" s="97">
        <v>6497</v>
      </c>
      <c r="AY11" s="97">
        <v>6262</v>
      </c>
      <c r="AZ11" s="97">
        <v>6896</v>
      </c>
      <c r="BA11" s="97">
        <v>7229</v>
      </c>
      <c r="BB11" s="97">
        <v>7599</v>
      </c>
      <c r="BC11" s="97">
        <v>7542</v>
      </c>
      <c r="BD11" s="97">
        <v>8975</v>
      </c>
      <c r="BE11" s="97">
        <v>5059</v>
      </c>
      <c r="BF11" s="97">
        <v>5822</v>
      </c>
      <c r="BG11" s="97">
        <v>5482</v>
      </c>
      <c r="BH11" s="97">
        <v>6194</v>
      </c>
      <c r="BI11" s="97">
        <v>5454</v>
      </c>
      <c r="BJ11" s="97">
        <v>5305</v>
      </c>
      <c r="BK11" s="97">
        <v>5188</v>
      </c>
      <c r="BL11" s="97">
        <f>5945-14</f>
        <v>5931</v>
      </c>
      <c r="BM11" s="97">
        <v>5502</v>
      </c>
      <c r="BN11" s="97">
        <v>5364</v>
      </c>
      <c r="BO11" s="97">
        <f>8472-3159</f>
        <v>5313</v>
      </c>
      <c r="BP11" s="97">
        <f>+BP10-3518</f>
        <v>5970</v>
      </c>
      <c r="BQ11" s="99">
        <f>+BQ10-2743</f>
        <v>4775</v>
      </c>
      <c r="BR11" s="99">
        <f>+BR10-2691</f>
        <v>4618</v>
      </c>
      <c r="BS11" s="99">
        <f>+BS10-2724</f>
        <v>4566</v>
      </c>
      <c r="BT11" s="99">
        <f>+BT10-2736</f>
        <v>4855</v>
      </c>
      <c r="BU11" s="124">
        <f t="shared" ref="BU11:CF11" si="5">+BU10-BU13</f>
        <v>4099</v>
      </c>
      <c r="BV11" s="124">
        <f t="shared" si="5"/>
        <v>3842</v>
      </c>
      <c r="BW11" s="124">
        <f t="shared" si="5"/>
        <v>3851</v>
      </c>
      <c r="BX11" s="124">
        <f t="shared" si="5"/>
        <v>4125</v>
      </c>
      <c r="BY11" s="124">
        <f t="shared" si="5"/>
        <v>3742</v>
      </c>
      <c r="BZ11" s="124">
        <f t="shared" si="5"/>
        <v>3687</v>
      </c>
      <c r="CA11" s="124">
        <f t="shared" si="5"/>
        <v>3742</v>
      </c>
      <c r="CB11" s="124">
        <f t="shared" si="5"/>
        <v>4001</v>
      </c>
      <c r="CC11" s="124">
        <f t="shared" si="5"/>
        <v>3733</v>
      </c>
      <c r="CD11" s="124">
        <f t="shared" si="5"/>
        <v>3536</v>
      </c>
      <c r="CE11" s="124">
        <f t="shared" si="5"/>
        <v>3938</v>
      </c>
      <c r="CF11" s="124">
        <f t="shared" si="5"/>
        <v>4242</v>
      </c>
      <c r="CG11" s="101">
        <f>+CG10*(1-CG113)</f>
        <v>3969.0360161481071</v>
      </c>
      <c r="CH11" s="101">
        <f>+CH10*(1-CH113)</f>
        <v>3786.413618245756</v>
      </c>
      <c r="CI11" s="101">
        <f ca="1">+CI10*(1-CI113)</f>
        <v>3984.9871487837836</v>
      </c>
      <c r="CJ11" s="101">
        <f ca="1">+T11-SUM(CG11:CI11)</f>
        <v>4377.8280779979705</v>
      </c>
      <c r="CK11" s="715"/>
      <c r="CO11" s="94"/>
      <c r="DK11" s="39"/>
      <c r="DL11" s="88"/>
      <c r="DM11" s="102"/>
      <c r="DN11" s="88"/>
      <c r="DO11" s="39"/>
      <c r="DP11" s="88"/>
      <c r="DQ11" s="103"/>
      <c r="DR11" s="88"/>
      <c r="DS11" s="88"/>
      <c r="DT11" s="88"/>
      <c r="DU11" s="88"/>
      <c r="DV11" s="88"/>
      <c r="DW11" s="39"/>
      <c r="DX11" s="88"/>
      <c r="DY11" s="88"/>
      <c r="DZ11" s="88"/>
      <c r="EA11"/>
      <c r="EB11"/>
      <c r="EC11"/>
      <c r="ED11"/>
      <c r="EE11"/>
      <c r="EF11"/>
    </row>
    <row r="12" spans="1:136" s="90" customFormat="1" ht="6" customHeight="1">
      <c r="A12" s="87"/>
      <c r="B12" s="88"/>
      <c r="C12" s="88"/>
      <c r="D12" s="88"/>
      <c r="E12" s="88"/>
      <c r="F12" s="88"/>
      <c r="G12" s="88"/>
      <c r="H12" s="88"/>
      <c r="I12" s="88"/>
      <c r="J12" s="88"/>
      <c r="K12" s="88"/>
      <c r="L12" s="88"/>
      <c r="M12" s="39"/>
      <c r="N12" s="39"/>
      <c r="O12" s="39"/>
      <c r="P12" s="89"/>
      <c r="Q12" s="87"/>
      <c r="R12" s="87"/>
      <c r="S12" s="87"/>
      <c r="T12" s="87"/>
      <c r="U12" s="87"/>
      <c r="V12" s="87"/>
      <c r="W12" s="87"/>
      <c r="X12" s="87"/>
      <c r="Y12" s="87"/>
      <c r="Z12" s="87"/>
      <c r="AA12" s="87"/>
      <c r="AB12" s="87"/>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39"/>
      <c r="BH12" s="39"/>
      <c r="BI12" s="39"/>
      <c r="BJ12" s="39"/>
      <c r="BK12" s="39"/>
      <c r="BL12" s="39"/>
      <c r="BM12" s="39"/>
      <c r="BN12" s="39"/>
      <c r="BO12" s="39"/>
      <c r="BP12" s="39"/>
      <c r="BQ12" s="104"/>
      <c r="BR12" s="104"/>
      <c r="BS12" s="104"/>
      <c r="BT12" s="104"/>
      <c r="BU12" s="104"/>
      <c r="BV12" s="104"/>
      <c r="BW12" s="39"/>
      <c r="BX12" s="105"/>
      <c r="BY12" s="106"/>
      <c r="BZ12" s="106"/>
      <c r="CA12" s="106"/>
      <c r="CB12" s="106"/>
      <c r="CC12" s="106"/>
      <c r="CD12" s="106"/>
      <c r="CE12" s="106"/>
      <c r="CF12" s="106"/>
      <c r="CG12" s="106"/>
      <c r="CH12" s="106"/>
      <c r="CI12" s="106"/>
      <c r="CJ12" s="106"/>
      <c r="CO12" s="39"/>
      <c r="DK12" s="39"/>
      <c r="DL12" s="39"/>
      <c r="DM12" s="39"/>
      <c r="DN12" s="39"/>
      <c r="DO12" s="39"/>
      <c r="DP12" s="39"/>
      <c r="DQ12" s="91"/>
      <c r="DR12" s="39"/>
      <c r="DS12" s="39"/>
      <c r="DT12" s="39"/>
      <c r="DU12" s="39"/>
      <c r="DV12" s="39"/>
      <c r="DW12" s="39"/>
      <c r="DX12" s="39"/>
      <c r="DY12" s="39"/>
      <c r="DZ12" s="39"/>
      <c r="EA12"/>
      <c r="EB12"/>
      <c r="EC12"/>
      <c r="ED12"/>
      <c r="EE12"/>
      <c r="EF12"/>
    </row>
    <row r="13" spans="1:136" s="90" customFormat="1" ht="12.75" customHeight="1">
      <c r="A13" s="93" t="s">
        <v>131</v>
      </c>
      <c r="B13" s="93">
        <v>11538</v>
      </c>
      <c r="C13" s="93">
        <v>11798.794000000002</v>
      </c>
      <c r="D13" s="93">
        <v>12003</v>
      </c>
      <c r="E13" s="93">
        <v>12182</v>
      </c>
      <c r="F13" s="93">
        <v>11887</v>
      </c>
      <c r="G13" s="93">
        <v>12268</v>
      </c>
      <c r="H13" s="93">
        <v>12416</v>
      </c>
      <c r="I13" s="93">
        <v>7195</v>
      </c>
      <c r="J13" s="93">
        <v>8166</v>
      </c>
      <c r="K13" s="93">
        <v>8603</v>
      </c>
      <c r="L13" s="93">
        <f t="shared" ref="L13:V13" si="6">+L10-L11</f>
        <v>11922</v>
      </c>
      <c r="M13" s="93">
        <f>+M10-M11</f>
        <v>13253</v>
      </c>
      <c r="N13" s="93">
        <f t="shared" si="6"/>
        <v>13137</v>
      </c>
      <c r="O13" s="93">
        <f t="shared" si="6"/>
        <v>13150</v>
      </c>
      <c r="P13" s="93">
        <f t="shared" si="6"/>
        <v>10894</v>
      </c>
      <c r="Q13" s="93">
        <f t="shared" si="6"/>
        <v>10294</v>
      </c>
      <c r="R13" s="93">
        <f t="shared" si="6"/>
        <v>10098</v>
      </c>
      <c r="S13" s="93">
        <f t="shared" si="6"/>
        <v>10177</v>
      </c>
      <c r="T13" s="93">
        <f t="shared" ca="1" si="6"/>
        <v>10796.455954083211</v>
      </c>
      <c r="U13" s="93">
        <f t="shared" ca="1" si="6"/>
        <v>11194.088013535928</v>
      </c>
      <c r="V13" s="93">
        <f t="shared" ca="1" si="6"/>
        <v>11657.23679126006</v>
      </c>
      <c r="W13" s="93">
        <f ca="1">+W10-W11</f>
        <v>12090.191290458886</v>
      </c>
      <c r="X13" s="93">
        <f ca="1">+X10-X11</f>
        <v>12511.509239676358</v>
      </c>
      <c r="Y13" s="93">
        <f ca="1">+Y10-Y11</f>
        <v>12936.102798338525</v>
      </c>
      <c r="Z13" s="93">
        <f ca="1">+Z10-Z11</f>
        <v>13348.731209027246</v>
      </c>
      <c r="AA13" s="93">
        <f ca="1">+AA10-AA11</f>
        <v>13765.254677389064</v>
      </c>
      <c r="AB13" s="93"/>
      <c r="AC13" s="93">
        <v>2827</v>
      </c>
      <c r="AD13" s="93">
        <v>2918</v>
      </c>
      <c r="AE13" s="93">
        <v>2791</v>
      </c>
      <c r="AF13" s="93">
        <v>3139</v>
      </c>
      <c r="AG13" s="93">
        <v>2955</v>
      </c>
      <c r="AH13" s="93">
        <v>3059</v>
      </c>
      <c r="AI13" s="93">
        <v>2856</v>
      </c>
      <c r="AJ13" s="93">
        <v>3398</v>
      </c>
      <c r="AK13" s="93">
        <v>2932</v>
      </c>
      <c r="AL13" s="93">
        <v>3184</v>
      </c>
      <c r="AM13" s="93">
        <v>3000</v>
      </c>
      <c r="AN13" s="93">
        <v>3300</v>
      </c>
      <c r="AO13" s="93">
        <v>3051</v>
      </c>
      <c r="AP13" s="93">
        <v>-2791.75</v>
      </c>
      <c r="AQ13" s="93">
        <v>-2799.75</v>
      </c>
      <c r="AR13" s="93">
        <v>-2949.75</v>
      </c>
      <c r="AS13" s="93">
        <v>-2607</v>
      </c>
      <c r="AT13" s="93">
        <v>-2468</v>
      </c>
      <c r="AU13" s="93">
        <v>-2617</v>
      </c>
      <c r="AV13" s="93">
        <v>-2688</v>
      </c>
      <c r="AW13" s="93">
        <v>-2451</v>
      </c>
      <c r="AX13" s="93">
        <v>-2512</v>
      </c>
      <c r="AY13" s="93">
        <v>-2237</v>
      </c>
      <c r="AZ13" s="93">
        <v>-1862</v>
      </c>
      <c r="BA13" s="93">
        <v>-1599</v>
      </c>
      <c r="BB13" s="93">
        <v>-1507</v>
      </c>
      <c r="BC13" s="93">
        <v>-1601</v>
      </c>
      <c r="BD13" s="93">
        <v>-1446</v>
      </c>
      <c r="BE13" s="93">
        <f t="shared" ref="BE13:BT13" si="7">BE10-BE11</f>
        <v>3131</v>
      </c>
      <c r="BF13" s="93">
        <f t="shared" si="7"/>
        <v>3341</v>
      </c>
      <c r="BG13" s="93">
        <f t="shared" si="7"/>
        <v>3296</v>
      </c>
      <c r="BH13" s="93">
        <f t="shared" si="7"/>
        <v>3485</v>
      </c>
      <c r="BI13" s="93">
        <f>BI10-BI11</f>
        <v>3213</v>
      </c>
      <c r="BJ13" s="93">
        <f t="shared" si="7"/>
        <v>3222</v>
      </c>
      <c r="BK13" s="93">
        <f t="shared" si="7"/>
        <v>3138</v>
      </c>
      <c r="BL13" s="93">
        <f>BL10-BL11</f>
        <v>3564</v>
      </c>
      <c r="BM13" s="93">
        <f t="shared" si="7"/>
        <v>3242</v>
      </c>
      <c r="BN13" s="93">
        <f t="shared" si="7"/>
        <v>3231</v>
      </c>
      <c r="BO13" s="93">
        <f t="shared" si="7"/>
        <v>3159</v>
      </c>
      <c r="BP13" s="93">
        <f t="shared" si="7"/>
        <v>3518</v>
      </c>
      <c r="BQ13" s="93">
        <f t="shared" si="7"/>
        <v>2743</v>
      </c>
      <c r="BR13" s="93">
        <f t="shared" si="7"/>
        <v>2691</v>
      </c>
      <c r="BS13" s="93">
        <f t="shared" si="7"/>
        <v>2724</v>
      </c>
      <c r="BT13" s="93">
        <f t="shared" si="7"/>
        <v>2736</v>
      </c>
      <c r="BU13" s="721">
        <v>2556</v>
      </c>
      <c r="BV13" s="721">
        <v>2504</v>
      </c>
      <c r="BW13" s="721">
        <v>2545</v>
      </c>
      <c r="BX13" s="721">
        <v>2689</v>
      </c>
      <c r="BY13" s="720">
        <v>2566</v>
      </c>
      <c r="BZ13" s="720">
        <v>2462</v>
      </c>
      <c r="CA13" s="720">
        <v>2493</v>
      </c>
      <c r="CB13" s="720">
        <v>2577</v>
      </c>
      <c r="CC13" s="720">
        <v>2545</v>
      </c>
      <c r="CD13" s="720">
        <v>2340</v>
      </c>
      <c r="CE13" s="720">
        <v>2574</v>
      </c>
      <c r="CF13" s="720">
        <v>2718</v>
      </c>
      <c r="CG13" s="107">
        <f>CG10-CG11</f>
        <v>2739.767012412764</v>
      </c>
      <c r="CH13" s="107">
        <f>CH10-CH11</f>
        <v>2537.240168452201</v>
      </c>
      <c r="CI13" s="107">
        <f ca="1">CI10-CI11</f>
        <v>2715.5138512162166</v>
      </c>
      <c r="CJ13" s="107">
        <f ca="1">CJ10-CJ11</f>
        <v>2803.9349220020295</v>
      </c>
      <c r="CK13" s="710"/>
      <c r="CO13" s="94"/>
      <c r="DK13" s="94"/>
      <c r="DL13" s="108"/>
      <c r="DM13" s="108"/>
      <c r="DN13" s="108"/>
      <c r="DO13" s="108"/>
      <c r="DP13" s="108"/>
      <c r="DQ13" s="108"/>
      <c r="DR13" s="94"/>
      <c r="DS13" s="94"/>
      <c r="DT13" s="94"/>
      <c r="DU13" s="94"/>
      <c r="DV13" s="94"/>
      <c r="DW13" s="94"/>
      <c r="DX13" s="94"/>
      <c r="DY13" s="94"/>
      <c r="DZ13" s="94"/>
      <c r="EA13"/>
      <c r="EB13"/>
      <c r="EC13"/>
      <c r="ED13"/>
      <c r="EE13"/>
      <c r="EF13"/>
    </row>
    <row r="14" spans="1:136" s="110" customFormat="1">
      <c r="A14" s="5" t="s">
        <v>132</v>
      </c>
      <c r="B14" s="20">
        <v>0.38891697846091616</v>
      </c>
      <c r="C14" s="20">
        <v>0.40180067328243479</v>
      </c>
      <c r="D14" s="20">
        <v>0.40382868485684487</v>
      </c>
      <c r="E14" s="20">
        <v>0.39284101902612062</v>
      </c>
      <c r="F14" s="20">
        <v>0.36952872419796073</v>
      </c>
      <c r="G14" s="20">
        <v>0.35962829419869258</v>
      </c>
      <c r="H14" s="20">
        <v>0.36139247875189195</v>
      </c>
      <c r="I14" s="20">
        <v>0.36079630929696122</v>
      </c>
      <c r="J14" s="20">
        <v>0.33710369881109642</v>
      </c>
      <c r="K14" s="20">
        <v>0.37229530898390167</v>
      </c>
      <c r="L14" s="20">
        <f t="shared" ref="L14:V14" si="8">L13/L10</f>
        <v>0.37860840293435805</v>
      </c>
      <c r="M14" s="20">
        <f t="shared" si="8"/>
        <v>0.37009215302987991</v>
      </c>
      <c r="N14" s="20">
        <f t="shared" si="8"/>
        <v>0.37518206482935884</v>
      </c>
      <c r="O14" s="20">
        <f t="shared" si="8"/>
        <v>0.37253179976769879</v>
      </c>
      <c r="P14" s="20">
        <f t="shared" si="8"/>
        <v>0.36670257169785914</v>
      </c>
      <c r="Q14" s="20">
        <f t="shared" si="8"/>
        <v>0.39273587425126855</v>
      </c>
      <c r="R14" s="20">
        <f t="shared" si="8"/>
        <v>0.39960427384250097</v>
      </c>
      <c r="S14" s="20">
        <f t="shared" si="8"/>
        <v>0.39713572153281823</v>
      </c>
      <c r="T14" s="20">
        <f t="shared" ca="1" si="8"/>
        <v>0.40113572153281818</v>
      </c>
      <c r="U14" s="20">
        <f t="shared" ca="1" si="8"/>
        <v>0.40613572153281829</v>
      </c>
      <c r="V14" s="20">
        <f t="shared" ca="1" si="8"/>
        <v>0.41113572153281824</v>
      </c>
      <c r="W14" s="20">
        <f ca="1">W13/W10</f>
        <v>0.41313572153281819</v>
      </c>
      <c r="X14" s="20">
        <f ca="1">X13/X10</f>
        <v>0.41463572153281825</v>
      </c>
      <c r="Y14" s="20">
        <f ca="1">Y13/Y10</f>
        <v>0.41613572153281836</v>
      </c>
      <c r="Z14" s="20">
        <f ca="1">Z13/Z10</f>
        <v>0.41713572153281814</v>
      </c>
      <c r="AA14" s="20">
        <f ca="1">AA13/AA10</f>
        <v>0.41813572153281831</v>
      </c>
      <c r="AB14" s="5"/>
      <c r="AC14" s="20">
        <v>1.2382829610162067</v>
      </c>
      <c r="AD14" s="20">
        <v>1.1695390781563126</v>
      </c>
      <c r="AE14" s="20">
        <v>1.1891776736259054</v>
      </c>
      <c r="AF14" s="20">
        <v>1.0522963459604424</v>
      </c>
      <c r="AG14" s="20">
        <v>1.1791699920191541</v>
      </c>
      <c r="AH14" s="20">
        <v>1.1842818428184281</v>
      </c>
      <c r="AI14" s="20">
        <v>1.1396648044692737</v>
      </c>
      <c r="AJ14" s="20">
        <v>1.0536434108527131</v>
      </c>
      <c r="AK14" s="20">
        <v>1.1822580645161291</v>
      </c>
      <c r="AL14" s="20">
        <v>1.1907255048616305</v>
      </c>
      <c r="AM14" s="20">
        <v>1.1312217194570136</v>
      </c>
      <c r="AN14" s="20">
        <v>0.96153846153846156</v>
      </c>
      <c r="AO14" s="20">
        <v>1.0780918727915194</v>
      </c>
      <c r="AP14" s="20">
        <v>-0.90641233766233764</v>
      </c>
      <c r="AQ14" s="20">
        <v>-0.89764347547290801</v>
      </c>
      <c r="AR14" s="20">
        <v>-0.73799099324493367</v>
      </c>
      <c r="AS14" s="20">
        <v>-0.60996724379971923</v>
      </c>
      <c r="AT14" s="20">
        <v>-0.53316050982933683</v>
      </c>
      <c r="AU14" s="20">
        <v>-0.58506595126313432</v>
      </c>
      <c r="AV14" s="20">
        <v>-0.58434782608695657</v>
      </c>
      <c r="AW14" s="20">
        <v>-0.66603260869565217</v>
      </c>
      <c r="AX14" s="20">
        <v>-0.63036386449184445</v>
      </c>
      <c r="AY14" s="20">
        <v>-0.55577639751552799</v>
      </c>
      <c r="AZ14" s="20">
        <v>-0.36988478347238779</v>
      </c>
      <c r="BA14" s="20">
        <v>-0.28401420959147422</v>
      </c>
      <c r="BB14" s="20">
        <v>-0.24737360472751149</v>
      </c>
      <c r="BC14" s="20">
        <v>-0.2694832519777815</v>
      </c>
      <c r="BD14" s="20">
        <v>-0.19205737813786691</v>
      </c>
      <c r="BE14" s="20">
        <f t="shared" ref="BE14:CB14" si="9">BE13/BE10</f>
        <v>0.38229548229548227</v>
      </c>
      <c r="BF14" s="20">
        <f t="shared" si="9"/>
        <v>0.36461857470260833</v>
      </c>
      <c r="BG14" s="20">
        <f t="shared" si="9"/>
        <v>0.37548416495784914</v>
      </c>
      <c r="BH14" s="20">
        <f t="shared" si="9"/>
        <v>0.36005785721665462</v>
      </c>
      <c r="BI14" s="20">
        <f t="shared" si="9"/>
        <v>0.37071651090342678</v>
      </c>
      <c r="BJ14" s="20">
        <f t="shared" si="9"/>
        <v>0.37785856690512487</v>
      </c>
      <c r="BK14" s="20">
        <f t="shared" si="9"/>
        <v>0.37689166466490509</v>
      </c>
      <c r="BL14" s="20">
        <f t="shared" si="9"/>
        <v>0.37535545023696681</v>
      </c>
      <c r="BM14" s="20">
        <f t="shared" si="9"/>
        <v>0.37076852698993595</v>
      </c>
      <c r="BN14" s="20">
        <f t="shared" si="9"/>
        <v>0.37591623036649213</v>
      </c>
      <c r="BO14" s="20">
        <f t="shared" si="9"/>
        <v>0.37287535410764872</v>
      </c>
      <c r="BP14" s="20">
        <f t="shared" si="9"/>
        <v>0.37078414839797641</v>
      </c>
      <c r="BQ14" s="20">
        <f t="shared" si="9"/>
        <v>0.36485767491354082</v>
      </c>
      <c r="BR14" s="20">
        <f t="shared" si="9"/>
        <v>0.36817622109727732</v>
      </c>
      <c r="BS14" s="20">
        <f t="shared" si="9"/>
        <v>0.37366255144032923</v>
      </c>
      <c r="BT14" s="20">
        <f t="shared" si="9"/>
        <v>0.36042682123567382</v>
      </c>
      <c r="BU14" s="20">
        <f t="shared" si="9"/>
        <v>0.38407212622088654</v>
      </c>
      <c r="BV14" s="20">
        <f t="shared" si="9"/>
        <v>0.39457926252757641</v>
      </c>
      <c r="BW14" s="20">
        <f t="shared" si="9"/>
        <v>0.39790494058786741</v>
      </c>
      <c r="BX14" s="20">
        <f t="shared" si="9"/>
        <v>0.39462870560610508</v>
      </c>
      <c r="BY14" s="109">
        <f t="shared" si="9"/>
        <v>0.40678503487634748</v>
      </c>
      <c r="BZ14" s="109">
        <f t="shared" si="9"/>
        <v>0.40039030736705156</v>
      </c>
      <c r="CA14" s="109">
        <f t="shared" si="9"/>
        <v>0.39983961507618282</v>
      </c>
      <c r="CB14" s="109">
        <f t="shared" si="9"/>
        <v>0.39176041349954394</v>
      </c>
      <c r="CC14" s="109">
        <f t="shared" ref="CC14:CJ14" si="10">CC13/CC10</f>
        <v>0.40538388021662952</v>
      </c>
      <c r="CD14" s="109">
        <f t="shared" si="10"/>
        <v>0.39823008849557523</v>
      </c>
      <c r="CE14" s="109">
        <f t="shared" si="10"/>
        <v>0.39527027027027029</v>
      </c>
      <c r="CF14" s="109">
        <f t="shared" si="10"/>
        <v>0.39051724137931032</v>
      </c>
      <c r="CG14" s="109">
        <f>CG13/CG10</f>
        <v>0.40838388021662947</v>
      </c>
      <c r="CH14" s="109">
        <f t="shared" si="10"/>
        <v>0.40123008849557529</v>
      </c>
      <c r="CI14" s="109">
        <f t="shared" ca="1" si="10"/>
        <v>0.40527027027027029</v>
      </c>
      <c r="CJ14" s="109">
        <f t="shared" ca="1" si="10"/>
        <v>0.39042431809599254</v>
      </c>
      <c r="CO14" s="20"/>
      <c r="DK14" s="43"/>
      <c r="DL14" s="111"/>
      <c r="DM14" s="112"/>
      <c r="DN14" s="112"/>
      <c r="DO14" s="112"/>
      <c r="DP14" s="112"/>
      <c r="DQ14" s="112"/>
      <c r="DR14" s="38"/>
      <c r="DS14" s="38"/>
      <c r="DT14" s="38"/>
      <c r="DU14" s="38"/>
      <c r="DV14" s="38"/>
      <c r="DW14" s="38"/>
      <c r="DX14" s="38"/>
      <c r="DY14" s="38"/>
      <c r="DZ14" s="38"/>
      <c r="EA14"/>
      <c r="EB14"/>
      <c r="EC14"/>
      <c r="ED14"/>
      <c r="EE14"/>
      <c r="EF14"/>
    </row>
    <row r="15" spans="1:136" s="90" customFormat="1" ht="6" customHeight="1">
      <c r="A15" s="87"/>
      <c r="B15" s="88"/>
      <c r="C15" s="88"/>
      <c r="D15" s="88"/>
      <c r="E15" s="88"/>
      <c r="F15" s="88"/>
      <c r="G15" s="88"/>
      <c r="H15" s="88"/>
      <c r="I15" s="88"/>
      <c r="J15" s="88"/>
      <c r="K15" s="88"/>
      <c r="L15" s="88"/>
      <c r="M15" s="39"/>
      <c r="N15" s="39"/>
      <c r="O15" s="39"/>
      <c r="P15" s="89"/>
      <c r="Q15" s="87"/>
      <c r="R15" s="87"/>
      <c r="S15" s="87"/>
      <c r="T15" s="87"/>
      <c r="U15" s="87"/>
      <c r="V15" s="87"/>
      <c r="W15" s="87"/>
      <c r="X15" s="87"/>
      <c r="Y15" s="87"/>
      <c r="Z15" s="87"/>
      <c r="AA15" s="87"/>
      <c r="AB15" s="87"/>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39"/>
      <c r="BH15" s="39"/>
      <c r="BI15" s="39"/>
      <c r="BJ15" s="39"/>
      <c r="BK15" s="39"/>
      <c r="BL15" s="39"/>
      <c r="BM15" s="39"/>
      <c r="BN15" s="39"/>
      <c r="BO15" s="39"/>
      <c r="BP15" s="39"/>
      <c r="BQ15" s="39"/>
      <c r="BR15" s="39"/>
      <c r="BS15" s="39"/>
      <c r="BT15" s="39"/>
      <c r="BU15" s="39"/>
      <c r="BV15" s="39"/>
      <c r="BW15" s="39"/>
      <c r="BX15" s="39"/>
      <c r="BY15" s="106"/>
      <c r="BZ15" s="106"/>
      <c r="CA15" s="106"/>
      <c r="CB15" s="106"/>
      <c r="CC15" s="106"/>
      <c r="CD15" s="106"/>
      <c r="CE15" s="106"/>
      <c r="CF15" s="106"/>
      <c r="CG15" s="106"/>
      <c r="CH15" s="106"/>
      <c r="CI15" s="106"/>
      <c r="CJ15" s="106"/>
      <c r="CO15" s="39"/>
      <c r="DK15" s="39"/>
      <c r="DL15" s="39"/>
      <c r="DM15" s="39"/>
      <c r="DN15" s="39"/>
      <c r="DO15" s="39"/>
      <c r="DP15" s="39"/>
      <c r="DQ15" s="91"/>
      <c r="DR15" s="39"/>
      <c r="DS15" s="39"/>
      <c r="DT15" s="39"/>
      <c r="DU15" s="39"/>
      <c r="DV15" s="39"/>
      <c r="DW15" s="39"/>
      <c r="DX15" s="39"/>
      <c r="DY15" s="39"/>
      <c r="DZ15" s="39"/>
      <c r="EA15"/>
      <c r="EB15"/>
      <c r="EC15"/>
      <c r="ED15"/>
      <c r="EE15"/>
      <c r="EF15"/>
    </row>
    <row r="16" spans="1:136" s="90" customFormat="1">
      <c r="A16" s="87" t="s">
        <v>133</v>
      </c>
      <c r="B16" s="87">
        <v>5954</v>
      </c>
      <c r="C16" s="87">
        <v>5690.7940000000017</v>
      </c>
      <c r="D16" s="87">
        <v>5562</v>
      </c>
      <c r="E16" s="87">
        <v>6021</v>
      </c>
      <c r="F16" s="87">
        <v>6252</v>
      </c>
      <c r="G16" s="87">
        <v>6860</v>
      </c>
      <c r="H16" s="87">
        <v>6991</v>
      </c>
      <c r="I16" s="87">
        <v>4846</v>
      </c>
      <c r="J16" s="87">
        <v>5658.35</v>
      </c>
      <c r="K16" s="87">
        <v>5802</v>
      </c>
      <c r="L16" s="87">
        <f t="shared" ref="L16:V16" si="11">+L13-L19</f>
        <v>7866</v>
      </c>
      <c r="M16" s="87">
        <f>+M13-M19</f>
        <v>8491</v>
      </c>
      <c r="N16" s="87">
        <f t="shared" si="11"/>
        <v>8369</v>
      </c>
      <c r="O16" s="87">
        <f t="shared" si="11"/>
        <v>8499</v>
      </c>
      <c r="P16" s="87">
        <f t="shared" si="11"/>
        <v>6940</v>
      </c>
      <c r="Q16" s="87">
        <f t="shared" si="11"/>
        <v>6532</v>
      </c>
      <c r="R16" s="87">
        <f t="shared" si="11"/>
        <v>5936</v>
      </c>
      <c r="S16" s="87">
        <f t="shared" si="11"/>
        <v>5676</v>
      </c>
      <c r="T16" s="87">
        <f t="shared" ca="1" si="11"/>
        <v>5870.2389301607927</v>
      </c>
      <c r="U16" s="87">
        <f t="shared" ca="1" si="11"/>
        <v>5977.9547764029776</v>
      </c>
      <c r="V16" s="87">
        <f t="shared" ca="1" si="11"/>
        <v>6137.1078866072476</v>
      </c>
      <c r="W16" s="87">
        <f ca="1">+W13-W19</f>
        <v>6280.1883253663282</v>
      </c>
      <c r="X16" s="87">
        <f ca="1">+X13-X19</f>
        <v>6448.4312600773674</v>
      </c>
      <c r="Y16" s="87">
        <f ca="1">+Y13-Y19</f>
        <v>6644.4067975925227</v>
      </c>
      <c r="Z16" s="87">
        <f ca="1">+Z13-Z19</f>
        <v>6825.3653319020432</v>
      </c>
      <c r="AA16" s="87">
        <f ca="1">+AA13-AA19</f>
        <v>7009.464371460399</v>
      </c>
      <c r="AB16" s="87"/>
      <c r="AC16" s="87">
        <v>1477</v>
      </c>
      <c r="AD16" s="87">
        <v>1485</v>
      </c>
      <c r="AE16" s="87">
        <v>1400</v>
      </c>
      <c r="AF16" s="87">
        <v>1678</v>
      </c>
      <c r="AG16" s="87">
        <v>1704</v>
      </c>
      <c r="AH16" s="87">
        <v>1696</v>
      </c>
      <c r="AI16" s="87">
        <v>1613</v>
      </c>
      <c r="AJ16" s="87">
        <v>1847</v>
      </c>
      <c r="AK16" s="87">
        <v>1654</v>
      </c>
      <c r="AL16" s="87">
        <v>1725</v>
      </c>
      <c r="AM16" s="87">
        <v>1704</v>
      </c>
      <c r="AN16" s="87">
        <v>1908</v>
      </c>
      <c r="AO16" s="87">
        <v>1801</v>
      </c>
      <c r="AP16" s="87">
        <v>-3129.75</v>
      </c>
      <c r="AQ16" s="87">
        <v>-3102.75</v>
      </c>
      <c r="AR16" s="87">
        <v>-3327.75</v>
      </c>
      <c r="AS16" s="87">
        <v>-2993</v>
      </c>
      <c r="AT16" s="87">
        <v>-2903</v>
      </c>
      <c r="AU16" s="87">
        <v>-3112</v>
      </c>
      <c r="AV16" s="87">
        <v>-3159</v>
      </c>
      <c r="AW16" s="87">
        <v>-2804</v>
      </c>
      <c r="AX16" s="87">
        <v>-2973</v>
      </c>
      <c r="AY16" s="87">
        <v>-2733</v>
      </c>
      <c r="AZ16" s="87">
        <v>-2273</v>
      </c>
      <c r="BA16" s="87">
        <v>-2297</v>
      </c>
      <c r="BB16" s="87">
        <v>-2335</v>
      </c>
      <c r="BC16" s="87">
        <v>-2355</v>
      </c>
      <c r="BD16" s="87">
        <v>-2343</v>
      </c>
      <c r="BE16" s="87">
        <f t="shared" ref="BE16:BX16" si="12">BE13-BE19</f>
        <v>2133</v>
      </c>
      <c r="BF16" s="87">
        <f t="shared" si="12"/>
        <v>2097</v>
      </c>
      <c r="BG16" s="87">
        <f t="shared" si="12"/>
        <v>2076</v>
      </c>
      <c r="BH16" s="87">
        <f t="shared" si="12"/>
        <v>2185</v>
      </c>
      <c r="BI16" s="87">
        <f t="shared" si="12"/>
        <v>2086</v>
      </c>
      <c r="BJ16" s="87">
        <f t="shared" si="12"/>
        <v>2044</v>
      </c>
      <c r="BK16" s="87">
        <f t="shared" si="12"/>
        <v>1935</v>
      </c>
      <c r="BL16" s="87">
        <f>BL13-BL19</f>
        <v>2304</v>
      </c>
      <c r="BM16" s="87">
        <f t="shared" si="12"/>
        <v>2204</v>
      </c>
      <c r="BN16" s="87">
        <f t="shared" si="12"/>
        <v>2158</v>
      </c>
      <c r="BO16" s="87">
        <f t="shared" si="12"/>
        <v>2018</v>
      </c>
      <c r="BP16" s="39">
        <f t="shared" si="12"/>
        <v>2119</v>
      </c>
      <c r="BQ16" s="87">
        <f t="shared" si="12"/>
        <v>1825</v>
      </c>
      <c r="BR16" s="87">
        <f t="shared" si="12"/>
        <v>1701</v>
      </c>
      <c r="BS16" s="87">
        <f t="shared" si="12"/>
        <v>1781</v>
      </c>
      <c r="BT16" s="39">
        <f t="shared" si="12"/>
        <v>1633</v>
      </c>
      <c r="BU16" s="39">
        <f t="shared" si="12"/>
        <v>1615</v>
      </c>
      <c r="BV16" s="39">
        <f t="shared" si="12"/>
        <v>1633</v>
      </c>
      <c r="BW16" s="39">
        <f t="shared" si="12"/>
        <v>1601</v>
      </c>
      <c r="BX16" s="39">
        <f t="shared" si="12"/>
        <v>1683</v>
      </c>
      <c r="BY16" s="106">
        <f t="shared" ref="BY16:CF16" si="13">BY13-BY19</f>
        <v>1489</v>
      </c>
      <c r="BZ16" s="106">
        <f t="shared" si="13"/>
        <v>1472</v>
      </c>
      <c r="CA16" s="106">
        <f t="shared" si="13"/>
        <v>1413</v>
      </c>
      <c r="CB16" s="106">
        <f t="shared" si="13"/>
        <v>1562</v>
      </c>
      <c r="CC16" s="106">
        <f t="shared" si="13"/>
        <v>1422</v>
      </c>
      <c r="CD16" s="106">
        <f t="shared" si="13"/>
        <v>1326</v>
      </c>
      <c r="CE16" s="106">
        <f t="shared" si="13"/>
        <v>1396</v>
      </c>
      <c r="CF16" s="106">
        <f t="shared" si="13"/>
        <v>1532</v>
      </c>
      <c r="CG16" s="106">
        <f>CG13-CG19</f>
        <v>1519.2107360725565</v>
      </c>
      <c r="CH16" s="106">
        <f>CH13-CH19</f>
        <v>1386.722399406247</v>
      </c>
      <c r="CI16" s="106">
        <f ca="1">CI13-CI19</f>
        <v>1462.0523662162166</v>
      </c>
      <c r="CJ16" s="106">
        <f ca="1">CJ13-CJ19</f>
        <v>1502.2534284657722</v>
      </c>
      <c r="CO16" s="39"/>
      <c r="DK16" s="39"/>
      <c r="DL16" s="88"/>
      <c r="DM16" s="88"/>
      <c r="DN16" s="88"/>
      <c r="DO16" s="39"/>
      <c r="DP16" s="88"/>
      <c r="DQ16" s="103"/>
      <c r="DR16" s="88"/>
      <c r="DS16" s="88"/>
      <c r="DT16" s="88"/>
      <c r="DU16" s="88"/>
      <c r="DV16" s="88"/>
      <c r="DW16" s="39"/>
      <c r="DX16" s="88"/>
      <c r="DY16" s="88"/>
      <c r="DZ16" s="88"/>
      <c r="EA16"/>
      <c r="EB16"/>
      <c r="EC16"/>
      <c r="ED16"/>
      <c r="EE16"/>
      <c r="EF16"/>
    </row>
    <row r="17" spans="1:136" s="110" customFormat="1">
      <c r="A17" s="42" t="s">
        <v>134</v>
      </c>
      <c r="B17" s="113">
        <v>0.20069437422051437</v>
      </c>
      <c r="C17" s="113">
        <v>0.19379648976934766</v>
      </c>
      <c r="D17" s="113">
        <v>0.18712781347777815</v>
      </c>
      <c r="E17" s="113">
        <v>0.19416317316994519</v>
      </c>
      <c r="F17" s="113">
        <v>0.19435463814971402</v>
      </c>
      <c r="G17" s="113">
        <v>0.20109635622783104</v>
      </c>
      <c r="H17" s="113">
        <v>0.20348701827919433</v>
      </c>
      <c r="I17" s="113">
        <v>0.24300471366964196</v>
      </c>
      <c r="J17" s="113">
        <v>0.23358446169088509</v>
      </c>
      <c r="K17" s="113">
        <v>0.25108187640643931</v>
      </c>
      <c r="L17" s="113">
        <f t="shared" ref="L17:V17" si="14">L16/L10</f>
        <v>0.24980151799040934</v>
      </c>
      <c r="M17" s="113">
        <f t="shared" si="14"/>
        <v>0.23711253839709578</v>
      </c>
      <c r="N17" s="113">
        <f t="shared" si="14"/>
        <v>0.23901185206340139</v>
      </c>
      <c r="O17" s="113">
        <f t="shared" si="14"/>
        <v>0.24077169324910055</v>
      </c>
      <c r="P17" s="113">
        <f t="shared" si="14"/>
        <v>0.23360710919617611</v>
      </c>
      <c r="Q17" s="113">
        <f t="shared" si="14"/>
        <v>0.2492083476403037</v>
      </c>
      <c r="R17" s="113">
        <f t="shared" si="14"/>
        <v>0.23490304709141274</v>
      </c>
      <c r="S17" s="113">
        <f t="shared" si="14"/>
        <v>0.22149379536408334</v>
      </c>
      <c r="T17" s="113">
        <f t="shared" ca="1" si="14"/>
        <v>0.21810513920816016</v>
      </c>
      <c r="U17" s="113">
        <f t="shared" ca="1" si="14"/>
        <v>0.21688778697015812</v>
      </c>
      <c r="V17" s="113">
        <f t="shared" ca="1" si="14"/>
        <v>0.21644788763120618</v>
      </c>
      <c r="W17" s="113">
        <f ca="1">W16/W10</f>
        <v>0.21460124764194044</v>
      </c>
      <c r="X17" s="113">
        <f ca="1">X16/X10</f>
        <v>0.21370323092580978</v>
      </c>
      <c r="Y17" s="113">
        <f ca="1">Y16/Y10</f>
        <v>0.21374095892534595</v>
      </c>
      <c r="Z17" s="113">
        <f ca="1">Z16/Z10</f>
        <v>0.213286465047903</v>
      </c>
      <c r="AA17" s="113">
        <f ca="1">AA16/AA10</f>
        <v>0.21292068408538148</v>
      </c>
      <c r="AB17" s="42"/>
      <c r="AC17" s="113">
        <v>0.64695575996495835</v>
      </c>
      <c r="AD17" s="113">
        <v>0.59519038076152309</v>
      </c>
      <c r="AE17" s="113">
        <v>0.59650617809970174</v>
      </c>
      <c r="AF17" s="113">
        <v>0.56252095206168284</v>
      </c>
      <c r="AG17" s="113">
        <v>0.67996807661612135</v>
      </c>
      <c r="AH17" s="113">
        <v>0.65660085172280291</v>
      </c>
      <c r="AI17" s="113">
        <v>0.64365522745411019</v>
      </c>
      <c r="AJ17" s="113">
        <v>0.57271317829457369</v>
      </c>
      <c r="AK17" s="113">
        <v>0.66693548387096779</v>
      </c>
      <c r="AL17" s="113">
        <v>0.64510097232610319</v>
      </c>
      <c r="AM17" s="113">
        <v>0.64253393665158376</v>
      </c>
      <c r="AN17" s="113">
        <v>0.55594405594405594</v>
      </c>
      <c r="AO17" s="113">
        <v>0.63639575971731444</v>
      </c>
      <c r="AP17" s="113">
        <v>-1.0161525974025973</v>
      </c>
      <c r="AQ17" s="113">
        <v>-0.99478999679384417</v>
      </c>
      <c r="AR17" s="113">
        <v>-0.83256192144108077</v>
      </c>
      <c r="AS17" s="113">
        <v>-0.700280767430978</v>
      </c>
      <c r="AT17" s="113">
        <v>-0.62713329012745733</v>
      </c>
      <c r="AU17" s="113">
        <v>-0.6957299351665549</v>
      </c>
      <c r="AV17" s="113">
        <v>-0.68673913043478263</v>
      </c>
      <c r="AW17" s="113">
        <v>-0.76195652173913042</v>
      </c>
      <c r="AX17" s="113">
        <v>-0.74604767879548306</v>
      </c>
      <c r="AY17" s="113">
        <v>-0.67900621118012428</v>
      </c>
      <c r="AZ17" s="113">
        <v>-0.45152959872864523</v>
      </c>
      <c r="BA17" s="113">
        <v>-0.40799289520426285</v>
      </c>
      <c r="BB17" s="113">
        <v>-0.38328956007879184</v>
      </c>
      <c r="BC17" s="113">
        <v>-0.39639791280929138</v>
      </c>
      <c r="BD17" s="113">
        <v>-0.31119670606986322</v>
      </c>
      <c r="BE17" s="113">
        <f t="shared" ref="BE17:CB17" si="15">BE16/BE10</f>
        <v>0.26043956043956046</v>
      </c>
      <c r="BF17" s="113">
        <f t="shared" si="15"/>
        <v>0.22885517843501038</v>
      </c>
      <c r="BG17" s="113">
        <f t="shared" si="15"/>
        <v>0.23650034176349966</v>
      </c>
      <c r="BH17" s="113">
        <f t="shared" si="15"/>
        <v>0.22574646141130281</v>
      </c>
      <c r="BI17" s="113">
        <f t="shared" si="15"/>
        <v>0.24068305065189802</v>
      </c>
      <c r="BJ17" s="113">
        <f t="shared" si="15"/>
        <v>0.23970915914155036</v>
      </c>
      <c r="BK17" s="113">
        <f t="shared" si="15"/>
        <v>0.23240451597405717</v>
      </c>
      <c r="BL17" s="113">
        <f t="shared" si="15"/>
        <v>0.24265402843601896</v>
      </c>
      <c r="BM17" s="113">
        <f t="shared" si="15"/>
        <v>0.25205855443732844</v>
      </c>
      <c r="BN17" s="113">
        <f t="shared" si="15"/>
        <v>0.25107620709714951</v>
      </c>
      <c r="BO17" s="113">
        <f t="shared" si="15"/>
        <v>0.23819641170915959</v>
      </c>
      <c r="BP17" s="113">
        <f t="shared" si="15"/>
        <v>0.22333473861720068</v>
      </c>
      <c r="BQ17" s="113">
        <f t="shared" si="15"/>
        <v>0.24275073157754723</v>
      </c>
      <c r="BR17" s="113">
        <f t="shared" si="15"/>
        <v>0.23272677520864687</v>
      </c>
      <c r="BS17" s="113">
        <f t="shared" si="15"/>
        <v>0.24430727023319615</v>
      </c>
      <c r="BT17" s="113">
        <f t="shared" si="15"/>
        <v>0.2151231721775787</v>
      </c>
      <c r="BU17" s="113">
        <f t="shared" si="15"/>
        <v>0.24267468069120962</v>
      </c>
      <c r="BV17" s="113">
        <f t="shared" si="15"/>
        <v>0.25732745036243304</v>
      </c>
      <c r="BW17" s="113">
        <f t="shared" si="15"/>
        <v>0.25031269543464668</v>
      </c>
      <c r="BX17" s="113">
        <f t="shared" si="15"/>
        <v>0.24699148811270913</v>
      </c>
      <c r="BY17" s="114">
        <f t="shared" si="15"/>
        <v>0.23604946100190236</v>
      </c>
      <c r="BZ17" s="114">
        <f t="shared" si="15"/>
        <v>0.2393885184582859</v>
      </c>
      <c r="CA17" s="114">
        <f t="shared" si="15"/>
        <v>0.22662389735364877</v>
      </c>
      <c r="CB17" s="114">
        <f t="shared" si="15"/>
        <v>0.23745819397993312</v>
      </c>
      <c r="CC17" s="114">
        <f t="shared" ref="CC17:CJ17" si="16">CC16/CC10</f>
        <v>0.22650525645109906</v>
      </c>
      <c r="CD17" s="114">
        <f t="shared" si="16"/>
        <v>0.22566371681415928</v>
      </c>
      <c r="CE17" s="114">
        <f t="shared" si="16"/>
        <v>0.21437346437346438</v>
      </c>
      <c r="CF17" s="114">
        <f t="shared" si="16"/>
        <v>0.22011494252873562</v>
      </c>
      <c r="CG17" s="114">
        <f t="shared" si="16"/>
        <v>0.22645034138056186</v>
      </c>
      <c r="CH17" s="114">
        <f t="shared" si="16"/>
        <v>0.21929132210293825</v>
      </c>
      <c r="CI17" s="114">
        <f t="shared" ca="1" si="16"/>
        <v>0.21820045489377832</v>
      </c>
      <c r="CJ17" s="114">
        <f t="shared" ca="1" si="16"/>
        <v>0.20917613522832379</v>
      </c>
      <c r="CO17" s="43"/>
      <c r="DK17" s="43"/>
      <c r="DL17" s="112"/>
      <c r="DM17" s="112"/>
      <c r="DN17" s="112"/>
      <c r="DO17" s="112"/>
      <c r="DP17" s="112"/>
      <c r="DQ17" s="112"/>
      <c r="DR17" s="38"/>
      <c r="DS17" s="38"/>
      <c r="DT17" s="38"/>
      <c r="DU17" s="38"/>
      <c r="DV17" s="38"/>
      <c r="DW17" s="38"/>
      <c r="DX17" s="38"/>
      <c r="DY17" s="38"/>
      <c r="DZ17" s="38"/>
      <c r="EA17"/>
      <c r="EB17"/>
      <c r="EC17"/>
      <c r="ED17"/>
      <c r="EE17"/>
      <c r="EF17"/>
    </row>
    <row r="18" spans="1:136" ht="6" customHeight="1">
      <c r="A18" s="42"/>
      <c r="B18" s="115"/>
      <c r="C18" s="115"/>
      <c r="D18" s="115"/>
      <c r="E18" s="115"/>
      <c r="F18" s="115"/>
      <c r="G18" s="115"/>
      <c r="H18" s="115"/>
      <c r="I18" s="115"/>
      <c r="J18" s="115"/>
      <c r="K18" s="115"/>
      <c r="L18" s="115"/>
      <c r="M18" s="43"/>
      <c r="N18" s="43"/>
      <c r="O18" s="43"/>
      <c r="P18" s="20"/>
      <c r="Q18" s="116"/>
      <c r="R18" s="116"/>
      <c r="S18" s="116"/>
      <c r="T18" s="116"/>
      <c r="U18" s="116"/>
      <c r="V18" s="116"/>
      <c r="W18" s="116"/>
      <c r="X18" s="116"/>
      <c r="Y18" s="116"/>
      <c r="Z18" s="116"/>
      <c r="AA18" s="116"/>
      <c r="AB18" s="42"/>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43"/>
      <c r="BH18" s="43"/>
      <c r="BI18" s="43"/>
      <c r="BJ18" s="50"/>
      <c r="BK18" s="43"/>
      <c r="BL18" s="43"/>
      <c r="BM18" s="43"/>
      <c r="BN18" s="43"/>
      <c r="BO18" s="43"/>
      <c r="BP18" s="43"/>
      <c r="BQ18" s="43"/>
      <c r="BR18" s="43"/>
      <c r="BS18" s="43"/>
      <c r="BT18" s="43"/>
      <c r="BU18" s="43"/>
      <c r="BV18" s="43"/>
      <c r="BW18" s="43"/>
      <c r="BX18" s="43"/>
      <c r="BY18" s="117"/>
      <c r="BZ18" s="117"/>
      <c r="CA18" s="117"/>
      <c r="CB18" s="117"/>
      <c r="CC18" s="117"/>
      <c r="CD18" s="117"/>
      <c r="CE18" s="117"/>
      <c r="CF18" s="117"/>
      <c r="CG18" s="117"/>
      <c r="CH18" s="117"/>
      <c r="CI18" s="117"/>
      <c r="CJ18" s="117"/>
      <c r="CO18" s="43"/>
      <c r="DK18" s="43"/>
      <c r="DL18" s="43"/>
      <c r="DM18" s="43"/>
      <c r="DN18" s="43"/>
      <c r="DO18" s="43"/>
      <c r="DP18" s="43"/>
      <c r="DQ18" s="118"/>
      <c r="DR18" s="43"/>
      <c r="DS18" s="43"/>
      <c r="DT18" s="43"/>
      <c r="DU18" s="43"/>
      <c r="DV18" s="43"/>
      <c r="DW18" s="43"/>
      <c r="DX18" s="43"/>
      <c r="DY18" s="43"/>
      <c r="DZ18" s="43"/>
    </row>
    <row r="19" spans="1:136" s="90" customFormat="1">
      <c r="A19" s="93" t="s">
        <v>135</v>
      </c>
      <c r="B19" s="93">
        <v>5584</v>
      </c>
      <c r="C19" s="93">
        <v>6108</v>
      </c>
      <c r="D19" s="93">
        <v>6441</v>
      </c>
      <c r="E19" s="93">
        <v>6161</v>
      </c>
      <c r="F19" s="93">
        <v>5635</v>
      </c>
      <c r="G19" s="93">
        <v>5408</v>
      </c>
      <c r="H19" s="93">
        <v>5425</v>
      </c>
      <c r="I19" s="93">
        <v>2349</v>
      </c>
      <c r="J19" s="93">
        <v>2507.65</v>
      </c>
      <c r="K19" s="93">
        <v>2801</v>
      </c>
      <c r="L19" s="93">
        <f>+L167</f>
        <v>4056</v>
      </c>
      <c r="M19" s="93">
        <f>+M167</f>
        <v>4762</v>
      </c>
      <c r="N19" s="93">
        <f>+N167</f>
        <v>4768</v>
      </c>
      <c r="O19" s="93">
        <f>+O167</f>
        <v>4651</v>
      </c>
      <c r="P19" s="93">
        <f>+P167</f>
        <v>3954</v>
      </c>
      <c r="Q19" s="93">
        <f>+Q151</f>
        <v>3762</v>
      </c>
      <c r="R19" s="93">
        <f>+R151</f>
        <v>4162</v>
      </c>
      <c r="S19" s="93">
        <f>+S151</f>
        <v>4501</v>
      </c>
      <c r="T19" s="93">
        <f t="shared" ref="T19:AA19" ca="1" si="17">+T151</f>
        <v>4926.2170239224179</v>
      </c>
      <c r="U19" s="93">
        <f t="shared" ca="1" si="17"/>
        <v>5216.1332371329499</v>
      </c>
      <c r="V19" s="93">
        <f t="shared" ca="1" si="17"/>
        <v>5520.1289046528127</v>
      </c>
      <c r="W19" s="93">
        <f t="shared" ca="1" si="17"/>
        <v>5810.002965092558</v>
      </c>
      <c r="X19" s="93">
        <f t="shared" ca="1" si="17"/>
        <v>6063.0779795989902</v>
      </c>
      <c r="Y19" s="93">
        <f t="shared" ca="1" si="17"/>
        <v>6291.696000746002</v>
      </c>
      <c r="Z19" s="93">
        <f t="shared" ca="1" si="17"/>
        <v>6523.365877125203</v>
      </c>
      <c r="AA19" s="93">
        <f t="shared" ca="1" si="17"/>
        <v>6755.7903059286655</v>
      </c>
      <c r="AB19" s="93"/>
      <c r="AC19" s="93">
        <v>229</v>
      </c>
      <c r="AD19" s="93">
        <v>311</v>
      </c>
      <c r="AE19" s="93">
        <v>274</v>
      </c>
      <c r="AF19" s="93">
        <v>390</v>
      </c>
      <c r="AG19" s="93">
        <v>212</v>
      </c>
      <c r="AH19" s="93">
        <v>279</v>
      </c>
      <c r="AI19" s="93">
        <v>281</v>
      </c>
      <c r="AJ19" s="93">
        <v>413</v>
      </c>
      <c r="AK19" s="93">
        <v>238</v>
      </c>
      <c r="AL19" s="93">
        <v>279</v>
      </c>
      <c r="AM19" s="93">
        <v>283</v>
      </c>
      <c r="AN19" s="93">
        <v>411</v>
      </c>
      <c r="AO19" s="93">
        <v>255</v>
      </c>
      <c r="AP19" s="93">
        <v>338</v>
      </c>
      <c r="AQ19" s="93">
        <v>303</v>
      </c>
      <c r="AR19" s="93">
        <v>378</v>
      </c>
      <c r="AS19" s="93">
        <v>386</v>
      </c>
      <c r="AT19" s="93">
        <v>435</v>
      </c>
      <c r="AU19" s="93">
        <v>495</v>
      </c>
      <c r="AV19" s="93">
        <v>471</v>
      </c>
      <c r="AW19" s="93">
        <v>353</v>
      </c>
      <c r="AX19" s="93">
        <v>461</v>
      </c>
      <c r="AY19" s="93">
        <v>496</v>
      </c>
      <c r="AZ19" s="93">
        <v>411</v>
      </c>
      <c r="BA19" s="93">
        <v>698</v>
      </c>
      <c r="BB19" s="93">
        <v>828</v>
      </c>
      <c r="BC19" s="93">
        <v>754</v>
      </c>
      <c r="BD19" s="93">
        <v>897</v>
      </c>
      <c r="BE19" s="93">
        <f t="shared" ref="BE19:BT19" si="18">+BE167</f>
        <v>998</v>
      </c>
      <c r="BF19" s="93">
        <f t="shared" si="18"/>
        <v>1244</v>
      </c>
      <c r="BG19" s="93">
        <f t="shared" si="18"/>
        <v>1220</v>
      </c>
      <c r="BH19" s="93">
        <f t="shared" si="18"/>
        <v>1300</v>
      </c>
      <c r="BI19" s="93">
        <f t="shared" si="18"/>
        <v>1127</v>
      </c>
      <c r="BJ19" s="93">
        <f t="shared" si="18"/>
        <v>1178</v>
      </c>
      <c r="BK19" s="93">
        <f t="shared" si="18"/>
        <v>1203</v>
      </c>
      <c r="BL19" s="93">
        <f t="shared" si="18"/>
        <v>1260</v>
      </c>
      <c r="BM19" s="93">
        <f t="shared" si="18"/>
        <v>1038</v>
      </c>
      <c r="BN19" s="93">
        <f t="shared" si="18"/>
        <v>1073</v>
      </c>
      <c r="BO19" s="93">
        <f t="shared" si="18"/>
        <v>1141</v>
      </c>
      <c r="BP19" s="93">
        <f t="shared" si="18"/>
        <v>1399</v>
      </c>
      <c r="BQ19" s="93">
        <f t="shared" si="18"/>
        <v>918</v>
      </c>
      <c r="BR19" s="93">
        <f t="shared" si="18"/>
        <v>990</v>
      </c>
      <c r="BS19" s="93">
        <f t="shared" si="18"/>
        <v>943</v>
      </c>
      <c r="BT19" s="93">
        <f t="shared" si="18"/>
        <v>1103</v>
      </c>
      <c r="BU19" s="107">
        <f t="shared" ref="BU19:CB19" si="19">+BU151</f>
        <v>941</v>
      </c>
      <c r="BV19" s="107">
        <f t="shared" si="19"/>
        <v>871</v>
      </c>
      <c r="BW19" s="107">
        <f t="shared" si="19"/>
        <v>944</v>
      </c>
      <c r="BX19" s="107">
        <f t="shared" si="19"/>
        <v>1006</v>
      </c>
      <c r="BY19" s="107">
        <f t="shared" si="19"/>
        <v>1077</v>
      </c>
      <c r="BZ19" s="107">
        <f t="shared" si="19"/>
        <v>990</v>
      </c>
      <c r="CA19" s="107">
        <f t="shared" si="19"/>
        <v>1080</v>
      </c>
      <c r="CB19" s="107">
        <f t="shared" si="19"/>
        <v>1015</v>
      </c>
      <c r="CC19" s="107">
        <f t="shared" ref="CC19:CJ19" si="20">+CC151</f>
        <v>1123</v>
      </c>
      <c r="CD19" s="107">
        <f t="shared" si="20"/>
        <v>1014</v>
      </c>
      <c r="CE19" s="107">
        <f t="shared" si="20"/>
        <v>1178</v>
      </c>
      <c r="CF19" s="107">
        <f t="shared" si="20"/>
        <v>1186</v>
      </c>
      <c r="CG19" s="107">
        <f t="shared" si="20"/>
        <v>1220.5562763402074</v>
      </c>
      <c r="CH19" s="107">
        <f t="shared" si="20"/>
        <v>1150.5177690459541</v>
      </c>
      <c r="CI19" s="107">
        <f t="shared" ca="1" si="20"/>
        <v>1253.461485</v>
      </c>
      <c r="CJ19" s="107">
        <f t="shared" ca="1" si="20"/>
        <v>1301.6814935362572</v>
      </c>
      <c r="CO19" s="94"/>
      <c r="DK19" s="94"/>
      <c r="DL19" s="94"/>
      <c r="DM19" s="119"/>
      <c r="DN19" s="94"/>
      <c r="DO19" s="94"/>
      <c r="DP19" s="94"/>
      <c r="DQ19" s="108"/>
      <c r="DR19" s="94"/>
      <c r="DS19" s="94"/>
      <c r="DT19" s="94"/>
      <c r="DU19" s="94"/>
      <c r="DV19" s="94"/>
      <c r="DW19" s="94"/>
      <c r="DX19" s="94"/>
      <c r="DY19" s="94"/>
      <c r="DZ19" s="94"/>
      <c r="EA19"/>
      <c r="EB19"/>
      <c r="EC19"/>
      <c r="ED19"/>
      <c r="EE19"/>
      <c r="EF19"/>
    </row>
    <row r="20" spans="1:136" s="110" customFormat="1">
      <c r="A20" s="42" t="s">
        <v>136</v>
      </c>
      <c r="B20" s="20">
        <v>0.1882226042404018</v>
      </c>
      <c r="C20" s="20">
        <v>0.20800418351308711</v>
      </c>
      <c r="D20" s="20">
        <v>0.21670087137906671</v>
      </c>
      <c r="E20" s="20">
        <v>0.19867784585617543</v>
      </c>
      <c r="F20" s="20">
        <v>0.17517408604824669</v>
      </c>
      <c r="G20" s="20">
        <v>0.15853193797086154</v>
      </c>
      <c r="H20" s="20">
        <v>0.15790546047269763</v>
      </c>
      <c r="I20" s="20">
        <v>0.11779159562731922</v>
      </c>
      <c r="J20" s="20">
        <v>0.10351923712021134</v>
      </c>
      <c r="K20" s="20">
        <v>0.12121343257746235</v>
      </c>
      <c r="L20" s="20">
        <f t="shared" ref="L20:V20" si="21">L19/L10</f>
        <v>0.12880688494394868</v>
      </c>
      <c r="M20" s="20">
        <f t="shared" si="21"/>
        <v>0.13297961463278413</v>
      </c>
      <c r="N20" s="20">
        <f t="shared" si="21"/>
        <v>0.13617021276595745</v>
      </c>
      <c r="O20" s="20">
        <f t="shared" si="21"/>
        <v>0.13176010651859826</v>
      </c>
      <c r="P20" s="20">
        <f t="shared" si="21"/>
        <v>0.13309546250168305</v>
      </c>
      <c r="Q20" s="20">
        <f t="shared" si="21"/>
        <v>0.14352752661096485</v>
      </c>
      <c r="R20" s="20">
        <f t="shared" si="21"/>
        <v>0.16470122675108825</v>
      </c>
      <c r="S20" s="20">
        <f t="shared" si="21"/>
        <v>0.17564192616873489</v>
      </c>
      <c r="T20" s="20">
        <f t="shared" ca="1" si="21"/>
        <v>0.18303058232465802</v>
      </c>
      <c r="U20" s="20">
        <f t="shared" ca="1" si="21"/>
        <v>0.18924793456266017</v>
      </c>
      <c r="V20" s="20">
        <f t="shared" ca="1" si="21"/>
        <v>0.19468783390161204</v>
      </c>
      <c r="W20" s="20">
        <f ca="1">W19/W10</f>
        <v>0.19853447389087772</v>
      </c>
      <c r="X20" s="20">
        <f ca="1">X19/X10</f>
        <v>0.20093249060700843</v>
      </c>
      <c r="Y20" s="20">
        <f ca="1">Y19/Y10</f>
        <v>0.20239476260747241</v>
      </c>
      <c r="Z20" s="20">
        <f ca="1">Z19/Z10</f>
        <v>0.20384925648491514</v>
      </c>
      <c r="AA20" s="20">
        <f ca="1">AA19/AA10</f>
        <v>0.20521503744743683</v>
      </c>
      <c r="AB20" s="42"/>
      <c r="AC20" s="20">
        <v>0.10030661410424879</v>
      </c>
      <c r="AD20" s="20">
        <v>0.12464929859719438</v>
      </c>
      <c r="AE20" s="20">
        <v>0.11674478057094163</v>
      </c>
      <c r="AF20" s="20">
        <v>0.13074086490110626</v>
      </c>
      <c r="AG20" s="20">
        <v>8.4596967278531526E-2</v>
      </c>
      <c r="AH20" s="20">
        <v>0.10801393728222997</v>
      </c>
      <c r="AI20" s="20">
        <v>0.11213088587390263</v>
      </c>
      <c r="AJ20" s="20">
        <v>0.12806201550387597</v>
      </c>
      <c r="AK20" s="20">
        <v>9.5967741935483866E-2</v>
      </c>
      <c r="AL20" s="20">
        <v>0.10433807030665669</v>
      </c>
      <c r="AM20" s="20">
        <v>0.10671191553544494</v>
      </c>
      <c r="AN20" s="20">
        <v>0.11975524475524475</v>
      </c>
      <c r="AO20" s="20">
        <v>9.0106007067137811E-2</v>
      </c>
      <c r="AP20" s="20">
        <v>0.10974025974025974</v>
      </c>
      <c r="AQ20" s="20">
        <v>9.7146521320936194E-2</v>
      </c>
      <c r="AR20" s="20">
        <v>9.4570928196147111E-2</v>
      </c>
      <c r="AS20" s="20">
        <v>9.0313523631258774E-2</v>
      </c>
      <c r="AT20" s="20">
        <v>9.3972780298120548E-2</v>
      </c>
      <c r="AU20" s="20">
        <v>0.11066398390342053</v>
      </c>
      <c r="AV20" s="20">
        <v>0.10239130434782609</v>
      </c>
      <c r="AW20" s="20">
        <v>9.5923913043478262E-2</v>
      </c>
      <c r="AX20" s="20">
        <v>0.11568381430363865</v>
      </c>
      <c r="AY20" s="20">
        <v>0.12322981366459627</v>
      </c>
      <c r="AZ20" s="20">
        <v>8.1644815256257455E-2</v>
      </c>
      <c r="BA20" s="20">
        <v>0.12397868561278863</v>
      </c>
      <c r="BB20" s="20">
        <v>0.13591595535128037</v>
      </c>
      <c r="BC20" s="20">
        <v>0.12691466083150985</v>
      </c>
      <c r="BD20" s="20">
        <v>0.11913932793199628</v>
      </c>
      <c r="BE20" s="20">
        <f t="shared" ref="BE20:CB20" si="22">BE19/BE10</f>
        <v>0.12185592185592185</v>
      </c>
      <c r="BF20" s="20">
        <f t="shared" si="22"/>
        <v>0.13576339626759795</v>
      </c>
      <c r="BG20" s="20">
        <f t="shared" si="22"/>
        <v>0.13898382319434952</v>
      </c>
      <c r="BH20" s="20">
        <f t="shared" si="22"/>
        <v>0.13431139580535179</v>
      </c>
      <c r="BI20" s="20">
        <f t="shared" si="22"/>
        <v>0.13003346025152879</v>
      </c>
      <c r="BJ20" s="20">
        <f t="shared" si="22"/>
        <v>0.13814940776357454</v>
      </c>
      <c r="BK20" s="20">
        <f t="shared" si="22"/>
        <v>0.14448714869084794</v>
      </c>
      <c r="BL20" s="20">
        <f t="shared" si="22"/>
        <v>0.13270142180094788</v>
      </c>
      <c r="BM20" s="20">
        <f t="shared" si="22"/>
        <v>0.1187099725526075</v>
      </c>
      <c r="BN20" s="20">
        <f t="shared" si="22"/>
        <v>0.12484002326934264</v>
      </c>
      <c r="BO20" s="20">
        <f t="shared" si="22"/>
        <v>0.13467894239848915</v>
      </c>
      <c r="BP20" s="20">
        <f t="shared" si="22"/>
        <v>0.14744940978077573</v>
      </c>
      <c r="BQ20" s="20">
        <f t="shared" si="22"/>
        <v>0.12210694333599362</v>
      </c>
      <c r="BR20" s="20">
        <f t="shared" si="22"/>
        <v>0.13544944588863045</v>
      </c>
      <c r="BS20" s="20">
        <f t="shared" si="22"/>
        <v>0.12935528120713305</v>
      </c>
      <c r="BT20" s="20">
        <f t="shared" si="22"/>
        <v>0.14530364905809512</v>
      </c>
      <c r="BU20" s="20">
        <f t="shared" si="22"/>
        <v>0.14139744552967692</v>
      </c>
      <c r="BV20" s="20">
        <f t="shared" si="22"/>
        <v>0.1372518121651434</v>
      </c>
      <c r="BW20" s="20">
        <f t="shared" si="22"/>
        <v>0.14759224515322075</v>
      </c>
      <c r="BX20" s="20">
        <f t="shared" si="22"/>
        <v>0.14763721749339595</v>
      </c>
      <c r="BY20" s="109">
        <f t="shared" si="22"/>
        <v>0.17073557387444516</v>
      </c>
      <c r="BZ20" s="109">
        <f t="shared" si="22"/>
        <v>0.16100178890876565</v>
      </c>
      <c r="CA20" s="109">
        <f t="shared" si="22"/>
        <v>0.17321571772253408</v>
      </c>
      <c r="CB20" s="109">
        <f t="shared" si="22"/>
        <v>0.15430221951961082</v>
      </c>
      <c r="CC20" s="109">
        <f t="shared" ref="CC20:CJ20" si="23">CC19/CC10</f>
        <v>0.17887862376553043</v>
      </c>
      <c r="CD20" s="109">
        <f t="shared" si="23"/>
        <v>0.17256637168141592</v>
      </c>
      <c r="CE20" s="109">
        <f t="shared" si="23"/>
        <v>0.1808968058968059</v>
      </c>
      <c r="CF20" s="109">
        <f t="shared" si="23"/>
        <v>0.1704022988505747</v>
      </c>
      <c r="CG20" s="109">
        <f t="shared" si="23"/>
        <v>0.18193353883606764</v>
      </c>
      <c r="CH20" s="109">
        <f t="shared" si="23"/>
        <v>0.18193876639263701</v>
      </c>
      <c r="CI20" s="109">
        <f t="shared" ca="1" si="23"/>
        <v>0.187069815376492</v>
      </c>
      <c r="CJ20" s="109">
        <f t="shared" ca="1" si="23"/>
        <v>0.18124818286766875</v>
      </c>
      <c r="CO20" s="43"/>
      <c r="DK20" s="43"/>
      <c r="DL20" s="38"/>
      <c r="DM20" s="38"/>
      <c r="DN20" s="38"/>
      <c r="DO20" s="38"/>
      <c r="DP20" s="38"/>
      <c r="DQ20" s="112"/>
      <c r="DR20" s="38"/>
      <c r="DS20" s="38"/>
      <c r="DT20" s="38"/>
      <c r="DU20" s="38"/>
      <c r="DV20" s="38"/>
      <c r="DW20" s="38"/>
      <c r="DX20" s="38"/>
      <c r="DY20" s="38"/>
      <c r="DZ20" s="38"/>
      <c r="EA20"/>
      <c r="EB20"/>
      <c r="EC20"/>
      <c r="ED20"/>
      <c r="EE20"/>
      <c r="EF20"/>
    </row>
    <row r="21" spans="1:136" ht="6" customHeight="1">
      <c r="A21" s="42"/>
      <c r="B21" s="115"/>
      <c r="C21" s="115"/>
      <c r="D21" s="115"/>
      <c r="E21" s="115"/>
      <c r="F21" s="115"/>
      <c r="G21" s="115"/>
      <c r="H21" s="115"/>
      <c r="I21" s="115"/>
      <c r="J21" s="115"/>
      <c r="K21" s="115"/>
      <c r="L21" s="115"/>
      <c r="M21" s="43"/>
      <c r="N21" s="43"/>
      <c r="O21" s="43"/>
      <c r="P21" s="20"/>
      <c r="Q21" s="116"/>
      <c r="R21" s="116"/>
      <c r="S21" s="116"/>
      <c r="T21" s="116"/>
      <c r="U21" s="116"/>
      <c r="V21" s="116"/>
      <c r="W21" s="116"/>
      <c r="X21" s="116"/>
      <c r="Y21" s="116"/>
      <c r="Z21" s="116"/>
      <c r="AA21" s="116"/>
      <c r="AB21" s="42"/>
      <c r="AC21" s="115"/>
      <c r="AD21" s="115"/>
      <c r="AE21" s="115"/>
      <c r="AF21" s="115"/>
      <c r="AG21" s="115"/>
      <c r="AH21" s="115"/>
      <c r="AI21" s="115"/>
      <c r="AJ21" s="115"/>
      <c r="AK21" s="115"/>
      <c r="AL21" s="115"/>
      <c r="AM21" s="115"/>
      <c r="AN21" s="115"/>
      <c r="AO21" s="115"/>
      <c r="AP21" s="115"/>
      <c r="AQ21" s="115"/>
      <c r="AR21" s="115"/>
      <c r="AS21" s="115"/>
      <c r="AT21" s="115"/>
      <c r="AU21" s="115"/>
      <c r="AV21" s="115"/>
      <c r="AW21" s="115"/>
      <c r="AX21" s="115"/>
      <c r="AY21" s="115"/>
      <c r="AZ21" s="115"/>
      <c r="BA21" s="115"/>
      <c r="BB21" s="115"/>
      <c r="BC21" s="115"/>
      <c r="BD21" s="115"/>
      <c r="BE21" s="115"/>
      <c r="BF21" s="115"/>
      <c r="BG21" s="43"/>
      <c r="BH21" s="43"/>
      <c r="BI21" s="43"/>
      <c r="BJ21" s="50"/>
      <c r="BK21" s="43"/>
      <c r="BL21" s="43"/>
      <c r="BM21" s="43"/>
      <c r="BN21" s="43"/>
      <c r="BO21" s="43"/>
      <c r="BP21" s="43"/>
      <c r="BQ21" s="118"/>
      <c r="BR21" s="118"/>
      <c r="BS21" s="118"/>
      <c r="BT21" s="118"/>
      <c r="BU21" s="118"/>
      <c r="BV21" s="43"/>
      <c r="BW21" s="43"/>
      <c r="BX21" s="43"/>
      <c r="BY21" s="117"/>
      <c r="BZ21" s="117"/>
      <c r="CA21" s="117"/>
      <c r="CB21" s="117"/>
      <c r="CC21" s="117"/>
      <c r="CD21" s="117"/>
      <c r="CE21" s="117"/>
      <c r="CF21" s="117"/>
      <c r="CG21" s="117"/>
      <c r="CH21" s="117"/>
      <c r="CI21" s="117"/>
      <c r="CJ21" s="117"/>
      <c r="CO21" s="43"/>
      <c r="DK21" s="43"/>
      <c r="DL21" s="43"/>
      <c r="DM21" s="43"/>
      <c r="DN21" s="43"/>
      <c r="DO21" s="43"/>
      <c r="DP21" s="43"/>
      <c r="DQ21" s="118"/>
      <c r="DR21" s="43"/>
      <c r="DS21" s="43"/>
      <c r="DT21" s="43"/>
      <c r="DU21" s="43"/>
      <c r="DV21" s="43"/>
      <c r="DW21" s="43"/>
      <c r="DX21" s="43"/>
      <c r="DY21" s="43"/>
      <c r="DZ21" s="43"/>
    </row>
    <row r="22" spans="1:136" s="90" customFormat="1">
      <c r="A22" s="87" t="s">
        <v>137</v>
      </c>
      <c r="B22" s="39">
        <v>208</v>
      </c>
      <c r="C22" s="39">
        <v>189</v>
      </c>
      <c r="D22" s="39">
        <v>162</v>
      </c>
      <c r="E22" s="39">
        <v>182</v>
      </c>
      <c r="F22" s="39">
        <v>185</v>
      </c>
      <c r="G22" s="39">
        <v>194</v>
      </c>
      <c r="H22" s="39">
        <v>184</v>
      </c>
      <c r="I22" s="39">
        <v>-350</v>
      </c>
      <c r="J22" s="39">
        <v>-470.35</v>
      </c>
      <c r="K22" s="39">
        <v>226</v>
      </c>
      <c r="L22" s="39">
        <f t="shared" ref="L22:V22" si="24">SUM(L23:L25)</f>
        <v>344</v>
      </c>
      <c r="M22" s="87">
        <f t="shared" si="24"/>
        <v>440</v>
      </c>
      <c r="N22" s="87">
        <f t="shared" si="24"/>
        <v>317</v>
      </c>
      <c r="O22" s="87">
        <f>SUM(O23:O25)</f>
        <v>164</v>
      </c>
      <c r="P22" s="87">
        <f>SUM(P23:P25)</f>
        <v>266</v>
      </c>
      <c r="Q22" s="87">
        <f t="shared" si="24"/>
        <v>224</v>
      </c>
      <c r="R22" s="87">
        <f t="shared" si="24"/>
        <v>213</v>
      </c>
      <c r="S22" s="87">
        <f t="shared" si="24"/>
        <v>204</v>
      </c>
      <c r="T22" s="87">
        <f t="shared" ca="1" si="24"/>
        <v>188.40304570681181</v>
      </c>
      <c r="U22" s="87">
        <f t="shared" ca="1" si="24"/>
        <v>192.9370206565778</v>
      </c>
      <c r="V22" s="87">
        <f t="shared" ca="1" si="24"/>
        <v>198.47620448690881</v>
      </c>
      <c r="W22" s="87">
        <f ca="1">SUM(W23:W25)</f>
        <v>204.85117752396863</v>
      </c>
      <c r="X22" s="87">
        <f ca="1">SUM(X23:X25)</f>
        <v>211.22291237708168</v>
      </c>
      <c r="Y22" s="87">
        <f ca="1">SUM(Y23:Y25)</f>
        <v>217.60381265713636</v>
      </c>
      <c r="Z22" s="87">
        <f ca="1">SUM(Z23:Z25)</f>
        <v>224.00651308363013</v>
      </c>
      <c r="AA22" s="87">
        <f ca="1">SUM(AA23:AA25)</f>
        <v>230.44379558985054</v>
      </c>
      <c r="AB22" s="87"/>
      <c r="AC22" s="87">
        <v>46</v>
      </c>
      <c r="AD22" s="87">
        <v>42</v>
      </c>
      <c r="AE22" s="87">
        <v>46</v>
      </c>
      <c r="AF22" s="87">
        <v>46</v>
      </c>
      <c r="AG22" s="87">
        <v>43</v>
      </c>
      <c r="AH22" s="87">
        <v>53</v>
      </c>
      <c r="AI22" s="87">
        <v>48</v>
      </c>
      <c r="AJ22" s="87">
        <v>47</v>
      </c>
      <c r="AK22" s="87">
        <v>40</v>
      </c>
      <c r="AL22" s="87">
        <v>46</v>
      </c>
      <c r="AM22" s="87">
        <v>41</v>
      </c>
      <c r="AN22" s="87">
        <v>57</v>
      </c>
      <c r="AO22" s="87">
        <v>49</v>
      </c>
      <c r="AP22" s="87">
        <v>42</v>
      </c>
      <c r="AQ22" s="87">
        <v>46</v>
      </c>
      <c r="AR22" s="87">
        <v>66</v>
      </c>
      <c r="AS22" s="87">
        <v>51</v>
      </c>
      <c r="AT22" s="87">
        <v>-32</v>
      </c>
      <c r="AU22" s="87">
        <v>198</v>
      </c>
      <c r="AV22" s="87">
        <v>245</v>
      </c>
      <c r="AW22" s="87">
        <v>-11</v>
      </c>
      <c r="AX22" s="87">
        <v>71</v>
      </c>
      <c r="AY22" s="87">
        <v>107</v>
      </c>
      <c r="AZ22" s="87">
        <v>88</v>
      </c>
      <c r="BA22" s="87">
        <v>146</v>
      </c>
      <c r="BB22" s="87">
        <v>101</v>
      </c>
      <c r="BC22" s="87">
        <v>103</v>
      </c>
      <c r="BD22" s="87">
        <v>113</v>
      </c>
      <c r="BE22" s="87">
        <f t="shared" ref="BE22:BX22" si="25">SUM(BE23:BE25)</f>
        <v>-3</v>
      </c>
      <c r="BF22" s="87">
        <f t="shared" si="25"/>
        <v>133</v>
      </c>
      <c r="BG22" s="87">
        <f t="shared" si="25"/>
        <v>117</v>
      </c>
      <c r="BH22" s="87">
        <f t="shared" si="25"/>
        <v>193</v>
      </c>
      <c r="BI22" s="87">
        <f t="shared" si="25"/>
        <v>55</v>
      </c>
      <c r="BJ22" s="87">
        <f t="shared" si="25"/>
        <v>19</v>
      </c>
      <c r="BK22" s="87">
        <f t="shared" si="25"/>
        <v>83</v>
      </c>
      <c r="BL22" s="87">
        <f t="shared" si="25"/>
        <v>160</v>
      </c>
      <c r="BM22" s="87">
        <f t="shared" si="25"/>
        <v>41</v>
      </c>
      <c r="BN22" s="87">
        <f t="shared" si="25"/>
        <v>36</v>
      </c>
      <c r="BO22" s="87">
        <f>SUM(BO23:BO25)</f>
        <v>54</v>
      </c>
      <c r="BP22" s="87">
        <f t="shared" si="25"/>
        <v>33</v>
      </c>
      <c r="BQ22" s="87">
        <f t="shared" si="25"/>
        <v>63</v>
      </c>
      <c r="BR22" s="87">
        <f t="shared" si="25"/>
        <v>83</v>
      </c>
      <c r="BS22" s="87">
        <f t="shared" si="25"/>
        <v>13</v>
      </c>
      <c r="BT22" s="87">
        <f t="shared" si="25"/>
        <v>107</v>
      </c>
      <c r="BU22" s="87">
        <f t="shared" si="25"/>
        <v>47</v>
      </c>
      <c r="BV22" s="87">
        <f t="shared" si="25"/>
        <v>58</v>
      </c>
      <c r="BW22" s="120">
        <f t="shared" si="25"/>
        <v>41</v>
      </c>
      <c r="BX22" s="87">
        <f t="shared" si="25"/>
        <v>78</v>
      </c>
      <c r="BY22" s="87">
        <f t="shared" ref="BY22:CF22" si="26">SUM(BY23:BY25)</f>
        <v>48</v>
      </c>
      <c r="BZ22" s="120">
        <f t="shared" si="26"/>
        <v>44</v>
      </c>
      <c r="CA22" s="120">
        <f t="shared" si="26"/>
        <v>72</v>
      </c>
      <c r="CB22" s="120">
        <f t="shared" si="26"/>
        <v>49</v>
      </c>
      <c r="CC22" s="120">
        <f t="shared" si="26"/>
        <v>46</v>
      </c>
      <c r="CD22" s="120">
        <f t="shared" si="26"/>
        <v>64</v>
      </c>
      <c r="CE22" s="120">
        <f t="shared" si="26"/>
        <v>44</v>
      </c>
      <c r="CF22" s="120">
        <f t="shared" si="26"/>
        <v>50</v>
      </c>
      <c r="CG22" s="120">
        <f ca="1">SUM(CG23:CG25)</f>
        <v>47.100761426702952</v>
      </c>
      <c r="CH22" s="120">
        <f ca="1">SUM(CH23:CH25)</f>
        <v>47.100761426702952</v>
      </c>
      <c r="CI22" s="120">
        <f ca="1">SUM(CI23:CI25)</f>
        <v>47.10076142670296</v>
      </c>
      <c r="CJ22" s="120">
        <f ca="1">SUM(CJ23:CJ25)</f>
        <v>47.100761426702945</v>
      </c>
      <c r="CO22" s="39"/>
      <c r="DK22" s="39"/>
      <c r="DL22" s="39"/>
      <c r="DM22" s="39"/>
      <c r="DN22" s="39"/>
      <c r="DO22" s="39"/>
      <c r="DP22" s="39"/>
      <c r="DQ22" s="91"/>
      <c r="DR22" s="39"/>
      <c r="DS22" s="39"/>
      <c r="DT22" s="39"/>
      <c r="DU22" s="39"/>
      <c r="DV22" s="39"/>
      <c r="DW22" s="39"/>
      <c r="DX22" s="39"/>
      <c r="DY22" s="39"/>
      <c r="DZ22" s="39"/>
      <c r="EA22"/>
      <c r="EB22"/>
      <c r="EC22"/>
      <c r="ED22"/>
      <c r="EE22"/>
      <c r="EF22"/>
    </row>
    <row r="23" spans="1:136" s="90" customFormat="1">
      <c r="A23" s="121" t="s">
        <v>138</v>
      </c>
      <c r="B23" s="88"/>
      <c r="C23" s="88"/>
      <c r="D23" s="88"/>
      <c r="E23" s="88"/>
      <c r="F23" s="88"/>
      <c r="G23" s="88"/>
      <c r="H23" s="88"/>
      <c r="I23" s="88">
        <v>0</v>
      </c>
      <c r="J23" s="88">
        <v>0</v>
      </c>
      <c r="K23" s="88">
        <v>165</v>
      </c>
      <c r="L23" s="88">
        <v>-38</v>
      </c>
      <c r="M23" s="39">
        <f>+SUM(BE23:BH23)</f>
        <v>36</v>
      </c>
      <c r="N23" s="39">
        <f>+SUM(BI23:BL23)</f>
        <v>-1</v>
      </c>
      <c r="O23" s="39">
        <f>SUM(BM23:BP23)</f>
        <v>-60</v>
      </c>
      <c r="P23" s="39">
        <f>+SUM(BQ23:BT23)</f>
        <v>73</v>
      </c>
      <c r="Q23" s="39">
        <f>+SUM(BU23:BX23)</f>
        <v>0</v>
      </c>
      <c r="R23" s="39">
        <f>+SUM(BY23:CB23)</f>
        <v>0</v>
      </c>
      <c r="S23" s="39">
        <f>+SUM(CC23:CF23)</f>
        <v>0</v>
      </c>
      <c r="T23" s="386">
        <v>0</v>
      </c>
      <c r="U23" s="386">
        <v>0</v>
      </c>
      <c r="V23" s="386">
        <v>0</v>
      </c>
      <c r="W23" s="386">
        <v>0</v>
      </c>
      <c r="X23" s="386">
        <v>0</v>
      </c>
      <c r="Y23" s="386">
        <v>0</v>
      </c>
      <c r="Z23" s="386">
        <v>0</v>
      </c>
      <c r="AA23" s="386">
        <v>0</v>
      </c>
      <c r="AB23" s="121"/>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v>38</v>
      </c>
      <c r="BB23" s="88">
        <v>-22</v>
      </c>
      <c r="BC23" s="88">
        <v>-16</v>
      </c>
      <c r="BD23" s="88">
        <v>-67</v>
      </c>
      <c r="BE23" s="88">
        <v>-65</v>
      </c>
      <c r="BF23" s="88">
        <v>72</v>
      </c>
      <c r="BG23" s="88">
        <v>-17</v>
      </c>
      <c r="BH23" s="88">
        <v>46</v>
      </c>
      <c r="BI23" s="88">
        <v>-18</v>
      </c>
      <c r="BJ23" s="88">
        <v>-23</v>
      </c>
      <c r="BK23" s="88">
        <v>-1</v>
      </c>
      <c r="BL23" s="88">
        <v>41</v>
      </c>
      <c r="BM23" s="88">
        <v>-19</v>
      </c>
      <c r="BN23" s="88">
        <v>-24</v>
      </c>
      <c r="BO23" s="88">
        <v>-10</v>
      </c>
      <c r="BP23" s="88">
        <v>-7</v>
      </c>
      <c r="BQ23" s="122">
        <v>-5</v>
      </c>
      <c r="BR23" s="122">
        <v>44</v>
      </c>
      <c r="BS23" s="122">
        <v>-28</v>
      </c>
      <c r="BT23" s="123">
        <v>62</v>
      </c>
      <c r="BU23" s="386">
        <v>0</v>
      </c>
      <c r="BV23" s="386">
        <v>0</v>
      </c>
      <c r="BW23" s="386">
        <v>0</v>
      </c>
      <c r="BX23" s="386">
        <v>0</v>
      </c>
      <c r="BY23" s="386">
        <v>0</v>
      </c>
      <c r="BZ23" s="386">
        <v>0</v>
      </c>
      <c r="CA23" s="386">
        <v>0</v>
      </c>
      <c r="CB23" s="386">
        <v>0</v>
      </c>
      <c r="CC23" s="386">
        <v>0</v>
      </c>
      <c r="CD23" s="386">
        <v>0</v>
      </c>
      <c r="CE23" s="386">
        <v>0</v>
      </c>
      <c r="CF23" s="123">
        <v>0</v>
      </c>
      <c r="CG23" s="123">
        <v>0</v>
      </c>
      <c r="CH23" s="123">
        <v>0</v>
      </c>
      <c r="CI23" s="123">
        <v>0</v>
      </c>
      <c r="CJ23" s="123">
        <v>0</v>
      </c>
      <c r="CO23" s="39"/>
      <c r="DK23" s="39"/>
      <c r="DL23" s="39"/>
      <c r="DM23" s="39"/>
      <c r="DN23" s="39"/>
      <c r="DO23" s="39"/>
      <c r="DP23" s="39"/>
      <c r="DQ23" s="91"/>
      <c r="DR23" s="39"/>
      <c r="DS23" s="39"/>
      <c r="DT23" s="39"/>
      <c r="DU23" s="39"/>
      <c r="DV23" s="39"/>
      <c r="DW23" s="39"/>
      <c r="DX23" s="39"/>
      <c r="DY23" s="39"/>
      <c r="DZ23" s="39"/>
      <c r="EA23"/>
      <c r="EB23"/>
      <c r="EC23"/>
      <c r="ED23"/>
      <c r="EE23"/>
      <c r="EF23"/>
    </row>
    <row r="24" spans="1:136" s="90" customFormat="1" ht="12.75" hidden="1" customHeight="1" outlineLevel="1">
      <c r="A24" s="121" t="s">
        <v>139</v>
      </c>
      <c r="B24" s="88"/>
      <c r="C24" s="88"/>
      <c r="D24" s="88"/>
      <c r="E24" s="88"/>
      <c r="F24" s="88"/>
      <c r="G24" s="88"/>
      <c r="H24" s="88"/>
      <c r="I24" s="88">
        <v>0</v>
      </c>
      <c r="J24" s="88">
        <v>0</v>
      </c>
      <c r="K24" s="88">
        <v>-133</v>
      </c>
      <c r="L24" s="88"/>
      <c r="M24" s="39"/>
      <c r="N24" s="39"/>
      <c r="O24" s="39"/>
      <c r="P24" s="39"/>
      <c r="Q24" s="39">
        <f>+SUM(BU24:BX24)</f>
        <v>0</v>
      </c>
      <c r="R24" s="39"/>
      <c r="S24" s="39"/>
      <c r="T24" s="39"/>
      <c r="U24" s="39"/>
      <c r="V24" s="39"/>
      <c r="W24" s="39"/>
      <c r="X24" s="39"/>
      <c r="Y24" s="39"/>
      <c r="Z24" s="39"/>
      <c r="AA24" s="39"/>
      <c r="AB24" s="121"/>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v>56</v>
      </c>
      <c r="BB24" s="88">
        <v>25</v>
      </c>
      <c r="BC24" s="88">
        <v>42</v>
      </c>
      <c r="BD24" s="88">
        <v>56</v>
      </c>
      <c r="BE24" s="88"/>
      <c r="BF24" s="88"/>
      <c r="BG24" s="88"/>
      <c r="BH24" s="88"/>
      <c r="BI24" s="88"/>
      <c r="BJ24" s="88"/>
      <c r="BK24" s="88"/>
      <c r="BL24" s="88"/>
      <c r="BM24" s="39"/>
      <c r="BN24" s="88"/>
      <c r="BO24" s="88"/>
      <c r="BP24" s="88"/>
      <c r="BQ24" s="122"/>
      <c r="BR24" s="106"/>
      <c r="BS24" s="106"/>
      <c r="BT24" s="123"/>
      <c r="BU24" s="123"/>
      <c r="BV24" s="123"/>
      <c r="BW24" s="123"/>
      <c r="BX24" s="123"/>
      <c r="BY24" s="386"/>
      <c r="BZ24" s="386"/>
      <c r="CA24" s="386"/>
      <c r="CB24" s="386"/>
      <c r="CC24" s="386"/>
      <c r="CD24" s="386"/>
      <c r="CE24" s="386"/>
      <c r="CF24" s="123"/>
      <c r="CG24" s="106"/>
      <c r="CH24" s="106"/>
      <c r="CI24" s="106"/>
      <c r="CJ24" s="106"/>
      <c r="CO24" s="39"/>
      <c r="DK24" s="39"/>
      <c r="DL24" s="88"/>
      <c r="DM24" s="88"/>
      <c r="DN24" s="88"/>
      <c r="DO24" s="39"/>
      <c r="DP24" s="88"/>
      <c r="DQ24" s="103"/>
      <c r="DR24" s="88"/>
      <c r="DS24" s="88"/>
      <c r="DT24" s="88"/>
      <c r="DU24" s="88"/>
      <c r="DV24" s="88"/>
      <c r="DW24" s="39"/>
      <c r="DX24" s="88"/>
      <c r="DY24" s="88"/>
      <c r="DZ24" s="88"/>
      <c r="EA24"/>
      <c r="EB24"/>
      <c r="EC24"/>
      <c r="ED24"/>
      <c r="EE24"/>
      <c r="EF24"/>
    </row>
    <row r="25" spans="1:136" s="90" customFormat="1" collapsed="1">
      <c r="A25" s="121" t="s">
        <v>140</v>
      </c>
      <c r="B25" s="88"/>
      <c r="C25" s="88"/>
      <c r="D25" s="88"/>
      <c r="E25" s="88"/>
      <c r="F25" s="88"/>
      <c r="G25" s="88"/>
      <c r="H25" s="88"/>
      <c r="I25" s="88">
        <v>0</v>
      </c>
      <c r="J25" s="88">
        <v>0</v>
      </c>
      <c r="K25" s="88">
        <v>-61</v>
      </c>
      <c r="L25" s="88">
        <v>382</v>
      </c>
      <c r="M25" s="39">
        <f>+SUM(BE25:BH25)</f>
        <v>404</v>
      </c>
      <c r="N25" s="39">
        <f>+SUM(BI25:BL25)</f>
        <v>318</v>
      </c>
      <c r="O25" s="39">
        <f>+SUM(BM25:BP25)</f>
        <v>224</v>
      </c>
      <c r="P25" s="39">
        <f>+SUM(BQ25:BT25)</f>
        <v>193</v>
      </c>
      <c r="Q25" s="39">
        <f>+SUM(BU25:BX25)</f>
        <v>224</v>
      </c>
      <c r="R25" s="39">
        <f>+SUM(BY25:CB25)</f>
        <v>213</v>
      </c>
      <c r="S25" s="39">
        <f>+SUM(CC25:CF25)</f>
        <v>204</v>
      </c>
      <c r="T25" s="39">
        <f t="shared" ref="T25:AA25" ca="1" si="27">T10*T116</f>
        <v>188.40304570681181</v>
      </c>
      <c r="U25" s="39">
        <f t="shared" ca="1" si="27"/>
        <v>192.9370206565778</v>
      </c>
      <c r="V25" s="39">
        <f t="shared" ca="1" si="27"/>
        <v>198.47620448690881</v>
      </c>
      <c r="W25" s="39">
        <f t="shared" ca="1" si="27"/>
        <v>204.85117752396863</v>
      </c>
      <c r="X25" s="39">
        <f t="shared" ca="1" si="27"/>
        <v>211.22291237708168</v>
      </c>
      <c r="Y25" s="39">
        <f t="shared" ca="1" si="27"/>
        <v>217.60381265713636</v>
      </c>
      <c r="Z25" s="39">
        <f t="shared" ca="1" si="27"/>
        <v>224.00651308363013</v>
      </c>
      <c r="AA25" s="39">
        <f t="shared" ca="1" si="27"/>
        <v>230.44379558985054</v>
      </c>
      <c r="AB25" s="121"/>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v>52</v>
      </c>
      <c r="BB25" s="88">
        <v>98</v>
      </c>
      <c r="BC25" s="88">
        <v>77</v>
      </c>
      <c r="BD25" s="88">
        <v>124</v>
      </c>
      <c r="BE25" s="88">
        <v>62</v>
      </c>
      <c r="BF25" s="88">
        <v>61</v>
      </c>
      <c r="BG25" s="88">
        <v>134</v>
      </c>
      <c r="BH25" s="88">
        <v>147</v>
      </c>
      <c r="BI25" s="88">
        <v>73</v>
      </c>
      <c r="BJ25" s="88">
        <v>42</v>
      </c>
      <c r="BK25" s="88">
        <v>84</v>
      </c>
      <c r="BL25" s="88">
        <v>119</v>
      </c>
      <c r="BM25" s="88">
        <v>60</v>
      </c>
      <c r="BN25" s="88">
        <v>60</v>
      </c>
      <c r="BO25" s="88">
        <v>64</v>
      </c>
      <c r="BP25" s="88">
        <v>40</v>
      </c>
      <c r="BQ25" s="122">
        <v>68</v>
      </c>
      <c r="BR25" s="122">
        <v>39</v>
      </c>
      <c r="BS25" s="122">
        <v>41</v>
      </c>
      <c r="BT25" s="123">
        <v>45</v>
      </c>
      <c r="BU25" s="123">
        <v>47</v>
      </c>
      <c r="BV25" s="123">
        <v>58</v>
      </c>
      <c r="BW25" s="123">
        <v>41</v>
      </c>
      <c r="BX25" s="123">
        <v>78</v>
      </c>
      <c r="BY25" s="386">
        <v>48</v>
      </c>
      <c r="BZ25" s="386">
        <v>44</v>
      </c>
      <c r="CA25" s="386">
        <v>72</v>
      </c>
      <c r="CB25" s="386">
        <v>49</v>
      </c>
      <c r="CC25" s="386">
        <v>46</v>
      </c>
      <c r="CD25" s="386">
        <v>64</v>
      </c>
      <c r="CE25" s="386">
        <v>44</v>
      </c>
      <c r="CF25" s="123">
        <v>50</v>
      </c>
      <c r="CG25" s="39">
        <f ca="1">T25/4</f>
        <v>47.100761426702952</v>
      </c>
      <c r="CH25" s="39">
        <f ca="1">(T25-CG25)/3</f>
        <v>47.100761426702952</v>
      </c>
      <c r="CI25" s="39">
        <f ca="1">(T25-CH25-CG25)/2</f>
        <v>47.10076142670296</v>
      </c>
      <c r="CJ25" s="39">
        <f ca="1">T25-SUM(CG25:CI25)</f>
        <v>47.100761426702945</v>
      </c>
      <c r="CK25" s="715"/>
      <c r="CO25" s="39"/>
      <c r="DK25" s="39"/>
      <c r="DL25" s="39"/>
      <c r="DM25" s="39"/>
      <c r="DN25" s="39"/>
      <c r="DO25" s="39"/>
      <c r="DP25" s="39"/>
      <c r="DQ25" s="91"/>
      <c r="DR25" s="39"/>
      <c r="DS25" s="39"/>
      <c r="DT25" s="39"/>
      <c r="DU25" s="39"/>
      <c r="DV25" s="39"/>
      <c r="DW25" s="39"/>
      <c r="DX25" s="39"/>
      <c r="DY25" s="39"/>
      <c r="DZ25" s="39"/>
      <c r="EA25"/>
      <c r="EB25"/>
      <c r="EC25"/>
      <c r="ED25"/>
      <c r="EE25"/>
      <c r="EF25"/>
    </row>
    <row r="26" spans="1:136" s="90" customFormat="1">
      <c r="A26" s="87" t="s">
        <v>141</v>
      </c>
      <c r="B26" s="97">
        <v>961</v>
      </c>
      <c r="C26" s="97">
        <v>962</v>
      </c>
      <c r="D26" s="97">
        <v>7</v>
      </c>
      <c r="E26" s="97">
        <v>9</v>
      </c>
      <c r="F26" s="97">
        <v>11</v>
      </c>
      <c r="G26" s="97">
        <v>10</v>
      </c>
      <c r="H26" s="97">
        <v>7</v>
      </c>
      <c r="I26" s="97">
        <v>13</v>
      </c>
      <c r="J26" s="97">
        <v>23</v>
      </c>
      <c r="K26" s="97">
        <v>26</v>
      </c>
      <c r="L26" s="97">
        <v>210</v>
      </c>
      <c r="M26" s="98">
        <f>+SUM(BE26:BH26)</f>
        <v>225</v>
      </c>
      <c r="N26" s="98">
        <f>+SUM(BI26:BL26)</f>
        <v>217</v>
      </c>
      <c r="O26" s="98">
        <f>+SUM(BM26:BP26)</f>
        <v>217</v>
      </c>
      <c r="P26" s="98">
        <f>+SUM(BQ26:BT26)</f>
        <v>205</v>
      </c>
      <c r="Q26" s="98">
        <f>+SUM(BU26:BX26)</f>
        <v>181</v>
      </c>
      <c r="R26" s="98">
        <f>+SUM(BY26:CB26)</f>
        <v>176</v>
      </c>
      <c r="S26" s="98">
        <f>+SUM(CC26:CF26)</f>
        <v>178</v>
      </c>
      <c r="T26" s="97">
        <v>175</v>
      </c>
      <c r="U26" s="97">
        <v>175</v>
      </c>
      <c r="V26" s="97">
        <v>175</v>
      </c>
      <c r="W26" s="97">
        <v>175</v>
      </c>
      <c r="X26" s="97">
        <v>175</v>
      </c>
      <c r="Y26" s="97">
        <v>175</v>
      </c>
      <c r="Z26" s="97">
        <v>175</v>
      </c>
      <c r="AA26" s="97">
        <v>175</v>
      </c>
      <c r="AB26" s="87"/>
      <c r="AC26" s="97">
        <v>2</v>
      </c>
      <c r="AD26" s="97">
        <v>4</v>
      </c>
      <c r="AE26" s="97">
        <v>2</v>
      </c>
      <c r="AF26" s="97">
        <v>3</v>
      </c>
      <c r="AG26" s="97">
        <v>3</v>
      </c>
      <c r="AH26" s="97">
        <v>2</v>
      </c>
      <c r="AI26" s="97">
        <v>2.5</v>
      </c>
      <c r="AJ26" s="97">
        <v>2.5</v>
      </c>
      <c r="AK26" s="97">
        <v>2</v>
      </c>
      <c r="AL26" s="97">
        <v>3</v>
      </c>
      <c r="AM26" s="97">
        <v>1</v>
      </c>
      <c r="AN26" s="97">
        <v>1</v>
      </c>
      <c r="AO26" s="97">
        <v>2</v>
      </c>
      <c r="AP26" s="97">
        <v>4</v>
      </c>
      <c r="AQ26" s="97">
        <v>3</v>
      </c>
      <c r="AR26" s="97">
        <v>4</v>
      </c>
      <c r="AS26" s="97">
        <v>7</v>
      </c>
      <c r="AT26" s="97">
        <v>4</v>
      </c>
      <c r="AU26" s="97">
        <v>7</v>
      </c>
      <c r="AV26" s="97">
        <v>5</v>
      </c>
      <c r="AW26" s="97">
        <v>6</v>
      </c>
      <c r="AX26" s="97">
        <v>3</v>
      </c>
      <c r="AY26" s="97">
        <v>6</v>
      </c>
      <c r="AZ26" s="97">
        <v>11</v>
      </c>
      <c r="BA26" s="97">
        <v>33</v>
      </c>
      <c r="BB26" s="97">
        <v>60</v>
      </c>
      <c r="BC26" s="97">
        <v>53</v>
      </c>
      <c r="BD26" s="97">
        <v>65</v>
      </c>
      <c r="BE26" s="97">
        <v>57</v>
      </c>
      <c r="BF26" s="97">
        <v>57</v>
      </c>
      <c r="BG26" s="97">
        <v>58</v>
      </c>
      <c r="BH26" s="97">
        <v>53</v>
      </c>
      <c r="BI26" s="97">
        <v>56</v>
      </c>
      <c r="BJ26" s="97">
        <v>53</v>
      </c>
      <c r="BK26" s="97">
        <v>54</v>
      </c>
      <c r="BL26" s="97">
        <v>54</v>
      </c>
      <c r="BM26" s="97">
        <v>54</v>
      </c>
      <c r="BN26" s="97">
        <v>55</v>
      </c>
      <c r="BO26" s="97">
        <v>55</v>
      </c>
      <c r="BP26" s="97">
        <v>53</v>
      </c>
      <c r="BQ26" s="99">
        <v>54</v>
      </c>
      <c r="BR26" s="99">
        <v>55</v>
      </c>
      <c r="BS26" s="99">
        <v>48</v>
      </c>
      <c r="BT26" s="100">
        <v>48</v>
      </c>
      <c r="BU26" s="100">
        <v>46</v>
      </c>
      <c r="BV26" s="100">
        <v>46</v>
      </c>
      <c r="BW26" s="100">
        <v>45</v>
      </c>
      <c r="BX26" s="100">
        <v>44</v>
      </c>
      <c r="BY26" s="243">
        <v>44</v>
      </c>
      <c r="BZ26" s="243">
        <v>44</v>
      </c>
      <c r="CA26" s="243">
        <v>44</v>
      </c>
      <c r="CB26" s="243">
        <v>44</v>
      </c>
      <c r="CC26" s="243">
        <v>44</v>
      </c>
      <c r="CD26" s="243">
        <v>44</v>
      </c>
      <c r="CE26" s="243">
        <v>45</v>
      </c>
      <c r="CF26" s="100">
        <v>45</v>
      </c>
      <c r="CG26" s="98">
        <f>T26/4</f>
        <v>43.75</v>
      </c>
      <c r="CH26" s="98">
        <f>(T26-CG26)/3</f>
        <v>43.75</v>
      </c>
      <c r="CI26" s="98">
        <f>(T26-CH26-CG26)/2</f>
        <v>43.75</v>
      </c>
      <c r="CJ26" s="98">
        <f>T26-SUM(CG26:CI26)</f>
        <v>43.75</v>
      </c>
      <c r="CK26" s="715"/>
      <c r="CO26" s="39"/>
      <c r="DK26" s="39"/>
      <c r="DL26" s="88"/>
      <c r="DM26" s="88"/>
      <c r="DN26" s="88"/>
      <c r="DO26" s="39"/>
      <c r="DP26" s="88"/>
      <c r="DQ26" s="103"/>
      <c r="DR26" s="88"/>
      <c r="DS26" s="88"/>
      <c r="DT26" s="88"/>
      <c r="DU26" s="88"/>
      <c r="DV26" s="88"/>
      <c r="DW26" s="39"/>
      <c r="DX26" s="88"/>
      <c r="DY26" s="88"/>
      <c r="DZ26" s="88"/>
      <c r="EA26"/>
      <c r="EB26"/>
      <c r="EC26"/>
      <c r="ED26"/>
      <c r="EE26"/>
      <c r="EF26"/>
    </row>
    <row r="27" spans="1:136" s="90" customFormat="1" ht="5.0999999999999996" customHeight="1">
      <c r="A27" s="87"/>
      <c r="B27" s="88"/>
      <c r="C27" s="88"/>
      <c r="D27" s="88"/>
      <c r="E27" s="88"/>
      <c r="F27" s="88"/>
      <c r="G27" s="88"/>
      <c r="H27" s="88"/>
      <c r="I27" s="88"/>
      <c r="J27" s="88"/>
      <c r="K27" s="88"/>
      <c r="L27" s="88"/>
      <c r="M27" s="39"/>
      <c r="N27" s="39"/>
      <c r="O27" s="39"/>
      <c r="P27" s="89"/>
      <c r="Q27" s="87"/>
      <c r="R27" s="87"/>
      <c r="S27" s="87"/>
      <c r="T27" s="87"/>
      <c r="U27" s="87"/>
      <c r="V27" s="87"/>
      <c r="W27" s="87"/>
      <c r="X27" s="87"/>
      <c r="Y27" s="87"/>
      <c r="Z27" s="87"/>
      <c r="AA27" s="87"/>
      <c r="AB27" s="87"/>
      <c r="AC27" s="88"/>
      <c r="AD27" s="88"/>
      <c r="AE27" s="88"/>
      <c r="AF27" s="88"/>
      <c r="AG27" s="88"/>
      <c r="AH27" s="88"/>
      <c r="AI27" s="88"/>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39"/>
      <c r="BH27" s="39"/>
      <c r="BI27" s="39"/>
      <c r="BJ27" s="39"/>
      <c r="BK27" s="39"/>
      <c r="BL27" s="39"/>
      <c r="BM27" s="39"/>
      <c r="BN27" s="39"/>
      <c r="BO27" s="39"/>
      <c r="BP27" s="39"/>
      <c r="BQ27" s="106"/>
      <c r="BR27" s="106"/>
      <c r="BS27" s="106"/>
      <c r="BT27" s="106"/>
      <c r="BU27" s="106"/>
      <c r="BV27" s="106"/>
      <c r="BW27" s="106"/>
      <c r="BX27" s="106"/>
      <c r="BY27" s="106"/>
      <c r="BZ27" s="106"/>
      <c r="CA27" s="106"/>
      <c r="CB27" s="106"/>
      <c r="CC27" s="106"/>
      <c r="CD27" s="106"/>
      <c r="CE27" s="106"/>
      <c r="CF27" s="106"/>
      <c r="CG27" s="106"/>
      <c r="CH27" s="106"/>
      <c r="CI27" s="106"/>
      <c r="CJ27" s="106"/>
      <c r="CO27" s="39"/>
      <c r="DK27" s="39"/>
      <c r="DL27" s="39"/>
      <c r="DM27" s="39"/>
      <c r="DN27" s="39"/>
      <c r="DO27" s="39"/>
      <c r="DP27" s="39"/>
      <c r="DQ27" s="91"/>
      <c r="DR27" s="39"/>
      <c r="DS27" s="39"/>
      <c r="DT27" s="39"/>
      <c r="DU27" s="39"/>
      <c r="DV27" s="39"/>
      <c r="DW27" s="39"/>
      <c r="DX27" s="39"/>
      <c r="DY27" s="39"/>
      <c r="DZ27" s="39"/>
      <c r="EA27"/>
      <c r="EB27"/>
      <c r="EC27"/>
      <c r="ED27"/>
      <c r="EE27"/>
      <c r="EF27"/>
    </row>
    <row r="28" spans="1:136" s="90" customFormat="1">
      <c r="A28" s="93" t="s">
        <v>142</v>
      </c>
      <c r="B28" s="93">
        <v>4415</v>
      </c>
      <c r="C28" s="93">
        <v>4957</v>
      </c>
      <c r="D28" s="93">
        <v>6272</v>
      </c>
      <c r="E28" s="93">
        <v>5970</v>
      </c>
      <c r="F28" s="93">
        <v>5439</v>
      </c>
      <c r="G28" s="93">
        <v>5204</v>
      </c>
      <c r="H28" s="93">
        <v>5234</v>
      </c>
      <c r="I28" s="93">
        <v>2686</v>
      </c>
      <c r="J28" s="93">
        <v>2955</v>
      </c>
      <c r="K28" s="93">
        <v>2549</v>
      </c>
      <c r="L28" s="93">
        <f t="shared" ref="L28:V28" si="28">+L19-L22-L26</f>
        <v>3502</v>
      </c>
      <c r="M28" s="93">
        <f>+M19-M22-M26</f>
        <v>4097</v>
      </c>
      <c r="N28" s="93">
        <f t="shared" si="28"/>
        <v>4234</v>
      </c>
      <c r="O28" s="93">
        <f>+O19-O22-O26</f>
        <v>4270</v>
      </c>
      <c r="P28" s="93">
        <f t="shared" si="28"/>
        <v>3483</v>
      </c>
      <c r="Q28" s="93">
        <f t="shared" si="28"/>
        <v>3357</v>
      </c>
      <c r="R28" s="93">
        <f t="shared" si="28"/>
        <v>3773</v>
      </c>
      <c r="S28" s="93">
        <f t="shared" si="28"/>
        <v>4119</v>
      </c>
      <c r="T28" s="93">
        <f t="shared" ca="1" si="28"/>
        <v>4562.8139782156059</v>
      </c>
      <c r="U28" s="93">
        <f t="shared" ca="1" si="28"/>
        <v>4848.1962164763718</v>
      </c>
      <c r="V28" s="93">
        <f t="shared" ca="1" si="28"/>
        <v>5146.6527001659042</v>
      </c>
      <c r="W28" s="93">
        <f ca="1">+W19-W22-W26</f>
        <v>5430.1517875685895</v>
      </c>
      <c r="X28" s="93">
        <f ca="1">+X19-X22-X26</f>
        <v>5676.855067221908</v>
      </c>
      <c r="Y28" s="93">
        <f ca="1">+Y19-Y22-Y26</f>
        <v>5899.0921880888654</v>
      </c>
      <c r="Z28" s="93">
        <f ca="1">+Z19-Z22-Z26</f>
        <v>6124.3593640415729</v>
      </c>
      <c r="AA28" s="93">
        <f ca="1">+AA19-AA22-AA26</f>
        <v>6350.3465103388153</v>
      </c>
      <c r="AB28" s="93"/>
      <c r="AC28" s="93">
        <v>1302</v>
      </c>
      <c r="AD28" s="93">
        <v>1387</v>
      </c>
      <c r="AE28" s="93">
        <v>1343</v>
      </c>
      <c r="AF28" s="93">
        <v>1412</v>
      </c>
      <c r="AG28" s="93">
        <v>1205</v>
      </c>
      <c r="AH28" s="93">
        <v>1308</v>
      </c>
      <c r="AI28" s="93">
        <v>1192.5</v>
      </c>
      <c r="AJ28" s="93">
        <v>1501.5</v>
      </c>
      <c r="AK28" s="93">
        <v>1236</v>
      </c>
      <c r="AL28" s="93">
        <v>1410</v>
      </c>
      <c r="AM28" s="93">
        <v>1254</v>
      </c>
      <c r="AN28" s="93">
        <v>1334</v>
      </c>
      <c r="AO28" s="93">
        <v>1198</v>
      </c>
      <c r="AP28" s="93">
        <v>292</v>
      </c>
      <c r="AQ28" s="93">
        <v>254</v>
      </c>
      <c r="AR28" s="93">
        <v>308</v>
      </c>
      <c r="AS28" s="93">
        <v>328</v>
      </c>
      <c r="AT28" s="93">
        <v>463</v>
      </c>
      <c r="AU28" s="93">
        <v>290</v>
      </c>
      <c r="AV28" s="93">
        <v>221</v>
      </c>
      <c r="AW28" s="93">
        <v>358</v>
      </c>
      <c r="AX28" s="93">
        <v>387</v>
      </c>
      <c r="AY28" s="93">
        <v>383</v>
      </c>
      <c r="AZ28" s="93">
        <v>312</v>
      </c>
      <c r="BA28" s="93">
        <v>519</v>
      </c>
      <c r="BB28" s="93">
        <v>667</v>
      </c>
      <c r="BC28" s="93">
        <v>598</v>
      </c>
      <c r="BD28" s="93">
        <v>719</v>
      </c>
      <c r="BE28" s="93">
        <f t="shared" ref="BE28:CB28" si="29">BE19-BE22-BE26</f>
        <v>944</v>
      </c>
      <c r="BF28" s="93">
        <f t="shared" si="29"/>
        <v>1054</v>
      </c>
      <c r="BG28" s="93">
        <f t="shared" si="29"/>
        <v>1045</v>
      </c>
      <c r="BH28" s="93">
        <f t="shared" si="29"/>
        <v>1054</v>
      </c>
      <c r="BI28" s="93">
        <f t="shared" si="29"/>
        <v>1016</v>
      </c>
      <c r="BJ28" s="93">
        <f t="shared" si="29"/>
        <v>1106</v>
      </c>
      <c r="BK28" s="93">
        <f t="shared" si="29"/>
        <v>1066</v>
      </c>
      <c r="BL28" s="93">
        <f t="shared" si="29"/>
        <v>1046</v>
      </c>
      <c r="BM28" s="93">
        <f t="shared" si="29"/>
        <v>943</v>
      </c>
      <c r="BN28" s="93">
        <f t="shared" si="29"/>
        <v>982</v>
      </c>
      <c r="BO28" s="93">
        <f>BO19-BO22-BO26</f>
        <v>1032</v>
      </c>
      <c r="BP28" s="93">
        <f t="shared" si="29"/>
        <v>1313</v>
      </c>
      <c r="BQ28" s="107">
        <f t="shared" si="29"/>
        <v>801</v>
      </c>
      <c r="BR28" s="107">
        <f t="shared" si="29"/>
        <v>852</v>
      </c>
      <c r="BS28" s="107">
        <f t="shared" si="29"/>
        <v>882</v>
      </c>
      <c r="BT28" s="107">
        <f t="shared" si="29"/>
        <v>948</v>
      </c>
      <c r="BU28" s="107">
        <f t="shared" si="29"/>
        <v>848</v>
      </c>
      <c r="BV28" s="107">
        <f t="shared" si="29"/>
        <v>767</v>
      </c>
      <c r="BW28" s="107">
        <f t="shared" si="29"/>
        <v>858</v>
      </c>
      <c r="BX28" s="107">
        <f t="shared" si="29"/>
        <v>884</v>
      </c>
      <c r="BY28" s="107">
        <f t="shared" si="29"/>
        <v>985</v>
      </c>
      <c r="BZ28" s="107">
        <f t="shared" si="29"/>
        <v>902</v>
      </c>
      <c r="CA28" s="107">
        <f t="shared" si="29"/>
        <v>964</v>
      </c>
      <c r="CB28" s="107">
        <f t="shared" si="29"/>
        <v>922</v>
      </c>
      <c r="CC28" s="107">
        <f t="shared" ref="CC28:CJ28" si="30">CC19-CC22-CC26</f>
        <v>1033</v>
      </c>
      <c r="CD28" s="107">
        <f t="shared" si="30"/>
        <v>906</v>
      </c>
      <c r="CE28" s="107">
        <f t="shared" si="30"/>
        <v>1089</v>
      </c>
      <c r="CF28" s="107">
        <f t="shared" si="30"/>
        <v>1091</v>
      </c>
      <c r="CG28" s="107">
        <f t="shared" ca="1" si="30"/>
        <v>1129.7055149135044</v>
      </c>
      <c r="CH28" s="107">
        <f t="shared" ca="1" si="30"/>
        <v>1059.6670076192511</v>
      </c>
      <c r="CI28" s="107">
        <f t="shared" ca="1" si="30"/>
        <v>1162.610723573297</v>
      </c>
      <c r="CJ28" s="107">
        <f t="shared" ca="1" si="30"/>
        <v>1210.8307321095542</v>
      </c>
      <c r="CO28" s="94"/>
      <c r="DK28" s="94"/>
      <c r="DL28" s="38"/>
      <c r="DM28" s="112"/>
      <c r="DN28" s="108"/>
      <c r="DO28" s="108"/>
      <c r="DP28" s="108"/>
      <c r="DQ28" s="108"/>
      <c r="DR28" s="94"/>
      <c r="DS28" s="94"/>
      <c r="DT28" s="94"/>
      <c r="DU28" s="94"/>
      <c r="DV28" s="94"/>
      <c r="DW28" s="94"/>
      <c r="DX28" s="94"/>
      <c r="DY28" s="94"/>
      <c r="DZ28" s="94"/>
      <c r="EA28"/>
      <c r="EB28"/>
      <c r="EC28"/>
      <c r="ED28"/>
      <c r="EE28"/>
      <c r="EF28"/>
    </row>
    <row r="29" spans="1:136" s="110" customFormat="1">
      <c r="A29" s="42" t="s">
        <v>143</v>
      </c>
      <c r="B29" s="20">
        <v>0.14881855260053259</v>
      </c>
      <c r="C29" s="20">
        <v>0.16880758639069629</v>
      </c>
      <c r="D29" s="20">
        <v>0.21101503885879622</v>
      </c>
      <c r="E29" s="20">
        <v>0.19251854240567559</v>
      </c>
      <c r="F29" s="20">
        <v>0.16908107435961203</v>
      </c>
      <c r="G29" s="20">
        <v>0.1525518130917832</v>
      </c>
      <c r="H29" s="20">
        <v>0.1523460239841658</v>
      </c>
      <c r="I29" s="20">
        <v>0.13469060274796912</v>
      </c>
      <c r="J29" s="20">
        <v>0.12198645970937913</v>
      </c>
      <c r="K29" s="20">
        <v>0.11030811840055392</v>
      </c>
      <c r="L29" s="20">
        <f t="shared" ref="L29:V29" si="31">L28/L10</f>
        <v>0.1112134396138334</v>
      </c>
      <c r="M29" s="20">
        <f t="shared" si="31"/>
        <v>0.11440938285395141</v>
      </c>
      <c r="N29" s="20">
        <f t="shared" si="31"/>
        <v>0.12091960588319292</v>
      </c>
      <c r="O29" s="20">
        <f t="shared" si="31"/>
        <v>0.12096659962038585</v>
      </c>
      <c r="P29" s="20">
        <f t="shared" si="31"/>
        <v>0.1172411471657466</v>
      </c>
      <c r="Q29" s="20">
        <f t="shared" si="31"/>
        <v>0.12807599862653085</v>
      </c>
      <c r="R29" s="20">
        <f t="shared" si="31"/>
        <v>0.14930747922437673</v>
      </c>
      <c r="S29" s="20">
        <f t="shared" si="31"/>
        <v>0.16073519082182158</v>
      </c>
      <c r="T29" s="738">
        <f t="shared" ca="1" si="31"/>
        <v>0.16952856429514954</v>
      </c>
      <c r="U29" s="20">
        <f t="shared" ca="1" si="31"/>
        <v>0.17589871243913383</v>
      </c>
      <c r="V29" s="20">
        <f t="shared" ca="1" si="31"/>
        <v>0.18151580938528875</v>
      </c>
      <c r="W29" s="20">
        <f ca="1">W28/W10</f>
        <v>0.18555452290984581</v>
      </c>
      <c r="X29" s="20">
        <f ca="1">X28/X10</f>
        <v>0.18813293038783535</v>
      </c>
      <c r="Y29" s="20">
        <f ca="1">Y28/Y10</f>
        <v>0.18976526565591784</v>
      </c>
      <c r="Z29" s="20">
        <f ca="1">Z28/Z10</f>
        <v>0.19138066549112268</v>
      </c>
      <c r="AA29" s="20">
        <f ca="1">AA28/AA10</f>
        <v>0.19289920762930504</v>
      </c>
      <c r="AB29" s="42"/>
      <c r="AC29" s="20">
        <v>0.57030223390275958</v>
      </c>
      <c r="AD29" s="20">
        <v>0.55591182364729463</v>
      </c>
      <c r="AE29" s="20">
        <v>0.57221985513421392</v>
      </c>
      <c r="AF29" s="20">
        <v>0.47334897753938987</v>
      </c>
      <c r="AG29" s="20">
        <v>0.48084596967278531</v>
      </c>
      <c r="AH29" s="20">
        <v>0.50638792102206731</v>
      </c>
      <c r="AI29" s="20">
        <v>0.47585794094173983</v>
      </c>
      <c r="AJ29" s="20">
        <v>0.46558139534883719</v>
      </c>
      <c r="AK29" s="20">
        <v>0.49838709677419357</v>
      </c>
      <c r="AL29" s="20">
        <v>0.52729992520568436</v>
      </c>
      <c r="AM29" s="20">
        <v>0.47285067873303166</v>
      </c>
      <c r="AN29" s="20">
        <v>0.38869463869463872</v>
      </c>
      <c r="AO29" s="20">
        <v>0.42332155477031802</v>
      </c>
      <c r="AP29" s="20">
        <v>9.4805194805194809E-2</v>
      </c>
      <c r="AQ29" s="20">
        <v>8.1436357806989421E-2</v>
      </c>
      <c r="AR29" s="20">
        <v>7.7057793345008757E-2</v>
      </c>
      <c r="AS29" s="20">
        <v>7.6743097800655122E-2</v>
      </c>
      <c r="AT29" s="20">
        <v>0.10002160293799957</v>
      </c>
      <c r="AU29" s="20">
        <v>6.4833445115135252E-2</v>
      </c>
      <c r="AV29" s="20">
        <v>4.8043478260869563E-2</v>
      </c>
      <c r="AW29" s="20">
        <v>9.7282608695652167E-2</v>
      </c>
      <c r="AX29" s="20">
        <v>9.7114178168130491E-2</v>
      </c>
      <c r="AY29" s="20">
        <v>9.5155279503105594E-2</v>
      </c>
      <c r="AZ29" s="20">
        <v>6.197854588796186E-2</v>
      </c>
      <c r="BA29" s="20">
        <v>9.2184724689165193E-2</v>
      </c>
      <c r="BB29" s="20">
        <v>0.10948785292186473</v>
      </c>
      <c r="BC29" s="20">
        <v>0.10065645514223195</v>
      </c>
      <c r="BD29" s="20">
        <v>9.5497410014610179E-2</v>
      </c>
      <c r="BE29" s="20">
        <f t="shared" ref="BE29:CB29" si="32">BE28/BE10</f>
        <v>0.11526251526251527</v>
      </c>
      <c r="BF29" s="20">
        <f t="shared" si="32"/>
        <v>0.11502782931354361</v>
      </c>
      <c r="BG29" s="20">
        <f t="shared" si="32"/>
        <v>0.11904761904761904</v>
      </c>
      <c r="BH29" s="20">
        <f t="shared" si="32"/>
        <v>0.10889554706064676</v>
      </c>
      <c r="BI29" s="20">
        <f t="shared" si="32"/>
        <v>0.11722626052844122</v>
      </c>
      <c r="BJ29" s="20">
        <f t="shared" si="32"/>
        <v>0.12970564090535944</v>
      </c>
      <c r="BK29" s="20">
        <f t="shared" si="32"/>
        <v>0.12803266874849867</v>
      </c>
      <c r="BL29" s="20">
        <f t="shared" si="32"/>
        <v>0.11016324381253291</v>
      </c>
      <c r="BM29" s="20">
        <f t="shared" si="32"/>
        <v>0.10784537968892956</v>
      </c>
      <c r="BN29" s="20">
        <f t="shared" si="32"/>
        <v>0.11425247236765561</v>
      </c>
      <c r="BO29" s="20">
        <f t="shared" si="32"/>
        <v>0.12181303116147309</v>
      </c>
      <c r="BP29" s="20">
        <f t="shared" si="32"/>
        <v>0.13838532883642496</v>
      </c>
      <c r="BQ29" s="109">
        <f t="shared" si="32"/>
        <v>0.10654429369513169</v>
      </c>
      <c r="BR29" s="109">
        <f t="shared" si="32"/>
        <v>0.11656861403748803</v>
      </c>
      <c r="BS29" s="109">
        <f t="shared" si="32"/>
        <v>0.12098765432098765</v>
      </c>
      <c r="BT29" s="109">
        <f t="shared" si="32"/>
        <v>0.12488473191937821</v>
      </c>
      <c r="BU29" s="109">
        <f t="shared" si="32"/>
        <v>0.1274229902329076</v>
      </c>
      <c r="BV29" s="109">
        <f t="shared" si="32"/>
        <v>0.1208635360857233</v>
      </c>
      <c r="BW29" s="109">
        <f t="shared" si="32"/>
        <v>0.13414634146341464</v>
      </c>
      <c r="BX29" s="109">
        <f t="shared" si="32"/>
        <v>0.12973290284707953</v>
      </c>
      <c r="BY29" s="109">
        <f t="shared" si="32"/>
        <v>0.15615091946734305</v>
      </c>
      <c r="BZ29" s="109">
        <f t="shared" si="32"/>
        <v>0.14669051878354203</v>
      </c>
      <c r="CA29" s="109">
        <f t="shared" si="32"/>
        <v>0.15461106655974338</v>
      </c>
      <c r="CB29" s="109">
        <f t="shared" si="32"/>
        <v>0.14016418364244451</v>
      </c>
      <c r="CC29" s="109">
        <f t="shared" ref="CC29:CJ29" si="33">CC28/CC10</f>
        <v>0.16454284804077732</v>
      </c>
      <c r="CD29" s="109">
        <f t="shared" si="33"/>
        <v>0.15418652144315861</v>
      </c>
      <c r="CE29" s="109">
        <f t="shared" si="33"/>
        <v>0.16722972972972974</v>
      </c>
      <c r="CF29" s="109">
        <f t="shared" si="33"/>
        <v>0.1567528735632184</v>
      </c>
      <c r="CG29" s="109">
        <f t="shared" ca="1" si="33"/>
        <v>0.16839151635606173</v>
      </c>
      <c r="CH29" s="109">
        <f t="shared" ca="1" si="33"/>
        <v>0.16757195181183074</v>
      </c>
      <c r="CI29" s="109">
        <f t="shared" ca="1" si="33"/>
        <v>0.17351101411272038</v>
      </c>
      <c r="CJ29" s="109">
        <f t="shared" ca="1" si="33"/>
        <v>0.16859797964783219</v>
      </c>
      <c r="CO29" s="43"/>
      <c r="DK29" s="43"/>
      <c r="DL29" s="125"/>
      <c r="DM29" s="38"/>
      <c r="DN29" s="38"/>
      <c r="DO29" s="38"/>
      <c r="DP29" s="38"/>
      <c r="DQ29" s="112"/>
      <c r="DR29" s="38"/>
      <c r="DS29" s="38"/>
      <c r="DT29" s="38"/>
      <c r="DU29" s="38"/>
      <c r="DV29" s="38"/>
      <c r="DW29" s="38"/>
      <c r="DX29" s="38"/>
      <c r="DY29" s="38"/>
      <c r="DZ29" s="38"/>
      <c r="EA29"/>
      <c r="EB29"/>
      <c r="EC29"/>
      <c r="ED29"/>
      <c r="EE29"/>
      <c r="EF29"/>
    </row>
    <row r="30" spans="1:136" ht="9" customHeight="1">
      <c r="A30" s="126"/>
      <c r="B30" s="127"/>
      <c r="C30" s="127"/>
      <c r="D30" s="127"/>
      <c r="E30" s="127"/>
      <c r="F30" s="127"/>
      <c r="G30" s="127"/>
      <c r="H30" s="127"/>
      <c r="I30" s="127"/>
      <c r="J30" s="127"/>
      <c r="K30" s="127"/>
      <c r="L30" s="127"/>
      <c r="M30" s="127"/>
      <c r="N30" s="127"/>
      <c r="O30" s="127"/>
      <c r="P30" s="127"/>
      <c r="Q30" s="127"/>
      <c r="R30" s="127"/>
      <c r="S30" s="737"/>
      <c r="T30" s="737"/>
      <c r="U30" s="127"/>
      <c r="V30" s="127"/>
      <c r="W30" s="127"/>
      <c r="X30" s="127"/>
      <c r="Y30" s="127"/>
      <c r="Z30" s="127"/>
      <c r="AA30" s="127"/>
      <c r="AB30" s="126"/>
      <c r="AC30" s="127"/>
      <c r="AD30" s="127"/>
      <c r="AE30" s="127"/>
      <c r="AF30" s="127"/>
      <c r="AG30" s="127"/>
      <c r="AH30" s="127"/>
      <c r="AI30" s="127"/>
      <c r="AJ30" s="127"/>
      <c r="AK30" s="127"/>
      <c r="AL30" s="127"/>
      <c r="AM30" s="127"/>
      <c r="AN30" s="127"/>
      <c r="AO30" s="127"/>
      <c r="AP30" s="127"/>
      <c r="AQ30" s="127"/>
      <c r="AR30" s="127"/>
      <c r="AS30" s="127"/>
      <c r="AT30" s="127"/>
      <c r="AU30" s="127"/>
      <c r="AV30" s="127"/>
      <c r="AW30" s="127"/>
      <c r="AX30" s="127"/>
      <c r="AY30" s="127"/>
      <c r="AZ30" s="127"/>
      <c r="BA30" s="127"/>
      <c r="BB30" s="127"/>
      <c r="BC30" s="127"/>
      <c r="BD30" s="127"/>
      <c r="BE30" s="127"/>
      <c r="BF30" s="127"/>
      <c r="BG30" s="127"/>
      <c r="BH30" s="127"/>
      <c r="BI30" s="127"/>
      <c r="BJ30" s="127"/>
      <c r="BK30" s="127"/>
      <c r="BL30" s="127"/>
      <c r="BM30" s="127"/>
      <c r="BN30" s="127"/>
      <c r="BO30" s="127"/>
      <c r="BP30" s="127"/>
      <c r="BQ30" s="128"/>
      <c r="BR30" s="128"/>
      <c r="BS30" s="128"/>
      <c r="BT30" s="128"/>
      <c r="BU30" s="128"/>
      <c r="BV30" s="128"/>
      <c r="BW30" s="128"/>
      <c r="BX30" s="128"/>
      <c r="BY30" s="128"/>
      <c r="BZ30" s="128"/>
      <c r="CA30" s="128"/>
      <c r="CB30" s="128"/>
      <c r="CC30" s="128"/>
      <c r="CD30" s="128"/>
      <c r="CE30" s="128"/>
      <c r="CF30" s="128"/>
      <c r="CG30" s="128"/>
      <c r="CH30" s="128"/>
      <c r="CI30" s="128"/>
      <c r="CJ30" s="128"/>
      <c r="CO30" s="43"/>
      <c r="DK30" s="43"/>
      <c r="DL30" s="129"/>
      <c r="DM30" s="129"/>
      <c r="DN30" s="129"/>
      <c r="DO30" s="129"/>
      <c r="DP30" s="129"/>
      <c r="DQ30" s="130"/>
      <c r="DR30" s="129"/>
      <c r="DS30" s="129"/>
      <c r="DT30" s="129"/>
      <c r="DU30" s="129"/>
      <c r="DV30" s="129"/>
      <c r="DW30" s="129"/>
      <c r="DX30" s="129"/>
      <c r="DY30" s="129"/>
      <c r="DZ30" s="129"/>
    </row>
    <row r="31" spans="1:136" ht="12.75" hidden="1" customHeight="1" outlineLevel="1">
      <c r="A31" s="39" t="s">
        <v>144</v>
      </c>
      <c r="B31" s="116"/>
      <c r="C31" s="116"/>
      <c r="D31" s="116"/>
      <c r="E31" s="116"/>
      <c r="F31" s="116"/>
      <c r="G31" s="116"/>
      <c r="H31" s="116"/>
      <c r="I31" s="116"/>
      <c r="J31" s="116"/>
      <c r="K31" s="116"/>
      <c r="L31" s="116"/>
      <c r="M31" s="116"/>
      <c r="N31" s="131"/>
      <c r="O31" s="131"/>
      <c r="P31" s="131"/>
      <c r="Q31" s="89"/>
      <c r="R31" s="89"/>
      <c r="S31" s="89"/>
      <c r="T31" s="89"/>
      <c r="U31" s="89"/>
      <c r="V31" s="89"/>
      <c r="W31" s="89"/>
      <c r="X31" s="89"/>
      <c r="Y31" s="89"/>
      <c r="Z31" s="89"/>
      <c r="AA31" s="89"/>
      <c r="AB31" s="39"/>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v>0</v>
      </c>
      <c r="BG31" s="116">
        <v>0</v>
      </c>
      <c r="BH31" s="132">
        <v>0</v>
      </c>
      <c r="BI31" s="132">
        <f t="shared" ref="BI31:BL32" si="34">$N31/4</f>
        <v>0</v>
      </c>
      <c r="BJ31" s="132">
        <f t="shared" si="34"/>
        <v>0</v>
      </c>
      <c r="BK31" s="132">
        <f t="shared" si="34"/>
        <v>0</v>
      </c>
      <c r="BL31" s="132">
        <f t="shared" si="34"/>
        <v>0</v>
      </c>
      <c r="BM31" s="132"/>
      <c r="BN31" s="132"/>
      <c r="BO31" s="132"/>
      <c r="BP31" s="132"/>
      <c r="BQ31" s="133"/>
      <c r="BR31" s="133"/>
      <c r="BS31" s="133"/>
      <c r="BT31" s="133"/>
      <c r="BU31" s="133"/>
      <c r="BV31" s="133"/>
      <c r="BW31" s="133"/>
      <c r="BX31" s="133"/>
      <c r="BY31" s="133"/>
      <c r="BZ31" s="133"/>
      <c r="CA31" s="133"/>
      <c r="CB31" s="133"/>
      <c r="CC31" s="133"/>
      <c r="CD31" s="133"/>
      <c r="CE31" s="133"/>
      <c r="CF31" s="133"/>
      <c r="CG31" s="133"/>
      <c r="CH31" s="133"/>
      <c r="CI31" s="133"/>
      <c r="CJ31" s="133"/>
      <c r="CO31" s="43"/>
      <c r="DK31" s="39"/>
      <c r="DL31" s="134"/>
      <c r="DM31" s="134"/>
      <c r="DN31" s="134"/>
      <c r="DO31" s="134"/>
      <c r="DP31" s="134"/>
      <c r="DQ31" s="135"/>
      <c r="DR31" s="134"/>
      <c r="DS31" s="134"/>
      <c r="DT31" s="134"/>
      <c r="DU31" s="134"/>
      <c r="DV31" s="134"/>
      <c r="DW31" s="134"/>
      <c r="DX31" s="134"/>
      <c r="DY31" s="134"/>
      <c r="DZ31" s="134"/>
    </row>
    <row r="32" spans="1:136" ht="12.75" hidden="1" customHeight="1" outlineLevel="1">
      <c r="A32" s="39" t="s">
        <v>145</v>
      </c>
      <c r="B32" s="116"/>
      <c r="C32" s="116"/>
      <c r="D32" s="116"/>
      <c r="E32" s="116"/>
      <c r="F32" s="116"/>
      <c r="G32" s="116"/>
      <c r="H32" s="116"/>
      <c r="I32" s="116"/>
      <c r="J32" s="116"/>
      <c r="K32" s="116"/>
      <c r="L32" s="116"/>
      <c r="M32" s="116"/>
      <c r="N32" s="131"/>
      <c r="O32" s="131"/>
      <c r="P32" s="131"/>
      <c r="Q32" s="89"/>
      <c r="R32" s="89"/>
      <c r="S32" s="89"/>
      <c r="T32" s="89"/>
      <c r="U32" s="89"/>
      <c r="V32" s="89"/>
      <c r="W32" s="89"/>
      <c r="X32" s="89"/>
      <c r="Y32" s="89"/>
      <c r="Z32" s="89"/>
      <c r="AA32" s="89"/>
      <c r="AB32" s="39"/>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v>0</v>
      </c>
      <c r="BG32" s="116">
        <v>0</v>
      </c>
      <c r="BH32" s="132">
        <v>0</v>
      </c>
      <c r="BI32" s="132">
        <f t="shared" si="34"/>
        <v>0</v>
      </c>
      <c r="BJ32" s="132">
        <f t="shared" si="34"/>
        <v>0</v>
      </c>
      <c r="BK32" s="132">
        <f t="shared" si="34"/>
        <v>0</v>
      </c>
      <c r="BL32" s="132">
        <f t="shared" si="34"/>
        <v>0</v>
      </c>
      <c r="BM32" s="132"/>
      <c r="BN32" s="132"/>
      <c r="BO32" s="132"/>
      <c r="BP32" s="132"/>
      <c r="BQ32" s="133"/>
      <c r="BR32" s="133"/>
      <c r="BS32" s="133"/>
      <c r="BT32" s="133"/>
      <c r="BU32" s="133"/>
      <c r="BV32" s="133"/>
      <c r="BW32" s="133"/>
      <c r="BX32" s="133"/>
      <c r="BY32" s="133"/>
      <c r="BZ32" s="133"/>
      <c r="CA32" s="133"/>
      <c r="CB32" s="133"/>
      <c r="CC32" s="133"/>
      <c r="CD32" s="133"/>
      <c r="CE32" s="133"/>
      <c r="CF32" s="133"/>
      <c r="CG32" s="133"/>
      <c r="CH32" s="133"/>
      <c r="CI32" s="133"/>
      <c r="CJ32" s="133"/>
      <c r="CO32" s="43"/>
      <c r="DK32" s="39"/>
      <c r="DL32" s="134"/>
      <c r="DM32" s="134"/>
      <c r="DN32" s="134"/>
      <c r="DO32" s="134"/>
      <c r="DP32" s="134"/>
      <c r="DQ32" s="135"/>
      <c r="DR32" s="134"/>
      <c r="DS32" s="134"/>
      <c r="DT32" s="134"/>
      <c r="DU32" s="134"/>
      <c r="DV32" s="134"/>
      <c r="DW32" s="134"/>
      <c r="DX32" s="134"/>
      <c r="DY32" s="134"/>
      <c r="DZ32" s="134"/>
    </row>
    <row r="33" spans="1:136" ht="12.75" hidden="1" customHeight="1" outlineLevel="1">
      <c r="A33" s="39" t="s">
        <v>146</v>
      </c>
      <c r="B33" s="89"/>
      <c r="C33" s="89"/>
      <c r="D33" s="89"/>
      <c r="E33" s="89"/>
      <c r="F33" s="89"/>
      <c r="G33" s="89"/>
      <c r="H33" s="89"/>
      <c r="I33" s="89"/>
      <c r="J33" s="89"/>
      <c r="K33" s="89"/>
      <c r="L33" s="89"/>
      <c r="M33" s="89"/>
      <c r="N33" s="136"/>
      <c r="O33" s="137"/>
      <c r="P33" s="89"/>
      <c r="Q33" s="89"/>
      <c r="R33" s="89"/>
      <c r="S33" s="89"/>
      <c r="T33" s="89"/>
      <c r="U33" s="89"/>
      <c r="V33" s="89"/>
      <c r="W33" s="89"/>
      <c r="X33" s="89"/>
      <c r="Y33" s="89"/>
      <c r="Z33" s="89"/>
      <c r="AA33" s="89"/>
      <c r="AB33" s="3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89"/>
      <c r="BH33" s="89"/>
      <c r="BI33" s="89"/>
      <c r="BJ33" s="89"/>
      <c r="BK33" s="89"/>
      <c r="BL33" s="89"/>
      <c r="BM33" s="89"/>
      <c r="BN33" s="89"/>
      <c r="BO33" s="89"/>
      <c r="BP33" s="89"/>
      <c r="BQ33" s="138"/>
      <c r="BR33" s="138"/>
      <c r="BS33" s="138"/>
      <c r="BT33" s="138"/>
      <c r="BU33" s="138"/>
      <c r="BV33" s="138"/>
      <c r="BW33" s="138"/>
      <c r="BX33" s="138"/>
      <c r="BY33" s="138"/>
      <c r="BZ33" s="138"/>
      <c r="CA33" s="138"/>
      <c r="CB33" s="138"/>
      <c r="CC33" s="138"/>
      <c r="CD33" s="138"/>
      <c r="CE33" s="138"/>
      <c r="CF33" s="138"/>
      <c r="CG33" s="138"/>
      <c r="CH33" s="138"/>
      <c r="CI33" s="138"/>
      <c r="CJ33" s="138"/>
      <c r="CO33" s="39"/>
      <c r="DK33" s="39"/>
      <c r="DL33" s="134"/>
      <c r="DM33" s="134"/>
      <c r="DN33" s="134"/>
      <c r="DO33" s="134"/>
      <c r="DP33" s="134"/>
      <c r="DQ33" s="135"/>
      <c r="DR33" s="134"/>
      <c r="DS33" s="134"/>
      <c r="DT33" s="134"/>
      <c r="DU33" s="134"/>
      <c r="DV33" s="134"/>
      <c r="DW33" s="134"/>
      <c r="DX33" s="134"/>
      <c r="DY33" s="134"/>
      <c r="DZ33" s="134"/>
    </row>
    <row r="34" spans="1:136" ht="12.75" hidden="1" customHeight="1" outlineLevel="1">
      <c r="A34" s="139"/>
      <c r="B34" s="127"/>
      <c r="C34" s="127"/>
      <c r="D34" s="127"/>
      <c r="E34" s="127"/>
      <c r="F34" s="127"/>
      <c r="G34" s="127"/>
      <c r="H34" s="127"/>
      <c r="I34" s="127"/>
      <c r="J34" s="127"/>
      <c r="K34" s="127"/>
      <c r="L34" s="127"/>
      <c r="M34" s="127"/>
      <c r="N34" s="127"/>
      <c r="O34" s="140"/>
      <c r="P34" s="140"/>
      <c r="Q34" s="140"/>
      <c r="R34" s="127"/>
      <c r="S34" s="127"/>
      <c r="T34" s="127"/>
      <c r="U34" s="127"/>
      <c r="V34" s="127"/>
      <c r="W34" s="127"/>
      <c r="X34" s="127"/>
      <c r="Y34" s="127"/>
      <c r="Z34" s="127"/>
      <c r="AA34" s="127"/>
      <c r="AB34" s="139"/>
      <c r="AC34" s="127"/>
      <c r="AD34" s="127"/>
      <c r="AE34" s="127"/>
      <c r="AF34" s="127"/>
      <c r="AG34" s="127"/>
      <c r="AH34" s="127"/>
      <c r="AI34" s="127"/>
      <c r="AJ34" s="127"/>
      <c r="AK34" s="127"/>
      <c r="AL34" s="127"/>
      <c r="AM34" s="127"/>
      <c r="AN34" s="127"/>
      <c r="AO34" s="127"/>
      <c r="AP34" s="127"/>
      <c r="AQ34" s="127"/>
      <c r="AR34" s="127"/>
      <c r="AS34" s="127"/>
      <c r="AT34" s="127"/>
      <c r="AU34" s="127"/>
      <c r="AV34" s="127"/>
      <c r="AW34" s="127"/>
      <c r="AX34" s="127"/>
      <c r="AY34" s="127"/>
      <c r="AZ34" s="127"/>
      <c r="BA34" s="127"/>
      <c r="BB34" s="127"/>
      <c r="BC34" s="127"/>
      <c r="BD34" s="127"/>
      <c r="BE34" s="127"/>
      <c r="BF34" s="127"/>
      <c r="BG34" s="127"/>
      <c r="BH34" s="127"/>
      <c r="BI34" s="127"/>
      <c r="BJ34" s="127"/>
      <c r="BK34" s="127"/>
      <c r="BL34" s="127"/>
      <c r="BM34" s="127"/>
      <c r="BN34" s="127"/>
      <c r="BO34" s="127"/>
      <c r="BP34" s="127"/>
      <c r="BQ34" s="128"/>
      <c r="BR34" s="128"/>
      <c r="BS34" s="128"/>
      <c r="BT34" s="128"/>
      <c r="BU34" s="128"/>
      <c r="BV34" s="128"/>
      <c r="BW34" s="128"/>
      <c r="BX34" s="128"/>
      <c r="BY34" s="128"/>
      <c r="BZ34" s="128"/>
      <c r="CA34" s="128"/>
      <c r="CB34" s="128"/>
      <c r="CC34" s="128"/>
      <c r="CD34" s="128"/>
      <c r="CE34" s="128"/>
      <c r="CF34" s="128"/>
      <c r="CG34" s="128"/>
      <c r="CH34" s="128"/>
      <c r="CI34" s="128"/>
      <c r="CJ34" s="128"/>
      <c r="CO34" s="43"/>
      <c r="DK34" s="43"/>
      <c r="DL34" s="141"/>
      <c r="DM34" s="141"/>
      <c r="DN34" s="141"/>
      <c r="DO34" s="141"/>
      <c r="DP34" s="141"/>
      <c r="DQ34" s="142"/>
      <c r="DR34" s="141"/>
      <c r="DS34" s="141"/>
      <c r="DT34" s="141"/>
      <c r="DU34" s="141"/>
      <c r="DV34" s="141"/>
      <c r="DW34" s="141"/>
      <c r="DX34" s="141"/>
      <c r="DY34" s="141"/>
      <c r="DZ34" s="141"/>
    </row>
    <row r="35" spans="1:136" ht="12.75" hidden="1" customHeight="1" outlineLevel="1">
      <c r="A35" s="143" t="s">
        <v>147</v>
      </c>
      <c r="B35" s="144">
        <v>4415</v>
      </c>
      <c r="C35" s="144">
        <v>4957</v>
      </c>
      <c r="D35" s="144">
        <v>6272</v>
      </c>
      <c r="E35" s="144">
        <v>5970</v>
      </c>
      <c r="F35" s="144">
        <v>5439</v>
      </c>
      <c r="G35" s="144">
        <v>5204</v>
      </c>
      <c r="H35" s="144">
        <v>5234</v>
      </c>
      <c r="I35" s="144">
        <v>2686</v>
      </c>
      <c r="J35" s="144">
        <v>2955</v>
      </c>
      <c r="K35" s="144">
        <v>2549</v>
      </c>
      <c r="L35" s="144">
        <f>+L28+SUM(L31:L33)</f>
        <v>3502</v>
      </c>
      <c r="M35" s="144">
        <f>+M28+SUM(M31:M33)</f>
        <v>4097</v>
      </c>
      <c r="N35" s="144">
        <f>+N28+SUM(N31:N33)</f>
        <v>4234</v>
      </c>
      <c r="O35" s="144">
        <f t="shared" ref="O35:V35" si="35">+O28+SUM(O31:O33)</f>
        <v>4270</v>
      </c>
      <c r="P35" s="144">
        <f t="shared" si="35"/>
        <v>3483</v>
      </c>
      <c r="Q35" s="144">
        <f t="shared" si="35"/>
        <v>3357</v>
      </c>
      <c r="R35" s="144">
        <f t="shared" si="35"/>
        <v>3773</v>
      </c>
      <c r="S35" s="144">
        <f t="shared" si="35"/>
        <v>4119</v>
      </c>
      <c r="T35" s="144">
        <f t="shared" ca="1" si="35"/>
        <v>4562.8139782156059</v>
      </c>
      <c r="U35" s="144">
        <f t="shared" ca="1" si="35"/>
        <v>4848.1962164763718</v>
      </c>
      <c r="V35" s="144">
        <f t="shared" ca="1" si="35"/>
        <v>5146.6527001659042</v>
      </c>
      <c r="W35" s="144">
        <f ca="1">+W28+SUM(W31:W33)</f>
        <v>5430.1517875685895</v>
      </c>
      <c r="X35" s="144">
        <f ca="1">+X28+SUM(X31:X33)</f>
        <v>5676.855067221908</v>
      </c>
      <c r="Y35" s="144">
        <f ca="1">+Y28+SUM(Y31:Y33)</f>
        <v>5899.0921880888654</v>
      </c>
      <c r="Z35" s="144">
        <f ca="1">+Z28+SUM(Z31:Z33)</f>
        <v>6124.3593640415729</v>
      </c>
      <c r="AA35" s="144">
        <f ca="1">+AA28+SUM(AA31:AA33)</f>
        <v>6350.3465103388153</v>
      </c>
      <c r="AB35" s="143"/>
      <c r="AC35" s="144"/>
      <c r="AD35" s="144"/>
      <c r="AE35" s="144"/>
      <c r="AF35" s="144"/>
      <c r="AG35" s="144"/>
      <c r="AH35" s="144"/>
      <c r="AI35" s="144"/>
      <c r="AJ35" s="144"/>
      <c r="AK35" s="144"/>
      <c r="AL35" s="144"/>
      <c r="AM35" s="144"/>
      <c r="AN35" s="144"/>
      <c r="AO35" s="144"/>
      <c r="AP35" s="144"/>
      <c r="AQ35" s="144"/>
      <c r="AR35" s="144"/>
      <c r="AS35" s="144"/>
      <c r="AT35" s="144"/>
      <c r="AU35" s="144"/>
      <c r="AV35" s="144"/>
      <c r="AW35" s="144"/>
      <c r="AX35" s="144"/>
      <c r="AY35" s="144"/>
      <c r="AZ35" s="144"/>
      <c r="BA35" s="144"/>
      <c r="BB35" s="144"/>
      <c r="BC35" s="144"/>
      <c r="BD35" s="144"/>
      <c r="BE35" s="144">
        <f t="shared" ref="BE35:BT35" si="36">+BE28+SUM(BE31:BE33)</f>
        <v>944</v>
      </c>
      <c r="BF35" s="144">
        <f t="shared" si="36"/>
        <v>1054</v>
      </c>
      <c r="BG35" s="144">
        <f t="shared" si="36"/>
        <v>1045</v>
      </c>
      <c r="BH35" s="144">
        <f t="shared" si="36"/>
        <v>1054</v>
      </c>
      <c r="BI35" s="144">
        <f>+BI28+SUM(BI31:BI33)</f>
        <v>1016</v>
      </c>
      <c r="BJ35" s="144">
        <f t="shared" si="36"/>
        <v>1106</v>
      </c>
      <c r="BK35" s="144">
        <f t="shared" si="36"/>
        <v>1066</v>
      </c>
      <c r="BL35" s="144">
        <f t="shared" si="36"/>
        <v>1046</v>
      </c>
      <c r="BM35" s="144">
        <f t="shared" si="36"/>
        <v>943</v>
      </c>
      <c r="BN35" s="144">
        <f t="shared" si="36"/>
        <v>982</v>
      </c>
      <c r="BO35" s="144">
        <f t="shared" si="36"/>
        <v>1032</v>
      </c>
      <c r="BP35" s="144">
        <f t="shared" si="36"/>
        <v>1313</v>
      </c>
      <c r="BQ35" s="145">
        <f t="shared" si="36"/>
        <v>801</v>
      </c>
      <c r="BR35" s="145">
        <f t="shared" si="36"/>
        <v>852</v>
      </c>
      <c r="BS35" s="145">
        <f t="shared" si="36"/>
        <v>882</v>
      </c>
      <c r="BT35" s="145">
        <f t="shared" si="36"/>
        <v>948</v>
      </c>
      <c r="BU35" s="145"/>
      <c r="BV35" s="145"/>
      <c r="BW35" s="145"/>
      <c r="BX35" s="145"/>
      <c r="BY35" s="145"/>
      <c r="BZ35" s="145"/>
      <c r="CA35" s="145"/>
      <c r="CB35" s="145"/>
      <c r="CC35" s="145"/>
      <c r="CD35" s="145"/>
      <c r="CE35" s="145"/>
      <c r="CF35" s="145"/>
      <c r="CG35" s="145"/>
      <c r="CH35" s="145"/>
      <c r="CI35" s="145"/>
      <c r="CJ35" s="145"/>
      <c r="CO35" s="43"/>
      <c r="DK35" s="43"/>
      <c r="DL35" s="146"/>
      <c r="DM35" s="146"/>
      <c r="DN35" s="146"/>
      <c r="DO35" s="146"/>
      <c r="DP35" s="146"/>
      <c r="DQ35" s="147"/>
      <c r="DR35" s="146"/>
      <c r="DS35" s="146"/>
      <c r="DT35" s="146"/>
      <c r="DU35" s="146"/>
      <c r="DV35" s="146"/>
      <c r="DW35" s="146"/>
      <c r="DX35" s="146"/>
      <c r="DY35" s="146"/>
      <c r="DZ35" s="146"/>
    </row>
    <row r="36" spans="1:136" ht="12.75" hidden="1" customHeight="1" outlineLevel="1">
      <c r="A36" s="126" t="s">
        <v>143</v>
      </c>
      <c r="B36" s="148">
        <v>0.14881855260053259</v>
      </c>
      <c r="C36" s="148">
        <v>0.16880758639069629</v>
      </c>
      <c r="D36" s="148">
        <v>0.21101503885879622</v>
      </c>
      <c r="E36" s="148">
        <v>0.19251854240567559</v>
      </c>
      <c r="F36" s="148">
        <v>0.16908107435961203</v>
      </c>
      <c r="G36" s="148">
        <v>0.1525518130917832</v>
      </c>
      <c r="H36" s="148">
        <v>0.1523460239841658</v>
      </c>
      <c r="I36" s="148">
        <v>0.13469060274796912</v>
      </c>
      <c r="J36" s="148">
        <v>0.12198645970937913</v>
      </c>
      <c r="K36" s="148">
        <v>0.11030811840055392</v>
      </c>
      <c r="L36" s="148">
        <f>+L35/L10</f>
        <v>0.1112134396138334</v>
      </c>
      <c r="M36" s="148">
        <f>+M35/M10</f>
        <v>0.11440938285395141</v>
      </c>
      <c r="N36" s="148">
        <f>+N35/N10</f>
        <v>0.12091960588319292</v>
      </c>
      <c r="O36" s="148">
        <f t="shared" ref="O36:V36" si="37">+O35/O10</f>
        <v>0.12096659962038585</v>
      </c>
      <c r="P36" s="148">
        <f t="shared" si="37"/>
        <v>0.1172411471657466</v>
      </c>
      <c r="Q36" s="148">
        <f t="shared" si="37"/>
        <v>0.12807599862653085</v>
      </c>
      <c r="R36" s="148">
        <f t="shared" si="37"/>
        <v>0.14930747922437673</v>
      </c>
      <c r="S36" s="148">
        <f t="shared" si="37"/>
        <v>0.16073519082182158</v>
      </c>
      <c r="T36" s="148">
        <f t="shared" ca="1" si="37"/>
        <v>0.16952856429514954</v>
      </c>
      <c r="U36" s="148">
        <f t="shared" ca="1" si="37"/>
        <v>0.17589871243913383</v>
      </c>
      <c r="V36" s="148">
        <f t="shared" ca="1" si="37"/>
        <v>0.18151580938528875</v>
      </c>
      <c r="W36" s="148">
        <f ca="1">+W35/W10</f>
        <v>0.18555452290984581</v>
      </c>
      <c r="X36" s="148">
        <f ca="1">+X35/X10</f>
        <v>0.18813293038783535</v>
      </c>
      <c r="Y36" s="148">
        <f ca="1">+Y35/Y10</f>
        <v>0.18976526565591784</v>
      </c>
      <c r="Z36" s="148">
        <f ca="1">+Z35/Z10</f>
        <v>0.19138066549112268</v>
      </c>
      <c r="AA36" s="148">
        <f ca="1">+AA35/AA10</f>
        <v>0.19289920762930504</v>
      </c>
      <c r="AB36" s="126"/>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148"/>
      <c r="BA36" s="148"/>
      <c r="BB36" s="148"/>
      <c r="BC36" s="148"/>
      <c r="BD36" s="148"/>
      <c r="BE36" s="148">
        <f t="shared" ref="BE36:BT36" si="38">+BE35/BE10</f>
        <v>0.11526251526251527</v>
      </c>
      <c r="BF36" s="148">
        <f t="shared" si="38"/>
        <v>0.11502782931354361</v>
      </c>
      <c r="BG36" s="148">
        <f t="shared" si="38"/>
        <v>0.11904761904761904</v>
      </c>
      <c r="BH36" s="148">
        <f t="shared" si="38"/>
        <v>0.10889554706064676</v>
      </c>
      <c r="BI36" s="148">
        <f t="shared" si="38"/>
        <v>0.11722626052844122</v>
      </c>
      <c r="BJ36" s="148">
        <f t="shared" si="38"/>
        <v>0.12970564090535944</v>
      </c>
      <c r="BK36" s="148">
        <f t="shared" si="38"/>
        <v>0.12803266874849867</v>
      </c>
      <c r="BL36" s="148">
        <f t="shared" si="38"/>
        <v>0.11016324381253291</v>
      </c>
      <c r="BM36" s="148">
        <f t="shared" si="38"/>
        <v>0.10784537968892956</v>
      </c>
      <c r="BN36" s="148">
        <f t="shared" si="38"/>
        <v>0.11425247236765561</v>
      </c>
      <c r="BO36" s="148">
        <f t="shared" si="38"/>
        <v>0.12181303116147309</v>
      </c>
      <c r="BP36" s="148">
        <f t="shared" si="38"/>
        <v>0.13838532883642496</v>
      </c>
      <c r="BQ36" s="149">
        <f t="shared" si="38"/>
        <v>0.10654429369513169</v>
      </c>
      <c r="BR36" s="149">
        <f t="shared" si="38"/>
        <v>0.11656861403748803</v>
      </c>
      <c r="BS36" s="149">
        <f t="shared" si="38"/>
        <v>0.12098765432098765</v>
      </c>
      <c r="BT36" s="149">
        <f t="shared" si="38"/>
        <v>0.12488473191937821</v>
      </c>
      <c r="BU36" s="149"/>
      <c r="BV36" s="149"/>
      <c r="BW36" s="149"/>
      <c r="BX36" s="149"/>
      <c r="BY36" s="149"/>
      <c r="BZ36" s="149"/>
      <c r="CA36" s="149"/>
      <c r="CB36" s="149"/>
      <c r="CC36" s="149"/>
      <c r="CD36" s="149"/>
      <c r="CE36" s="149"/>
      <c r="CF36" s="149"/>
      <c r="CG36" s="149"/>
      <c r="CH36" s="149"/>
      <c r="CI36" s="149"/>
      <c r="CJ36" s="149"/>
      <c r="CO36" s="43"/>
      <c r="DK36" s="43"/>
      <c r="DL36" s="150"/>
      <c r="DM36" s="150"/>
      <c r="DN36" s="150"/>
      <c r="DO36" s="150"/>
      <c r="DP36" s="150"/>
      <c r="DQ36" s="151"/>
      <c r="DR36" s="150"/>
      <c r="DS36" s="150"/>
      <c r="DT36" s="150"/>
      <c r="DU36" s="150"/>
      <c r="DV36" s="150"/>
      <c r="DW36" s="150"/>
      <c r="DX36" s="150"/>
      <c r="DY36" s="150"/>
      <c r="DZ36" s="150"/>
    </row>
    <row r="37" spans="1:136" s="90" customFormat="1" collapsed="1">
      <c r="A37" s="121" t="s">
        <v>588</v>
      </c>
      <c r="B37" s="88"/>
      <c r="C37" s="88"/>
      <c r="D37" s="88"/>
      <c r="E37" s="88"/>
      <c r="F37" s="88"/>
      <c r="G37" s="88"/>
      <c r="H37" s="88"/>
      <c r="I37" s="88"/>
      <c r="J37" s="88"/>
      <c r="K37" s="88"/>
      <c r="L37" s="88"/>
      <c r="M37" s="39"/>
      <c r="N37" s="39"/>
      <c r="O37" s="39"/>
      <c r="P37" s="39"/>
      <c r="Q37" s="39"/>
      <c r="R37" s="39">
        <f>+SUM(BY37:CB37)</f>
        <v>15</v>
      </c>
      <c r="S37" s="39">
        <f>+SUM(CC37:CF37)</f>
        <v>44</v>
      </c>
      <c r="T37" s="39">
        <f>+S37</f>
        <v>44</v>
      </c>
      <c r="U37" s="39">
        <f>+T37</f>
        <v>44</v>
      </c>
      <c r="V37" s="39">
        <f t="shared" ref="V37:AA37" si="39">+U37</f>
        <v>44</v>
      </c>
      <c r="W37" s="39">
        <f t="shared" si="39"/>
        <v>44</v>
      </c>
      <c r="X37" s="39">
        <f t="shared" si="39"/>
        <v>44</v>
      </c>
      <c r="Y37" s="39">
        <f t="shared" si="39"/>
        <v>44</v>
      </c>
      <c r="Z37" s="39">
        <f t="shared" si="39"/>
        <v>44</v>
      </c>
      <c r="AA37" s="39">
        <f t="shared" si="39"/>
        <v>44</v>
      </c>
      <c r="AB37" s="121"/>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122"/>
      <c r="BR37" s="122"/>
      <c r="BS37" s="122"/>
      <c r="BT37" s="123"/>
      <c r="BU37" s="123"/>
      <c r="BV37" s="123"/>
      <c r="BW37" s="123"/>
      <c r="BX37" s="123"/>
      <c r="BY37" s="386">
        <v>8</v>
      </c>
      <c r="BZ37" s="386">
        <v>1</v>
      </c>
      <c r="CA37" s="386">
        <v>4</v>
      </c>
      <c r="CB37" s="386">
        <v>2</v>
      </c>
      <c r="CC37" s="386">
        <v>15</v>
      </c>
      <c r="CD37" s="386">
        <v>5</v>
      </c>
      <c r="CE37" s="386">
        <v>10</v>
      </c>
      <c r="CF37" s="123">
        <v>14</v>
      </c>
      <c r="CG37" s="39">
        <f>+$T$37/4</f>
        <v>11</v>
      </c>
      <c r="CH37" s="39">
        <f>+$T$37/4</f>
        <v>11</v>
      </c>
      <c r="CI37" s="39">
        <f>+$T$37/4</f>
        <v>11</v>
      </c>
      <c r="CJ37" s="39">
        <f>+$T$37/4</f>
        <v>11</v>
      </c>
      <c r="CK37" s="715"/>
      <c r="CO37" s="39"/>
      <c r="DK37" s="39"/>
      <c r="DL37" s="39"/>
      <c r="DM37" s="39"/>
      <c r="DN37" s="39"/>
      <c r="DO37" s="39"/>
      <c r="DP37" s="39"/>
      <c r="DQ37" s="91"/>
      <c r="DR37" s="39"/>
      <c r="DS37" s="39"/>
      <c r="DT37" s="39"/>
      <c r="DU37" s="39"/>
      <c r="DV37" s="39"/>
      <c r="DW37" s="39"/>
      <c r="DX37" s="39"/>
      <c r="DY37" s="39"/>
      <c r="DZ37" s="39"/>
      <c r="EA37"/>
      <c r="EB37"/>
      <c r="EC37"/>
      <c r="ED37"/>
      <c r="EE37"/>
      <c r="EF37"/>
    </row>
    <row r="38" spans="1:136" s="90" customFormat="1">
      <c r="A38" s="87" t="s">
        <v>148</v>
      </c>
      <c r="B38" s="98">
        <v>1348</v>
      </c>
      <c r="C38" s="98">
        <v>1437</v>
      </c>
      <c r="D38" s="98">
        <v>847</v>
      </c>
      <c r="E38" s="98">
        <v>665</v>
      </c>
      <c r="F38" s="98">
        <v>666</v>
      </c>
      <c r="G38" s="98">
        <v>636</v>
      </c>
      <c r="H38" s="98">
        <v>556</v>
      </c>
      <c r="I38" s="98">
        <v>707</v>
      </c>
      <c r="J38" s="98">
        <v>1254</v>
      </c>
      <c r="K38" s="98">
        <v>1250</v>
      </c>
      <c r="L38" s="98">
        <v>1854.7384174669924</v>
      </c>
      <c r="M38" s="98">
        <f>+SUM(BE38:BH38)</f>
        <v>1308</v>
      </c>
      <c r="N38" s="98">
        <f>+SUM(BI38:BL38)</f>
        <v>1093</v>
      </c>
      <c r="O38" s="98">
        <f>+SUM(BM38:BP38)</f>
        <v>1011</v>
      </c>
      <c r="P38" s="98">
        <f>+SUM(BQ38:BT38)</f>
        <v>821</v>
      </c>
      <c r="Q38" s="98">
        <f>+SUM(BU38:BX38)</f>
        <v>664</v>
      </c>
      <c r="R38" s="98">
        <f>+SUM(BY38:CB38)</f>
        <v>591</v>
      </c>
      <c r="S38" s="98">
        <f>+SUM(CC38:CF38)</f>
        <v>440</v>
      </c>
      <c r="T38" s="98">
        <f>BS!V88</f>
        <v>387.79399999999998</v>
      </c>
      <c r="U38" s="98">
        <f>BS!W88</f>
        <v>391.64400000000001</v>
      </c>
      <c r="V38" s="98">
        <f>BS!X88</f>
        <v>400.99399999999997</v>
      </c>
      <c r="W38" s="98">
        <f>BS!Y88</f>
        <v>408.69399999999996</v>
      </c>
      <c r="X38" s="98">
        <f>BS!Z88</f>
        <v>411.44399999999996</v>
      </c>
      <c r="Y38" s="98">
        <f>BS!AA88</f>
        <v>411.44399999999996</v>
      </c>
      <c r="Z38" s="98">
        <f>BS!AB88</f>
        <v>411.44399999999996</v>
      </c>
      <c r="AA38" s="98">
        <f>BS!AC88</f>
        <v>411.44399999999996</v>
      </c>
      <c r="AB38" s="87"/>
      <c r="AC38" s="97">
        <v>165</v>
      </c>
      <c r="AD38" s="97">
        <v>159</v>
      </c>
      <c r="AE38" s="97">
        <v>163</v>
      </c>
      <c r="AF38" s="97">
        <v>179</v>
      </c>
      <c r="AG38" s="97">
        <v>176</v>
      </c>
      <c r="AH38" s="97">
        <v>174</v>
      </c>
      <c r="AI38" s="97">
        <v>139</v>
      </c>
      <c r="AJ38" s="97">
        <v>147</v>
      </c>
      <c r="AK38" s="97">
        <v>142</v>
      </c>
      <c r="AL38" s="97">
        <v>147</v>
      </c>
      <c r="AM38" s="97">
        <v>134</v>
      </c>
      <c r="AN38" s="97">
        <v>133</v>
      </c>
      <c r="AO38" s="97">
        <v>141</v>
      </c>
      <c r="AP38" s="97">
        <v>149</v>
      </c>
      <c r="AQ38" s="97">
        <v>165</v>
      </c>
      <c r="AR38" s="97">
        <v>226</v>
      </c>
      <c r="AS38" s="97">
        <v>305</v>
      </c>
      <c r="AT38" s="97">
        <v>331</v>
      </c>
      <c r="AU38" s="97">
        <v>298</v>
      </c>
      <c r="AV38" s="97">
        <v>306</v>
      </c>
      <c r="AW38" s="97">
        <v>280</v>
      </c>
      <c r="AX38" s="97">
        <v>312</v>
      </c>
      <c r="AY38" s="97">
        <v>323</v>
      </c>
      <c r="AZ38" s="97">
        <v>322</v>
      </c>
      <c r="BA38" s="97">
        <v>395.83098591549299</v>
      </c>
      <c r="BB38" s="97">
        <v>439</v>
      </c>
      <c r="BC38" s="97">
        <v>433</v>
      </c>
      <c r="BD38" s="97">
        <v>550.90743155149937</v>
      </c>
      <c r="BE38" s="97">
        <v>302</v>
      </c>
      <c r="BF38" s="97">
        <v>298</v>
      </c>
      <c r="BG38" s="97">
        <v>281</v>
      </c>
      <c r="BH38" s="97">
        <v>427</v>
      </c>
      <c r="BI38" s="97">
        <f>560/2</f>
        <v>280</v>
      </c>
      <c r="BJ38" s="97">
        <f>560/2</f>
        <v>280</v>
      </c>
      <c r="BK38" s="97">
        <v>254</v>
      </c>
      <c r="BL38" s="97">
        <v>279</v>
      </c>
      <c r="BM38" s="97">
        <v>274</v>
      </c>
      <c r="BN38" s="97">
        <v>235</v>
      </c>
      <c r="BO38" s="97">
        <v>267</v>
      </c>
      <c r="BP38" s="97">
        <v>235</v>
      </c>
      <c r="BQ38" s="99">
        <v>224</v>
      </c>
      <c r="BR38" s="99">
        <v>215</v>
      </c>
      <c r="BS38" s="99">
        <v>193</v>
      </c>
      <c r="BT38" s="100">
        <v>189</v>
      </c>
      <c r="BU38" s="100">
        <v>187</v>
      </c>
      <c r="BV38" s="100">
        <v>172</v>
      </c>
      <c r="BW38" s="100">
        <v>144</v>
      </c>
      <c r="BX38" s="100">
        <v>161</v>
      </c>
      <c r="BY38" s="243">
        <v>147</v>
      </c>
      <c r="BZ38" s="243">
        <v>151</v>
      </c>
      <c r="CA38" s="243">
        <v>145</v>
      </c>
      <c r="CB38" s="243">
        <v>148</v>
      </c>
      <c r="CC38" s="243">
        <v>131</v>
      </c>
      <c r="CD38" s="243">
        <v>108</v>
      </c>
      <c r="CE38" s="243">
        <v>81</v>
      </c>
      <c r="CF38" s="100">
        <v>120</v>
      </c>
      <c r="CG38" s="98">
        <f>T38/4</f>
        <v>96.948499999999996</v>
      </c>
      <c r="CH38" s="98">
        <f>(T38-CG38)/3</f>
        <v>96.94850000000001</v>
      </c>
      <c r="CI38" s="98">
        <f>(T38-CH38-CG38)/2</f>
        <v>96.948499999999981</v>
      </c>
      <c r="CJ38" s="98">
        <f>T38-SUM(CG38:CI38)</f>
        <v>96.948500000000024</v>
      </c>
      <c r="CK38" s="715"/>
      <c r="CO38" s="39"/>
      <c r="DK38" s="39"/>
      <c r="DL38" s="88"/>
      <c r="DM38" s="88"/>
      <c r="DN38" s="88"/>
      <c r="DO38" s="39"/>
      <c r="DP38" s="88"/>
      <c r="DQ38" s="103"/>
      <c r="DR38" s="88"/>
      <c r="DS38" s="88"/>
      <c r="DT38" s="88"/>
      <c r="DU38" s="88"/>
      <c r="DV38" s="88"/>
      <c r="DW38" s="39"/>
      <c r="DX38" s="88"/>
      <c r="DY38" s="88"/>
      <c r="DZ38" s="88"/>
      <c r="EA38"/>
      <c r="EB38"/>
      <c r="EC38"/>
      <c r="ED38"/>
      <c r="EE38"/>
      <c r="EF38"/>
    </row>
    <row r="39" spans="1:136" s="90" customFormat="1" ht="6" customHeight="1">
      <c r="A39" s="87"/>
      <c r="B39" s="88"/>
      <c r="C39" s="88"/>
      <c r="D39" s="88"/>
      <c r="E39" s="88"/>
      <c r="F39" s="88"/>
      <c r="G39" s="88"/>
      <c r="H39" s="88"/>
      <c r="I39" s="88"/>
      <c r="J39" s="88"/>
      <c r="K39" s="88"/>
      <c r="L39" s="88"/>
      <c r="M39" s="39"/>
      <c r="N39" s="39"/>
      <c r="O39" s="39"/>
      <c r="P39" s="89"/>
      <c r="Q39" s="87"/>
      <c r="R39" s="87"/>
      <c r="S39" s="87"/>
      <c r="T39" s="87"/>
      <c r="U39" s="87"/>
      <c r="V39" s="87"/>
      <c r="W39" s="87"/>
      <c r="X39" s="87"/>
      <c r="Y39" s="87"/>
      <c r="Z39" s="87"/>
      <c r="AA39" s="87"/>
      <c r="AB39" s="87"/>
      <c r="AC39" s="88"/>
      <c r="AD39" s="88"/>
      <c r="AE39" s="88"/>
      <c r="AF39" s="88"/>
      <c r="AG39" s="88"/>
      <c r="AH39" s="88"/>
      <c r="AI39" s="88"/>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39"/>
      <c r="BH39" s="39"/>
      <c r="BI39" s="39"/>
      <c r="BJ39" s="39"/>
      <c r="BK39" s="39"/>
      <c r="BL39" s="39"/>
      <c r="BM39" s="39"/>
      <c r="BN39" s="39"/>
      <c r="BO39" s="39"/>
      <c r="BP39" s="39"/>
      <c r="BQ39" s="106"/>
      <c r="BR39" s="106"/>
      <c r="BS39" s="106"/>
      <c r="BT39" s="106"/>
      <c r="BU39" s="106"/>
      <c r="BV39" s="106"/>
      <c r="BW39" s="106"/>
      <c r="BX39" s="106"/>
      <c r="BY39" s="106"/>
      <c r="BZ39" s="106"/>
      <c r="CA39" s="106"/>
      <c r="CB39" s="106"/>
      <c r="CC39" s="106"/>
      <c r="CD39" s="106"/>
      <c r="CE39" s="106"/>
      <c r="CF39" s="106"/>
      <c r="CG39" s="106"/>
      <c r="CH39" s="106"/>
      <c r="CI39" s="106"/>
      <c r="CJ39" s="106"/>
      <c r="CO39" s="39"/>
      <c r="DK39" s="39"/>
      <c r="DL39" s="39"/>
      <c r="DM39" s="39"/>
      <c r="DN39" s="39"/>
      <c r="DO39" s="39"/>
      <c r="DP39" s="39"/>
      <c r="DQ39" s="91"/>
      <c r="DR39" s="39"/>
      <c r="DS39" s="39"/>
      <c r="DT39" s="39"/>
      <c r="DU39" s="39"/>
      <c r="DV39" s="39"/>
      <c r="DW39" s="39"/>
      <c r="DX39" s="39"/>
      <c r="DY39" s="39"/>
      <c r="DZ39" s="39"/>
      <c r="EA39"/>
      <c r="EB39"/>
      <c r="EC39"/>
      <c r="ED39"/>
      <c r="EE39"/>
      <c r="EF39"/>
    </row>
    <row r="40" spans="1:136" s="90" customFormat="1">
      <c r="A40" s="154" t="s">
        <v>149</v>
      </c>
      <c r="B40" s="93">
        <v>3067</v>
      </c>
      <c r="C40" s="93">
        <v>3520</v>
      </c>
      <c r="D40" s="93">
        <v>5425</v>
      </c>
      <c r="E40" s="93">
        <v>5305</v>
      </c>
      <c r="F40" s="93">
        <v>4773</v>
      </c>
      <c r="G40" s="93">
        <v>4568</v>
      </c>
      <c r="H40" s="93">
        <v>4678</v>
      </c>
      <c r="I40" s="93">
        <v>1979</v>
      </c>
      <c r="J40" s="93">
        <v>1701</v>
      </c>
      <c r="K40" s="93">
        <v>1299</v>
      </c>
      <c r="L40" s="93">
        <f>+L35-L38</f>
        <v>1647.2615825330076</v>
      </c>
      <c r="M40" s="93">
        <f>+M28-M38</f>
        <v>2789</v>
      </c>
      <c r="N40" s="93">
        <f>+N28-N38</f>
        <v>3141</v>
      </c>
      <c r="O40" s="93">
        <f>+O28-O38</f>
        <v>3259</v>
      </c>
      <c r="P40" s="93">
        <f>+P28-P38</f>
        <v>2662</v>
      </c>
      <c r="Q40" s="93">
        <f>+Q28-Q38</f>
        <v>2693</v>
      </c>
      <c r="R40" s="156">
        <f>+R28-R38+R37</f>
        <v>3197</v>
      </c>
      <c r="S40" s="156">
        <f>+S28-S38+S37</f>
        <v>3723</v>
      </c>
      <c r="T40" s="156">
        <f t="shared" ref="T40:AA40" ca="1" si="40">+T28-T38+T37</f>
        <v>4219.019978215606</v>
      </c>
      <c r="U40" s="156">
        <f t="shared" ca="1" si="40"/>
        <v>4500.5522164763715</v>
      </c>
      <c r="V40" s="156">
        <f t="shared" ca="1" si="40"/>
        <v>4789.6587001659045</v>
      </c>
      <c r="W40" s="156">
        <f t="shared" ca="1" si="40"/>
        <v>5065.45778756859</v>
      </c>
      <c r="X40" s="156">
        <f t="shared" ca="1" si="40"/>
        <v>5309.4110672219085</v>
      </c>
      <c r="Y40" s="156">
        <f t="shared" ca="1" si="40"/>
        <v>5531.6481880888659</v>
      </c>
      <c r="Z40" s="156">
        <f t="shared" ca="1" si="40"/>
        <v>5756.9153640415734</v>
      </c>
      <c r="AA40" s="156">
        <f t="shared" ca="1" si="40"/>
        <v>5982.9025103388158</v>
      </c>
      <c r="AB40" s="154"/>
      <c r="AC40" s="93">
        <v>1137</v>
      </c>
      <c r="AD40" s="93">
        <v>1228</v>
      </c>
      <c r="AE40" s="93">
        <v>1180</v>
      </c>
      <c r="AF40" s="93">
        <v>1233</v>
      </c>
      <c r="AG40" s="93">
        <v>1029</v>
      </c>
      <c r="AH40" s="93">
        <v>1134</v>
      </c>
      <c r="AI40" s="93">
        <v>1053.5</v>
      </c>
      <c r="AJ40" s="93">
        <v>1354.5</v>
      </c>
      <c r="AK40" s="93">
        <v>1094</v>
      </c>
      <c r="AL40" s="93">
        <v>1263</v>
      </c>
      <c r="AM40" s="93">
        <v>1120</v>
      </c>
      <c r="AN40" s="93">
        <v>1201</v>
      </c>
      <c r="AO40" s="93">
        <v>1057</v>
      </c>
      <c r="AP40" s="93">
        <v>143</v>
      </c>
      <c r="AQ40" s="93">
        <v>89</v>
      </c>
      <c r="AR40" s="93">
        <v>82</v>
      </c>
      <c r="AS40" s="93">
        <v>23</v>
      </c>
      <c r="AT40" s="93">
        <v>132</v>
      </c>
      <c r="AU40" s="93">
        <v>-8</v>
      </c>
      <c r="AV40" s="93">
        <v>-85</v>
      </c>
      <c r="AW40" s="93">
        <v>78</v>
      </c>
      <c r="AX40" s="93">
        <v>75</v>
      </c>
      <c r="AY40" s="93">
        <v>60</v>
      </c>
      <c r="AZ40" s="93">
        <v>-10</v>
      </c>
      <c r="BA40" s="93">
        <v>123.16901408450701</v>
      </c>
      <c r="BB40" s="93">
        <v>228</v>
      </c>
      <c r="BC40" s="93">
        <v>165</v>
      </c>
      <c r="BD40" s="93">
        <v>168.09256844850063</v>
      </c>
      <c r="BE40" s="93">
        <f t="shared" ref="BE40:BL40" si="41">+BE35-BE38</f>
        <v>642</v>
      </c>
      <c r="BF40" s="93">
        <f t="shared" si="41"/>
        <v>756</v>
      </c>
      <c r="BG40" s="93">
        <f t="shared" si="41"/>
        <v>764</v>
      </c>
      <c r="BH40" s="155">
        <f t="shared" si="41"/>
        <v>627</v>
      </c>
      <c r="BI40" s="155">
        <f t="shared" si="41"/>
        <v>736</v>
      </c>
      <c r="BJ40" s="155">
        <f t="shared" si="41"/>
        <v>826</v>
      </c>
      <c r="BK40" s="155">
        <f t="shared" si="41"/>
        <v>812</v>
      </c>
      <c r="BL40" s="155">
        <f t="shared" si="41"/>
        <v>767</v>
      </c>
      <c r="BM40" s="155">
        <f>+BM28-BM38</f>
        <v>669</v>
      </c>
      <c r="BN40" s="155">
        <f t="shared" ref="BN40:BX40" si="42">+BN28-BN38</f>
        <v>747</v>
      </c>
      <c r="BO40" s="155">
        <f t="shared" si="42"/>
        <v>765</v>
      </c>
      <c r="BP40" s="155">
        <f t="shared" si="42"/>
        <v>1078</v>
      </c>
      <c r="BQ40" s="156">
        <f t="shared" si="42"/>
        <v>577</v>
      </c>
      <c r="BR40" s="156">
        <f t="shared" si="42"/>
        <v>637</v>
      </c>
      <c r="BS40" s="156">
        <f t="shared" si="42"/>
        <v>689</v>
      </c>
      <c r="BT40" s="156">
        <f t="shared" si="42"/>
        <v>759</v>
      </c>
      <c r="BU40" s="156">
        <f t="shared" si="42"/>
        <v>661</v>
      </c>
      <c r="BV40" s="156">
        <f t="shared" si="42"/>
        <v>595</v>
      </c>
      <c r="BW40" s="156">
        <f t="shared" si="42"/>
        <v>714</v>
      </c>
      <c r="BX40" s="156">
        <f t="shared" si="42"/>
        <v>723</v>
      </c>
      <c r="BY40" s="156">
        <f>+BY28-BY38+BY37</f>
        <v>846</v>
      </c>
      <c r="BZ40" s="156">
        <f t="shared" ref="BZ40:CJ40" si="43">+BZ28-BZ38+BZ37</f>
        <v>752</v>
      </c>
      <c r="CA40" s="156">
        <f t="shared" si="43"/>
        <v>823</v>
      </c>
      <c r="CB40" s="156">
        <f t="shared" si="43"/>
        <v>776</v>
      </c>
      <c r="CC40" s="156">
        <f t="shared" si="43"/>
        <v>917</v>
      </c>
      <c r="CD40" s="156">
        <f t="shared" si="43"/>
        <v>803</v>
      </c>
      <c r="CE40" s="156">
        <f t="shared" si="43"/>
        <v>1018</v>
      </c>
      <c r="CF40" s="156">
        <f t="shared" si="43"/>
        <v>985</v>
      </c>
      <c r="CG40" s="156">
        <f t="shared" ca="1" si="43"/>
        <v>1043.7570149135045</v>
      </c>
      <c r="CH40" s="156">
        <f t="shared" ca="1" si="43"/>
        <v>973.71850761925111</v>
      </c>
      <c r="CI40" s="156">
        <f t="shared" ca="1" si="43"/>
        <v>1076.6622235732971</v>
      </c>
      <c r="CJ40" s="156">
        <f t="shared" ca="1" si="43"/>
        <v>1124.8822321095543</v>
      </c>
      <c r="CO40" s="94"/>
      <c r="DK40" s="157"/>
      <c r="DL40" s="108"/>
      <c r="DM40" s="108"/>
      <c r="DN40" s="108"/>
      <c r="DO40" s="108"/>
      <c r="DP40" s="108"/>
      <c r="DQ40" s="108"/>
      <c r="DR40" s="95"/>
      <c r="DS40" s="95"/>
      <c r="DT40" s="95"/>
      <c r="DU40" s="95"/>
      <c r="DV40" s="95"/>
      <c r="DW40" s="95"/>
      <c r="DX40" s="95"/>
      <c r="DY40" s="95"/>
      <c r="DZ40" s="95"/>
      <c r="EA40"/>
      <c r="EB40"/>
      <c r="EC40"/>
      <c r="ED40"/>
      <c r="EE40"/>
      <c r="EF40"/>
    </row>
    <row r="41" spans="1:136" s="90" customFormat="1" ht="11.25" customHeight="1">
      <c r="A41" s="87"/>
      <c r="B41" s="88"/>
      <c r="C41" s="88"/>
      <c r="D41" s="88"/>
      <c r="E41" s="88"/>
      <c r="F41" s="88"/>
      <c r="G41" s="88"/>
      <c r="H41" s="88"/>
      <c r="I41" s="88"/>
      <c r="J41" s="88"/>
      <c r="K41" s="88"/>
      <c r="L41" s="88"/>
      <c r="M41" s="39"/>
      <c r="N41" s="39"/>
      <c r="O41" s="39"/>
      <c r="P41" s="89"/>
      <c r="Q41" s="87"/>
      <c r="R41" s="87"/>
      <c r="S41" s="87"/>
      <c r="T41" s="87"/>
      <c r="U41" s="87"/>
      <c r="V41" s="87"/>
      <c r="W41" s="87"/>
      <c r="X41" s="87"/>
      <c r="Y41" s="87"/>
      <c r="Z41" s="87"/>
      <c r="AA41" s="87"/>
      <c r="AB41" s="87"/>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39"/>
      <c r="BH41" s="39"/>
      <c r="BI41" s="39"/>
      <c r="BJ41" s="39"/>
      <c r="BK41" s="39"/>
      <c r="BL41" s="39"/>
      <c r="BM41" s="39"/>
      <c r="BN41" s="39"/>
      <c r="BO41" s="39"/>
      <c r="BP41" s="39"/>
      <c r="BQ41" s="106"/>
      <c r="BR41" s="106"/>
      <c r="BS41" s="106"/>
      <c r="BT41" s="106"/>
      <c r="BU41" s="106"/>
      <c r="BV41" s="106"/>
      <c r="BW41" s="106"/>
      <c r="BX41" s="106"/>
      <c r="BY41" s="106"/>
      <c r="BZ41" s="106"/>
      <c r="CA41" s="106"/>
      <c r="CB41" s="106"/>
      <c r="CC41" s="106"/>
      <c r="CD41" s="106"/>
      <c r="CE41" s="106"/>
      <c r="CF41" s="106"/>
      <c r="CG41" s="106"/>
      <c r="CH41" s="106"/>
      <c r="CI41" s="106"/>
      <c r="CJ41" s="106"/>
      <c r="CO41" s="39"/>
      <c r="DK41" s="39"/>
      <c r="DL41" s="39"/>
      <c r="DM41" s="39"/>
      <c r="DN41" s="39"/>
      <c r="DO41" s="39"/>
      <c r="DP41" s="39"/>
      <c r="DQ41" s="91"/>
      <c r="DR41" s="39"/>
      <c r="DS41" s="39"/>
      <c r="DT41" s="39"/>
      <c r="DU41" s="39"/>
      <c r="DV41" s="39"/>
      <c r="DW41" s="39"/>
      <c r="DX41" s="39"/>
      <c r="DY41" s="39"/>
      <c r="DZ41" s="39"/>
      <c r="EA41"/>
      <c r="EB41"/>
      <c r="EC41"/>
      <c r="ED41"/>
      <c r="EE41"/>
      <c r="EF41"/>
    </row>
    <row r="42" spans="1:136" s="90" customFormat="1">
      <c r="A42" s="87" t="s">
        <v>150</v>
      </c>
      <c r="B42" s="87">
        <v>1331.078</v>
      </c>
      <c r="C42" s="87">
        <v>1734.85</v>
      </c>
      <c r="D42" s="87">
        <v>1927</v>
      </c>
      <c r="E42" s="87">
        <v>1839</v>
      </c>
      <c r="F42" s="87">
        <v>1567</v>
      </c>
      <c r="G42" s="87">
        <v>1383.2347985512044</v>
      </c>
      <c r="H42" s="87">
        <v>1487.6801165048544</v>
      </c>
      <c r="I42" s="87">
        <v>557.45500000000004</v>
      </c>
      <c r="J42" s="87">
        <v>519.80306900000005</v>
      </c>
      <c r="K42" s="87">
        <v>223</v>
      </c>
      <c r="L42" s="87">
        <v>175.69858253300754</v>
      </c>
      <c r="M42" s="87">
        <f>+SUM(BE42:BH42)</f>
        <v>317</v>
      </c>
      <c r="N42" s="87">
        <f>SUM(BI42:BL42)</f>
        <v>625</v>
      </c>
      <c r="O42" s="39">
        <f>SUM(BM42:BP42)</f>
        <v>486</v>
      </c>
      <c r="P42" s="87">
        <f>+SUM(BQ42:BT42)</f>
        <v>414</v>
      </c>
      <c r="Q42" s="87">
        <f>+SUM(BU42:BX42)</f>
        <v>577</v>
      </c>
      <c r="R42" s="39">
        <f>+SUM(BY42:CB42)</f>
        <v>647</v>
      </c>
      <c r="S42" s="87">
        <f>+SUM(CC42:CF42)</f>
        <v>861</v>
      </c>
      <c r="T42" s="87">
        <f t="shared" ref="T42:AA42" ca="1" si="44">+T40*T43</f>
        <v>975.71211422069211</v>
      </c>
      <c r="U42" s="87">
        <f t="shared" ca="1" si="44"/>
        <v>1040.8206979280569</v>
      </c>
      <c r="V42" s="87">
        <f t="shared" ca="1" si="44"/>
        <v>1107.6809403284567</v>
      </c>
      <c r="W42" s="87">
        <f t="shared" ca="1" si="44"/>
        <v>1171.4636462789567</v>
      </c>
      <c r="X42" s="87">
        <f t="shared" ca="1" si="44"/>
        <v>1227.8815280360095</v>
      </c>
      <c r="Y42" s="87">
        <f t="shared" ca="1" si="44"/>
        <v>1279.2772199689803</v>
      </c>
      <c r="Z42" s="87">
        <f t="shared" ca="1" si="44"/>
        <v>1331.3736579209763</v>
      </c>
      <c r="AA42" s="87">
        <f t="shared" ca="1" si="44"/>
        <v>1383.6365998930219</v>
      </c>
      <c r="AB42" s="87"/>
      <c r="AC42" s="159">
        <v>368</v>
      </c>
      <c r="AD42" s="159">
        <v>438</v>
      </c>
      <c r="AE42" s="159">
        <v>365</v>
      </c>
      <c r="AF42" s="159">
        <v>396</v>
      </c>
      <c r="AG42" s="159">
        <v>295.79816513761466</v>
      </c>
      <c r="AH42" s="159">
        <v>333.03345724907064</v>
      </c>
      <c r="AI42" s="159">
        <v>348.73042616451932</v>
      </c>
      <c r="AJ42" s="159">
        <v>405.67275000000001</v>
      </c>
      <c r="AK42" s="159">
        <v>338.04599999999999</v>
      </c>
      <c r="AL42" s="159">
        <v>425.49611650485434</v>
      </c>
      <c r="AM42" s="159">
        <v>366.24</v>
      </c>
      <c r="AN42" s="159">
        <v>357.89799999999997</v>
      </c>
      <c r="AO42" s="159">
        <v>360.911</v>
      </c>
      <c r="AP42" s="159">
        <v>55.975000000000001</v>
      </c>
      <c r="AQ42" s="159">
        <v>39.356999999999999</v>
      </c>
      <c r="AR42" s="159">
        <v>6.7879999999999967</v>
      </c>
      <c r="AS42" s="159">
        <v>292</v>
      </c>
      <c r="AT42" s="159">
        <v>505</v>
      </c>
      <c r="AU42" s="159">
        <v>286</v>
      </c>
      <c r="AV42" s="159">
        <v>164.80306899999999</v>
      </c>
      <c r="AW42" s="159">
        <v>25.736842105263158</v>
      </c>
      <c r="AX42" s="159">
        <v>23.99507793273175</v>
      </c>
      <c r="AY42" s="159">
        <v>14.76</v>
      </c>
      <c r="AZ42" s="159">
        <v>-2.77</v>
      </c>
      <c r="BA42" s="159">
        <v>35.71901408450703</v>
      </c>
      <c r="BB42" s="159">
        <v>58.368000000000002</v>
      </c>
      <c r="BC42" s="159">
        <v>49.5</v>
      </c>
      <c r="BD42" s="159">
        <v>39.165568448500643</v>
      </c>
      <c r="BE42" s="159">
        <v>148</v>
      </c>
      <c r="BF42" s="159">
        <v>144</v>
      </c>
      <c r="BG42" s="159">
        <v>101</v>
      </c>
      <c r="BH42" s="159">
        <v>-76</v>
      </c>
      <c r="BI42" s="159">
        <v>181</v>
      </c>
      <c r="BJ42" s="159">
        <v>172</v>
      </c>
      <c r="BK42" s="159">
        <v>166</v>
      </c>
      <c r="BL42" s="159">
        <v>106</v>
      </c>
      <c r="BM42" s="159">
        <v>32</v>
      </c>
      <c r="BN42" s="159">
        <v>91</v>
      </c>
      <c r="BO42" s="159">
        <v>34</v>
      </c>
      <c r="BP42" s="88">
        <v>329</v>
      </c>
      <c r="BQ42" s="160">
        <v>133</v>
      </c>
      <c r="BR42" s="160">
        <v>67</v>
      </c>
      <c r="BS42" s="160">
        <v>90</v>
      </c>
      <c r="BT42" s="123">
        <v>124</v>
      </c>
      <c r="BU42" s="120">
        <v>167</v>
      </c>
      <c r="BV42" s="161">
        <v>121</v>
      </c>
      <c r="BW42" s="161">
        <v>146</v>
      </c>
      <c r="BX42" s="161">
        <v>143</v>
      </c>
      <c r="BY42" s="161">
        <v>148</v>
      </c>
      <c r="BZ42" s="175">
        <v>187</v>
      </c>
      <c r="CA42" s="175">
        <v>120</v>
      </c>
      <c r="CB42" s="175">
        <v>192</v>
      </c>
      <c r="CC42" s="175">
        <v>207</v>
      </c>
      <c r="CD42" s="175">
        <v>158</v>
      </c>
      <c r="CE42" s="175">
        <v>254</v>
      </c>
      <c r="CF42" s="123">
        <v>242</v>
      </c>
      <c r="CG42" s="120">
        <f ca="1">+CG40*CG43</f>
        <v>241.38457959724076</v>
      </c>
      <c r="CH42" s="87">
        <f ca="1">+CH40*CH43</f>
        <v>225.18711658881958</v>
      </c>
      <c r="CI42" s="87">
        <f ca="1">+CI40*CI43</f>
        <v>248.99440625748286</v>
      </c>
      <c r="CJ42" s="162">
        <f ca="1">+T42-SUM(CG42:CI42)</f>
        <v>260.14601177714894</v>
      </c>
      <c r="CK42" s="715"/>
      <c r="CO42" s="39"/>
      <c r="DK42" s="39"/>
      <c r="DL42" s="88"/>
      <c r="DM42" s="88"/>
      <c r="DN42" s="88"/>
      <c r="DO42" s="39"/>
      <c r="DP42" s="88"/>
      <c r="DQ42" s="103"/>
      <c r="DR42" s="88"/>
      <c r="DS42" s="88"/>
      <c r="DT42" s="88"/>
      <c r="DU42" s="88"/>
      <c r="DV42" s="88"/>
      <c r="DW42" s="88"/>
      <c r="DX42" s="88"/>
      <c r="DY42" s="88"/>
      <c r="DZ42" s="88"/>
      <c r="EA42"/>
      <c r="EB42"/>
      <c r="EC42"/>
      <c r="ED42"/>
      <c r="EE42"/>
      <c r="EF42"/>
    </row>
    <row r="43" spans="1:136">
      <c r="A43" s="163" t="s">
        <v>151</v>
      </c>
      <c r="B43" s="38">
        <v>0.434</v>
      </c>
      <c r="C43" s="38">
        <v>0.49285511363636358</v>
      </c>
      <c r="D43" s="38">
        <v>0.35520737327188939</v>
      </c>
      <c r="E43" s="38">
        <v>0.3466540999057493</v>
      </c>
      <c r="F43" s="38">
        <v>0.32830504923528181</v>
      </c>
      <c r="G43" s="38">
        <v>0.30280971947268048</v>
      </c>
      <c r="H43" s="38">
        <v>0.31801627116392783</v>
      </c>
      <c r="I43" s="38">
        <v>0.2816851945426983</v>
      </c>
      <c r="J43" s="38">
        <v>0.30558675426219872</v>
      </c>
      <c r="K43" s="38">
        <v>0.29367856309773732</v>
      </c>
      <c r="L43" s="38">
        <f>L42/L40+0.3%</f>
        <v>0.10966100903223543</v>
      </c>
      <c r="M43" s="50">
        <f>M42/M40</f>
        <v>0.11366081032628182</v>
      </c>
      <c r="N43" s="50">
        <f>N42/N40</f>
        <v>0.19898121617319325</v>
      </c>
      <c r="O43" s="50">
        <f>+O42/O40</f>
        <v>0.14912549861920835</v>
      </c>
      <c r="P43" s="50">
        <f>P42/P40</f>
        <v>0.15552216378662659</v>
      </c>
      <c r="Q43" s="50">
        <f>Q42/Q40</f>
        <v>0.21425919049387301</v>
      </c>
      <c r="R43" s="50">
        <f>R42/R40</f>
        <v>0.20237722865186111</v>
      </c>
      <c r="S43" s="50">
        <f>S42/S40</f>
        <v>0.23126510878323933</v>
      </c>
      <c r="T43" s="164">
        <f>S43</f>
        <v>0.23126510878323933</v>
      </c>
      <c r="U43" s="164">
        <f>T43</f>
        <v>0.23126510878323933</v>
      </c>
      <c r="V43" s="164">
        <f>+U43</f>
        <v>0.23126510878323933</v>
      </c>
      <c r="W43" s="164">
        <f>V43</f>
        <v>0.23126510878323933</v>
      </c>
      <c r="X43" s="164">
        <f>W43</f>
        <v>0.23126510878323933</v>
      </c>
      <c r="Y43" s="164">
        <f>X43</f>
        <v>0.23126510878323933</v>
      </c>
      <c r="Z43" s="164">
        <f>Y43</f>
        <v>0.23126510878323933</v>
      </c>
      <c r="AA43" s="164">
        <f>Z43</f>
        <v>0.23126510878323933</v>
      </c>
      <c r="AB43" s="163"/>
      <c r="AC43" s="26">
        <v>0.32365875109938436</v>
      </c>
      <c r="AD43" s="26">
        <v>0.35667752442996742</v>
      </c>
      <c r="AE43" s="26">
        <v>0.30932203389830509</v>
      </c>
      <c r="AF43" s="26">
        <v>0.32116788321167883</v>
      </c>
      <c r="AG43" s="26">
        <v>0.28746177370030579</v>
      </c>
      <c r="AH43" s="26">
        <v>0.29368029739776952</v>
      </c>
      <c r="AI43" s="26">
        <v>0.33102081268582756</v>
      </c>
      <c r="AJ43" s="26">
        <v>0.29949999999999999</v>
      </c>
      <c r="AK43" s="26">
        <v>0.309</v>
      </c>
      <c r="AL43" s="26">
        <v>0.33689320388349514</v>
      </c>
      <c r="AM43" s="26">
        <v>0.32700000000000001</v>
      </c>
      <c r="AN43" s="26">
        <v>0.29799999999999999</v>
      </c>
      <c r="AO43" s="26">
        <v>0.34144843897824029</v>
      </c>
      <c r="AP43" s="26">
        <v>0.32500000000000001</v>
      </c>
      <c r="AQ43" s="26">
        <v>0.313</v>
      </c>
      <c r="AR43" s="26">
        <v>0.28399999999999997</v>
      </c>
      <c r="AS43" s="26">
        <v>12.695652173913043</v>
      </c>
      <c r="AT43" s="26">
        <v>3.8257575757575757</v>
      </c>
      <c r="AU43" s="26">
        <v>-35.75</v>
      </c>
      <c r="AV43" s="26">
        <v>-1.9388596352941176</v>
      </c>
      <c r="AW43" s="26">
        <v>0.32995951417004049</v>
      </c>
      <c r="AX43" s="26">
        <v>0.31993437243642331</v>
      </c>
      <c r="AY43" s="26">
        <v>0.246</v>
      </c>
      <c r="AZ43" s="26">
        <v>0.27700000000000002</v>
      </c>
      <c r="BA43" s="26">
        <v>0.28999999999999998</v>
      </c>
      <c r="BB43" s="26">
        <v>0.25600000000000001</v>
      </c>
      <c r="BC43" s="26">
        <v>0.3</v>
      </c>
      <c r="BD43" s="26">
        <v>0.23299999999999998</v>
      </c>
      <c r="BE43" s="26">
        <f t="shared" ref="BE43:BS43" si="45">BE42/BE40</f>
        <v>0.23052959501557632</v>
      </c>
      <c r="BF43" s="26">
        <f t="shared" si="45"/>
        <v>0.19047619047619047</v>
      </c>
      <c r="BG43" s="26">
        <f t="shared" si="45"/>
        <v>0.13219895287958114</v>
      </c>
      <c r="BH43" s="165">
        <f t="shared" si="45"/>
        <v>-0.12121212121212122</v>
      </c>
      <c r="BI43" s="165">
        <f t="shared" si="45"/>
        <v>0.24592391304347827</v>
      </c>
      <c r="BJ43" s="165">
        <f t="shared" si="45"/>
        <v>0.20823244552058112</v>
      </c>
      <c r="BK43" s="165">
        <f t="shared" si="45"/>
        <v>0.20443349753694581</v>
      </c>
      <c r="BL43" s="165">
        <f t="shared" si="45"/>
        <v>0.13820078226857888</v>
      </c>
      <c r="BM43" s="165">
        <f t="shared" si="45"/>
        <v>4.7832585949177879E-2</v>
      </c>
      <c r="BN43" s="165">
        <f t="shared" si="45"/>
        <v>0.12182061579651941</v>
      </c>
      <c r="BO43" s="165">
        <f t="shared" si="45"/>
        <v>4.4444444444444446E-2</v>
      </c>
      <c r="BP43" s="165">
        <f>+BP42/BP40</f>
        <v>0.30519480519480519</v>
      </c>
      <c r="BQ43" s="166">
        <f t="shared" si="45"/>
        <v>0.23050259965337955</v>
      </c>
      <c r="BR43" s="166">
        <f t="shared" si="45"/>
        <v>0.10518053375196232</v>
      </c>
      <c r="BS43" s="166">
        <f t="shared" si="45"/>
        <v>0.13062409288824384</v>
      </c>
      <c r="BT43" s="166">
        <f t="shared" ref="BT43:CA43" si="46">+BT42/BT40</f>
        <v>0.16337285902503293</v>
      </c>
      <c r="BU43" s="166">
        <f t="shared" si="46"/>
        <v>0.25264750378214829</v>
      </c>
      <c r="BV43" s="166">
        <f t="shared" si="46"/>
        <v>0.20336134453781513</v>
      </c>
      <c r="BW43" s="166">
        <f t="shared" si="46"/>
        <v>0.20448179271708683</v>
      </c>
      <c r="BX43" s="166">
        <f t="shared" si="46"/>
        <v>0.19778699861687413</v>
      </c>
      <c r="BY43" s="166">
        <f t="shared" si="46"/>
        <v>0.17494089834515367</v>
      </c>
      <c r="BZ43" s="166">
        <f t="shared" si="46"/>
        <v>0.24867021276595744</v>
      </c>
      <c r="CA43" s="166">
        <f t="shared" si="46"/>
        <v>0.14580801944106925</v>
      </c>
      <c r="CB43" s="166">
        <f>+CB42/CB40</f>
        <v>0.24742268041237114</v>
      </c>
      <c r="CC43" s="166">
        <f>+CC42/CC40</f>
        <v>0.22573609596510361</v>
      </c>
      <c r="CD43" s="166">
        <f>+CD42/CD40</f>
        <v>0.19676214196762143</v>
      </c>
      <c r="CE43" s="166">
        <f>+CE42/CE40</f>
        <v>0.24950884086444008</v>
      </c>
      <c r="CF43" s="166">
        <f>+CF42/CF40</f>
        <v>0.24568527918781727</v>
      </c>
      <c r="CG43" s="166">
        <f>T43*4/4</f>
        <v>0.23126510878323933</v>
      </c>
      <c r="CH43" s="165">
        <f>(T43*4-CG43)/3</f>
        <v>0.23126510878323933</v>
      </c>
      <c r="CI43" s="165">
        <f>(T43*4-CH43-CG43)/2</f>
        <v>0.2312651087832393</v>
      </c>
      <c r="CJ43" s="165">
        <f ca="1">+CJ42/CJ40</f>
        <v>0.23126510878323916</v>
      </c>
      <c r="CO43" s="38"/>
      <c r="DK43" s="38"/>
      <c r="DL43" s="167"/>
      <c r="DM43" s="112"/>
      <c r="DN43" s="112"/>
      <c r="DO43" s="112"/>
      <c r="DP43" s="112"/>
      <c r="DQ43" s="112"/>
      <c r="DR43" s="38"/>
      <c r="DS43" s="38"/>
      <c r="DT43" s="38"/>
      <c r="DU43" s="38"/>
      <c r="DV43" s="38"/>
      <c r="DW43" s="38"/>
      <c r="DX43" s="38"/>
      <c r="DY43" s="38"/>
      <c r="DZ43" s="38"/>
    </row>
    <row r="44" spans="1:136" ht="12.75" hidden="1" customHeight="1" outlineLevel="1">
      <c r="A44" s="168" t="s">
        <v>152</v>
      </c>
      <c r="B44" s="20">
        <v>0.372</v>
      </c>
      <c r="C44" s="20">
        <v>0.37</v>
      </c>
      <c r="D44" s="20">
        <v>0.36699999999999999</v>
      </c>
      <c r="E44" s="20">
        <v>0.36799999999999999</v>
      </c>
      <c r="F44" s="20">
        <v>0.36799999999999999</v>
      </c>
      <c r="G44" s="20">
        <v>0.36799999999999999</v>
      </c>
      <c r="H44" s="20">
        <v>0.36799999999999999</v>
      </c>
      <c r="I44" s="20">
        <v>0.36799999999999999</v>
      </c>
      <c r="J44" s="20">
        <v>0.30558675426219872</v>
      </c>
      <c r="K44" s="20">
        <v>0.30558675426219872</v>
      </c>
      <c r="L44" s="20"/>
      <c r="M44" s="20"/>
      <c r="N44" s="20"/>
      <c r="O44" s="20"/>
      <c r="P44" s="20"/>
      <c r="Q44" s="20"/>
      <c r="R44" s="20"/>
      <c r="S44" s="20"/>
      <c r="T44" s="20"/>
      <c r="U44" s="20"/>
      <c r="V44" s="20"/>
      <c r="W44" s="20"/>
      <c r="X44" s="20"/>
      <c r="Y44" s="20"/>
      <c r="Z44" s="20"/>
      <c r="AA44" s="20"/>
      <c r="AB44" s="168"/>
      <c r="AC44" s="169"/>
      <c r="AD44" s="169"/>
      <c r="AE44" s="169"/>
      <c r="AF44" s="169"/>
      <c r="AG44" s="169"/>
      <c r="AH44" s="169"/>
      <c r="AI44" s="169"/>
      <c r="AJ44" s="169"/>
      <c r="AK44" s="169"/>
      <c r="AL44" s="169"/>
      <c r="AM44" s="169"/>
      <c r="AN44" s="169"/>
      <c r="AO44" s="169"/>
      <c r="AP44" s="169"/>
      <c r="AQ44" s="169"/>
      <c r="AR44" s="169"/>
      <c r="AS44" s="169">
        <v>0</v>
      </c>
      <c r="AT44" s="169">
        <v>0</v>
      </c>
      <c r="AU44" s="169">
        <v>0</v>
      </c>
      <c r="AV44" s="169">
        <v>0</v>
      </c>
      <c r="AW44" s="169"/>
      <c r="AX44" s="169"/>
      <c r="AY44" s="169"/>
      <c r="AZ44" s="169"/>
      <c r="BA44" s="169"/>
      <c r="BB44" s="169"/>
      <c r="BC44" s="169"/>
      <c r="BD44" s="169"/>
      <c r="BE44" s="169"/>
      <c r="BF44" s="38"/>
      <c r="BG44" s="38"/>
      <c r="BH44" s="112"/>
      <c r="BI44" s="112"/>
      <c r="BJ44" s="112"/>
      <c r="BK44" s="112"/>
      <c r="BL44" s="112"/>
      <c r="BM44" s="112"/>
      <c r="BN44" s="112"/>
      <c r="BO44" s="112"/>
      <c r="BP44" s="112"/>
      <c r="BQ44" s="170"/>
      <c r="BR44" s="170"/>
      <c r="BS44" s="170"/>
      <c r="BT44" s="170"/>
      <c r="BU44" s="170"/>
      <c r="BV44" s="170"/>
      <c r="BW44" s="170"/>
      <c r="BX44" s="170"/>
      <c r="BY44" s="170"/>
      <c r="BZ44" s="112"/>
      <c r="CA44" s="112"/>
      <c r="CB44" s="112"/>
      <c r="CC44" s="112"/>
      <c r="CD44" s="112"/>
      <c r="CE44" s="112"/>
      <c r="CF44" s="170"/>
      <c r="CG44" s="170"/>
      <c r="CH44" s="112"/>
      <c r="CI44" s="112"/>
      <c r="CJ44" s="112"/>
      <c r="CO44" s="38"/>
      <c r="DK44" s="38"/>
      <c r="DL44" s="38"/>
      <c r="DM44" s="38"/>
      <c r="DN44" s="38"/>
      <c r="DO44" s="38"/>
      <c r="DP44" s="38"/>
      <c r="DQ44" s="112"/>
      <c r="DR44" s="38"/>
      <c r="DS44" s="38"/>
      <c r="DT44" s="38"/>
      <c r="DU44" s="38"/>
      <c r="DV44" s="38"/>
      <c r="DW44" s="38"/>
      <c r="DX44" s="38"/>
      <c r="DY44" s="38"/>
      <c r="DZ44" s="38"/>
    </row>
    <row r="45" spans="1:136" s="90" customFormat="1" ht="6" customHeight="1" collapsed="1">
      <c r="A45" s="87"/>
      <c r="B45" s="88"/>
      <c r="C45" s="88"/>
      <c r="D45" s="88"/>
      <c r="E45" s="88"/>
      <c r="F45" s="88"/>
      <c r="G45" s="88"/>
      <c r="H45" s="88"/>
      <c r="I45" s="88"/>
      <c r="J45" s="88"/>
      <c r="K45" s="88"/>
      <c r="L45" s="88"/>
      <c r="M45" s="39"/>
      <c r="N45" s="39"/>
      <c r="O45" s="39"/>
      <c r="P45" s="89"/>
      <c r="Q45" s="87"/>
      <c r="R45" s="87"/>
      <c r="S45" s="87"/>
      <c r="T45" s="87"/>
      <c r="U45" s="87"/>
      <c r="V45" s="87"/>
      <c r="W45" s="87"/>
      <c r="X45" s="87"/>
      <c r="Y45" s="87"/>
      <c r="Z45" s="87"/>
      <c r="AA45" s="87"/>
      <c r="AB45" s="87"/>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39"/>
      <c r="BH45" s="39"/>
      <c r="BI45" s="39"/>
      <c r="BJ45" s="39"/>
      <c r="BK45" s="39"/>
      <c r="BL45" s="39"/>
      <c r="BM45" s="39"/>
      <c r="BN45" s="39"/>
      <c r="BO45" s="39"/>
      <c r="BP45" s="39"/>
      <c r="BQ45" s="106"/>
      <c r="BR45" s="106"/>
      <c r="BS45" s="106"/>
      <c r="BT45" s="106"/>
      <c r="BU45" s="106"/>
      <c r="BV45" s="106"/>
      <c r="BW45" s="106"/>
      <c r="BX45" s="106"/>
      <c r="BY45" s="106"/>
      <c r="BZ45" s="106"/>
      <c r="CA45" s="106"/>
      <c r="CB45" s="106"/>
      <c r="CC45" s="106"/>
      <c r="CD45" s="106"/>
      <c r="CE45" s="106"/>
      <c r="CF45" s="106"/>
      <c r="CG45" s="106"/>
      <c r="CH45" s="106"/>
      <c r="CI45" s="106"/>
      <c r="CJ45" s="106"/>
      <c r="CO45" s="39"/>
      <c r="DK45" s="39"/>
      <c r="DL45" s="39"/>
      <c r="DM45" s="39"/>
      <c r="DN45" s="39"/>
      <c r="DO45" s="39"/>
      <c r="DP45" s="39"/>
      <c r="DQ45" s="91"/>
      <c r="DR45" s="39"/>
      <c r="DS45" s="39"/>
      <c r="DT45" s="39"/>
      <c r="DU45" s="39"/>
      <c r="DV45" s="39"/>
      <c r="DW45" s="39"/>
      <c r="DX45" s="39"/>
      <c r="DY45" s="39"/>
      <c r="DZ45" s="39"/>
      <c r="EA45"/>
      <c r="EB45"/>
      <c r="EC45"/>
      <c r="ED45"/>
      <c r="EE45"/>
      <c r="EF45"/>
    </row>
    <row r="46" spans="1:136" s="90" customFormat="1" ht="12.75" hidden="1" customHeight="1" outlineLevel="1">
      <c r="A46" s="93" t="s">
        <v>153</v>
      </c>
      <c r="B46" s="93">
        <v>1735.922</v>
      </c>
      <c r="C46" s="93">
        <v>2109.75</v>
      </c>
      <c r="D46" s="93">
        <v>3498</v>
      </c>
      <c r="E46" s="93">
        <v>3466</v>
      </c>
      <c r="F46" s="93">
        <v>3206</v>
      </c>
      <c r="G46" s="93">
        <v>3184.7652014487958</v>
      </c>
      <c r="H46" s="93">
        <v>3190.3198834951454</v>
      </c>
      <c r="I46" s="93">
        <v>1421.5450000000001</v>
      </c>
      <c r="J46" s="93">
        <v>1181.1969309999999</v>
      </c>
      <c r="K46" s="93">
        <v>1076</v>
      </c>
      <c r="L46" s="93">
        <f t="shared" ref="L46:V46" si="47">L40-L42</f>
        <v>1471.5630000000001</v>
      </c>
      <c r="M46" s="93">
        <f t="shared" si="47"/>
        <v>2472</v>
      </c>
      <c r="N46" s="93">
        <f t="shared" si="47"/>
        <v>2516</v>
      </c>
      <c r="O46" s="93">
        <f t="shared" si="47"/>
        <v>2773</v>
      </c>
      <c r="P46" s="93">
        <f t="shared" si="47"/>
        <v>2248</v>
      </c>
      <c r="Q46" s="93">
        <f t="shared" si="47"/>
        <v>2116</v>
      </c>
      <c r="R46" s="93">
        <f t="shared" si="47"/>
        <v>2550</v>
      </c>
      <c r="S46" s="93">
        <f t="shared" si="47"/>
        <v>2862</v>
      </c>
      <c r="T46" s="93">
        <f t="shared" ca="1" si="47"/>
        <v>3243.307863994914</v>
      </c>
      <c r="U46" s="93">
        <f t="shared" ca="1" si="47"/>
        <v>3459.7315185483149</v>
      </c>
      <c r="V46" s="93">
        <f t="shared" ca="1" si="47"/>
        <v>3681.9777598374476</v>
      </c>
      <c r="W46" s="93">
        <f ca="1">W40-W42</f>
        <v>3893.9941412896333</v>
      </c>
      <c r="X46" s="93">
        <f ca="1">X40-X42</f>
        <v>4081.529539185899</v>
      </c>
      <c r="Y46" s="93">
        <f ca="1">Y40-Y42</f>
        <v>4252.3709681198852</v>
      </c>
      <c r="Z46" s="93">
        <f ca="1">Z40-Z42</f>
        <v>4425.5417061205972</v>
      </c>
      <c r="AA46" s="93">
        <f ca="1">AA40-AA42</f>
        <v>4599.2659104457944</v>
      </c>
      <c r="AB46" s="93"/>
      <c r="AC46" s="93">
        <v>769</v>
      </c>
      <c r="AD46" s="93">
        <v>790</v>
      </c>
      <c r="AE46" s="93">
        <v>815</v>
      </c>
      <c r="AF46" s="93">
        <v>837</v>
      </c>
      <c r="AG46" s="93">
        <v>733.20183486238534</v>
      </c>
      <c r="AH46" s="93">
        <v>800.96654275092942</v>
      </c>
      <c r="AI46" s="93">
        <v>704.76957383548074</v>
      </c>
      <c r="AJ46" s="93">
        <v>948.82725000000005</v>
      </c>
      <c r="AK46" s="93">
        <v>755.95399999999995</v>
      </c>
      <c r="AL46" s="93">
        <v>837.5038834951456</v>
      </c>
      <c r="AM46" s="93">
        <v>753.76</v>
      </c>
      <c r="AN46" s="93">
        <v>843.10200000000009</v>
      </c>
      <c r="AO46" s="93">
        <v>715.58899999999994</v>
      </c>
      <c r="AP46" s="93">
        <v>87.025000000000006</v>
      </c>
      <c r="AQ46" s="93">
        <v>49.643000000000001</v>
      </c>
      <c r="AR46" s="93">
        <v>75.212000000000003</v>
      </c>
      <c r="AS46" s="93">
        <v>-269</v>
      </c>
      <c r="AT46" s="93">
        <v>-373</v>
      </c>
      <c r="AU46" s="93">
        <v>-294</v>
      </c>
      <c r="AV46" s="93">
        <v>-249.80306899999999</v>
      </c>
      <c r="AW46" s="93">
        <v>52.263157894736842</v>
      </c>
      <c r="AX46" s="93">
        <v>51.004922067268254</v>
      </c>
      <c r="AY46" s="93">
        <v>45.24</v>
      </c>
      <c r="AZ46" s="93">
        <v>-7.23</v>
      </c>
      <c r="BA46" s="93">
        <v>87.45</v>
      </c>
      <c r="BB46" s="93">
        <v>169.63200000000001</v>
      </c>
      <c r="BC46" s="93">
        <v>115.5</v>
      </c>
      <c r="BD46" s="93">
        <v>128.92699999999999</v>
      </c>
      <c r="BE46" s="93">
        <f t="shared" ref="BE46:BK46" si="48">BE40-BE42</f>
        <v>494</v>
      </c>
      <c r="BF46" s="93">
        <f t="shared" si="48"/>
        <v>612</v>
      </c>
      <c r="BG46" s="93">
        <f t="shared" si="48"/>
        <v>663</v>
      </c>
      <c r="BH46" s="155">
        <f t="shared" si="48"/>
        <v>703</v>
      </c>
      <c r="BI46" s="155">
        <f t="shared" si="48"/>
        <v>555</v>
      </c>
      <c r="BJ46" s="155">
        <f t="shared" si="48"/>
        <v>654</v>
      </c>
      <c r="BK46" s="155">
        <f t="shared" si="48"/>
        <v>646</v>
      </c>
      <c r="BL46" s="155">
        <f>BL40-BL42</f>
        <v>661</v>
      </c>
      <c r="BM46" s="155">
        <f>BM40-BM42</f>
        <v>637</v>
      </c>
      <c r="BN46" s="155">
        <f t="shared" ref="BN46:CB46" si="49">BN40-BN42</f>
        <v>656</v>
      </c>
      <c r="BO46" s="155">
        <f t="shared" si="49"/>
        <v>731</v>
      </c>
      <c r="BP46" s="155">
        <f t="shared" si="49"/>
        <v>749</v>
      </c>
      <c r="BQ46" s="156">
        <f t="shared" si="49"/>
        <v>444</v>
      </c>
      <c r="BR46" s="156">
        <f t="shared" si="49"/>
        <v>570</v>
      </c>
      <c r="BS46" s="156">
        <f t="shared" si="49"/>
        <v>599</v>
      </c>
      <c r="BT46" s="156">
        <f t="shared" si="49"/>
        <v>635</v>
      </c>
      <c r="BU46" s="156">
        <f t="shared" si="49"/>
        <v>494</v>
      </c>
      <c r="BV46" s="156">
        <f t="shared" si="49"/>
        <v>474</v>
      </c>
      <c r="BW46" s="156">
        <f t="shared" si="49"/>
        <v>568</v>
      </c>
      <c r="BX46" s="156">
        <f t="shared" si="49"/>
        <v>580</v>
      </c>
      <c r="BY46" s="155">
        <f t="shared" si="49"/>
        <v>698</v>
      </c>
      <c r="BZ46" s="155">
        <f t="shared" si="49"/>
        <v>565</v>
      </c>
      <c r="CA46" s="155">
        <f t="shared" si="49"/>
        <v>703</v>
      </c>
      <c r="CB46" s="155">
        <f t="shared" si="49"/>
        <v>584</v>
      </c>
      <c r="CC46" s="155">
        <f t="shared" ref="CC46:CJ46" si="50">CC40-CC42</f>
        <v>710</v>
      </c>
      <c r="CD46" s="155">
        <f t="shared" si="50"/>
        <v>645</v>
      </c>
      <c r="CE46" s="155">
        <f t="shared" si="50"/>
        <v>764</v>
      </c>
      <c r="CF46" s="156">
        <f t="shared" si="50"/>
        <v>743</v>
      </c>
      <c r="CG46" s="155">
        <f t="shared" ca="1" si="50"/>
        <v>802.3724353162637</v>
      </c>
      <c r="CH46" s="155">
        <f t="shared" ca="1" si="50"/>
        <v>748.53139103043156</v>
      </c>
      <c r="CI46" s="155">
        <f t="shared" ca="1" si="50"/>
        <v>827.6678173158142</v>
      </c>
      <c r="CJ46" s="155">
        <f t="shared" ca="1" si="50"/>
        <v>864.73622033240531</v>
      </c>
      <c r="CO46" s="94"/>
      <c r="DK46" s="157"/>
      <c r="DL46" s="108"/>
      <c r="DM46" s="108"/>
      <c r="DN46" s="108"/>
      <c r="DO46" s="108"/>
      <c r="DP46" s="108"/>
      <c r="DQ46" s="108"/>
      <c r="DR46" s="94"/>
      <c r="DS46" s="94"/>
      <c r="DT46" s="94"/>
      <c r="DU46" s="94"/>
      <c r="DV46" s="94"/>
      <c r="DW46" s="94"/>
      <c r="DX46" s="94"/>
      <c r="DY46" s="94"/>
      <c r="DZ46" s="94"/>
      <c r="EA46"/>
      <c r="EB46"/>
      <c r="EC46"/>
      <c r="ED46"/>
      <c r="EE46"/>
      <c r="EF46"/>
    </row>
    <row r="47" spans="1:136" s="90" customFormat="1" ht="12.75" hidden="1" customHeight="1" outlineLevel="1">
      <c r="A47" s="93"/>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93"/>
      <c r="AG47" s="93"/>
      <c r="AH47" s="93"/>
      <c r="AI47" s="93"/>
      <c r="AJ47" s="93"/>
      <c r="AK47" s="93"/>
      <c r="AL47" s="93"/>
      <c r="AM47" s="93"/>
      <c r="AN47" s="93"/>
      <c r="AO47" s="93"/>
      <c r="AP47" s="93"/>
      <c r="AQ47" s="93"/>
      <c r="AR47" s="93"/>
      <c r="AS47" s="93"/>
      <c r="AT47" s="93"/>
      <c r="AU47" s="93"/>
      <c r="AV47" s="93"/>
      <c r="AW47" s="93"/>
      <c r="AX47" s="93"/>
      <c r="AY47" s="93"/>
      <c r="AZ47" s="93"/>
      <c r="BA47" s="93"/>
      <c r="BB47" s="93"/>
      <c r="BC47" s="93"/>
      <c r="BD47" s="93"/>
      <c r="BE47" s="93"/>
      <c r="BF47" s="93"/>
      <c r="BG47" s="93"/>
      <c r="BH47" s="155"/>
      <c r="BI47" s="155"/>
      <c r="BJ47" s="155"/>
      <c r="BK47" s="155"/>
      <c r="BL47" s="155"/>
      <c r="BM47" s="155"/>
      <c r="BN47" s="155"/>
      <c r="BO47" s="155"/>
      <c r="BP47" s="155"/>
      <c r="BQ47" s="156"/>
      <c r="BR47" s="156"/>
      <c r="BS47" s="156"/>
      <c r="BT47" s="156"/>
      <c r="BU47" s="156"/>
      <c r="BV47" s="156"/>
      <c r="BW47" s="156"/>
      <c r="BX47" s="156"/>
      <c r="BY47" s="155"/>
      <c r="BZ47" s="155"/>
      <c r="CA47" s="155"/>
      <c r="CB47" s="155"/>
      <c r="CC47" s="155"/>
      <c r="CD47" s="155"/>
      <c r="CE47" s="155"/>
      <c r="CF47" s="156"/>
      <c r="CG47" s="155"/>
      <c r="CH47" s="155"/>
      <c r="CI47" s="155"/>
      <c r="CJ47" s="155"/>
      <c r="CO47" s="94"/>
      <c r="DK47" s="94"/>
      <c r="DL47" s="94"/>
      <c r="DM47" s="94"/>
      <c r="DN47" s="94"/>
      <c r="DO47" s="94"/>
      <c r="DP47" s="94"/>
      <c r="DQ47" s="108"/>
      <c r="DR47" s="94"/>
      <c r="DS47" s="94"/>
      <c r="DT47" s="94"/>
      <c r="DU47" s="94"/>
      <c r="DV47" s="94"/>
      <c r="DW47" s="94"/>
      <c r="DX47" s="94"/>
      <c r="DY47" s="94"/>
      <c r="DZ47" s="94"/>
      <c r="EA47"/>
      <c r="EB47"/>
      <c r="EC47"/>
      <c r="ED47"/>
      <c r="EE47"/>
      <c r="EF47"/>
    </row>
    <row r="48" spans="1:136" s="90" customFormat="1" ht="12.75" hidden="1" customHeight="1" outlineLevel="1">
      <c r="A48" s="39" t="s">
        <v>154</v>
      </c>
      <c r="B48" s="98">
        <v>0</v>
      </c>
      <c r="C48" s="98">
        <v>-99.39</v>
      </c>
      <c r="D48" s="98">
        <v>-103.56</v>
      </c>
      <c r="E48" s="98">
        <v>10</v>
      </c>
      <c r="F48" s="98">
        <v>-544</v>
      </c>
      <c r="G48" s="98">
        <v>-554.76520144879601</v>
      </c>
      <c r="H48" s="98">
        <v>-135.65379999999999</v>
      </c>
      <c r="I48" s="98">
        <v>-369</v>
      </c>
      <c r="J48" s="98">
        <v>-1223</v>
      </c>
      <c r="K48" s="98">
        <v>-218</v>
      </c>
      <c r="L48" s="98"/>
      <c r="M48" s="98"/>
      <c r="N48" s="98"/>
      <c r="O48" s="98"/>
      <c r="P48" s="98"/>
      <c r="Q48" s="98"/>
      <c r="R48" s="98"/>
      <c r="S48" s="98"/>
      <c r="T48" s="98"/>
      <c r="U48" s="98"/>
      <c r="V48" s="98"/>
      <c r="W48" s="98"/>
      <c r="X48" s="98"/>
      <c r="Y48" s="98"/>
      <c r="Z48" s="98"/>
      <c r="AA48" s="98"/>
      <c r="AB48" s="39"/>
      <c r="AC48" s="98">
        <v>-210</v>
      </c>
      <c r="AD48" s="98">
        <v>-92.750439999999998</v>
      </c>
      <c r="AE48" s="98">
        <v>-34.200000000000003</v>
      </c>
      <c r="AF48" s="98">
        <v>-207</v>
      </c>
      <c r="AG48" s="98">
        <v>-21.62691131498471</v>
      </c>
      <c r="AH48" s="98">
        <v>-326.96654275092936</v>
      </c>
      <c r="AI48" s="98">
        <v>-28.097125867195238</v>
      </c>
      <c r="AJ48" s="98">
        <v>-206.8695238095238</v>
      </c>
      <c r="AK48" s="98">
        <v>-148.565</v>
      </c>
      <c r="AL48" s="98">
        <v>-166.43980582524273</v>
      </c>
      <c r="AM48" s="98">
        <v>-201.40960194174755</v>
      </c>
      <c r="AN48" s="98">
        <v>-289.22399999999999</v>
      </c>
      <c r="AO48" s="98">
        <v>-51.452000000000005</v>
      </c>
      <c r="AP48" s="98">
        <v>-105.97499999999999</v>
      </c>
      <c r="AQ48" s="98">
        <v>0</v>
      </c>
      <c r="AR48" s="98">
        <v>2</v>
      </c>
      <c r="AS48" s="98">
        <v>0</v>
      </c>
      <c r="AT48" s="98">
        <v>1</v>
      </c>
      <c r="AU48" s="98">
        <v>-15</v>
      </c>
      <c r="AV48" s="98">
        <v>0</v>
      </c>
      <c r="AW48" s="98">
        <v>0</v>
      </c>
      <c r="AX48" s="98">
        <v>0</v>
      </c>
      <c r="AY48" s="98">
        <v>0</v>
      </c>
      <c r="AZ48" s="98">
        <v>0</v>
      </c>
      <c r="BA48" s="98">
        <v>0</v>
      </c>
      <c r="BB48" s="98">
        <v>0</v>
      </c>
      <c r="BC48" s="98">
        <v>0</v>
      </c>
      <c r="BD48" s="98">
        <v>0</v>
      </c>
      <c r="BE48" s="98"/>
      <c r="BF48" s="98"/>
      <c r="BG48" s="98"/>
      <c r="BH48" s="98"/>
      <c r="BI48" s="98"/>
      <c r="BJ48" s="98"/>
      <c r="BK48" s="98"/>
      <c r="BL48" s="98"/>
      <c r="BM48" s="98"/>
      <c r="BN48" s="98"/>
      <c r="BO48" s="98"/>
      <c r="BP48" s="98"/>
      <c r="BQ48" s="124"/>
      <c r="BR48" s="124"/>
      <c r="BS48" s="124"/>
      <c r="BT48" s="124"/>
      <c r="BU48" s="124"/>
      <c r="BV48" s="124"/>
      <c r="BW48" s="124"/>
      <c r="BX48" s="124"/>
      <c r="BY48" s="98"/>
      <c r="BZ48" s="98"/>
      <c r="CA48" s="98"/>
      <c r="CB48" s="98"/>
      <c r="CC48" s="98"/>
      <c r="CD48" s="98"/>
      <c r="CE48" s="98"/>
      <c r="CF48" s="124"/>
      <c r="CG48" s="98"/>
      <c r="CH48" s="98"/>
      <c r="CI48" s="98"/>
      <c r="CJ48" s="98"/>
      <c r="CO48" s="39"/>
      <c r="DK48" s="39"/>
      <c r="DL48" s="39"/>
      <c r="DM48" s="39"/>
      <c r="DN48" s="39"/>
      <c r="DO48" s="39"/>
      <c r="DP48" s="39"/>
      <c r="DQ48" s="91"/>
      <c r="DR48" s="39"/>
      <c r="DS48" s="39"/>
      <c r="DT48" s="39"/>
      <c r="DU48" s="39"/>
      <c r="DV48" s="39"/>
      <c r="DW48" s="39"/>
      <c r="DX48" s="39"/>
      <c r="DY48" s="39"/>
      <c r="DZ48" s="39"/>
      <c r="EA48"/>
      <c r="EB48"/>
      <c r="EC48"/>
      <c r="ED48"/>
      <c r="EE48"/>
      <c r="EF48"/>
    </row>
    <row r="49" spans="1:136" s="90" customFormat="1" ht="9" hidden="1" customHeight="1" outlineLevel="1">
      <c r="A49" s="93"/>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93"/>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120"/>
      <c r="BR49" s="120"/>
      <c r="BS49" s="120"/>
      <c r="BT49" s="120"/>
      <c r="BU49" s="120"/>
      <c r="BV49" s="120"/>
      <c r="BW49" s="120"/>
      <c r="BX49" s="120"/>
      <c r="BY49" s="87"/>
      <c r="BZ49" s="87"/>
      <c r="CA49" s="87"/>
      <c r="CB49" s="87"/>
      <c r="CC49" s="87"/>
      <c r="CD49" s="87"/>
      <c r="CE49" s="87"/>
      <c r="CF49" s="120"/>
      <c r="CG49" s="87"/>
      <c r="CH49" s="87"/>
      <c r="CI49" s="87"/>
      <c r="CJ49" s="87"/>
      <c r="CO49" s="39"/>
      <c r="DK49" s="39"/>
      <c r="DL49" s="39"/>
      <c r="DM49" s="39"/>
      <c r="DN49" s="39"/>
      <c r="DO49" s="39"/>
      <c r="DP49" s="39"/>
      <c r="DQ49" s="91"/>
      <c r="DR49" s="39"/>
      <c r="DS49" s="39"/>
      <c r="DT49" s="39"/>
      <c r="DU49" s="39"/>
      <c r="DV49" s="39"/>
      <c r="DW49" s="39"/>
      <c r="DX49" s="39"/>
      <c r="DY49" s="39"/>
      <c r="DZ49" s="39"/>
      <c r="EA49"/>
      <c r="EB49"/>
      <c r="EC49"/>
      <c r="ED49"/>
      <c r="EE49"/>
      <c r="EF49"/>
    </row>
    <row r="50" spans="1:136" s="171" customFormat="1" collapsed="1">
      <c r="A50" s="93" t="s">
        <v>155</v>
      </c>
      <c r="B50" s="93">
        <v>1735.922</v>
      </c>
      <c r="C50" s="93">
        <v>2010.36</v>
      </c>
      <c r="D50" s="93">
        <v>3394.44</v>
      </c>
      <c r="E50" s="93">
        <v>3476</v>
      </c>
      <c r="F50" s="93">
        <v>2662</v>
      </c>
      <c r="G50" s="93">
        <v>2630</v>
      </c>
      <c r="H50" s="93">
        <v>3054.6660834951454</v>
      </c>
      <c r="I50" s="93">
        <v>1052.5450000000001</v>
      </c>
      <c r="J50" s="93">
        <v>-41.80306900000005</v>
      </c>
      <c r="K50" s="93">
        <v>858</v>
      </c>
      <c r="L50" s="93">
        <f t="shared" ref="L50:V50" si="51">L40-L42</f>
        <v>1471.5630000000001</v>
      </c>
      <c r="M50" s="93">
        <f t="shared" si="51"/>
        <v>2472</v>
      </c>
      <c r="N50" s="93">
        <f t="shared" si="51"/>
        <v>2516</v>
      </c>
      <c r="O50" s="93">
        <f t="shared" si="51"/>
        <v>2773</v>
      </c>
      <c r="P50" s="93">
        <f t="shared" si="51"/>
        <v>2248</v>
      </c>
      <c r="Q50" s="93">
        <f t="shared" si="51"/>
        <v>2116</v>
      </c>
      <c r="R50" s="93">
        <f t="shared" si="51"/>
        <v>2550</v>
      </c>
      <c r="S50" s="93">
        <f t="shared" si="51"/>
        <v>2862</v>
      </c>
      <c r="T50" s="93">
        <f t="shared" ca="1" si="51"/>
        <v>3243.307863994914</v>
      </c>
      <c r="U50" s="93">
        <f t="shared" ca="1" si="51"/>
        <v>3459.7315185483149</v>
      </c>
      <c r="V50" s="93">
        <f t="shared" ca="1" si="51"/>
        <v>3681.9777598374476</v>
      </c>
      <c r="W50" s="93">
        <f ca="1">W40-W42</f>
        <v>3893.9941412896333</v>
      </c>
      <c r="X50" s="93">
        <f ca="1">X40-X42</f>
        <v>4081.529539185899</v>
      </c>
      <c r="Y50" s="93">
        <f ca="1">Y40-Y42</f>
        <v>4252.3709681198852</v>
      </c>
      <c r="Z50" s="93">
        <f ca="1">Z40-Z42</f>
        <v>4425.5417061205972</v>
      </c>
      <c r="AA50" s="93">
        <f ca="1">AA40-AA42</f>
        <v>4599.2659104457944</v>
      </c>
      <c r="AB50" s="93"/>
      <c r="AC50" s="93">
        <v>559</v>
      </c>
      <c r="AD50" s="93">
        <v>697.24955999999997</v>
      </c>
      <c r="AE50" s="93">
        <v>780.8</v>
      </c>
      <c r="AF50" s="93">
        <v>630</v>
      </c>
      <c r="AG50" s="93">
        <v>711.57492354740066</v>
      </c>
      <c r="AH50" s="93">
        <v>474</v>
      </c>
      <c r="AI50" s="93">
        <v>676.6724479682855</v>
      </c>
      <c r="AJ50" s="93">
        <v>741.95772619047625</v>
      </c>
      <c r="AK50" s="93">
        <v>607.3889999999999</v>
      </c>
      <c r="AL50" s="93">
        <v>671.06407766990287</v>
      </c>
      <c r="AM50" s="93">
        <v>552.35039805825249</v>
      </c>
      <c r="AN50" s="93">
        <v>553.87800000000016</v>
      </c>
      <c r="AO50" s="93">
        <v>664.13699999999994</v>
      </c>
      <c r="AP50" s="93">
        <v>-18.95</v>
      </c>
      <c r="AQ50" s="93">
        <v>49.643000000000001</v>
      </c>
      <c r="AR50" s="93">
        <v>77.212000000000003</v>
      </c>
      <c r="AS50" s="93">
        <v>-269</v>
      </c>
      <c r="AT50" s="93">
        <v>-372</v>
      </c>
      <c r="AU50" s="93">
        <v>-309</v>
      </c>
      <c r="AV50" s="93">
        <v>-249.80306899999999</v>
      </c>
      <c r="AW50" s="93">
        <v>52.263157894736842</v>
      </c>
      <c r="AX50" s="93">
        <v>51.004922067268254</v>
      </c>
      <c r="AY50" s="93">
        <v>45.24</v>
      </c>
      <c r="AZ50" s="93">
        <v>-7.23</v>
      </c>
      <c r="BA50" s="93">
        <v>87.45</v>
      </c>
      <c r="BB50" s="93">
        <v>169.63200000000001</v>
      </c>
      <c r="BC50" s="93">
        <v>115.5</v>
      </c>
      <c r="BD50" s="93">
        <v>128.92699999999999</v>
      </c>
      <c r="BE50" s="93">
        <f t="shared" ref="BE50:BK50" si="52">BE46+BE48</f>
        <v>494</v>
      </c>
      <c r="BF50" s="93">
        <f t="shared" si="52"/>
        <v>612</v>
      </c>
      <c r="BG50" s="93">
        <f t="shared" si="52"/>
        <v>663</v>
      </c>
      <c r="BH50" s="93">
        <f t="shared" si="52"/>
        <v>703</v>
      </c>
      <c r="BI50" s="93">
        <f t="shared" si="52"/>
        <v>555</v>
      </c>
      <c r="BJ50" s="93">
        <f t="shared" si="52"/>
        <v>654</v>
      </c>
      <c r="BK50" s="93">
        <f t="shared" si="52"/>
        <v>646</v>
      </c>
      <c r="BL50" s="93">
        <f>BL46+BL48</f>
        <v>661</v>
      </c>
      <c r="BM50" s="93">
        <f>BM40-BM42</f>
        <v>637</v>
      </c>
      <c r="BN50" s="93">
        <f t="shared" ref="BN50:BT50" si="53">BN40-BN42</f>
        <v>656</v>
      </c>
      <c r="BO50" s="93">
        <f t="shared" si="53"/>
        <v>731</v>
      </c>
      <c r="BP50" s="93">
        <f t="shared" si="53"/>
        <v>749</v>
      </c>
      <c r="BQ50" s="107">
        <f t="shared" si="53"/>
        <v>444</v>
      </c>
      <c r="BR50" s="107">
        <f t="shared" si="53"/>
        <v>570</v>
      </c>
      <c r="BS50" s="107">
        <f t="shared" si="53"/>
        <v>599</v>
      </c>
      <c r="BT50" s="107">
        <f t="shared" si="53"/>
        <v>635</v>
      </c>
      <c r="BU50" s="157">
        <f t="shared" ref="BU50:CF50" si="54">BU40-BU42</f>
        <v>494</v>
      </c>
      <c r="BV50" s="157">
        <f t="shared" si="54"/>
        <v>474</v>
      </c>
      <c r="BW50" s="157">
        <f t="shared" si="54"/>
        <v>568</v>
      </c>
      <c r="BX50" s="157">
        <f t="shared" si="54"/>
        <v>580</v>
      </c>
      <c r="BY50" s="157">
        <f t="shared" si="54"/>
        <v>698</v>
      </c>
      <c r="BZ50" s="157">
        <f t="shared" si="54"/>
        <v>565</v>
      </c>
      <c r="CA50" s="157">
        <f t="shared" si="54"/>
        <v>703</v>
      </c>
      <c r="CB50" s="157">
        <f t="shared" si="54"/>
        <v>584</v>
      </c>
      <c r="CC50" s="157">
        <f t="shared" si="54"/>
        <v>710</v>
      </c>
      <c r="CD50" s="157">
        <f t="shared" si="54"/>
        <v>645</v>
      </c>
      <c r="CE50" s="157">
        <f t="shared" si="54"/>
        <v>764</v>
      </c>
      <c r="CF50" s="107">
        <f t="shared" si="54"/>
        <v>743</v>
      </c>
      <c r="CG50" s="157">
        <f ca="1">CG40-CG42</f>
        <v>802.3724353162637</v>
      </c>
      <c r="CH50" s="157">
        <f ca="1">CH40-CH42</f>
        <v>748.53139103043156</v>
      </c>
      <c r="CI50" s="157">
        <f ca="1">CI40-CI42</f>
        <v>827.6678173158142</v>
      </c>
      <c r="CJ50" s="157">
        <f ca="1">CJ40-CJ42</f>
        <v>864.73622033240531</v>
      </c>
      <c r="CO50" s="94"/>
      <c r="DK50" s="94"/>
      <c r="DL50" s="172"/>
      <c r="DM50" s="94"/>
      <c r="DN50" s="94"/>
      <c r="DO50" s="94"/>
      <c r="DP50" s="94"/>
      <c r="DQ50" s="108"/>
      <c r="DR50" s="94"/>
      <c r="DS50" s="94"/>
      <c r="DT50" s="94"/>
      <c r="DU50" s="94"/>
      <c r="DV50" s="94"/>
      <c r="DW50" s="94"/>
      <c r="DX50" s="94"/>
      <c r="DY50" s="94"/>
      <c r="DZ50" s="94"/>
      <c r="EA50"/>
      <c r="EB50"/>
      <c r="EC50"/>
      <c r="ED50"/>
      <c r="EE50"/>
      <c r="EF50"/>
    </row>
    <row r="51" spans="1:136" s="90" customFormat="1" ht="6" customHeight="1" collapsed="1">
      <c r="A51" s="87"/>
      <c r="B51" s="88"/>
      <c r="C51" s="88"/>
      <c r="D51" s="88"/>
      <c r="E51" s="88"/>
      <c r="F51" s="88"/>
      <c r="G51" s="88"/>
      <c r="H51" s="88"/>
      <c r="I51" s="88"/>
      <c r="J51" s="88"/>
      <c r="K51" s="88"/>
      <c r="L51" s="88"/>
      <c r="M51" s="39"/>
      <c r="N51" s="39"/>
      <c r="O51" s="39"/>
      <c r="P51" s="89"/>
      <c r="Q51" s="87"/>
      <c r="R51" s="87"/>
      <c r="S51" s="87"/>
      <c r="T51" s="87"/>
      <c r="U51" s="87"/>
      <c r="V51" s="87"/>
      <c r="W51" s="87"/>
      <c r="X51" s="87"/>
      <c r="Y51" s="87"/>
      <c r="Z51" s="87"/>
      <c r="AA51" s="87"/>
      <c r="AB51" s="87"/>
      <c r="AC51" s="88"/>
      <c r="AD51" s="88"/>
      <c r="AE51" s="88"/>
      <c r="AF51" s="88"/>
      <c r="AG51" s="88"/>
      <c r="AH51" s="88"/>
      <c r="AI51" s="88"/>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39"/>
      <c r="BH51" s="39"/>
      <c r="BI51" s="39"/>
      <c r="BJ51" s="39"/>
      <c r="BK51" s="39"/>
      <c r="BL51" s="39"/>
      <c r="BM51" s="39"/>
      <c r="BN51" s="39"/>
      <c r="BO51" s="39"/>
      <c r="BP51" s="39"/>
      <c r="BQ51" s="106"/>
      <c r="BR51" s="106"/>
      <c r="BS51" s="106"/>
      <c r="BT51" s="106"/>
      <c r="BU51" s="117"/>
      <c r="BV51" s="173"/>
      <c r="BW51" s="173"/>
      <c r="BX51" s="106"/>
      <c r="BY51" s="39"/>
      <c r="BZ51" s="39"/>
      <c r="CA51" s="39"/>
      <c r="CB51" s="39"/>
      <c r="CC51" s="39"/>
      <c r="CD51" s="39"/>
      <c r="CE51" s="39"/>
      <c r="CF51" s="106"/>
      <c r="CG51" s="39"/>
      <c r="CH51" s="39"/>
      <c r="CI51" s="39"/>
      <c r="CJ51" s="39"/>
      <c r="CO51" s="39"/>
      <c r="DK51" s="39"/>
      <c r="DL51" s="39"/>
      <c r="DM51" s="39"/>
      <c r="DN51" s="39"/>
      <c r="DO51" s="39"/>
      <c r="DP51" s="39"/>
      <c r="DQ51" s="91"/>
      <c r="DR51" s="39"/>
      <c r="DS51" s="39"/>
      <c r="DT51" s="39"/>
      <c r="DU51" s="39"/>
      <c r="DV51" s="39"/>
      <c r="DW51" s="39"/>
      <c r="DX51" s="39"/>
      <c r="DY51" s="39"/>
      <c r="DZ51" s="39"/>
      <c r="EA51"/>
      <c r="EB51"/>
      <c r="EC51"/>
      <c r="ED51"/>
      <c r="EE51"/>
      <c r="EF51"/>
    </row>
    <row r="52" spans="1:136" s="90" customFormat="1" ht="12.75" customHeight="1">
      <c r="A52" s="87" t="s">
        <v>156</v>
      </c>
      <c r="B52" s="87">
        <v>0</v>
      </c>
      <c r="C52" s="87">
        <v>0</v>
      </c>
      <c r="D52" s="87">
        <v>4</v>
      </c>
      <c r="E52" s="87">
        <v>4</v>
      </c>
      <c r="F52" s="87">
        <v>3</v>
      </c>
      <c r="G52" s="87">
        <v>2</v>
      </c>
      <c r="H52" s="87">
        <v>5.333333333333333</v>
      </c>
      <c r="I52" s="87"/>
      <c r="J52" s="87"/>
      <c r="K52" s="87"/>
      <c r="L52" s="87"/>
      <c r="M52" s="87"/>
      <c r="N52" s="87"/>
      <c r="O52" s="87">
        <v>0</v>
      </c>
      <c r="P52" s="87">
        <f>+SUM(BQ52:BT52)</f>
        <v>676</v>
      </c>
      <c r="Q52" s="174">
        <f>+SUM(BU52:BX52)</f>
        <v>454</v>
      </c>
      <c r="R52" s="87">
        <f>+SUM(BY52:CB52)</f>
        <v>368</v>
      </c>
      <c r="S52" s="87">
        <f>+SUM(CC52:CF52)</f>
        <v>404</v>
      </c>
      <c r="T52" s="87">
        <v>447.36130539309642</v>
      </c>
      <c r="U52" s="87">
        <v>474.76141199944334</v>
      </c>
      <c r="V52" s="87">
        <v>503.28094001016382</v>
      </c>
      <c r="W52" s="87">
        <f>+V52*1.1</f>
        <v>553.60903401118026</v>
      </c>
      <c r="X52" s="87">
        <f>+W52*1.1</f>
        <v>608.96993741229835</v>
      </c>
      <c r="Y52" s="87">
        <f>+X52*1.1</f>
        <v>669.86693115352818</v>
      </c>
      <c r="Z52" s="87">
        <f>+Y52*1.1</f>
        <v>736.85362426888105</v>
      </c>
      <c r="AA52" s="87">
        <f>+Z52*1.1</f>
        <v>810.53898669576927</v>
      </c>
      <c r="AB52" s="87"/>
      <c r="AC52" s="87">
        <v>1</v>
      </c>
      <c r="AD52" s="87">
        <v>2</v>
      </c>
      <c r="AE52" s="87">
        <v>1</v>
      </c>
      <c r="AF52" s="87">
        <v>1</v>
      </c>
      <c r="AG52" s="87">
        <v>0</v>
      </c>
      <c r="AH52" s="87">
        <v>2</v>
      </c>
      <c r="AI52" s="87">
        <v>1</v>
      </c>
      <c r="AJ52" s="87">
        <v>0</v>
      </c>
      <c r="AK52" s="87">
        <v>1</v>
      </c>
      <c r="AL52" s="87">
        <v>1.3333333333333333</v>
      </c>
      <c r="AM52" s="87">
        <v>2</v>
      </c>
      <c r="AN52" s="87">
        <v>1</v>
      </c>
      <c r="AO52" s="87">
        <v>0.5</v>
      </c>
      <c r="AP52" s="87">
        <v>0</v>
      </c>
      <c r="AQ52" s="87">
        <v>0</v>
      </c>
      <c r="AR52" s="87">
        <v>0</v>
      </c>
      <c r="AS52" s="87">
        <v>0</v>
      </c>
      <c r="AT52" s="87">
        <v>0</v>
      </c>
      <c r="AU52" s="87">
        <v>0</v>
      </c>
      <c r="AV52" s="87">
        <v>0</v>
      </c>
      <c r="AW52" s="87">
        <v>0</v>
      </c>
      <c r="AX52" s="87">
        <v>0</v>
      </c>
      <c r="AY52" s="87">
        <v>0</v>
      </c>
      <c r="AZ52" s="87">
        <v>0</v>
      </c>
      <c r="BA52" s="87">
        <v>0</v>
      </c>
      <c r="BB52" s="87">
        <v>0</v>
      </c>
      <c r="BC52" s="87">
        <v>0</v>
      </c>
      <c r="BD52" s="87">
        <v>0</v>
      </c>
      <c r="BE52" s="87">
        <v>0</v>
      </c>
      <c r="BF52" s="87">
        <v>0</v>
      </c>
      <c r="BG52" s="87">
        <v>0</v>
      </c>
      <c r="BH52" s="87">
        <v>0</v>
      </c>
      <c r="BI52" s="87">
        <v>0</v>
      </c>
      <c r="BJ52" s="87">
        <v>0</v>
      </c>
      <c r="BK52" s="87">
        <v>0</v>
      </c>
      <c r="BL52" s="87">
        <v>0</v>
      </c>
      <c r="BM52" s="87">
        <v>0</v>
      </c>
      <c r="BN52" s="87">
        <v>0</v>
      </c>
      <c r="BO52" s="87">
        <v>0</v>
      </c>
      <c r="BP52" s="87">
        <v>0</v>
      </c>
      <c r="BQ52" s="161">
        <v>168</v>
      </c>
      <c r="BR52" s="161">
        <v>162</v>
      </c>
      <c r="BS52" s="161">
        <v>180</v>
      </c>
      <c r="BT52" s="161">
        <v>166</v>
      </c>
      <c r="BU52" s="161">
        <v>138</v>
      </c>
      <c r="BV52" s="161">
        <v>209</v>
      </c>
      <c r="BW52" s="161">
        <v>30</v>
      </c>
      <c r="BX52" s="161">
        <v>77</v>
      </c>
      <c r="BY52" s="175">
        <v>84</v>
      </c>
      <c r="BZ52" s="175">
        <v>97</v>
      </c>
      <c r="CA52" s="175">
        <v>84</v>
      </c>
      <c r="CB52" s="175">
        <v>103</v>
      </c>
      <c r="CC52" s="175">
        <v>97</v>
      </c>
      <c r="CD52" s="175">
        <v>79</v>
      </c>
      <c r="CE52" s="175">
        <v>104</v>
      </c>
      <c r="CF52" s="161">
        <v>124</v>
      </c>
      <c r="CG52" s="87">
        <f>T52/4</f>
        <v>111.8403263482741</v>
      </c>
      <c r="CH52" s="87">
        <f>(T52-CG52)/3</f>
        <v>111.8403263482741</v>
      </c>
      <c r="CI52" s="87">
        <f>(T52-CH52-CG52)/2</f>
        <v>111.84032634827409</v>
      </c>
      <c r="CJ52" s="87">
        <f>T52-SUM(CG52:CI52)</f>
        <v>111.84032634827412</v>
      </c>
      <c r="CK52" s="715"/>
      <c r="CO52" s="39"/>
      <c r="DK52" s="39"/>
      <c r="DL52" s="39"/>
      <c r="DM52" s="39"/>
      <c r="DN52" s="39"/>
      <c r="DO52" s="39"/>
      <c r="DP52" s="39"/>
      <c r="DQ52" s="91"/>
      <c r="DR52" s="39"/>
      <c r="DS52" s="39"/>
      <c r="DT52" s="39"/>
      <c r="DU52" s="39"/>
      <c r="DV52" s="39"/>
      <c r="DW52" s="39"/>
      <c r="DX52" s="39"/>
      <c r="DY52" s="39"/>
      <c r="DZ52" s="39"/>
      <c r="EA52"/>
      <c r="EB52"/>
      <c r="EC52"/>
      <c r="ED52"/>
      <c r="EE52"/>
      <c r="EF52"/>
    </row>
    <row r="53" spans="1:136" s="90" customFormat="1">
      <c r="A53" s="87" t="s">
        <v>157</v>
      </c>
      <c r="B53" s="87"/>
      <c r="C53" s="87"/>
      <c r="D53" s="87"/>
      <c r="E53" s="87"/>
      <c r="F53" s="87"/>
      <c r="G53" s="87"/>
      <c r="H53" s="87"/>
      <c r="I53" s="87"/>
      <c r="J53" s="87"/>
      <c r="K53" s="87"/>
      <c r="L53" s="87"/>
      <c r="M53" s="87">
        <f>+SUM(BE53:BH53)</f>
        <v>20</v>
      </c>
      <c r="N53" s="87">
        <f>+SUM(BI53:BL53)</f>
        <v>27</v>
      </c>
      <c r="O53" s="87">
        <f>+SUM(BM53:BP53)</f>
        <v>20</v>
      </c>
      <c r="P53" s="87">
        <f>+SUM(BQ53:BT53)</f>
        <v>16.5</v>
      </c>
      <c r="Q53" s="87">
        <f>+SUM(BU53:BX53)</f>
        <v>24</v>
      </c>
      <c r="R53" s="87">
        <f>+SUM(BY53:CB53)</f>
        <v>10</v>
      </c>
      <c r="S53" s="87">
        <f>+SUM(CC53:CF53)</f>
        <v>14</v>
      </c>
      <c r="T53" s="175">
        <v>10</v>
      </c>
      <c r="U53" s="175">
        <f>+T53*1.05</f>
        <v>10.5</v>
      </c>
      <c r="V53" s="175">
        <f t="shared" ref="V53:AA53" si="55">+U53*1.05</f>
        <v>11.025</v>
      </c>
      <c r="W53" s="175">
        <f t="shared" si="55"/>
        <v>11.576250000000002</v>
      </c>
      <c r="X53" s="175">
        <f t="shared" si="55"/>
        <v>12.155062500000001</v>
      </c>
      <c r="Y53" s="175">
        <f t="shared" si="55"/>
        <v>12.762815625000002</v>
      </c>
      <c r="Z53" s="175">
        <f t="shared" si="55"/>
        <v>13.400956406250003</v>
      </c>
      <c r="AA53" s="175">
        <f t="shared" si="55"/>
        <v>14.071004226562504</v>
      </c>
      <c r="AB53" s="87"/>
      <c r="AC53" s="159">
        <v>0</v>
      </c>
      <c r="AD53" s="159">
        <v>0</v>
      </c>
      <c r="AE53" s="159">
        <v>0</v>
      </c>
      <c r="AF53" s="159">
        <v>0</v>
      </c>
      <c r="AG53" s="159">
        <v>0</v>
      </c>
      <c r="AH53" s="159">
        <v>0</v>
      </c>
      <c r="AI53" s="159">
        <v>0</v>
      </c>
      <c r="AJ53" s="159">
        <v>0</v>
      </c>
      <c r="AK53" s="159">
        <v>0</v>
      </c>
      <c r="AL53" s="159">
        <v>0</v>
      </c>
      <c r="AM53" s="159">
        <v>0</v>
      </c>
      <c r="AN53" s="159">
        <v>0</v>
      </c>
      <c r="AO53" s="159">
        <v>0</v>
      </c>
      <c r="AP53" s="159">
        <v>0</v>
      </c>
      <c r="AQ53" s="159">
        <v>0</v>
      </c>
      <c r="AR53" s="159">
        <v>3</v>
      </c>
      <c r="AS53" s="159">
        <v>2</v>
      </c>
      <c r="AT53" s="159">
        <v>2</v>
      </c>
      <c r="AU53" s="159">
        <v>3</v>
      </c>
      <c r="AV53" s="159">
        <v>2</v>
      </c>
      <c r="AW53" s="159">
        <v>2</v>
      </c>
      <c r="AX53" s="159">
        <v>2</v>
      </c>
      <c r="AY53" s="159">
        <v>2</v>
      </c>
      <c r="AZ53" s="159">
        <v>1</v>
      </c>
      <c r="BA53" s="159">
        <v>10</v>
      </c>
      <c r="BB53" s="159">
        <v>3</v>
      </c>
      <c r="BC53" s="159">
        <v>6</v>
      </c>
      <c r="BD53" s="159">
        <v>7</v>
      </c>
      <c r="BE53" s="159">
        <v>3</v>
      </c>
      <c r="BF53" s="159">
        <v>0</v>
      </c>
      <c r="BG53" s="159">
        <v>5</v>
      </c>
      <c r="BH53" s="159">
        <v>12</v>
      </c>
      <c r="BI53" s="159">
        <v>6</v>
      </c>
      <c r="BJ53" s="159">
        <v>5</v>
      </c>
      <c r="BK53" s="159">
        <v>7</v>
      </c>
      <c r="BL53" s="159">
        <v>9</v>
      </c>
      <c r="BM53" s="159">
        <v>6</v>
      </c>
      <c r="BN53" s="159">
        <v>1</v>
      </c>
      <c r="BO53" s="159">
        <v>6</v>
      </c>
      <c r="BP53" s="88">
        <v>7</v>
      </c>
      <c r="BQ53" s="160">
        <v>-13</v>
      </c>
      <c r="BR53" s="160">
        <v>20</v>
      </c>
      <c r="BS53" s="160">
        <v>2.5</v>
      </c>
      <c r="BT53" s="123">
        <v>7</v>
      </c>
      <c r="BU53" s="161">
        <v>-12</v>
      </c>
      <c r="BV53" s="161">
        <v>21</v>
      </c>
      <c r="BW53" s="161">
        <v>2</v>
      </c>
      <c r="BX53" s="123">
        <v>13</v>
      </c>
      <c r="BY53" s="175">
        <v>3</v>
      </c>
      <c r="BZ53" s="175">
        <v>7</v>
      </c>
      <c r="CA53" s="175">
        <v>0</v>
      </c>
      <c r="CB53" s="175">
        <v>0</v>
      </c>
      <c r="CC53" s="175">
        <v>3</v>
      </c>
      <c r="CD53" s="175">
        <v>2</v>
      </c>
      <c r="CE53" s="175">
        <v>1</v>
      </c>
      <c r="CF53" s="123">
        <v>8</v>
      </c>
      <c r="CG53" s="87">
        <f>T53/4</f>
        <v>2.5</v>
      </c>
      <c r="CH53" s="87">
        <f>(T53-CG53)/3</f>
        <v>2.5</v>
      </c>
      <c r="CI53" s="87">
        <f>(T53-CH53-CG53)/2</f>
        <v>2.5</v>
      </c>
      <c r="CJ53" s="87">
        <f>T53-SUM(CG53:CI53)</f>
        <v>2.5</v>
      </c>
      <c r="CK53" s="715"/>
      <c r="CO53" s="39"/>
      <c r="DK53" s="39"/>
      <c r="DL53" s="88"/>
      <c r="DM53" s="88"/>
      <c r="DN53" s="88"/>
      <c r="DO53" s="88"/>
      <c r="DP53" s="88"/>
      <c r="DQ53" s="103"/>
      <c r="DR53" s="88"/>
      <c r="DS53" s="88"/>
      <c r="DT53" s="88"/>
      <c r="DU53" s="88"/>
      <c r="DV53" s="88"/>
      <c r="DW53" s="88"/>
      <c r="DX53" s="88"/>
      <c r="DY53" s="88"/>
      <c r="DZ53" s="88"/>
      <c r="EA53"/>
      <c r="EB53"/>
      <c r="EC53"/>
      <c r="ED53"/>
      <c r="EE53"/>
      <c r="EF53"/>
    </row>
    <row r="54" spans="1:136" s="90" customFormat="1" ht="6" customHeight="1">
      <c r="A54" s="87"/>
      <c r="B54" s="88"/>
      <c r="C54" s="88"/>
      <c r="D54" s="88"/>
      <c r="E54" s="88"/>
      <c r="F54" s="88"/>
      <c r="G54" s="88"/>
      <c r="H54" s="88"/>
      <c r="I54" s="88"/>
      <c r="J54" s="88"/>
      <c r="K54" s="88"/>
      <c r="L54" s="88"/>
      <c r="M54" s="39"/>
      <c r="N54" s="39"/>
      <c r="O54" s="39"/>
      <c r="P54" s="89"/>
      <c r="Q54" s="87"/>
      <c r="R54" s="87"/>
      <c r="S54" s="87"/>
      <c r="T54" s="87"/>
      <c r="U54" s="87"/>
      <c r="V54" s="87"/>
      <c r="W54" s="87"/>
      <c r="X54" s="87"/>
      <c r="Y54" s="87"/>
      <c r="Z54" s="87"/>
      <c r="AA54" s="87"/>
      <c r="AB54" s="87"/>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39"/>
      <c r="BH54" s="39"/>
      <c r="BI54" s="39"/>
      <c r="BJ54" s="39"/>
      <c r="BK54" s="39"/>
      <c r="BL54" s="39"/>
      <c r="BM54" s="39"/>
      <c r="BN54" s="39"/>
      <c r="BO54" s="39"/>
      <c r="BP54" s="39"/>
      <c r="BQ54" s="106"/>
      <c r="BR54" s="106"/>
      <c r="BS54" s="106"/>
      <c r="BT54" s="106"/>
      <c r="BU54" s="106"/>
      <c r="BV54" s="106"/>
      <c r="BW54" s="106"/>
      <c r="BX54" s="106"/>
      <c r="BY54" s="106"/>
      <c r="BZ54" s="106"/>
      <c r="CA54" s="106"/>
      <c r="CB54" s="106"/>
      <c r="CC54" s="106"/>
      <c r="CD54" s="106"/>
      <c r="CE54" s="106"/>
      <c r="CF54" s="106"/>
      <c r="CG54" s="106"/>
      <c r="CH54" s="106"/>
      <c r="CI54" s="106"/>
      <c r="CJ54" s="106"/>
      <c r="CO54" s="39"/>
      <c r="DK54" s="39"/>
      <c r="DL54" s="39"/>
      <c r="DM54" s="39"/>
      <c r="DN54" s="39"/>
      <c r="DO54" s="39"/>
      <c r="DP54" s="39"/>
      <c r="DQ54" s="91"/>
      <c r="DR54" s="39"/>
      <c r="DS54" s="39"/>
      <c r="DT54" s="39"/>
      <c r="DU54" s="39"/>
      <c r="DV54" s="39"/>
      <c r="DW54" s="39"/>
      <c r="DX54" s="39"/>
      <c r="DY54" s="39"/>
      <c r="DZ54" s="39"/>
      <c r="EA54"/>
      <c r="EB54"/>
      <c r="EC54"/>
      <c r="ED54"/>
      <c r="EE54"/>
      <c r="EF54"/>
    </row>
    <row r="55" spans="1:136" s="90" customFormat="1">
      <c r="A55" s="93" t="s">
        <v>158</v>
      </c>
      <c r="B55" s="93">
        <v>1735.922</v>
      </c>
      <c r="C55" s="93">
        <v>2010.36</v>
      </c>
      <c r="D55" s="93">
        <v>3390.44</v>
      </c>
      <c r="E55" s="93">
        <v>3472</v>
      </c>
      <c r="F55" s="93">
        <v>2659</v>
      </c>
      <c r="G55" s="93">
        <v>2628</v>
      </c>
      <c r="H55" s="93">
        <v>3049.3327501618119</v>
      </c>
      <c r="I55" s="93">
        <v>1052.5450000000001</v>
      </c>
      <c r="J55" s="93">
        <v>-41.80306900000005</v>
      </c>
      <c r="K55" s="93">
        <v>858</v>
      </c>
      <c r="L55" s="93">
        <f>L50-L52-L53</f>
        <v>1471.5630000000001</v>
      </c>
      <c r="M55" s="93">
        <f>M50-M52-M53</f>
        <v>2452</v>
      </c>
      <c r="N55" s="93">
        <f>N50-N52-N53</f>
        <v>2489</v>
      </c>
      <c r="O55" s="93">
        <f>O50-O52-O53</f>
        <v>2753</v>
      </c>
      <c r="P55" s="94">
        <f t="shared" ref="P55:V55" si="56">P50+P52-P53</f>
        <v>2907.5</v>
      </c>
      <c r="Q55" s="94">
        <f t="shared" si="56"/>
        <v>2546</v>
      </c>
      <c r="R55" s="94">
        <f t="shared" si="56"/>
        <v>2908</v>
      </c>
      <c r="S55" s="94">
        <f t="shared" si="56"/>
        <v>3252</v>
      </c>
      <c r="T55" s="94">
        <f t="shared" ca="1" si="56"/>
        <v>3680.6691693880102</v>
      </c>
      <c r="U55" s="94">
        <f t="shared" ca="1" si="56"/>
        <v>3923.9929305477581</v>
      </c>
      <c r="V55" s="94">
        <f t="shared" ca="1" si="56"/>
        <v>4174.2336998476121</v>
      </c>
      <c r="W55" s="94">
        <f ca="1">W50+W52-W53</f>
        <v>4436.0269253008137</v>
      </c>
      <c r="X55" s="94">
        <f ca="1">X50+X52-X53</f>
        <v>4678.3444140981974</v>
      </c>
      <c r="Y55" s="94">
        <f ca="1">Y50+Y52-Y53</f>
        <v>4909.4750836484136</v>
      </c>
      <c r="Z55" s="94">
        <f ca="1">Z50+Z52-Z53</f>
        <v>5148.9943739832279</v>
      </c>
      <c r="AA55" s="94">
        <f ca="1">AA50+AA52-AA53</f>
        <v>5395.733892915001</v>
      </c>
      <c r="AB55" s="93"/>
      <c r="AC55" s="94">
        <v>558</v>
      </c>
      <c r="AD55" s="94">
        <v>695.24955999999997</v>
      </c>
      <c r="AE55" s="94">
        <v>779.8</v>
      </c>
      <c r="AF55" s="94">
        <v>629</v>
      </c>
      <c r="AG55" s="94">
        <v>711.57492354740066</v>
      </c>
      <c r="AH55" s="94">
        <v>472</v>
      </c>
      <c r="AI55" s="94">
        <v>675.6724479682855</v>
      </c>
      <c r="AJ55" s="94">
        <v>741.95772619047625</v>
      </c>
      <c r="AK55" s="94">
        <v>606.3889999999999</v>
      </c>
      <c r="AL55" s="94">
        <v>669.7307443365695</v>
      </c>
      <c r="AM55" s="94">
        <v>550.35039805825249</v>
      </c>
      <c r="AN55" s="94">
        <v>552.87800000000016</v>
      </c>
      <c r="AO55" s="94">
        <v>663.63699999999994</v>
      </c>
      <c r="AP55" s="94">
        <v>-18.95</v>
      </c>
      <c r="AQ55" s="94">
        <v>49.643000000000001</v>
      </c>
      <c r="AR55" s="94">
        <v>74.212000000000003</v>
      </c>
      <c r="AS55" s="94">
        <v>-271</v>
      </c>
      <c r="AT55" s="94">
        <v>-374</v>
      </c>
      <c r="AU55" s="94">
        <v>-312</v>
      </c>
      <c r="AV55" s="94">
        <v>-251.80306899999999</v>
      </c>
      <c r="AW55" s="94">
        <v>50.263157894736842</v>
      </c>
      <c r="AX55" s="94">
        <v>49.004922067268254</v>
      </c>
      <c r="AY55" s="94">
        <v>43.24</v>
      </c>
      <c r="AZ55" s="94">
        <v>-8.23</v>
      </c>
      <c r="BA55" s="94">
        <v>77.45</v>
      </c>
      <c r="BB55" s="94">
        <v>166.63200000000001</v>
      </c>
      <c r="BC55" s="94">
        <v>109.5</v>
      </c>
      <c r="BD55" s="94">
        <v>121.92699999999999</v>
      </c>
      <c r="BE55" s="94">
        <f t="shared" ref="BE55:BP55" si="57">BE50-BE52-BE53</f>
        <v>491</v>
      </c>
      <c r="BF55" s="94">
        <f t="shared" si="57"/>
        <v>612</v>
      </c>
      <c r="BG55" s="94">
        <f t="shared" si="57"/>
        <v>658</v>
      </c>
      <c r="BH55" s="94">
        <f t="shared" si="57"/>
        <v>691</v>
      </c>
      <c r="BI55" s="94">
        <f t="shared" si="57"/>
        <v>549</v>
      </c>
      <c r="BJ55" s="94">
        <f t="shared" si="57"/>
        <v>649</v>
      </c>
      <c r="BK55" s="94">
        <f t="shared" si="57"/>
        <v>639</v>
      </c>
      <c r="BL55" s="94">
        <f t="shared" si="57"/>
        <v>652</v>
      </c>
      <c r="BM55" s="94">
        <f t="shared" si="57"/>
        <v>631</v>
      </c>
      <c r="BN55" s="94">
        <f t="shared" si="57"/>
        <v>655</v>
      </c>
      <c r="BO55" s="94">
        <f t="shared" si="57"/>
        <v>725</v>
      </c>
      <c r="BP55" s="94">
        <f t="shared" si="57"/>
        <v>742</v>
      </c>
      <c r="BQ55" s="176">
        <f t="shared" ref="BQ55:BX55" si="58">BQ50+BQ52-BQ53</f>
        <v>625</v>
      </c>
      <c r="BR55" s="176">
        <f t="shared" si="58"/>
        <v>712</v>
      </c>
      <c r="BS55" s="176">
        <f t="shared" si="58"/>
        <v>776.5</v>
      </c>
      <c r="BT55" s="176">
        <f t="shared" si="58"/>
        <v>794</v>
      </c>
      <c r="BU55" s="94">
        <f t="shared" si="58"/>
        <v>644</v>
      </c>
      <c r="BV55" s="94">
        <f t="shared" si="58"/>
        <v>662</v>
      </c>
      <c r="BW55" s="94">
        <f t="shared" si="58"/>
        <v>596</v>
      </c>
      <c r="BX55" s="94">
        <f t="shared" si="58"/>
        <v>644</v>
      </c>
      <c r="BY55" s="94">
        <f t="shared" ref="BY55:CF55" si="59">BY50+BY52-BY53</f>
        <v>779</v>
      </c>
      <c r="BZ55" s="94">
        <f>BZ50+BZ52-BZ53</f>
        <v>655</v>
      </c>
      <c r="CA55" s="94">
        <f t="shared" si="59"/>
        <v>787</v>
      </c>
      <c r="CB55" s="94">
        <f>+CB50+CB52+CB53</f>
        <v>687</v>
      </c>
      <c r="CC55" s="94">
        <f t="shared" si="59"/>
        <v>804</v>
      </c>
      <c r="CD55" s="94">
        <f t="shared" si="59"/>
        <v>722</v>
      </c>
      <c r="CE55" s="94">
        <f t="shared" si="59"/>
        <v>867</v>
      </c>
      <c r="CF55" s="176">
        <f t="shared" si="59"/>
        <v>859</v>
      </c>
      <c r="CG55" s="94">
        <f ca="1">CG50+CG52-CG53</f>
        <v>911.71276166453777</v>
      </c>
      <c r="CH55" s="94">
        <f ca="1">CH50+CH52-CH53</f>
        <v>857.87171737870563</v>
      </c>
      <c r="CI55" s="94">
        <f ca="1">CI50+CI52-CI53</f>
        <v>937.00814366408827</v>
      </c>
      <c r="CJ55" s="94">
        <f ca="1">CJ50+CJ52-CJ53</f>
        <v>974.07654668067948</v>
      </c>
      <c r="CO55" s="94"/>
      <c r="DK55" s="94"/>
      <c r="DL55" s="108"/>
      <c r="DM55" s="108"/>
      <c r="DN55" s="108"/>
      <c r="DO55" s="108"/>
      <c r="DP55" s="108"/>
      <c r="DQ55" s="108"/>
      <c r="DR55" s="94"/>
      <c r="DS55" s="94"/>
      <c r="DT55" s="94"/>
      <c r="DU55" s="94"/>
      <c r="DV55" s="94"/>
      <c r="DW55" s="94"/>
      <c r="DX55" s="94"/>
      <c r="DY55" s="94"/>
      <c r="DZ55" s="94"/>
      <c r="EA55"/>
      <c r="EB55"/>
      <c r="EC55"/>
      <c r="ED55"/>
      <c r="EE55"/>
      <c r="EF55"/>
    </row>
    <row r="56" spans="1:136" s="90" customFormat="1" ht="6" customHeight="1">
      <c r="A56" s="87"/>
      <c r="B56" s="88"/>
      <c r="C56" s="88"/>
      <c r="D56" s="88"/>
      <c r="E56" s="88"/>
      <c r="F56" s="88"/>
      <c r="G56" s="88"/>
      <c r="H56" s="88"/>
      <c r="I56" s="88"/>
      <c r="J56" s="88"/>
      <c r="K56" s="88"/>
      <c r="L56" s="88"/>
      <c r="M56" s="39"/>
      <c r="N56" s="39"/>
      <c r="O56" s="39"/>
      <c r="P56" s="89"/>
      <c r="Q56" s="87"/>
      <c r="R56" s="87"/>
      <c r="S56" s="87"/>
      <c r="T56" s="87"/>
      <c r="U56" s="87"/>
      <c r="V56" s="87"/>
      <c r="W56" s="87"/>
      <c r="X56" s="87"/>
      <c r="Y56" s="87"/>
      <c r="Z56" s="87"/>
      <c r="AA56" s="87"/>
      <c r="AB56" s="87"/>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39"/>
      <c r="BH56" s="39"/>
      <c r="BI56" s="39"/>
      <c r="BJ56" s="39"/>
      <c r="BK56" s="39"/>
      <c r="BL56" s="39"/>
      <c r="BM56" s="39"/>
      <c r="BN56" s="39"/>
      <c r="BO56" s="39"/>
      <c r="BP56" s="39"/>
      <c r="BQ56" s="106"/>
      <c r="BR56" s="106"/>
      <c r="BS56" s="106"/>
      <c r="BT56" s="106"/>
      <c r="BU56" s="39"/>
      <c r="BV56" s="39"/>
      <c r="BW56" s="39"/>
      <c r="BX56" s="39"/>
      <c r="BY56" s="39"/>
      <c r="BZ56" s="39"/>
      <c r="CA56" s="39"/>
      <c r="CB56" s="39"/>
      <c r="CC56" s="39"/>
      <c r="CD56" s="39"/>
      <c r="CE56" s="39"/>
      <c r="CF56" s="39"/>
      <c r="CG56" s="39"/>
      <c r="CH56" s="39"/>
      <c r="CI56" s="39"/>
      <c r="CJ56" s="39"/>
      <c r="CO56" s="39"/>
      <c r="DK56" s="39"/>
      <c r="DL56" s="39"/>
      <c r="DM56" s="39"/>
      <c r="DN56" s="39"/>
      <c r="DO56" s="39"/>
      <c r="DP56" s="39"/>
      <c r="DQ56" s="91"/>
      <c r="DR56" s="39"/>
      <c r="DS56" s="39"/>
      <c r="DT56" s="39"/>
      <c r="DU56" s="39"/>
      <c r="DV56" s="39"/>
      <c r="DW56" s="39"/>
      <c r="DX56" s="39"/>
      <c r="DY56" s="39"/>
      <c r="DZ56" s="39"/>
      <c r="EA56"/>
      <c r="EB56"/>
      <c r="EC56"/>
      <c r="ED56"/>
      <c r="EE56"/>
      <c r="EF56"/>
    </row>
    <row r="57" spans="1:136" s="48" customFormat="1">
      <c r="A57" s="177" t="s">
        <v>159</v>
      </c>
      <c r="B57" s="177">
        <v>1.0005314121037465</v>
      </c>
      <c r="C57" s="177">
        <v>1.2156439066551425</v>
      </c>
      <c r="D57" s="177">
        <v>2.0149769585253456</v>
      </c>
      <c r="E57" s="177">
        <v>2.0057870370370372</v>
      </c>
      <c r="F57" s="177">
        <v>1.8704784130688448</v>
      </c>
      <c r="G57" s="177">
        <v>1.8811371538386272</v>
      </c>
      <c r="H57" s="177">
        <v>1.9276857302085471</v>
      </c>
      <c r="I57" s="177">
        <v>0.88846562500000004</v>
      </c>
      <c r="J57" s="177">
        <v>0.77966794125412542</v>
      </c>
      <c r="K57" s="177">
        <v>0.72409152086137285</v>
      </c>
      <c r="L57" s="177">
        <f>L46/L61</f>
        <v>0.85555988372093028</v>
      </c>
      <c r="M57" s="177">
        <f t="shared" ref="M57:V57" si="60">M55/M61</f>
        <v>1.3837471783295712</v>
      </c>
      <c r="N57" s="177">
        <f t="shared" si="60"/>
        <v>1.3912800447177194</v>
      </c>
      <c r="O57" s="177">
        <f t="shared" si="60"/>
        <v>1.538848518725545</v>
      </c>
      <c r="P57" s="177">
        <f t="shared" si="60"/>
        <v>1.7012873025160913</v>
      </c>
      <c r="Q57" s="177">
        <f t="shared" si="60"/>
        <v>1.5555216129524974</v>
      </c>
      <c r="R57" s="177">
        <f t="shared" si="60"/>
        <v>1.848696757787667</v>
      </c>
      <c r="S57" s="177">
        <f t="shared" si="60"/>
        <v>2.1241018941868059</v>
      </c>
      <c r="T57" s="177">
        <f t="shared" ca="1" si="60"/>
        <v>2.4700898815221222</v>
      </c>
      <c r="U57" s="177">
        <f t="shared" ca="1" si="60"/>
        <v>2.6883684969570556</v>
      </c>
      <c r="V57" s="177">
        <f t="shared" ca="1" si="60"/>
        <v>2.9144922899304171</v>
      </c>
      <c r="W57" s="177">
        <f ca="1">W55/W61</f>
        <v>3.1531609905490088</v>
      </c>
      <c r="X57" s="177">
        <f ca="1">X55/X61</f>
        <v>3.3840091932604679</v>
      </c>
      <c r="Y57" s="177">
        <f ca="1">Y55/Y61</f>
        <v>3.6133521962987118</v>
      </c>
      <c r="Z57" s="177">
        <f ca="1">Z55/Z61</f>
        <v>3.856682134244978</v>
      </c>
      <c r="AA57" s="177">
        <f ca="1">AA55/AA61</f>
        <v>4.1137759128363767</v>
      </c>
      <c r="AB57" s="178"/>
      <c r="AC57" s="177">
        <v>0.44709302325581396</v>
      </c>
      <c r="AD57" s="177">
        <v>0.46064139941690962</v>
      </c>
      <c r="AE57" s="177">
        <v>0.47660818713450293</v>
      </c>
      <c r="AF57" s="177">
        <v>0.49033391915641478</v>
      </c>
      <c r="AG57" s="177">
        <v>0.43053542857450694</v>
      </c>
      <c r="AH57" s="177">
        <v>0.47171174484742606</v>
      </c>
      <c r="AI57" s="177">
        <v>0.41727032198666708</v>
      </c>
      <c r="AJ57" s="177">
        <v>0.5661260441527447</v>
      </c>
      <c r="AK57" s="177">
        <v>0.45484596871239469</v>
      </c>
      <c r="AL57" s="177">
        <v>0.50573906008160963</v>
      </c>
      <c r="AM57" s="177">
        <v>0.45737864077669904</v>
      </c>
      <c r="AN57" s="177">
        <v>0.51346041412911092</v>
      </c>
      <c r="AO57" s="177">
        <v>0.43580328867235074</v>
      </c>
      <c r="AP57" s="177">
        <v>5.3985732009925562E-2</v>
      </c>
      <c r="AQ57" s="177">
        <v>3.1379898862199745E-2</v>
      </c>
      <c r="AR57" s="177">
        <v>4.8274711168164314E-2</v>
      </c>
      <c r="AS57" s="177">
        <v>-0.17444876783398183</v>
      </c>
      <c r="AT57" s="177">
        <v>-0.24347258485639686</v>
      </c>
      <c r="AU57" s="177">
        <v>-0.19560878243512975</v>
      </c>
      <c r="AV57" s="177">
        <v>-0.16867188993923024</v>
      </c>
      <c r="AW57" s="177">
        <v>3.5241509032189373E-2</v>
      </c>
      <c r="AX57" s="177">
        <v>3.4369893576326319E-2</v>
      </c>
      <c r="AY57" s="177">
        <v>3.0423671822461335E-2</v>
      </c>
      <c r="AZ57" s="177">
        <v>-4.8621385339609946E-3</v>
      </c>
      <c r="BA57" s="177">
        <v>5.3981481481481478E-2</v>
      </c>
      <c r="BB57" s="177">
        <v>9.6821917808219179E-2</v>
      </c>
      <c r="BC57" s="177">
        <v>6.5849486887115172E-2</v>
      </c>
      <c r="BD57" s="177">
        <v>7.3379055207740462E-2</v>
      </c>
      <c r="BE57" s="177">
        <f>BE46/BE61</f>
        <v>0.2806818181818182</v>
      </c>
      <c r="BF57" s="177">
        <f>BF46/BF61</f>
        <v>0.34556747600225862</v>
      </c>
      <c r="BG57" s="177">
        <f>BG46/BG61</f>
        <v>0.37310073157006191</v>
      </c>
      <c r="BH57" s="177">
        <f t="shared" ref="BH57:BU57" si="61">BH55/BH61</f>
        <v>0.38843499154595407</v>
      </c>
      <c r="BI57" s="177">
        <f t="shared" si="61"/>
        <v>0.30790802019068986</v>
      </c>
      <c r="BJ57" s="177">
        <f t="shared" si="61"/>
        <v>0.36338185890257557</v>
      </c>
      <c r="BK57" s="177">
        <f t="shared" si="61"/>
        <v>0.35718278367803241</v>
      </c>
      <c r="BL57" s="177">
        <f t="shared" si="61"/>
        <v>0.36363636363636365</v>
      </c>
      <c r="BM57" s="177">
        <f t="shared" si="61"/>
        <v>0.35094549499443828</v>
      </c>
      <c r="BN57" s="177">
        <f t="shared" si="61"/>
        <v>0.36328341652800888</v>
      </c>
      <c r="BO57" s="177">
        <f t="shared" si="61"/>
        <v>0.4041248606465998</v>
      </c>
      <c r="BP57" s="177">
        <f t="shared" si="61"/>
        <v>0.42135150482680295</v>
      </c>
      <c r="BQ57" s="177">
        <f t="shared" si="61"/>
        <v>0.36295005807200931</v>
      </c>
      <c r="BR57" s="177">
        <f t="shared" si="61"/>
        <v>0.41588785046728971</v>
      </c>
      <c r="BS57" s="177">
        <f t="shared" si="61"/>
        <v>0.45542521994134899</v>
      </c>
      <c r="BT57" s="177">
        <f t="shared" si="61"/>
        <v>0.46843657817109147</v>
      </c>
      <c r="BU57" s="177">
        <f t="shared" si="61"/>
        <v>0.3867867867867868</v>
      </c>
      <c r="BV57" s="177">
        <f>BV55/BV61</f>
        <v>0.40292148508825321</v>
      </c>
      <c r="BW57" s="177">
        <f>BW55/BW61</f>
        <v>0.36586863106200124</v>
      </c>
      <c r="BX57" s="177">
        <f>BX55/BX61</f>
        <v>0.4</v>
      </c>
      <c r="BY57" s="177">
        <f t="shared" ref="BY57:CF57" si="62">BY55/BY61</f>
        <v>0.49086326402016384</v>
      </c>
      <c r="BZ57" s="177">
        <f>BZ55/BZ61</f>
        <v>0.41560913705583757</v>
      </c>
      <c r="CA57" s="177">
        <f t="shared" si="62"/>
        <v>0.49936548223350252</v>
      </c>
      <c r="CB57" s="177">
        <f>+CB55/CB61</f>
        <v>0.44066709429121231</v>
      </c>
      <c r="CC57" s="177">
        <f t="shared" si="62"/>
        <v>0.51870967741935481</v>
      </c>
      <c r="CD57" s="177">
        <f t="shared" si="62"/>
        <v>0.46913580246913578</v>
      </c>
      <c r="CE57" s="177">
        <f t="shared" si="62"/>
        <v>0.56889763779527558</v>
      </c>
      <c r="CF57" s="177">
        <f t="shared" si="62"/>
        <v>0.56774619960343686</v>
      </c>
      <c r="CG57" s="177">
        <f ca="1">CG55/CG61</f>
        <v>0.60628393613140052</v>
      </c>
      <c r="CH57" s="177">
        <f ca="1">CH55/CH61</f>
        <v>0.57376706873445527</v>
      </c>
      <c r="CI57" s="177">
        <f ca="1">CI55/CI61</f>
        <v>0.63023254339520784</v>
      </c>
      <c r="CJ57" s="177">
        <f ca="1">CJ55/CJ61</f>
        <v>0.65878550068223762</v>
      </c>
      <c r="CK57" s="715"/>
      <c r="CO57" s="179"/>
      <c r="DK57" s="180"/>
      <c r="DL57" s="181"/>
      <c r="DM57" s="182"/>
      <c r="DN57" s="182"/>
      <c r="DO57" s="182"/>
      <c r="DP57" s="182"/>
      <c r="DQ57" s="182"/>
      <c r="DR57" s="181"/>
      <c r="DS57" s="181"/>
      <c r="DT57" s="181"/>
      <c r="DU57" s="181"/>
      <c r="DV57" s="181"/>
      <c r="DW57" s="181"/>
      <c r="DX57" s="181"/>
      <c r="DY57" s="181"/>
      <c r="DZ57" s="181"/>
      <c r="EA57"/>
      <c r="EB57"/>
      <c r="EC57"/>
      <c r="ED57"/>
      <c r="EE57"/>
      <c r="EF57"/>
    </row>
    <row r="58" spans="1:136" s="183" customFormat="1" ht="6" customHeight="1">
      <c r="A58" s="87"/>
      <c r="B58" s="88"/>
      <c r="C58" s="88"/>
      <c r="D58" s="88"/>
      <c r="E58" s="88"/>
      <c r="F58" s="88"/>
      <c r="G58" s="88"/>
      <c r="H58" s="88"/>
      <c r="I58" s="88"/>
      <c r="J58" s="88"/>
      <c r="K58" s="88"/>
      <c r="L58" s="88"/>
      <c r="M58" s="39"/>
      <c r="N58" s="39"/>
      <c r="O58" s="39"/>
      <c r="P58" s="89"/>
      <c r="R58" s="87"/>
      <c r="S58" s="87"/>
      <c r="T58" s="87"/>
      <c r="U58" s="87"/>
      <c r="V58" s="87"/>
      <c r="W58" s="87"/>
      <c r="X58" s="87"/>
      <c r="Y58" s="87"/>
      <c r="Z58" s="87"/>
      <c r="AA58" s="87"/>
      <c r="AB58" s="87"/>
      <c r="AC58" s="88"/>
      <c r="AD58" s="88"/>
      <c r="AE58" s="88"/>
      <c r="AF58" s="88"/>
      <c r="AG58" s="88"/>
      <c r="AH58" s="88"/>
      <c r="AI58" s="88"/>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O58" s="39"/>
      <c r="DK58" s="39"/>
      <c r="DL58" s="39"/>
      <c r="DM58" s="39"/>
      <c r="DN58" s="39"/>
      <c r="DO58" s="39"/>
      <c r="DP58" s="39"/>
      <c r="DQ58" s="91"/>
      <c r="DR58" s="39"/>
      <c r="DS58" s="39"/>
      <c r="DT58" s="39"/>
      <c r="DU58" s="39"/>
      <c r="DV58" s="39"/>
      <c r="DW58" s="39"/>
      <c r="DX58" s="39"/>
      <c r="DY58" s="39"/>
      <c r="DZ58" s="39"/>
      <c r="EA58"/>
      <c r="EB58"/>
      <c r="EC58"/>
      <c r="ED58"/>
      <c r="EE58"/>
      <c r="EF58"/>
    </row>
    <row r="59" spans="1:136" s="183" customFormat="1">
      <c r="A59" s="87" t="s">
        <v>160</v>
      </c>
      <c r="B59" s="87" t="s">
        <v>161</v>
      </c>
      <c r="C59" s="87">
        <v>1735</v>
      </c>
      <c r="D59" s="87">
        <v>1731</v>
      </c>
      <c r="E59" s="87">
        <v>1722</v>
      </c>
      <c r="F59" s="87">
        <v>1705</v>
      </c>
      <c r="G59" s="87">
        <v>1670.7574167978084</v>
      </c>
      <c r="H59" s="87">
        <v>1625.9717025120942</v>
      </c>
      <c r="I59" s="87">
        <v>1533.7776200000001</v>
      </c>
      <c r="J59" s="87">
        <v>1469.3014400000002</v>
      </c>
      <c r="K59" s="87">
        <v>1477.8849030000001</v>
      </c>
      <c r="L59" s="87">
        <f>+IS!L176</f>
        <v>1731</v>
      </c>
      <c r="M59" s="87">
        <f>+IS!M176</f>
        <v>1731</v>
      </c>
      <c r="N59" s="87">
        <f>+IS!N176</f>
        <v>1777.995842</v>
      </c>
      <c r="O59" s="87">
        <f>+IS!O176</f>
        <v>1705.1235960000001</v>
      </c>
      <c r="P59" s="87">
        <f>+IS!P176</f>
        <v>1663.640999</v>
      </c>
      <c r="Q59" s="87">
        <f>+IS!Q176</f>
        <v>1580.033154</v>
      </c>
      <c r="R59" s="120">
        <f>+IS!R176</f>
        <v>1528.3655409999999</v>
      </c>
      <c r="S59" s="120">
        <f>+IS!S176</f>
        <v>1488.1360839999998</v>
      </c>
      <c r="T59" s="87">
        <f>+IS!T176</f>
        <v>1456.0543915950852</v>
      </c>
      <c r="U59" s="87">
        <f>+IS!U176</f>
        <v>1427.1830083292905</v>
      </c>
      <c r="V59" s="87">
        <f>+IS!V176</f>
        <v>1401.2841335256435</v>
      </c>
      <c r="W59" s="87">
        <f>+IS!W176</f>
        <v>1376.4173797157978</v>
      </c>
      <c r="X59" s="87">
        <f>+IS!X176</f>
        <v>1352.5540768721478</v>
      </c>
      <c r="Y59" s="87">
        <f>+IS!Y176</f>
        <v>1328.8533702498721</v>
      </c>
      <c r="Z59" s="87">
        <f>+IS!Z176</f>
        <v>1305.3145070886867</v>
      </c>
      <c r="AA59" s="87">
        <f>+IS!AA176</f>
        <v>1281.9367381133086</v>
      </c>
      <c r="AB59" s="87"/>
      <c r="AC59" s="39">
        <v>1717</v>
      </c>
      <c r="AD59" s="39">
        <v>1712</v>
      </c>
      <c r="AE59" s="39">
        <v>1712</v>
      </c>
      <c r="AF59" s="39">
        <v>1702</v>
      </c>
      <c r="AG59" s="39">
        <v>1696</v>
      </c>
      <c r="AH59" s="39">
        <v>1691</v>
      </c>
      <c r="AI59" s="39">
        <v>1681</v>
      </c>
      <c r="AJ59" s="39">
        <v>1668</v>
      </c>
      <c r="AK59" s="39">
        <v>1657</v>
      </c>
      <c r="AL59" s="39">
        <v>1647</v>
      </c>
      <c r="AM59" s="39">
        <v>1638</v>
      </c>
      <c r="AN59" s="39">
        <v>1630</v>
      </c>
      <c r="AO59" s="39">
        <v>1614.4</v>
      </c>
      <c r="AP59" s="39">
        <v>1603</v>
      </c>
      <c r="AQ59" s="39">
        <v>1573</v>
      </c>
      <c r="AR59" s="39">
        <v>1548</v>
      </c>
      <c r="AS59" s="39">
        <v>1516.5205760000001</v>
      </c>
      <c r="AT59" s="39">
        <v>1587</v>
      </c>
      <c r="AU59" s="39">
        <v>1555.5205760000001</v>
      </c>
      <c r="AV59" s="39">
        <v>1218.164608000001</v>
      </c>
      <c r="AW59" s="39">
        <v>1477.8849030000001</v>
      </c>
      <c r="AX59" s="39">
        <v>1477.8849030000001</v>
      </c>
      <c r="AY59" s="39">
        <v>1477.8849030000001</v>
      </c>
      <c r="AZ59" s="39">
        <v>1477.8849030000001</v>
      </c>
      <c r="BA59" s="39">
        <v>1737.3769689999995</v>
      </c>
      <c r="BB59" s="39">
        <v>1743.8099749999994</v>
      </c>
      <c r="BC59" s="39">
        <v>1745.7602129999996</v>
      </c>
      <c r="BD59" s="39">
        <v>1748.0665489999997</v>
      </c>
      <c r="BE59" s="39">
        <f>+BE176</f>
        <v>0</v>
      </c>
      <c r="BF59" s="39">
        <f>+BF176</f>
        <v>0</v>
      </c>
      <c r="BG59" s="39">
        <f>+BG176</f>
        <v>0</v>
      </c>
      <c r="BH59" s="39">
        <f>+BH176</f>
        <v>0</v>
      </c>
      <c r="BI59" s="184">
        <v>1773</v>
      </c>
      <c r="BJ59" s="184">
        <v>1777</v>
      </c>
      <c r="BK59" s="184">
        <v>1778.9775910364147</v>
      </c>
      <c r="BL59" s="39">
        <f t="shared" ref="BL59:CF59" si="63">+BL176</f>
        <v>1777.995842</v>
      </c>
      <c r="BM59" s="39">
        <f t="shared" si="63"/>
        <v>1784.452636</v>
      </c>
      <c r="BN59" s="39">
        <f t="shared" si="63"/>
        <v>1780.66563</v>
      </c>
      <c r="BO59" s="39">
        <f t="shared" si="63"/>
        <v>1753.7875320000001</v>
      </c>
      <c r="BP59" s="39">
        <f t="shared" si="63"/>
        <v>1705.1235960000001</v>
      </c>
      <c r="BQ59" s="39">
        <f t="shared" si="63"/>
        <v>1695.7356749999999</v>
      </c>
      <c r="BR59" s="39">
        <f t="shared" si="63"/>
        <v>1686.921253</v>
      </c>
      <c r="BS59" s="39">
        <f t="shared" si="63"/>
        <v>1679.7564639999998</v>
      </c>
      <c r="BT59" s="39">
        <f t="shared" si="63"/>
        <v>1663.640999</v>
      </c>
      <c r="BU59" s="39">
        <f t="shared" si="63"/>
        <v>1626.2288489999999</v>
      </c>
      <c r="BV59" s="39">
        <f t="shared" si="63"/>
        <v>1611.4518019999998</v>
      </c>
      <c r="BW59" s="39">
        <f t="shared" si="63"/>
        <v>1591.1910229999999</v>
      </c>
      <c r="BX59" s="39">
        <f t="shared" si="63"/>
        <v>1580.033154</v>
      </c>
      <c r="BY59" s="39">
        <f t="shared" si="63"/>
        <v>1554.5896539999999</v>
      </c>
      <c r="BZ59" s="39">
        <f t="shared" si="63"/>
        <v>1555.0574299999998</v>
      </c>
      <c r="CA59" s="39">
        <f t="shared" si="63"/>
        <v>1545.5961209999998</v>
      </c>
      <c r="CB59" s="39">
        <f t="shared" si="63"/>
        <v>1528.3655409999999</v>
      </c>
      <c r="CC59" s="39">
        <f t="shared" si="63"/>
        <v>1520.9146929999999</v>
      </c>
      <c r="CD59" s="39">
        <f t="shared" si="63"/>
        <v>1510.7989129999999</v>
      </c>
      <c r="CE59" s="39">
        <f t="shared" si="63"/>
        <v>1494.388598</v>
      </c>
      <c r="CF59" s="39">
        <f t="shared" si="63"/>
        <v>1488.1360839999998</v>
      </c>
      <c r="CG59" s="39">
        <f>+CG176</f>
        <v>1479.4077657745102</v>
      </c>
      <c r="CH59" s="39">
        <f>+CH176</f>
        <v>1470.9057747738989</v>
      </c>
      <c r="CI59" s="39">
        <f>+CI176</f>
        <v>1462.6256732094425</v>
      </c>
      <c r="CJ59" s="39">
        <f>+CJ176</f>
        <v>1454.5631103078836</v>
      </c>
      <c r="CO59" s="39"/>
      <c r="DK59" s="39"/>
      <c r="DL59" s="39"/>
      <c r="DM59" s="141"/>
      <c r="DN59" s="39"/>
      <c r="DO59" s="39"/>
      <c r="DP59" s="39"/>
      <c r="DQ59" s="91"/>
      <c r="DR59" s="39"/>
      <c r="DS59" s="39"/>
      <c r="DT59" s="39"/>
      <c r="DU59" s="39"/>
      <c r="DV59" s="39"/>
      <c r="DW59" s="39"/>
      <c r="DX59" s="39"/>
      <c r="DY59" s="39"/>
      <c r="DZ59" s="39"/>
      <c r="EA59"/>
      <c r="EB59"/>
      <c r="EC59"/>
      <c r="ED59"/>
      <c r="EE59"/>
      <c r="EF59"/>
    </row>
    <row r="60" spans="1:136" s="183" customFormat="1">
      <c r="A60" s="87" t="s">
        <v>162</v>
      </c>
      <c r="B60" s="159" t="s">
        <v>161</v>
      </c>
      <c r="C60" s="159">
        <v>1735</v>
      </c>
      <c r="D60" s="159">
        <v>1734</v>
      </c>
      <c r="E60" s="159">
        <v>1727</v>
      </c>
      <c r="F60" s="159">
        <v>1709</v>
      </c>
      <c r="G60" s="159">
        <v>1684</v>
      </c>
      <c r="H60" s="159">
        <v>1643</v>
      </c>
      <c r="I60" s="159">
        <v>1591</v>
      </c>
      <c r="J60" s="159">
        <v>1505</v>
      </c>
      <c r="K60" s="159">
        <v>1478</v>
      </c>
      <c r="L60" s="159">
        <v>1715</v>
      </c>
      <c r="M60" s="159">
        <v>1765</v>
      </c>
      <c r="N60" s="159">
        <v>1778.9775910364147</v>
      </c>
      <c r="O60" s="159">
        <v>1774</v>
      </c>
      <c r="P60" s="175">
        <v>1691</v>
      </c>
      <c r="Q60" s="175">
        <v>1624.8923701299977</v>
      </c>
      <c r="R60" s="161">
        <v>1558.1902824948399</v>
      </c>
      <c r="S60" s="161">
        <v>1513</v>
      </c>
      <c r="T60" s="120">
        <f>+IS!T178</f>
        <v>1472.0952377975425</v>
      </c>
      <c r="U60" s="120">
        <f>+IS!U178</f>
        <v>1441.6186999621877</v>
      </c>
      <c r="V60" s="120">
        <f>+IS!V178</f>
        <v>1414.2335709274671</v>
      </c>
      <c r="W60" s="120">
        <f>+IS!W178</f>
        <v>1388.8507566207206</v>
      </c>
      <c r="X60" s="120">
        <f>+IS!X178</f>
        <v>1364.4857282939729</v>
      </c>
      <c r="Y60" s="120">
        <f>+IS!Y178</f>
        <v>1340.7037235610101</v>
      </c>
      <c r="Z60" s="120">
        <f>+IS!Z178</f>
        <v>1317.0839386692794</v>
      </c>
      <c r="AA60" s="120">
        <f>+IS!AA178</f>
        <v>1293.6256226009978</v>
      </c>
      <c r="AB60" s="120"/>
      <c r="AC60" s="733">
        <v>1717</v>
      </c>
      <c r="AD60" s="733">
        <v>1712</v>
      </c>
      <c r="AE60" s="733">
        <v>1712</v>
      </c>
      <c r="AF60" s="733">
        <v>1702</v>
      </c>
      <c r="AG60" s="733">
        <v>1696</v>
      </c>
      <c r="AH60" s="733">
        <v>1691</v>
      </c>
      <c r="AI60" s="733">
        <v>1681</v>
      </c>
      <c r="AJ60" s="733">
        <v>1668</v>
      </c>
      <c r="AK60" s="733">
        <v>1657</v>
      </c>
      <c r="AL60" s="733">
        <v>1647</v>
      </c>
      <c r="AM60" s="733">
        <v>1638</v>
      </c>
      <c r="AN60" s="733">
        <v>1630</v>
      </c>
      <c r="AO60" s="733">
        <v>1643</v>
      </c>
      <c r="AP60" s="733">
        <v>1603</v>
      </c>
      <c r="AQ60" s="733">
        <v>1573</v>
      </c>
      <c r="AR60" s="733">
        <v>1548</v>
      </c>
      <c r="AS60" s="733">
        <v>1532</v>
      </c>
      <c r="AT60" s="733">
        <v>1522</v>
      </c>
      <c r="AU60" s="733">
        <v>1493</v>
      </c>
      <c r="AV60" s="733">
        <v>1474</v>
      </c>
      <c r="AW60" s="733">
        <v>1475</v>
      </c>
      <c r="AX60" s="733">
        <v>1478</v>
      </c>
      <c r="AY60" s="733">
        <v>1479</v>
      </c>
      <c r="AZ60" s="733">
        <v>1480</v>
      </c>
      <c r="BA60" s="733">
        <v>1614</v>
      </c>
      <c r="BB60" s="733">
        <v>1747</v>
      </c>
      <c r="BC60" s="733">
        <v>1748</v>
      </c>
      <c r="BD60" s="733">
        <v>1751</v>
      </c>
      <c r="BE60" s="733">
        <v>1754</v>
      </c>
      <c r="BF60" s="733">
        <v>1764</v>
      </c>
      <c r="BG60" s="733">
        <v>1770</v>
      </c>
      <c r="BH60" s="733">
        <v>1771</v>
      </c>
      <c r="BI60" s="733">
        <v>1773</v>
      </c>
      <c r="BJ60" s="733">
        <v>1777</v>
      </c>
      <c r="BK60" s="733">
        <v>1779.984882418813</v>
      </c>
      <c r="BL60" s="734">
        <v>1777.995842</v>
      </c>
      <c r="BM60" s="733">
        <v>1784</v>
      </c>
      <c r="BN60" s="733">
        <v>1788</v>
      </c>
      <c r="BO60" s="733">
        <v>1779</v>
      </c>
      <c r="BP60" s="733">
        <v>1743</v>
      </c>
      <c r="BQ60" s="733">
        <v>1704</v>
      </c>
      <c r="BR60" s="733">
        <v>1694</v>
      </c>
      <c r="BS60" s="733">
        <v>1688</v>
      </c>
      <c r="BT60" s="187">
        <v>1677</v>
      </c>
      <c r="BU60" s="187">
        <v>1648</v>
      </c>
      <c r="BV60" s="187">
        <v>1636.35736061028</v>
      </c>
      <c r="BW60" s="187">
        <v>1605.9635341203702</v>
      </c>
      <c r="BX60" s="187">
        <v>1588.6673821299973</v>
      </c>
      <c r="BY60" s="187">
        <v>1569</v>
      </c>
      <c r="BZ60" s="187">
        <v>1557</v>
      </c>
      <c r="CA60" s="187">
        <v>1557</v>
      </c>
      <c r="CB60" s="187">
        <v>1540</v>
      </c>
      <c r="CC60" s="187">
        <v>1529</v>
      </c>
      <c r="CD60" s="187">
        <v>1519</v>
      </c>
      <c r="CE60" s="187">
        <v>1507</v>
      </c>
      <c r="CF60" s="187">
        <v>1497</v>
      </c>
      <c r="CG60" s="734">
        <f>CG178</f>
        <v>1483.771924887255</v>
      </c>
      <c r="CH60" s="734">
        <f>CH178</f>
        <v>1475.1567702742045</v>
      </c>
      <c r="CI60" s="185">
        <f>CI178</f>
        <v>1466.7657239916707</v>
      </c>
      <c r="CJ60" s="185">
        <f>CJ178</f>
        <v>1458.5943917586631</v>
      </c>
      <c r="CK60" s="725"/>
      <c r="CO60" s="186"/>
      <c r="DK60" s="39"/>
      <c r="DL60" s="88"/>
      <c r="DM60" s="88"/>
      <c r="DN60" s="88"/>
      <c r="DO60" s="88"/>
      <c r="DP60" s="88"/>
      <c r="DQ60" s="103"/>
      <c r="DR60" s="88"/>
      <c r="DS60" s="88"/>
      <c r="DT60" s="88"/>
      <c r="DU60" s="88"/>
      <c r="DV60" s="88"/>
      <c r="DW60" s="88"/>
      <c r="DX60" s="88"/>
      <c r="DY60" s="88"/>
      <c r="DZ60" s="88"/>
      <c r="EA60"/>
      <c r="EB60"/>
      <c r="EC60"/>
      <c r="ED60"/>
      <c r="EE60"/>
      <c r="EF60"/>
    </row>
    <row r="61" spans="1:136" s="183" customFormat="1">
      <c r="A61" s="87" t="s">
        <v>163</v>
      </c>
      <c r="B61" s="159">
        <v>1735</v>
      </c>
      <c r="C61" s="159">
        <v>1735.5</v>
      </c>
      <c r="D61" s="159">
        <v>1736</v>
      </c>
      <c r="E61" s="159">
        <v>1728</v>
      </c>
      <c r="F61" s="159">
        <v>1714</v>
      </c>
      <c r="G61" s="159">
        <v>1693</v>
      </c>
      <c r="H61" s="159">
        <v>1655</v>
      </c>
      <c r="I61" s="159">
        <v>1600</v>
      </c>
      <c r="J61" s="159">
        <v>1515</v>
      </c>
      <c r="K61" s="159">
        <v>1486</v>
      </c>
      <c r="L61" s="159">
        <v>1720</v>
      </c>
      <c r="M61" s="159">
        <v>1772</v>
      </c>
      <c r="N61" s="159">
        <v>1789</v>
      </c>
      <c r="O61" s="159">
        <v>1789</v>
      </c>
      <c r="P61" s="175">
        <v>1709</v>
      </c>
      <c r="Q61" s="175">
        <f>+AVERAGE(BU61:BX61)</f>
        <v>1636.75</v>
      </c>
      <c r="R61" s="161">
        <v>1573</v>
      </c>
      <c r="S61" s="161">
        <v>1531</v>
      </c>
      <c r="T61" s="120">
        <f t="shared" ref="T61:AA61" si="64">+T60+(S61-S60)</f>
        <v>1490.0952377975425</v>
      </c>
      <c r="U61" s="120">
        <f t="shared" si="64"/>
        <v>1459.6186999621877</v>
      </c>
      <c r="V61" s="120">
        <f t="shared" si="64"/>
        <v>1432.2335709274671</v>
      </c>
      <c r="W61" s="120">
        <f t="shared" si="64"/>
        <v>1406.8507566207206</v>
      </c>
      <c r="X61" s="120">
        <f t="shared" si="64"/>
        <v>1382.4857282939729</v>
      </c>
      <c r="Y61" s="120">
        <f t="shared" si="64"/>
        <v>1358.7037235610101</v>
      </c>
      <c r="Z61" s="120">
        <f t="shared" si="64"/>
        <v>1335.0839386692794</v>
      </c>
      <c r="AA61" s="120">
        <f t="shared" si="64"/>
        <v>1311.6256226009978</v>
      </c>
      <c r="AB61" s="120"/>
      <c r="AC61" s="733">
        <v>1720</v>
      </c>
      <c r="AD61" s="733">
        <v>1715</v>
      </c>
      <c r="AE61" s="733">
        <v>1710</v>
      </c>
      <c r="AF61" s="733">
        <v>1707</v>
      </c>
      <c r="AG61" s="733">
        <v>1703</v>
      </c>
      <c r="AH61" s="733">
        <v>1698</v>
      </c>
      <c r="AI61" s="733">
        <v>1689</v>
      </c>
      <c r="AJ61" s="733">
        <v>1676</v>
      </c>
      <c r="AK61" s="733">
        <v>1662</v>
      </c>
      <c r="AL61" s="733">
        <v>1656</v>
      </c>
      <c r="AM61" s="733">
        <v>1648</v>
      </c>
      <c r="AN61" s="733">
        <v>1642</v>
      </c>
      <c r="AO61" s="733">
        <v>1642</v>
      </c>
      <c r="AP61" s="733">
        <v>1612</v>
      </c>
      <c r="AQ61" s="733">
        <v>1582</v>
      </c>
      <c r="AR61" s="733">
        <v>1558</v>
      </c>
      <c r="AS61" s="733">
        <v>1542</v>
      </c>
      <c r="AT61" s="733">
        <v>1532</v>
      </c>
      <c r="AU61" s="733">
        <v>1503</v>
      </c>
      <c r="AV61" s="733">
        <v>1481</v>
      </c>
      <c r="AW61" s="733">
        <v>1483</v>
      </c>
      <c r="AX61" s="733">
        <v>1484</v>
      </c>
      <c r="AY61" s="733">
        <v>1487</v>
      </c>
      <c r="AZ61" s="733">
        <v>1487</v>
      </c>
      <c r="BA61" s="733">
        <v>1620</v>
      </c>
      <c r="BB61" s="733">
        <v>1752</v>
      </c>
      <c r="BC61" s="733">
        <v>1754</v>
      </c>
      <c r="BD61" s="733">
        <v>1757</v>
      </c>
      <c r="BE61" s="733">
        <v>1760</v>
      </c>
      <c r="BF61" s="733">
        <v>1771</v>
      </c>
      <c r="BG61" s="733">
        <v>1777</v>
      </c>
      <c r="BH61" s="733">
        <v>1778.9334510000003</v>
      </c>
      <c r="BI61" s="733">
        <v>1783</v>
      </c>
      <c r="BJ61" s="733">
        <v>1786</v>
      </c>
      <c r="BK61" s="733">
        <v>1789</v>
      </c>
      <c r="BL61" s="733">
        <v>1793</v>
      </c>
      <c r="BM61" s="733">
        <v>1798</v>
      </c>
      <c r="BN61" s="733">
        <v>1803</v>
      </c>
      <c r="BO61" s="733">
        <v>1794</v>
      </c>
      <c r="BP61" s="733">
        <v>1761</v>
      </c>
      <c r="BQ61" s="733">
        <v>1722</v>
      </c>
      <c r="BR61" s="733">
        <v>1712</v>
      </c>
      <c r="BS61" s="733">
        <v>1705</v>
      </c>
      <c r="BT61" s="187">
        <v>1695</v>
      </c>
      <c r="BU61" s="187">
        <v>1665</v>
      </c>
      <c r="BV61" s="187">
        <v>1643</v>
      </c>
      <c r="BW61" s="187">
        <v>1629</v>
      </c>
      <c r="BX61" s="187">
        <v>1610</v>
      </c>
      <c r="BY61" s="187">
        <v>1587</v>
      </c>
      <c r="BZ61" s="187">
        <v>1576</v>
      </c>
      <c r="CA61" s="187">
        <v>1576</v>
      </c>
      <c r="CB61" s="187">
        <v>1559</v>
      </c>
      <c r="CC61" s="187">
        <v>1550</v>
      </c>
      <c r="CD61" s="187">
        <v>1539</v>
      </c>
      <c r="CE61" s="187">
        <v>1524</v>
      </c>
      <c r="CF61" s="187">
        <v>1513</v>
      </c>
      <c r="CG61" s="734">
        <f>CG180</f>
        <v>1503.771924887255</v>
      </c>
      <c r="CH61" s="734">
        <f>CH180</f>
        <v>1495.1567702742045</v>
      </c>
      <c r="CI61" s="185">
        <f>CI180</f>
        <v>1486.7657239916707</v>
      </c>
      <c r="CJ61" s="185">
        <f>CJ180</f>
        <v>1478.5943917586631</v>
      </c>
      <c r="CK61" s="715"/>
      <c r="CO61" s="186"/>
      <c r="DK61" s="39"/>
      <c r="DL61" s="88"/>
      <c r="DM61" s="88"/>
      <c r="DN61" s="88"/>
      <c r="DO61" s="88"/>
      <c r="DP61" s="88"/>
      <c r="DQ61" s="103"/>
      <c r="DR61" s="88"/>
      <c r="DS61" s="88"/>
      <c r="DT61" s="88"/>
      <c r="DU61" s="88"/>
      <c r="DV61" s="88"/>
      <c r="DW61" s="88"/>
      <c r="DX61" s="88"/>
      <c r="DY61" s="88"/>
      <c r="DZ61" s="88"/>
      <c r="EA61"/>
      <c r="EB61"/>
      <c r="EC61"/>
      <c r="ED61"/>
      <c r="EE61"/>
      <c r="EF61"/>
    </row>
    <row r="62" spans="1:136" s="183" customFormat="1" ht="12.75" customHeight="1">
      <c r="A62" s="87"/>
      <c r="B62" s="88"/>
      <c r="C62" s="88"/>
      <c r="D62" s="88"/>
      <c r="E62" s="88"/>
      <c r="F62" s="88"/>
      <c r="G62" s="88"/>
      <c r="H62" s="88"/>
      <c r="I62" s="88"/>
      <c r="J62" s="88"/>
      <c r="K62" s="88"/>
      <c r="L62" s="88"/>
      <c r="M62" s="39"/>
      <c r="N62" s="39"/>
      <c r="O62" s="39"/>
      <c r="P62" s="89"/>
      <c r="Q62" s="87"/>
      <c r="R62" s="707"/>
      <c r="S62" s="120"/>
      <c r="T62" s="152"/>
      <c r="U62" s="87"/>
      <c r="V62" s="87"/>
      <c r="W62" s="87"/>
      <c r="X62" s="87"/>
      <c r="Y62" s="87"/>
      <c r="Z62" s="87"/>
      <c r="AA62" s="87"/>
      <c r="AB62" s="87"/>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39"/>
      <c r="BH62" s="39"/>
      <c r="BI62" s="39"/>
      <c r="BJ62" s="39"/>
      <c r="BK62" s="39"/>
      <c r="BL62" s="39"/>
      <c r="BM62" s="39"/>
      <c r="BN62" s="39"/>
      <c r="BO62" s="39"/>
      <c r="BP62" s="39"/>
      <c r="BQ62" s="39"/>
      <c r="BR62" s="39"/>
      <c r="BS62" s="39"/>
      <c r="BT62" s="39"/>
      <c r="BU62" s="39"/>
      <c r="BV62" s="39"/>
      <c r="BW62" s="39"/>
      <c r="BX62" s="43"/>
      <c r="BY62" s="39"/>
      <c r="BZ62" s="39"/>
      <c r="CA62" s="39"/>
      <c r="CB62" s="39"/>
      <c r="CC62" s="39"/>
      <c r="CD62" s="39"/>
      <c r="CE62" s="39"/>
      <c r="CF62" s="39"/>
      <c r="CG62" s="39"/>
      <c r="CH62" s="39"/>
      <c r="CI62" s="39"/>
      <c r="CJ62" s="39"/>
      <c r="CO62" s="39"/>
      <c r="DK62" s="39"/>
      <c r="DL62" s="39"/>
      <c r="DM62" s="39"/>
      <c r="DN62" s="39"/>
      <c r="DO62" s="39"/>
      <c r="DP62" s="39"/>
      <c r="DQ62" s="91"/>
      <c r="DR62" s="39"/>
      <c r="DS62" s="39"/>
      <c r="DT62" s="39"/>
      <c r="DU62" s="39"/>
      <c r="DV62" s="39"/>
      <c r="DW62" s="39"/>
      <c r="DX62" s="39"/>
      <c r="DY62" s="39"/>
      <c r="DZ62" s="39"/>
      <c r="EA62"/>
      <c r="EB62"/>
      <c r="EC62"/>
      <c r="ED62"/>
      <c r="EE62"/>
      <c r="EF62"/>
    </row>
    <row r="63" spans="1:136" s="190" customFormat="1">
      <c r="A63" s="188" t="s">
        <v>164</v>
      </c>
      <c r="B63" s="189"/>
      <c r="C63" s="189"/>
      <c r="D63" s="189"/>
      <c r="E63" s="189"/>
      <c r="F63" s="189"/>
      <c r="G63" s="189"/>
      <c r="H63" s="189"/>
      <c r="I63" s="189"/>
      <c r="J63" s="189"/>
      <c r="K63" s="189"/>
      <c r="L63" s="189"/>
      <c r="M63" s="189">
        <f>+(Sales!M16*L10*L117*(1-M43))/M61</f>
        <v>5.9744480453902557E-2</v>
      </c>
      <c r="N63" s="189">
        <f>+(Sales!N16*M10*M117*(1-N43))/N61</f>
        <v>-8.07328373315747E-2</v>
      </c>
      <c r="O63" s="189">
        <f>+(Sales!O16*N10*N117*(1-O43))/O61</f>
        <v>-4.8124696881000503E-2</v>
      </c>
      <c r="P63" s="475">
        <v>-0.14000000000000001</v>
      </c>
      <c r="Q63" s="475">
        <v>-0.33</v>
      </c>
      <c r="R63" s="709">
        <v>-7.0000000000000007E-2</v>
      </c>
      <c r="S63" s="739">
        <f>SUM(CC63:CF63)</f>
        <v>4.2422261713567326E-3</v>
      </c>
      <c r="T63" s="475">
        <v>0.12</v>
      </c>
      <c r="U63" s="189">
        <f ca="1">+T57*Sales!U16</f>
        <v>0</v>
      </c>
      <c r="V63" s="189">
        <f ca="1">+U57*Sales!U16</f>
        <v>0</v>
      </c>
      <c r="W63" s="189">
        <f ca="1">+V57*Sales!V16</f>
        <v>0</v>
      </c>
      <c r="X63" s="189">
        <f ca="1">+W57*Sales!W16</f>
        <v>0</v>
      </c>
      <c r="Y63" s="189">
        <f ca="1">+X57*Sales!X16</f>
        <v>0</v>
      </c>
      <c r="Z63" s="189">
        <f ca="1">+Y57*Sales!Y16</f>
        <v>0</v>
      </c>
      <c r="AA63" s="189">
        <f ca="1">+Z57*Sales!Z16</f>
        <v>0</v>
      </c>
      <c r="AB63" s="188"/>
      <c r="AC63" s="189"/>
      <c r="AD63" s="189"/>
      <c r="AE63" s="189"/>
      <c r="AF63" s="189"/>
      <c r="AG63" s="189"/>
      <c r="AH63" s="189"/>
      <c r="AI63" s="189"/>
      <c r="AJ63" s="189"/>
      <c r="AK63" s="189"/>
      <c r="AL63" s="189"/>
      <c r="AM63" s="189"/>
      <c r="AN63" s="189"/>
      <c r="AO63" s="189"/>
      <c r="AP63" s="189"/>
      <c r="AQ63" s="189"/>
      <c r="AR63" s="189"/>
      <c r="AS63" s="189"/>
      <c r="AT63" s="189"/>
      <c r="AU63" s="189"/>
      <c r="AV63" s="189"/>
      <c r="AW63" s="189"/>
      <c r="AX63" s="189"/>
      <c r="AY63" s="189"/>
      <c r="AZ63" s="189"/>
      <c r="BA63" s="189"/>
      <c r="BB63" s="189"/>
      <c r="BC63" s="189"/>
      <c r="BD63" s="189"/>
      <c r="BE63" s="189"/>
      <c r="BF63" s="189"/>
      <c r="BG63" s="189"/>
      <c r="BH63" s="189"/>
      <c r="BI63" s="189">
        <f>+(Sales!BI16*BE10*BE117*(1-BI43))/BI61</f>
        <v>-9.3107632855005378E-3</v>
      </c>
      <c r="BJ63" s="189">
        <f>+(Sales!BJ16*BF10*BF117*(1-BJ43))/BJ61</f>
        <v>-3.3146106955895462E-2</v>
      </c>
      <c r="BK63" s="189">
        <f>+(Sales!BK16*BG10*BG117*(1-BK43))/BK61</f>
        <v>-3.0334824317344751E-2</v>
      </c>
      <c r="BL63" s="189">
        <f>+(Sales!BL16*BH10*BH117*(1-BL43))/BL61</f>
        <v>-8.4791231221141607E-3</v>
      </c>
      <c r="BM63" s="189">
        <f>+(Sales!BM16*BI10*BI117*(1-BM43))/BM61</f>
        <v>-1.221659025538545E-2</v>
      </c>
      <c r="BN63" s="189">
        <f>+(Sales!BN16*BJ10*BJ117*(1-BN43))/BN61</f>
        <v>-1.0297551656601095E-2</v>
      </c>
      <c r="BO63" s="189">
        <f>+(Sales!BO16*BK10*BK117*(1-BO43))/BO61</f>
        <v>-1.5684913835286161E-2</v>
      </c>
      <c r="BP63" s="189">
        <f>+(Sales!BP16*BL10*BL117*(1-BP43))/BP61</f>
        <v>-1.0735873104572491E-2</v>
      </c>
      <c r="BQ63" s="475">
        <f>BQ57-BM57*1.17</f>
        <v>-4.7656171071483455E-2</v>
      </c>
      <c r="BR63" s="475">
        <f>BR57-BN57*1.19</f>
        <v>-1.6419415201040843E-2</v>
      </c>
      <c r="BS63" s="475">
        <v>-0.02</v>
      </c>
      <c r="BT63" s="475">
        <v>-0.06</v>
      </c>
      <c r="BU63" s="475">
        <v>-0.08</v>
      </c>
      <c r="BV63" s="475">
        <v>-0.08</v>
      </c>
      <c r="BW63" s="475">
        <v>-0.08</v>
      </c>
      <c r="BX63" s="475">
        <v>-0.09</v>
      </c>
      <c r="BY63" s="475">
        <f>BY57-BU57*1.31</f>
        <v>-1.582742667052689E-2</v>
      </c>
      <c r="BZ63" s="475">
        <f>BZ57-BV57*1.045</f>
        <v>-5.4438148613870085E-3</v>
      </c>
      <c r="CA63" s="475">
        <f>+(Sales!CA16*BW10*BW117*(1-CA43))/CA61</f>
        <v>-1.4243952793487944E-2</v>
      </c>
      <c r="CB63" s="475">
        <f>+(Sales!CB16*BX10*BX117*(1-CB43))/CB61</f>
        <v>-1.5198060814683771E-2</v>
      </c>
      <c r="CC63" s="189">
        <f>+(Sales!CC16*BY10*BY117*(1-CC43))/CC61</f>
        <v>-7.1761199279606353E-3</v>
      </c>
      <c r="CD63" s="189">
        <f>+(Sales!CD16*BZ10*BZ117*(1-CD43))/CD61</f>
        <v>-9.493563927594208E-3</v>
      </c>
      <c r="CE63" s="189">
        <f>+(Sales!CE16*CA10*CA117*(1-CE43))/CE61</f>
        <v>6.0861555068197687E-3</v>
      </c>
      <c r="CF63" s="189">
        <f>+(Sales!CF16*CB10*CB117*(1-CF43))/CF61</f>
        <v>1.4825754520091806E-2</v>
      </c>
      <c r="CG63" s="189">
        <f>+(Sales!CG16*CC10*CC117*(1-CG43))/CG61</f>
        <v>3.0332977589647613E-2</v>
      </c>
      <c r="CH63" s="189">
        <f>+(Sales!CH16*CD10*CD117*(1-CH43))/CH61</f>
        <v>1.9150128681633613E-2</v>
      </c>
      <c r="CI63" s="189">
        <f>+(Sales!CI16*CE10*CE117*(1-CI43))/CI61</f>
        <v>9.1318064009924885E-3</v>
      </c>
      <c r="CJ63" s="189">
        <f ca="1">+(Sales!CJ16*CF10*CF117*(1-CJ43))/CJ61</f>
        <v>1.282652899995531E-2</v>
      </c>
      <c r="CO63" s="191"/>
      <c r="DK63" s="192"/>
      <c r="DL63" s="192"/>
      <c r="DM63" s="192"/>
      <c r="DN63" s="192"/>
      <c r="DO63" s="192"/>
      <c r="DP63" s="192"/>
      <c r="DQ63" s="192"/>
      <c r="DR63" s="192"/>
      <c r="DS63" s="192"/>
      <c r="DT63" s="192"/>
      <c r="DU63" s="192"/>
      <c r="DV63" s="192"/>
      <c r="DW63" s="192"/>
      <c r="DX63" s="192"/>
      <c r="DY63" s="192"/>
      <c r="DZ63" s="192"/>
      <c r="EA63"/>
      <c r="EB63"/>
      <c r="EC63"/>
      <c r="ED63"/>
      <c r="EE63"/>
      <c r="EF63"/>
    </row>
    <row r="64" spans="1:136" s="183" customFormat="1" ht="12.75" customHeight="1">
      <c r="A64" s="87"/>
      <c r="B64" s="87"/>
      <c r="C64" s="87"/>
      <c r="D64" s="87"/>
      <c r="E64" s="87"/>
      <c r="F64" s="87"/>
      <c r="G64" s="87"/>
      <c r="H64" s="87"/>
      <c r="I64" s="87"/>
      <c r="J64" s="87"/>
      <c r="K64" s="87"/>
      <c r="L64" s="87"/>
      <c r="M64" s="87"/>
      <c r="N64" s="87"/>
      <c r="O64" s="87"/>
      <c r="P64" s="20"/>
      <c r="Q64" s="193"/>
      <c r="R64" s="20"/>
      <c r="S64" s="194"/>
      <c r="T64" s="195"/>
      <c r="U64" s="87"/>
      <c r="V64" s="87"/>
      <c r="W64" s="87"/>
      <c r="X64" s="87"/>
      <c r="Y64" s="87"/>
      <c r="Z64" s="87"/>
      <c r="AA64" s="87"/>
      <c r="AB64" s="87"/>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185"/>
      <c r="BD64" s="185"/>
      <c r="BE64" s="185"/>
      <c r="BF64" s="39"/>
      <c r="BG64" s="39"/>
      <c r="BH64" s="39"/>
      <c r="BI64" s="39"/>
      <c r="BJ64" s="39"/>
      <c r="BK64" s="39"/>
      <c r="BL64" s="39"/>
      <c r="BM64" s="39"/>
      <c r="BN64" s="39"/>
      <c r="BO64" s="39"/>
      <c r="BP64" s="39"/>
      <c r="BQ64" s="196"/>
      <c r="BR64" s="39"/>
      <c r="BS64" s="39"/>
      <c r="BT64" s="39"/>
      <c r="BU64" s="39"/>
      <c r="BV64" s="39"/>
      <c r="BW64" s="39"/>
      <c r="BX64" s="39"/>
      <c r="BY64" s="39"/>
      <c r="BZ64" s="39"/>
      <c r="CA64" s="39"/>
      <c r="CB64" s="39"/>
      <c r="CC64" s="39"/>
      <c r="CD64" s="39"/>
      <c r="CE64" s="39"/>
      <c r="CF64" s="39"/>
      <c r="CG64" s="39"/>
      <c r="CH64" s="39"/>
      <c r="CI64" s="39"/>
      <c r="CJ64" s="39"/>
      <c r="CO64" s="39"/>
      <c r="DK64" s="39"/>
      <c r="DL64" s="39"/>
      <c r="DM64" s="39"/>
      <c r="DN64" s="39"/>
      <c r="DO64" s="39"/>
      <c r="DP64" s="39"/>
      <c r="DQ64" s="39"/>
      <c r="DR64" s="39"/>
      <c r="DS64" s="39"/>
      <c r="DT64" s="39"/>
      <c r="DU64" s="39"/>
      <c r="DV64" s="39"/>
      <c r="DW64" s="39"/>
      <c r="DX64" s="39"/>
      <c r="DY64" s="39"/>
      <c r="DZ64" s="39"/>
      <c r="EA64"/>
      <c r="EB64"/>
      <c r="EC64"/>
      <c r="ED64"/>
      <c r="EE64"/>
      <c r="EF64"/>
    </row>
    <row r="65" spans="1:136" s="183" customFormat="1" ht="12.75" hidden="1" customHeight="1" outlineLevel="1">
      <c r="A65" s="197" t="s">
        <v>165</v>
      </c>
      <c r="B65" s="198"/>
      <c r="C65" s="198"/>
      <c r="D65" s="198"/>
      <c r="E65" s="198"/>
      <c r="F65" s="198"/>
      <c r="G65" s="198"/>
      <c r="H65" s="198"/>
      <c r="I65" s="198"/>
      <c r="J65" s="198"/>
      <c r="K65" s="198"/>
      <c r="L65" s="198"/>
      <c r="M65" s="198"/>
      <c r="N65" s="198"/>
      <c r="O65" s="198"/>
      <c r="P65" s="198"/>
      <c r="Q65" s="198"/>
      <c r="R65" s="198"/>
      <c r="S65" s="198"/>
      <c r="T65" s="198"/>
      <c r="U65" s="198"/>
      <c r="V65" s="198"/>
      <c r="W65" s="198"/>
      <c r="X65" s="198"/>
      <c r="Y65" s="198"/>
      <c r="Z65" s="198"/>
      <c r="AA65" s="198"/>
      <c r="AB65" s="197"/>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85"/>
      <c r="BD65" s="185"/>
      <c r="BE65" s="185"/>
      <c r="BF65" s="199"/>
      <c r="BG65" s="199"/>
      <c r="BH65" s="199"/>
      <c r="BI65" s="199"/>
      <c r="BJ65" s="199"/>
      <c r="BK65" s="199"/>
      <c r="BL65" s="199"/>
      <c r="BM65" s="199"/>
      <c r="BN65" s="199"/>
      <c r="BO65" s="199"/>
      <c r="BP65" s="199"/>
      <c r="BQ65" s="199"/>
      <c r="BR65" s="199"/>
      <c r="BS65" s="199"/>
      <c r="BT65" s="199"/>
      <c r="BU65" s="199"/>
      <c r="BV65" s="199"/>
      <c r="BW65" s="199"/>
      <c r="BX65" s="199"/>
      <c r="BY65" s="199"/>
      <c r="BZ65" s="199"/>
      <c r="CA65" s="199"/>
      <c r="CB65" s="199"/>
      <c r="CC65" s="199"/>
      <c r="CD65" s="199"/>
      <c r="CE65" s="199"/>
      <c r="CF65" s="199"/>
      <c r="CG65" s="199"/>
      <c r="CH65" s="199"/>
      <c r="CI65" s="199"/>
      <c r="CJ65" s="199"/>
      <c r="CO65" s="199"/>
      <c r="DK65" s="199"/>
      <c r="DL65" s="199"/>
      <c r="DM65" s="199"/>
      <c r="DN65" s="199"/>
      <c r="DO65" s="199"/>
      <c r="DP65" s="199"/>
      <c r="DQ65" s="199"/>
      <c r="DR65" s="199"/>
      <c r="DS65" s="199"/>
      <c r="DT65" s="199"/>
      <c r="DU65" s="199"/>
      <c r="DV65" s="199"/>
      <c r="DW65" s="199"/>
      <c r="DX65" s="199"/>
      <c r="DY65" s="199"/>
      <c r="DZ65" s="199"/>
      <c r="EA65"/>
      <c r="EB65"/>
      <c r="EC65"/>
      <c r="ED65"/>
      <c r="EE65"/>
      <c r="EF65"/>
    </row>
    <row r="66" spans="1:136" s="190" customFormat="1" ht="12.75" hidden="1" customHeight="1" outlineLevel="1">
      <c r="A66" s="188" t="s">
        <v>166</v>
      </c>
      <c r="B66" s="188" t="s">
        <v>161</v>
      </c>
      <c r="C66" s="188">
        <f t="shared" ref="C66:J66" si="65">+C$46/C$60</f>
        <v>1.2159942363112393</v>
      </c>
      <c r="D66" s="188">
        <f t="shared" si="65"/>
        <v>2.0173010380622838</v>
      </c>
      <c r="E66" s="188">
        <f t="shared" si="65"/>
        <v>2.0069484655471919</v>
      </c>
      <c r="F66" s="188">
        <f t="shared" si="65"/>
        <v>1.8759508484493856</v>
      </c>
      <c r="G66" s="188">
        <f t="shared" si="65"/>
        <v>1.8911907372023729</v>
      </c>
      <c r="H66" s="188">
        <f t="shared" si="65"/>
        <v>1.9417649929976539</v>
      </c>
      <c r="I66" s="188">
        <f t="shared" si="65"/>
        <v>0.89349151477058464</v>
      </c>
      <c r="J66" s="188">
        <f t="shared" si="65"/>
        <v>0.7848484591362126</v>
      </c>
      <c r="K66" s="188">
        <f>+K$55/K$60</f>
        <v>0.58051420838971579</v>
      </c>
      <c r="L66" s="188">
        <f t="shared" ref="L66:AA66" si="66">+L$46/L$60</f>
        <v>0.85805422740524784</v>
      </c>
      <c r="M66" s="188">
        <f t="shared" si="66"/>
        <v>1.4005665722379603</v>
      </c>
      <c r="N66" s="188">
        <f t="shared" si="66"/>
        <v>1.4142954990985599</v>
      </c>
      <c r="O66" s="188">
        <f t="shared" si="66"/>
        <v>1.5631341600901916</v>
      </c>
      <c r="P66" s="188">
        <f t="shared" si="66"/>
        <v>1.329390892962744</v>
      </c>
      <c r="Q66" s="188">
        <f t="shared" si="66"/>
        <v>1.3022400984200029</v>
      </c>
      <c r="R66" s="188">
        <f t="shared" si="66"/>
        <v>1.6365138639660619</v>
      </c>
      <c r="S66" s="188">
        <f t="shared" si="66"/>
        <v>1.891606080634501</v>
      </c>
      <c r="T66" s="188">
        <f t="shared" ca="1" si="66"/>
        <v>2.2031916011407997</v>
      </c>
      <c r="U66" s="188">
        <f t="shared" ca="1" si="66"/>
        <v>2.3998936186378965</v>
      </c>
      <c r="V66" s="188">
        <f t="shared" ca="1" si="66"/>
        <v>2.6035146071541586</v>
      </c>
      <c r="W66" s="188">
        <f t="shared" ca="1" si="66"/>
        <v>2.8037527594140474</v>
      </c>
      <c r="X66" s="188">
        <f t="shared" ca="1" si="66"/>
        <v>2.9912585046155575</v>
      </c>
      <c r="Y66" s="188">
        <f t="shared" ca="1" si="66"/>
        <v>3.1717454747013512</v>
      </c>
      <c r="Z66" s="188">
        <f t="shared" ca="1" si="66"/>
        <v>3.3601060465378989</v>
      </c>
      <c r="AA66" s="188">
        <f t="shared" ca="1" si="66"/>
        <v>3.5553299425210745</v>
      </c>
      <c r="AB66" s="188"/>
      <c r="AC66" s="188">
        <f t="shared" ref="AC66:BT66" si="67">+AC$46/AC$60</f>
        <v>0.44787419918462434</v>
      </c>
      <c r="AD66" s="188">
        <f t="shared" si="67"/>
        <v>0.4614485981308411</v>
      </c>
      <c r="AE66" s="188">
        <f t="shared" si="67"/>
        <v>0.4760514018691589</v>
      </c>
      <c r="AF66" s="188">
        <f t="shared" si="67"/>
        <v>0.49177438307873089</v>
      </c>
      <c r="AG66" s="188">
        <f t="shared" si="67"/>
        <v>0.43231240263112342</v>
      </c>
      <c r="AH66" s="188">
        <f t="shared" si="67"/>
        <v>0.47366442504490208</v>
      </c>
      <c r="AI66" s="188">
        <f t="shared" si="67"/>
        <v>0.41925614148452156</v>
      </c>
      <c r="AJ66" s="188">
        <f t="shared" si="67"/>
        <v>0.56884127697841724</v>
      </c>
      <c r="AK66" s="188">
        <f t="shared" si="67"/>
        <v>0.45621846710923353</v>
      </c>
      <c r="AL66" s="188">
        <f t="shared" si="67"/>
        <v>0.50850266150282064</v>
      </c>
      <c r="AM66" s="188">
        <f t="shared" si="67"/>
        <v>0.46017094017094018</v>
      </c>
      <c r="AN66" s="188">
        <f t="shared" si="67"/>
        <v>0.51724049079754608</v>
      </c>
      <c r="AO66" s="188">
        <f t="shared" si="67"/>
        <v>0.43553804017041992</v>
      </c>
      <c r="AP66" s="188">
        <f t="shared" si="67"/>
        <v>5.4288833437305055E-2</v>
      </c>
      <c r="AQ66" s="188">
        <f t="shared" si="67"/>
        <v>3.1559440559440557E-2</v>
      </c>
      <c r="AR66" s="188">
        <f t="shared" si="67"/>
        <v>4.8586563307493544E-2</v>
      </c>
      <c r="AS66" s="188">
        <f t="shared" si="67"/>
        <v>-0.17558746736292427</v>
      </c>
      <c r="AT66" s="188">
        <f t="shared" si="67"/>
        <v>-0.24507227332457293</v>
      </c>
      <c r="AU66" s="188">
        <f t="shared" si="67"/>
        <v>-0.19691895512391158</v>
      </c>
      <c r="AV66" s="188">
        <f t="shared" si="67"/>
        <v>-0.16947290976933513</v>
      </c>
      <c r="AW66" s="188">
        <f t="shared" si="67"/>
        <v>3.543264942016057E-2</v>
      </c>
      <c r="AX66" s="188">
        <f t="shared" si="67"/>
        <v>3.4509419531304639E-2</v>
      </c>
      <c r="AY66" s="188">
        <f t="shared" si="67"/>
        <v>3.0588235294117649E-2</v>
      </c>
      <c r="AZ66" s="188">
        <f t="shared" si="67"/>
        <v>-4.8851351351351354E-3</v>
      </c>
      <c r="BA66" s="188">
        <f t="shared" si="67"/>
        <v>5.4182156133828999E-2</v>
      </c>
      <c r="BB66" s="188">
        <f t="shared" si="67"/>
        <v>9.7099026903262733E-2</v>
      </c>
      <c r="BC66" s="188">
        <f t="shared" si="67"/>
        <v>6.6075514874141872E-2</v>
      </c>
      <c r="BD66" s="188">
        <f t="shared" si="67"/>
        <v>7.3630496858937744E-2</v>
      </c>
      <c r="BE66" s="188">
        <f t="shared" si="67"/>
        <v>0.28164196123147095</v>
      </c>
      <c r="BF66" s="188">
        <f t="shared" si="67"/>
        <v>0.34693877551020408</v>
      </c>
      <c r="BG66" s="188">
        <f t="shared" si="67"/>
        <v>0.37457627118644066</v>
      </c>
      <c r="BH66" s="188">
        <f t="shared" si="67"/>
        <v>0.39695087521174477</v>
      </c>
      <c r="BI66" s="188">
        <f t="shared" si="67"/>
        <v>0.31302876480541453</v>
      </c>
      <c r="BJ66" s="188">
        <f t="shared" si="67"/>
        <v>0.36803601575689365</v>
      </c>
      <c r="BK66" s="188">
        <f t="shared" si="67"/>
        <v>0.36292443064019381</v>
      </c>
      <c r="BL66" s="188">
        <f t="shared" si="67"/>
        <v>0.37176689865397333</v>
      </c>
      <c r="BM66" s="188">
        <f t="shared" si="67"/>
        <v>0.3570627802690583</v>
      </c>
      <c r="BN66" s="188">
        <f t="shared" si="67"/>
        <v>0.36689038031319909</v>
      </c>
      <c r="BO66" s="188">
        <f t="shared" si="67"/>
        <v>0.41090500281056774</v>
      </c>
      <c r="BP66" s="188">
        <f t="shared" si="67"/>
        <v>0.42971887550200805</v>
      </c>
      <c r="BQ66" s="188">
        <f t="shared" si="67"/>
        <v>0.26056338028169013</v>
      </c>
      <c r="BR66" s="188">
        <f t="shared" si="67"/>
        <v>0.33648170011806378</v>
      </c>
      <c r="BS66" s="188">
        <f t="shared" si="67"/>
        <v>0.35485781990521326</v>
      </c>
      <c r="BT66" s="188">
        <f t="shared" si="67"/>
        <v>0.37865235539654146</v>
      </c>
      <c r="BU66" s="188"/>
      <c r="BV66" s="188"/>
      <c r="BW66" s="188"/>
      <c r="BX66" s="188"/>
      <c r="BY66" s="188"/>
      <c r="BZ66" s="188"/>
      <c r="CA66" s="188"/>
      <c r="CB66" s="188"/>
      <c r="CC66" s="188"/>
      <c r="CD66" s="188"/>
      <c r="CE66" s="188"/>
      <c r="CF66" s="188"/>
      <c r="CG66" s="188"/>
      <c r="CH66" s="188"/>
      <c r="CI66" s="188"/>
      <c r="CJ66" s="188"/>
      <c r="CO66" s="192"/>
      <c r="DK66" s="192"/>
      <c r="DL66" s="192"/>
      <c r="DM66" s="192"/>
      <c r="DN66" s="192"/>
      <c r="DO66" s="192"/>
      <c r="DP66" s="192"/>
      <c r="DQ66" s="192"/>
      <c r="DR66" s="192"/>
      <c r="DS66" s="192"/>
      <c r="DT66" s="192"/>
      <c r="DU66" s="192"/>
      <c r="DV66" s="192"/>
      <c r="DW66" s="192"/>
      <c r="DX66" s="192"/>
      <c r="DY66" s="192"/>
      <c r="DZ66" s="192"/>
      <c r="EA66"/>
      <c r="EB66"/>
      <c r="EC66"/>
      <c r="ED66"/>
      <c r="EE66"/>
      <c r="EF66"/>
    </row>
    <row r="67" spans="1:136" s="190" customFormat="1" ht="12.75" hidden="1" customHeight="1" outlineLevel="1">
      <c r="A67" s="482" t="s">
        <v>154</v>
      </c>
      <c r="B67" s="482" t="s">
        <v>161</v>
      </c>
      <c r="C67" s="482">
        <f>+C$48/C$60</f>
        <v>-5.7285302593659944E-2</v>
      </c>
      <c r="D67" s="482">
        <f>+D$48/D$60</f>
        <v>-5.9723183391003465E-2</v>
      </c>
      <c r="E67" s="482">
        <f>+E$48/E$60</f>
        <v>5.7903879559930514E-3</v>
      </c>
      <c r="F67" s="482" t="s">
        <v>167</v>
      </c>
      <c r="G67" s="482">
        <f t="shared" ref="G67:AA67" si="68">+G$48/G$60</f>
        <v>-0.32943301748740855</v>
      </c>
      <c r="H67" s="482">
        <f t="shared" si="68"/>
        <v>-8.2564698721850266E-2</v>
      </c>
      <c r="I67" s="482">
        <f t="shared" si="68"/>
        <v>-0.23192960402262727</v>
      </c>
      <c r="J67" s="482">
        <f t="shared" si="68"/>
        <v>-0.81262458471760801</v>
      </c>
      <c r="K67" s="482">
        <f t="shared" si="68"/>
        <v>-0.14749661705006767</v>
      </c>
      <c r="L67" s="482">
        <f t="shared" si="68"/>
        <v>0</v>
      </c>
      <c r="M67" s="482">
        <f t="shared" si="68"/>
        <v>0</v>
      </c>
      <c r="N67" s="482">
        <f t="shared" si="68"/>
        <v>0</v>
      </c>
      <c r="O67" s="482">
        <f t="shared" si="68"/>
        <v>0</v>
      </c>
      <c r="P67" s="482">
        <f t="shared" si="68"/>
        <v>0</v>
      </c>
      <c r="Q67" s="482">
        <f t="shared" si="68"/>
        <v>0</v>
      </c>
      <c r="R67" s="482">
        <f t="shared" si="68"/>
        <v>0</v>
      </c>
      <c r="S67" s="482">
        <f t="shared" si="68"/>
        <v>0</v>
      </c>
      <c r="T67" s="482">
        <f t="shared" si="68"/>
        <v>0</v>
      </c>
      <c r="U67" s="482">
        <f t="shared" si="68"/>
        <v>0</v>
      </c>
      <c r="V67" s="482">
        <f t="shared" si="68"/>
        <v>0</v>
      </c>
      <c r="W67" s="482">
        <f t="shared" si="68"/>
        <v>0</v>
      </c>
      <c r="X67" s="482">
        <f t="shared" si="68"/>
        <v>0</v>
      </c>
      <c r="Y67" s="482">
        <f t="shared" si="68"/>
        <v>0</v>
      </c>
      <c r="Z67" s="482">
        <f t="shared" si="68"/>
        <v>0</v>
      </c>
      <c r="AA67" s="482">
        <f t="shared" si="68"/>
        <v>0</v>
      </c>
      <c r="AB67" s="482"/>
      <c r="AC67" s="482">
        <f t="shared" ref="AC67:BT67" si="69">+AC$48/AC$60</f>
        <v>-0.12230634828188701</v>
      </c>
      <c r="AD67" s="482">
        <f t="shared" si="69"/>
        <v>-5.4176658878504674E-2</v>
      </c>
      <c r="AE67" s="482">
        <f t="shared" si="69"/>
        <v>-1.9976635514018692E-2</v>
      </c>
      <c r="AF67" s="482">
        <f t="shared" si="69"/>
        <v>-0.12162162162162163</v>
      </c>
      <c r="AG67" s="482">
        <f t="shared" si="69"/>
        <v>-1.275171657723155E-2</v>
      </c>
      <c r="AH67" s="482">
        <f t="shared" si="69"/>
        <v>-0.19335691469599608</v>
      </c>
      <c r="AI67" s="482">
        <f t="shared" si="69"/>
        <v>-1.671453055752245E-2</v>
      </c>
      <c r="AJ67" s="482">
        <f t="shared" si="69"/>
        <v>-0.12402249628868334</v>
      </c>
      <c r="AK67" s="482">
        <f t="shared" si="69"/>
        <v>-8.9659022329511159E-2</v>
      </c>
      <c r="AL67" s="482">
        <f t="shared" si="69"/>
        <v>-0.10105634840634045</v>
      </c>
      <c r="AM67" s="482">
        <f t="shared" si="69"/>
        <v>-0.12296068494612182</v>
      </c>
      <c r="AN67" s="482">
        <f t="shared" si="69"/>
        <v>-0.17743803680981596</v>
      </c>
      <c r="AO67" s="482">
        <f t="shared" si="69"/>
        <v>-3.1315885575167381E-2</v>
      </c>
      <c r="AP67" s="482">
        <f t="shared" si="69"/>
        <v>-6.6110417966313159E-2</v>
      </c>
      <c r="AQ67" s="482">
        <f t="shared" si="69"/>
        <v>0</v>
      </c>
      <c r="AR67" s="482">
        <f t="shared" si="69"/>
        <v>1.2919896640826874E-3</v>
      </c>
      <c r="AS67" s="482">
        <f t="shared" si="69"/>
        <v>0</v>
      </c>
      <c r="AT67" s="482">
        <f t="shared" si="69"/>
        <v>6.5703022339027597E-4</v>
      </c>
      <c r="AU67" s="482">
        <f t="shared" si="69"/>
        <v>-1.0046885465505693E-2</v>
      </c>
      <c r="AV67" s="482">
        <f t="shared" si="69"/>
        <v>0</v>
      </c>
      <c r="AW67" s="482">
        <f t="shared" si="69"/>
        <v>0</v>
      </c>
      <c r="AX67" s="482">
        <f t="shared" si="69"/>
        <v>0</v>
      </c>
      <c r="AY67" s="482">
        <f t="shared" si="69"/>
        <v>0</v>
      </c>
      <c r="AZ67" s="482">
        <f t="shared" si="69"/>
        <v>0</v>
      </c>
      <c r="BA67" s="482">
        <f t="shared" si="69"/>
        <v>0</v>
      </c>
      <c r="BB67" s="482">
        <f t="shared" si="69"/>
        <v>0</v>
      </c>
      <c r="BC67" s="482">
        <f t="shared" si="69"/>
        <v>0</v>
      </c>
      <c r="BD67" s="482">
        <f t="shared" si="69"/>
        <v>0</v>
      </c>
      <c r="BE67" s="482">
        <f t="shared" si="69"/>
        <v>0</v>
      </c>
      <c r="BF67" s="482">
        <f t="shared" si="69"/>
        <v>0</v>
      </c>
      <c r="BG67" s="482">
        <f t="shared" si="69"/>
        <v>0</v>
      </c>
      <c r="BH67" s="482">
        <f t="shared" si="69"/>
        <v>0</v>
      </c>
      <c r="BI67" s="482">
        <f t="shared" si="69"/>
        <v>0</v>
      </c>
      <c r="BJ67" s="482">
        <f t="shared" si="69"/>
        <v>0</v>
      </c>
      <c r="BK67" s="482">
        <f t="shared" si="69"/>
        <v>0</v>
      </c>
      <c r="BL67" s="482">
        <f t="shared" si="69"/>
        <v>0</v>
      </c>
      <c r="BM67" s="482">
        <f t="shared" si="69"/>
        <v>0</v>
      </c>
      <c r="BN67" s="482">
        <f t="shared" si="69"/>
        <v>0</v>
      </c>
      <c r="BO67" s="482">
        <f t="shared" si="69"/>
        <v>0</v>
      </c>
      <c r="BP67" s="482">
        <f t="shared" si="69"/>
        <v>0</v>
      </c>
      <c r="BQ67" s="482">
        <f t="shared" si="69"/>
        <v>0</v>
      </c>
      <c r="BR67" s="482">
        <f t="shared" si="69"/>
        <v>0</v>
      </c>
      <c r="BS67" s="482">
        <f t="shared" si="69"/>
        <v>0</v>
      </c>
      <c r="BT67" s="482">
        <f t="shared" si="69"/>
        <v>0</v>
      </c>
      <c r="BU67" s="482"/>
      <c r="BV67" s="482"/>
      <c r="BW67" s="482"/>
      <c r="BX67" s="482"/>
      <c r="BY67" s="482"/>
      <c r="BZ67" s="482"/>
      <c r="CA67" s="482"/>
      <c r="CB67" s="482"/>
      <c r="CC67" s="482"/>
      <c r="CD67" s="482"/>
      <c r="CE67" s="482"/>
      <c r="CF67" s="482"/>
      <c r="CG67" s="482"/>
      <c r="CH67" s="482"/>
      <c r="CI67" s="482"/>
      <c r="CJ67" s="482"/>
      <c r="CO67" s="192"/>
      <c r="DK67" s="192"/>
      <c r="DL67" s="192"/>
      <c r="DM67" s="192"/>
      <c r="DN67" s="192"/>
      <c r="DO67" s="192"/>
      <c r="DP67" s="192"/>
      <c r="DQ67" s="192"/>
      <c r="DR67" s="192"/>
      <c r="DS67" s="192"/>
      <c r="DT67" s="192"/>
      <c r="DU67" s="192"/>
      <c r="DV67" s="192"/>
      <c r="DW67" s="192"/>
      <c r="DX67" s="192"/>
      <c r="DY67" s="192"/>
      <c r="DZ67" s="192"/>
      <c r="EA67"/>
      <c r="EB67"/>
      <c r="EC67"/>
      <c r="ED67"/>
      <c r="EE67"/>
      <c r="EF67"/>
    </row>
    <row r="68" spans="1:136" s="190" customFormat="1" ht="12.75" hidden="1" customHeight="1" outlineLevel="1">
      <c r="A68" s="188" t="s">
        <v>168</v>
      </c>
      <c r="B68" s="188" t="s">
        <v>161</v>
      </c>
      <c r="C68" s="188">
        <f t="shared" ref="C68:V68" si="70">+SUM(C66:C67)</f>
        <v>1.1587089337175793</v>
      </c>
      <c r="D68" s="188">
        <f t="shared" si="70"/>
        <v>1.9575778546712803</v>
      </c>
      <c r="E68" s="188">
        <f t="shared" si="70"/>
        <v>2.0127388535031847</v>
      </c>
      <c r="F68" s="188">
        <f t="shared" si="70"/>
        <v>1.8759508484493856</v>
      </c>
      <c r="G68" s="188">
        <f t="shared" si="70"/>
        <v>1.5617577197149644</v>
      </c>
      <c r="H68" s="188">
        <f t="shared" si="70"/>
        <v>1.8592002942758037</v>
      </c>
      <c r="I68" s="188">
        <f t="shared" si="70"/>
        <v>0.66156191074795734</v>
      </c>
      <c r="J68" s="188">
        <f t="shared" si="70"/>
        <v>-2.7776125581395417E-2</v>
      </c>
      <c r="K68" s="188">
        <f t="shared" si="70"/>
        <v>0.43301759133964812</v>
      </c>
      <c r="L68" s="188">
        <f t="shared" si="70"/>
        <v>0.85805422740524784</v>
      </c>
      <c r="M68" s="188">
        <f t="shared" si="70"/>
        <v>1.4005665722379603</v>
      </c>
      <c r="N68" s="188">
        <f t="shared" si="70"/>
        <v>1.4142954990985599</v>
      </c>
      <c r="O68" s="188">
        <f t="shared" si="70"/>
        <v>1.5631341600901916</v>
      </c>
      <c r="P68" s="188">
        <f t="shared" si="70"/>
        <v>1.329390892962744</v>
      </c>
      <c r="Q68" s="188">
        <f t="shared" si="70"/>
        <v>1.3022400984200029</v>
      </c>
      <c r="R68" s="188">
        <f t="shared" si="70"/>
        <v>1.6365138639660619</v>
      </c>
      <c r="S68" s="188">
        <f t="shared" si="70"/>
        <v>1.891606080634501</v>
      </c>
      <c r="T68" s="188">
        <f t="shared" ca="1" si="70"/>
        <v>2.2031916011407997</v>
      </c>
      <c r="U68" s="188">
        <f t="shared" ca="1" si="70"/>
        <v>2.3998936186378965</v>
      </c>
      <c r="V68" s="188">
        <f t="shared" ca="1" si="70"/>
        <v>2.6035146071541586</v>
      </c>
      <c r="W68" s="188">
        <f ca="1">+SUM(W66:W67)</f>
        <v>2.8037527594140474</v>
      </c>
      <c r="X68" s="188">
        <f ca="1">+SUM(X66:X67)</f>
        <v>2.9912585046155575</v>
      </c>
      <c r="Y68" s="188">
        <f ca="1">+SUM(Y66:Y67)</f>
        <v>3.1717454747013512</v>
      </c>
      <c r="Z68" s="188">
        <f ca="1">+SUM(Z66:Z67)</f>
        <v>3.3601060465378989</v>
      </c>
      <c r="AA68" s="188">
        <f ca="1">+SUM(AA66:AA67)</f>
        <v>3.5553299425210745</v>
      </c>
      <c r="AB68" s="188"/>
      <c r="AC68" s="188">
        <f t="shared" ref="AC68:BT68" si="71">+SUM(AC66:AC67)</f>
        <v>0.32556785090273732</v>
      </c>
      <c r="AD68" s="188">
        <f t="shared" si="71"/>
        <v>0.4072719392523364</v>
      </c>
      <c r="AE68" s="188">
        <f t="shared" si="71"/>
        <v>0.45607476635514022</v>
      </c>
      <c r="AF68" s="188">
        <f t="shared" si="71"/>
        <v>0.37015276145710929</v>
      </c>
      <c r="AG68" s="188">
        <f t="shared" si="71"/>
        <v>0.41956068605389185</v>
      </c>
      <c r="AH68" s="188">
        <f t="shared" si="71"/>
        <v>0.280307510348906</v>
      </c>
      <c r="AI68" s="188">
        <f t="shared" si="71"/>
        <v>0.40254161092699914</v>
      </c>
      <c r="AJ68" s="188">
        <f t="shared" si="71"/>
        <v>0.44481878068973391</v>
      </c>
      <c r="AK68" s="188">
        <f t="shared" si="71"/>
        <v>0.36655944477972235</v>
      </c>
      <c r="AL68" s="188">
        <f t="shared" si="71"/>
        <v>0.40744631309648016</v>
      </c>
      <c r="AM68" s="188">
        <f t="shared" si="71"/>
        <v>0.33721025522481834</v>
      </c>
      <c r="AN68" s="188">
        <f t="shared" si="71"/>
        <v>0.33980245398773012</v>
      </c>
      <c r="AO68" s="188">
        <f t="shared" si="71"/>
        <v>0.40422215459525251</v>
      </c>
      <c r="AP68" s="188">
        <f t="shared" si="71"/>
        <v>-1.1821584529008104E-2</v>
      </c>
      <c r="AQ68" s="188">
        <f t="shared" si="71"/>
        <v>3.1559440559440557E-2</v>
      </c>
      <c r="AR68" s="188">
        <f t="shared" si="71"/>
        <v>4.9878552971576229E-2</v>
      </c>
      <c r="AS68" s="188">
        <f t="shared" si="71"/>
        <v>-0.17558746736292427</v>
      </c>
      <c r="AT68" s="188">
        <f t="shared" si="71"/>
        <v>-0.24441524310118265</v>
      </c>
      <c r="AU68" s="188">
        <f t="shared" si="71"/>
        <v>-0.20696584058941728</v>
      </c>
      <c r="AV68" s="188">
        <f t="shared" si="71"/>
        <v>-0.16947290976933513</v>
      </c>
      <c r="AW68" s="188">
        <f t="shared" si="71"/>
        <v>3.543264942016057E-2</v>
      </c>
      <c r="AX68" s="188">
        <f t="shared" si="71"/>
        <v>3.4509419531304639E-2</v>
      </c>
      <c r="AY68" s="188">
        <f t="shared" si="71"/>
        <v>3.0588235294117649E-2</v>
      </c>
      <c r="AZ68" s="188">
        <f t="shared" si="71"/>
        <v>-4.8851351351351354E-3</v>
      </c>
      <c r="BA68" s="188">
        <f t="shared" si="71"/>
        <v>5.4182156133828999E-2</v>
      </c>
      <c r="BB68" s="188">
        <f t="shared" si="71"/>
        <v>9.7099026903262733E-2</v>
      </c>
      <c r="BC68" s="188">
        <f t="shared" si="71"/>
        <v>6.6075514874141872E-2</v>
      </c>
      <c r="BD68" s="188">
        <f t="shared" si="71"/>
        <v>7.3630496858937744E-2</v>
      </c>
      <c r="BE68" s="188">
        <f t="shared" si="71"/>
        <v>0.28164196123147095</v>
      </c>
      <c r="BF68" s="188">
        <f t="shared" si="71"/>
        <v>0.34693877551020408</v>
      </c>
      <c r="BG68" s="188">
        <f t="shared" si="71"/>
        <v>0.37457627118644066</v>
      </c>
      <c r="BH68" s="188">
        <f t="shared" si="71"/>
        <v>0.39695087521174477</v>
      </c>
      <c r="BI68" s="188">
        <f t="shared" si="71"/>
        <v>0.31302876480541453</v>
      </c>
      <c r="BJ68" s="188">
        <f t="shared" si="71"/>
        <v>0.36803601575689365</v>
      </c>
      <c r="BK68" s="188">
        <f t="shared" si="71"/>
        <v>0.36292443064019381</v>
      </c>
      <c r="BL68" s="188">
        <f t="shared" si="71"/>
        <v>0.37176689865397333</v>
      </c>
      <c r="BM68" s="188">
        <f t="shared" si="71"/>
        <v>0.3570627802690583</v>
      </c>
      <c r="BN68" s="188">
        <f t="shared" si="71"/>
        <v>0.36689038031319909</v>
      </c>
      <c r="BO68" s="188">
        <f t="shared" si="71"/>
        <v>0.41090500281056774</v>
      </c>
      <c r="BP68" s="188">
        <f t="shared" si="71"/>
        <v>0.42971887550200805</v>
      </c>
      <c r="BQ68" s="188">
        <f t="shared" si="71"/>
        <v>0.26056338028169013</v>
      </c>
      <c r="BR68" s="188">
        <f t="shared" si="71"/>
        <v>0.33648170011806378</v>
      </c>
      <c r="BS68" s="188">
        <f t="shared" si="71"/>
        <v>0.35485781990521326</v>
      </c>
      <c r="BT68" s="188">
        <f t="shared" si="71"/>
        <v>0.37865235539654146</v>
      </c>
      <c r="BU68" s="188"/>
      <c r="BV68" s="188"/>
      <c r="BW68" s="188"/>
      <c r="BX68" s="188"/>
      <c r="BY68" s="188"/>
      <c r="BZ68" s="188"/>
      <c r="CA68" s="188"/>
      <c r="CB68" s="188"/>
      <c r="CC68" s="188"/>
      <c r="CD68" s="188"/>
      <c r="CE68" s="188"/>
      <c r="CF68" s="188"/>
      <c r="CG68" s="188"/>
      <c r="CH68" s="188"/>
      <c r="CI68" s="188"/>
      <c r="CJ68" s="188"/>
      <c r="CO68" s="192"/>
      <c r="DK68" s="192"/>
      <c r="DL68" s="192"/>
      <c r="DM68" s="192"/>
      <c r="DN68" s="192"/>
      <c r="DO68" s="192"/>
      <c r="DP68" s="192"/>
      <c r="DQ68" s="192"/>
      <c r="DR68" s="192"/>
      <c r="DS68" s="192"/>
      <c r="DT68" s="192"/>
      <c r="DU68" s="192"/>
      <c r="DV68" s="192"/>
      <c r="DW68" s="192"/>
      <c r="DX68" s="192"/>
      <c r="DY68" s="192"/>
      <c r="DZ68" s="192"/>
      <c r="EA68"/>
      <c r="EB68"/>
      <c r="EC68"/>
      <c r="ED68"/>
      <c r="EE68"/>
      <c r="EF68"/>
    </row>
    <row r="69" spans="1:136" s="190" customFormat="1" ht="12.75" hidden="1" customHeight="1" outlineLevel="1">
      <c r="A69" s="483" t="s">
        <v>169</v>
      </c>
      <c r="B69" s="484"/>
      <c r="C69" s="484"/>
      <c r="D69" s="484"/>
      <c r="E69" s="484"/>
      <c r="F69" s="484"/>
      <c r="G69" s="484"/>
      <c r="H69" s="484"/>
      <c r="I69" s="484"/>
      <c r="J69" s="484"/>
      <c r="K69" s="484"/>
      <c r="L69" s="484"/>
      <c r="M69" s="484"/>
      <c r="N69" s="484"/>
      <c r="O69" s="484"/>
      <c r="P69" s="484"/>
      <c r="Q69" s="484"/>
      <c r="R69" s="484"/>
      <c r="S69" s="484"/>
      <c r="T69" s="484"/>
      <c r="U69" s="484"/>
      <c r="V69" s="484"/>
      <c r="W69" s="484"/>
      <c r="X69" s="484"/>
      <c r="Y69" s="484"/>
      <c r="Z69" s="484"/>
      <c r="AA69" s="484"/>
      <c r="AB69" s="483"/>
      <c r="AC69" s="484"/>
      <c r="AD69" s="484"/>
      <c r="AE69" s="484"/>
      <c r="AF69" s="484"/>
      <c r="AG69" s="484"/>
      <c r="AH69" s="484"/>
      <c r="AI69" s="484"/>
      <c r="AJ69" s="484"/>
      <c r="AK69" s="484"/>
      <c r="AL69" s="484"/>
      <c r="AM69" s="484"/>
      <c r="AN69" s="484"/>
      <c r="AO69" s="484"/>
      <c r="AP69" s="484"/>
      <c r="AQ69" s="484"/>
      <c r="AR69" s="484"/>
      <c r="AS69" s="484"/>
      <c r="AT69" s="484"/>
      <c r="AU69" s="484"/>
      <c r="AV69" s="484"/>
      <c r="AW69" s="484"/>
      <c r="AX69" s="484"/>
      <c r="AY69" s="484"/>
      <c r="AZ69" s="484"/>
      <c r="BA69" s="484"/>
      <c r="BB69" s="484"/>
      <c r="BC69" s="484"/>
      <c r="BD69" s="484"/>
      <c r="BE69" s="484"/>
      <c r="BF69" s="484"/>
      <c r="BG69" s="484"/>
      <c r="BH69" s="484"/>
      <c r="BI69" s="484"/>
      <c r="BJ69" s="484"/>
      <c r="BK69" s="484"/>
      <c r="BL69" s="484"/>
      <c r="BM69" s="484"/>
      <c r="BN69" s="484"/>
      <c r="BO69" s="484"/>
      <c r="BP69" s="484"/>
      <c r="BQ69" s="484"/>
      <c r="BR69" s="484"/>
      <c r="BS69" s="484"/>
      <c r="BT69" s="484"/>
      <c r="BU69" s="484"/>
      <c r="BV69" s="484"/>
      <c r="BW69" s="484"/>
      <c r="BX69" s="484"/>
      <c r="BY69" s="484"/>
      <c r="BZ69" s="484"/>
      <c r="CA69" s="484"/>
      <c r="CB69" s="484"/>
      <c r="CC69" s="484"/>
      <c r="CD69" s="484"/>
      <c r="CE69" s="484"/>
      <c r="CF69" s="484"/>
      <c r="CG69" s="484"/>
      <c r="CH69" s="484"/>
      <c r="CI69" s="484"/>
      <c r="CJ69" s="484"/>
      <c r="CO69" s="481"/>
      <c r="DK69" s="481"/>
      <c r="DL69" s="481"/>
      <c r="DM69" s="481"/>
      <c r="DN69" s="481"/>
      <c r="DO69" s="481"/>
      <c r="DP69" s="481"/>
      <c r="DQ69" s="481"/>
      <c r="DR69" s="481"/>
      <c r="DS69" s="481"/>
      <c r="DT69" s="481"/>
      <c r="DU69" s="481"/>
      <c r="DV69" s="481"/>
      <c r="DW69" s="481"/>
      <c r="DX69" s="481"/>
      <c r="DY69" s="481"/>
      <c r="DZ69" s="481"/>
      <c r="EA69"/>
      <c r="EB69"/>
      <c r="EC69"/>
      <c r="ED69"/>
      <c r="EE69"/>
      <c r="EF69"/>
    </row>
    <row r="70" spans="1:136" s="190" customFormat="1" ht="12.75" hidden="1" customHeight="1" outlineLevel="1">
      <c r="A70" s="485" t="s">
        <v>166</v>
      </c>
      <c r="B70" s="486">
        <f t="shared" ref="B70:J70" si="72">+B$46/B$61</f>
        <v>1.0005314121037465</v>
      </c>
      <c r="C70" s="486">
        <f t="shared" si="72"/>
        <v>1.2156439066551425</v>
      </c>
      <c r="D70" s="486">
        <f t="shared" si="72"/>
        <v>2.0149769585253456</v>
      </c>
      <c r="E70" s="486">
        <f t="shared" si="72"/>
        <v>2.0057870370370372</v>
      </c>
      <c r="F70" s="486">
        <f t="shared" si="72"/>
        <v>1.8704784130688448</v>
      </c>
      <c r="G70" s="486">
        <f t="shared" si="72"/>
        <v>1.8811371538386272</v>
      </c>
      <c r="H70" s="486">
        <f t="shared" si="72"/>
        <v>1.9276857302085471</v>
      </c>
      <c r="I70" s="486">
        <f t="shared" si="72"/>
        <v>0.88846562500000004</v>
      </c>
      <c r="J70" s="486">
        <f t="shared" si="72"/>
        <v>0.77966794125412542</v>
      </c>
      <c r="K70" s="486">
        <f>+K$55/K$61</f>
        <v>0.57738896366083448</v>
      </c>
      <c r="L70" s="486">
        <f>+L$46/L$61</f>
        <v>0.85555988372093028</v>
      </c>
      <c r="M70" s="486">
        <f>+M$55/M$61</f>
        <v>1.3837471783295712</v>
      </c>
      <c r="N70" s="486">
        <f t="shared" ref="N70:AA70" si="73">+N$46/N$61</f>
        <v>1.4063722750139742</v>
      </c>
      <c r="O70" s="486">
        <f t="shared" si="73"/>
        <v>1.5500279485746227</v>
      </c>
      <c r="P70" s="486">
        <f t="shared" si="73"/>
        <v>1.3153891164423639</v>
      </c>
      <c r="Q70" s="486">
        <f t="shared" si="73"/>
        <v>1.2928058652818084</v>
      </c>
      <c r="R70" s="486">
        <f t="shared" si="73"/>
        <v>1.621106166560712</v>
      </c>
      <c r="S70" s="486">
        <f t="shared" si="73"/>
        <v>1.8693664271717831</v>
      </c>
      <c r="T70" s="486">
        <f t="shared" ca="1" si="73"/>
        <v>2.176577564792928</v>
      </c>
      <c r="U70" s="486">
        <f t="shared" ca="1" si="73"/>
        <v>2.3702981598125188</v>
      </c>
      <c r="V70" s="486">
        <f t="shared" ca="1" si="73"/>
        <v>2.5707942018515322</v>
      </c>
      <c r="W70" s="486">
        <f t="shared" ca="1" si="73"/>
        <v>2.7678800490842916</v>
      </c>
      <c r="X70" s="486">
        <f t="shared" ca="1" si="73"/>
        <v>2.9523122413875647</v>
      </c>
      <c r="Y70" s="486">
        <f t="shared" ca="1" si="73"/>
        <v>3.1297264402683007</v>
      </c>
      <c r="Z70" s="486">
        <f t="shared" ca="1" si="73"/>
        <v>3.3148040942891392</v>
      </c>
      <c r="AA70" s="486">
        <f t="shared" ca="1" si="73"/>
        <v>3.5065386274822044</v>
      </c>
      <c r="AB70" s="486"/>
      <c r="AC70" s="486">
        <f t="shared" ref="AC70:AX70" si="74">+AC$46/AC$61</f>
        <v>0.44709302325581396</v>
      </c>
      <c r="AD70" s="486">
        <f t="shared" si="74"/>
        <v>0.46064139941690962</v>
      </c>
      <c r="AE70" s="486">
        <f t="shared" si="74"/>
        <v>0.47660818713450293</v>
      </c>
      <c r="AF70" s="486">
        <f t="shared" si="74"/>
        <v>0.49033391915641478</v>
      </c>
      <c r="AG70" s="486">
        <f t="shared" si="74"/>
        <v>0.43053542857450694</v>
      </c>
      <c r="AH70" s="486">
        <f t="shared" si="74"/>
        <v>0.47171174484742606</v>
      </c>
      <c r="AI70" s="486">
        <f t="shared" si="74"/>
        <v>0.41727032198666708</v>
      </c>
      <c r="AJ70" s="486">
        <f t="shared" si="74"/>
        <v>0.5661260441527447</v>
      </c>
      <c r="AK70" s="486">
        <f t="shared" si="74"/>
        <v>0.45484596871239469</v>
      </c>
      <c r="AL70" s="486">
        <f t="shared" si="74"/>
        <v>0.50573906008160963</v>
      </c>
      <c r="AM70" s="486">
        <f t="shared" si="74"/>
        <v>0.45737864077669904</v>
      </c>
      <c r="AN70" s="486">
        <f t="shared" si="74"/>
        <v>0.51346041412911092</v>
      </c>
      <c r="AO70" s="486">
        <f t="shared" si="74"/>
        <v>0.43580328867235074</v>
      </c>
      <c r="AP70" s="486">
        <f t="shared" si="74"/>
        <v>5.3985732009925562E-2</v>
      </c>
      <c r="AQ70" s="486">
        <f t="shared" si="74"/>
        <v>3.1379898862199745E-2</v>
      </c>
      <c r="AR70" s="486">
        <f t="shared" si="74"/>
        <v>4.8274711168164314E-2</v>
      </c>
      <c r="AS70" s="486">
        <f t="shared" si="74"/>
        <v>-0.17444876783398183</v>
      </c>
      <c r="AT70" s="486">
        <f t="shared" si="74"/>
        <v>-0.24347258485639686</v>
      </c>
      <c r="AU70" s="486">
        <f t="shared" si="74"/>
        <v>-0.19560878243512975</v>
      </c>
      <c r="AV70" s="486">
        <f t="shared" si="74"/>
        <v>-0.16867188993923024</v>
      </c>
      <c r="AW70" s="486">
        <f t="shared" si="74"/>
        <v>3.5241509032189373E-2</v>
      </c>
      <c r="AX70" s="486">
        <f t="shared" si="74"/>
        <v>3.4369893576326319E-2</v>
      </c>
      <c r="AY70" s="486">
        <f>+AY$55/AY$61</f>
        <v>2.9078681909885676E-2</v>
      </c>
      <c r="AZ70" s="486">
        <f t="shared" ref="AZ70:BT70" si="75">+AZ$46/AZ$61</f>
        <v>-4.8621385339609954E-3</v>
      </c>
      <c r="BA70" s="486">
        <f t="shared" si="75"/>
        <v>5.3981481481481484E-2</v>
      </c>
      <c r="BB70" s="486">
        <f t="shared" si="75"/>
        <v>9.6821917808219179E-2</v>
      </c>
      <c r="BC70" s="486">
        <f t="shared" si="75"/>
        <v>6.5849486887115172E-2</v>
      </c>
      <c r="BD70" s="486">
        <f t="shared" si="75"/>
        <v>7.3379055207740462E-2</v>
      </c>
      <c r="BE70" s="486">
        <f t="shared" si="75"/>
        <v>0.2806818181818182</v>
      </c>
      <c r="BF70" s="486">
        <f t="shared" si="75"/>
        <v>0.34556747600225862</v>
      </c>
      <c r="BG70" s="486">
        <f t="shared" si="75"/>
        <v>0.37310073157006191</v>
      </c>
      <c r="BH70" s="486">
        <f t="shared" si="75"/>
        <v>0.39518060644979119</v>
      </c>
      <c r="BI70" s="486">
        <f t="shared" si="75"/>
        <v>0.31127313516545146</v>
      </c>
      <c r="BJ70" s="486">
        <f t="shared" si="75"/>
        <v>0.36618141097424411</v>
      </c>
      <c r="BK70" s="486">
        <f t="shared" si="75"/>
        <v>0.36109558412520959</v>
      </c>
      <c r="BL70" s="486">
        <f t="shared" si="75"/>
        <v>0.36865588399330729</v>
      </c>
      <c r="BM70" s="486">
        <f t="shared" si="75"/>
        <v>0.35428253615127919</v>
      </c>
      <c r="BN70" s="486">
        <f t="shared" si="75"/>
        <v>0.36383804769828065</v>
      </c>
      <c r="BO70" s="486">
        <f t="shared" si="75"/>
        <v>0.40746934225195097</v>
      </c>
      <c r="BP70" s="486">
        <f t="shared" si="75"/>
        <v>0.42532651902328222</v>
      </c>
      <c r="BQ70" s="486">
        <f t="shared" si="75"/>
        <v>0.25783972125435539</v>
      </c>
      <c r="BR70" s="486">
        <f t="shared" si="75"/>
        <v>0.33294392523364486</v>
      </c>
      <c r="BS70" s="486">
        <f t="shared" si="75"/>
        <v>0.35131964809384164</v>
      </c>
      <c r="BT70" s="486">
        <f t="shared" si="75"/>
        <v>0.37463126843657818</v>
      </c>
      <c r="BU70" s="486"/>
      <c r="BV70" s="486"/>
      <c r="BW70" s="486"/>
      <c r="BX70" s="486"/>
      <c r="BY70" s="486"/>
      <c r="BZ70" s="486"/>
      <c r="CA70" s="486"/>
      <c r="CB70" s="486"/>
      <c r="CC70" s="486"/>
      <c r="CD70" s="486"/>
      <c r="CE70" s="486"/>
      <c r="CF70" s="486"/>
      <c r="CG70" s="486"/>
      <c r="CH70" s="486"/>
      <c r="CI70" s="486"/>
      <c r="CJ70" s="486"/>
      <c r="CO70" s="192"/>
      <c r="DK70" s="192"/>
      <c r="DL70" s="172"/>
      <c r="DM70" s="172"/>
      <c r="DN70" s="172"/>
      <c r="DO70" s="172"/>
      <c r="DP70" s="172"/>
      <c r="DQ70" s="172"/>
      <c r="DR70" s="172"/>
      <c r="DS70" s="172"/>
      <c r="DT70" s="172"/>
      <c r="DU70" s="172"/>
      <c r="DV70" s="172"/>
      <c r="DW70" s="172"/>
      <c r="DX70" s="172"/>
      <c r="DY70" s="172"/>
      <c r="DZ70" s="172"/>
      <c r="EA70"/>
      <c r="EB70"/>
      <c r="EC70"/>
      <c r="ED70"/>
      <c r="EE70"/>
      <c r="EF70"/>
    </row>
    <row r="71" spans="1:136" s="190" customFormat="1" ht="12.75" hidden="1" customHeight="1" outlineLevel="1">
      <c r="A71" s="482" t="s">
        <v>154</v>
      </c>
      <c r="B71" s="482">
        <f>+B$48/B$61</f>
        <v>0</v>
      </c>
      <c r="C71" s="482">
        <f>+C$48/C$61</f>
        <v>-5.7268798617113224E-2</v>
      </c>
      <c r="D71" s="482">
        <f>+D$48/D$61</f>
        <v>-5.965437788018433E-2</v>
      </c>
      <c r="E71" s="482">
        <f>+E$48/E$61</f>
        <v>5.7870370370370367E-3</v>
      </c>
      <c r="F71" s="482" t="s">
        <v>167</v>
      </c>
      <c r="G71" s="482">
        <f t="shared" ref="G71:AA71" si="76">+G$48/G$61</f>
        <v>-0.32768174923142113</v>
      </c>
      <c r="H71" s="482">
        <f t="shared" si="76"/>
        <v>-8.1966042296072503E-2</v>
      </c>
      <c r="I71" s="482">
        <f t="shared" si="76"/>
        <v>-0.230625</v>
      </c>
      <c r="J71" s="482">
        <f t="shared" si="76"/>
        <v>-0.80726072607260724</v>
      </c>
      <c r="K71" s="482">
        <f t="shared" si="76"/>
        <v>-0.14670255720053835</v>
      </c>
      <c r="L71" s="482">
        <f t="shared" si="76"/>
        <v>0</v>
      </c>
      <c r="M71" s="482">
        <f t="shared" si="76"/>
        <v>0</v>
      </c>
      <c r="N71" s="482">
        <f t="shared" si="76"/>
        <v>0</v>
      </c>
      <c r="O71" s="482">
        <f t="shared" si="76"/>
        <v>0</v>
      </c>
      <c r="P71" s="482">
        <f t="shared" si="76"/>
        <v>0</v>
      </c>
      <c r="Q71" s="482">
        <f t="shared" si="76"/>
        <v>0</v>
      </c>
      <c r="R71" s="482">
        <f t="shared" si="76"/>
        <v>0</v>
      </c>
      <c r="S71" s="482">
        <f t="shared" si="76"/>
        <v>0</v>
      </c>
      <c r="T71" s="482">
        <f t="shared" si="76"/>
        <v>0</v>
      </c>
      <c r="U71" s="482">
        <f t="shared" si="76"/>
        <v>0</v>
      </c>
      <c r="V71" s="482">
        <f t="shared" si="76"/>
        <v>0</v>
      </c>
      <c r="W71" s="482">
        <f t="shared" si="76"/>
        <v>0</v>
      </c>
      <c r="X71" s="482">
        <f t="shared" si="76"/>
        <v>0</v>
      </c>
      <c r="Y71" s="482">
        <f t="shared" si="76"/>
        <v>0</v>
      </c>
      <c r="Z71" s="482">
        <f t="shared" si="76"/>
        <v>0</v>
      </c>
      <c r="AA71" s="482">
        <f t="shared" si="76"/>
        <v>0</v>
      </c>
      <c r="AB71" s="482"/>
      <c r="AC71" s="482">
        <f t="shared" ref="AC71:BT71" si="77">+AC$48/AC$61</f>
        <v>-0.12209302325581395</v>
      </c>
      <c r="AD71" s="482">
        <f t="shared" si="77"/>
        <v>-5.4081889212827985E-2</v>
      </c>
      <c r="AE71" s="482">
        <f t="shared" si="77"/>
        <v>-0.02</v>
      </c>
      <c r="AF71" s="482">
        <f t="shared" si="77"/>
        <v>-0.12126537785588752</v>
      </c>
      <c r="AG71" s="482">
        <f t="shared" si="77"/>
        <v>-1.2699302005275814E-2</v>
      </c>
      <c r="AH71" s="482">
        <f t="shared" si="77"/>
        <v>-0.1925598013845285</v>
      </c>
      <c r="AI71" s="482">
        <f t="shared" si="77"/>
        <v>-1.6635361673887055E-2</v>
      </c>
      <c r="AJ71" s="482">
        <f t="shared" si="77"/>
        <v>-0.12343050346630298</v>
      </c>
      <c r="AK71" s="482">
        <f t="shared" si="77"/>
        <v>-8.938929001203369E-2</v>
      </c>
      <c r="AL71" s="482">
        <f t="shared" si="77"/>
        <v>-0.10050712912152339</v>
      </c>
      <c r="AM71" s="482">
        <f t="shared" si="77"/>
        <v>-0.12221456428504099</v>
      </c>
      <c r="AN71" s="482">
        <f t="shared" si="77"/>
        <v>-0.17614129110840437</v>
      </c>
      <c r="AO71" s="482">
        <f t="shared" si="77"/>
        <v>-3.1334957369062125E-2</v>
      </c>
      <c r="AP71" s="482">
        <f t="shared" si="77"/>
        <v>-6.5741315136476422E-2</v>
      </c>
      <c r="AQ71" s="482">
        <f t="shared" si="77"/>
        <v>0</v>
      </c>
      <c r="AR71" s="482">
        <f t="shared" si="77"/>
        <v>1.2836970474967907E-3</v>
      </c>
      <c r="AS71" s="482">
        <f t="shared" si="77"/>
        <v>0</v>
      </c>
      <c r="AT71" s="482">
        <f t="shared" si="77"/>
        <v>6.5274151436031332E-4</v>
      </c>
      <c r="AU71" s="482">
        <f t="shared" si="77"/>
        <v>-9.9800399201596807E-3</v>
      </c>
      <c r="AV71" s="482">
        <f t="shared" si="77"/>
        <v>0</v>
      </c>
      <c r="AW71" s="482">
        <f t="shared" si="77"/>
        <v>0</v>
      </c>
      <c r="AX71" s="482">
        <f t="shared" si="77"/>
        <v>0</v>
      </c>
      <c r="AY71" s="482">
        <f t="shared" si="77"/>
        <v>0</v>
      </c>
      <c r="AZ71" s="482">
        <f t="shared" si="77"/>
        <v>0</v>
      </c>
      <c r="BA71" s="482">
        <f t="shared" si="77"/>
        <v>0</v>
      </c>
      <c r="BB71" s="482">
        <f t="shared" si="77"/>
        <v>0</v>
      </c>
      <c r="BC71" s="482">
        <f t="shared" si="77"/>
        <v>0</v>
      </c>
      <c r="BD71" s="482">
        <f t="shared" si="77"/>
        <v>0</v>
      </c>
      <c r="BE71" s="482">
        <f t="shared" si="77"/>
        <v>0</v>
      </c>
      <c r="BF71" s="482">
        <f t="shared" si="77"/>
        <v>0</v>
      </c>
      <c r="BG71" s="482">
        <f t="shared" si="77"/>
        <v>0</v>
      </c>
      <c r="BH71" s="482">
        <f t="shared" si="77"/>
        <v>0</v>
      </c>
      <c r="BI71" s="482">
        <f t="shared" si="77"/>
        <v>0</v>
      </c>
      <c r="BJ71" s="482">
        <f t="shared" si="77"/>
        <v>0</v>
      </c>
      <c r="BK71" s="482">
        <f t="shared" si="77"/>
        <v>0</v>
      </c>
      <c r="BL71" s="482">
        <f t="shared" si="77"/>
        <v>0</v>
      </c>
      <c r="BM71" s="482">
        <f t="shared" si="77"/>
        <v>0</v>
      </c>
      <c r="BN71" s="482">
        <f t="shared" si="77"/>
        <v>0</v>
      </c>
      <c r="BO71" s="482">
        <f t="shared" si="77"/>
        <v>0</v>
      </c>
      <c r="BP71" s="482">
        <f t="shared" si="77"/>
        <v>0</v>
      </c>
      <c r="BQ71" s="482">
        <f t="shared" si="77"/>
        <v>0</v>
      </c>
      <c r="BR71" s="482">
        <f t="shared" si="77"/>
        <v>0</v>
      </c>
      <c r="BS71" s="482">
        <f t="shared" si="77"/>
        <v>0</v>
      </c>
      <c r="BT71" s="482">
        <f t="shared" si="77"/>
        <v>0</v>
      </c>
      <c r="BU71" s="482"/>
      <c r="BV71" s="482"/>
      <c r="BW71" s="482"/>
      <c r="BX71" s="482"/>
      <c r="BY71" s="482"/>
      <c r="BZ71" s="482"/>
      <c r="CA71" s="482"/>
      <c r="CB71" s="482"/>
      <c r="CC71" s="482"/>
      <c r="CD71" s="482"/>
      <c r="CE71" s="482"/>
      <c r="CF71" s="482"/>
      <c r="CG71" s="482"/>
      <c r="CH71" s="482"/>
      <c r="CI71" s="482"/>
      <c r="CJ71" s="482"/>
      <c r="CO71" s="192"/>
      <c r="DK71" s="192"/>
      <c r="DL71" s="192"/>
      <c r="DM71" s="192"/>
      <c r="DN71" s="192"/>
      <c r="DO71" s="192"/>
      <c r="DP71" s="192"/>
      <c r="DQ71" s="192"/>
      <c r="DR71" s="192"/>
      <c r="DS71" s="192"/>
      <c r="DT71" s="192"/>
      <c r="DU71" s="192"/>
      <c r="DV71" s="192"/>
      <c r="DW71" s="192"/>
      <c r="DX71" s="192"/>
      <c r="DY71" s="192"/>
      <c r="DZ71" s="192"/>
      <c r="EA71"/>
      <c r="EB71"/>
      <c r="EC71"/>
      <c r="ED71"/>
      <c r="EE71"/>
      <c r="EF71"/>
    </row>
    <row r="72" spans="1:136" s="190" customFormat="1" ht="12.75" hidden="1" customHeight="1" outlineLevel="1">
      <c r="A72" s="188" t="s">
        <v>168</v>
      </c>
      <c r="B72" s="188">
        <f t="shared" ref="B72:V72" si="78">+SUM(B70:B71)</f>
        <v>1.0005314121037465</v>
      </c>
      <c r="C72" s="188">
        <f t="shared" si="78"/>
        <v>1.1583751080380293</v>
      </c>
      <c r="D72" s="188">
        <f t="shared" si="78"/>
        <v>1.9553225806451613</v>
      </c>
      <c r="E72" s="188">
        <f t="shared" si="78"/>
        <v>2.0115740740740744</v>
      </c>
      <c r="F72" s="188">
        <f t="shared" si="78"/>
        <v>1.8704784130688448</v>
      </c>
      <c r="G72" s="188">
        <f t="shared" si="78"/>
        <v>1.553455404607206</v>
      </c>
      <c r="H72" s="188">
        <f t="shared" si="78"/>
        <v>1.8457196879124746</v>
      </c>
      <c r="I72" s="188">
        <f t="shared" si="78"/>
        <v>0.65784062500000007</v>
      </c>
      <c r="J72" s="188">
        <f t="shared" si="78"/>
        <v>-2.7592784818481819E-2</v>
      </c>
      <c r="K72" s="188">
        <f t="shared" si="78"/>
        <v>0.4306864064602961</v>
      </c>
      <c r="L72" s="188">
        <f t="shared" si="78"/>
        <v>0.85555988372093028</v>
      </c>
      <c r="M72" s="188">
        <f t="shared" si="78"/>
        <v>1.3837471783295712</v>
      </c>
      <c r="N72" s="188">
        <f t="shared" si="78"/>
        <v>1.4063722750139742</v>
      </c>
      <c r="O72" s="188">
        <f t="shared" si="78"/>
        <v>1.5500279485746227</v>
      </c>
      <c r="P72" s="188">
        <f t="shared" si="78"/>
        <v>1.3153891164423639</v>
      </c>
      <c r="Q72" s="188">
        <f t="shared" si="78"/>
        <v>1.2928058652818084</v>
      </c>
      <c r="R72" s="188">
        <f t="shared" si="78"/>
        <v>1.621106166560712</v>
      </c>
      <c r="S72" s="188">
        <f t="shared" si="78"/>
        <v>1.8693664271717831</v>
      </c>
      <c r="T72" s="188">
        <f t="shared" ca="1" si="78"/>
        <v>2.176577564792928</v>
      </c>
      <c r="U72" s="188">
        <f t="shared" ca="1" si="78"/>
        <v>2.3702981598125188</v>
      </c>
      <c r="V72" s="188">
        <f t="shared" ca="1" si="78"/>
        <v>2.5707942018515322</v>
      </c>
      <c r="W72" s="188">
        <f ca="1">+SUM(W70:W71)</f>
        <v>2.7678800490842916</v>
      </c>
      <c r="X72" s="188">
        <f ca="1">+SUM(X70:X71)</f>
        <v>2.9523122413875647</v>
      </c>
      <c r="Y72" s="188">
        <f ca="1">+SUM(Y70:Y71)</f>
        <v>3.1297264402683007</v>
      </c>
      <c r="Z72" s="188">
        <f ca="1">+SUM(Z70:Z71)</f>
        <v>3.3148040942891392</v>
      </c>
      <c r="AA72" s="188">
        <f ca="1">+SUM(AA70:AA71)</f>
        <v>3.5065386274822044</v>
      </c>
      <c r="AB72" s="188"/>
      <c r="AC72" s="188">
        <f t="shared" ref="AC72:BT72" si="79">+SUM(AC70:AC71)</f>
        <v>0.32500000000000001</v>
      </c>
      <c r="AD72" s="188">
        <f t="shared" si="79"/>
        <v>0.40655951020408165</v>
      </c>
      <c r="AE72" s="188">
        <f t="shared" si="79"/>
        <v>0.45660818713450291</v>
      </c>
      <c r="AF72" s="188">
        <f t="shared" si="79"/>
        <v>0.36906854130052724</v>
      </c>
      <c r="AG72" s="188">
        <f t="shared" si="79"/>
        <v>0.41783612656923114</v>
      </c>
      <c r="AH72" s="188">
        <f t="shared" si="79"/>
        <v>0.27915194346289757</v>
      </c>
      <c r="AI72" s="188">
        <f t="shared" si="79"/>
        <v>0.40063496031278001</v>
      </c>
      <c r="AJ72" s="188">
        <f t="shared" si="79"/>
        <v>0.44269554068644174</v>
      </c>
      <c r="AK72" s="188">
        <f t="shared" si="79"/>
        <v>0.36545667870036103</v>
      </c>
      <c r="AL72" s="188">
        <f t="shared" si="79"/>
        <v>0.40523193096008625</v>
      </c>
      <c r="AM72" s="188">
        <f t="shared" si="79"/>
        <v>0.33516407649165803</v>
      </c>
      <c r="AN72" s="188">
        <f t="shared" si="79"/>
        <v>0.33731912302070655</v>
      </c>
      <c r="AO72" s="188">
        <f t="shared" si="79"/>
        <v>0.40446833130328863</v>
      </c>
      <c r="AP72" s="188">
        <f t="shared" si="79"/>
        <v>-1.175558312655086E-2</v>
      </c>
      <c r="AQ72" s="188">
        <f t="shared" si="79"/>
        <v>3.1379898862199745E-2</v>
      </c>
      <c r="AR72" s="188">
        <f t="shared" si="79"/>
        <v>4.9558408215661105E-2</v>
      </c>
      <c r="AS72" s="188">
        <f t="shared" si="79"/>
        <v>-0.17444876783398183</v>
      </c>
      <c r="AT72" s="188">
        <f t="shared" si="79"/>
        <v>-0.24281984334203655</v>
      </c>
      <c r="AU72" s="188">
        <f t="shared" si="79"/>
        <v>-0.20558882235528941</v>
      </c>
      <c r="AV72" s="188">
        <f t="shared" si="79"/>
        <v>-0.16867188993923024</v>
      </c>
      <c r="AW72" s="188">
        <f t="shared" si="79"/>
        <v>3.5241509032189373E-2</v>
      </c>
      <c r="AX72" s="188">
        <f t="shared" si="79"/>
        <v>3.4369893576326319E-2</v>
      </c>
      <c r="AY72" s="188">
        <f t="shared" si="79"/>
        <v>2.9078681909885676E-2</v>
      </c>
      <c r="AZ72" s="188">
        <f t="shared" si="79"/>
        <v>-4.8621385339609954E-3</v>
      </c>
      <c r="BA72" s="188">
        <f t="shared" si="79"/>
        <v>5.3981481481481484E-2</v>
      </c>
      <c r="BB72" s="188">
        <f t="shared" si="79"/>
        <v>9.6821917808219179E-2</v>
      </c>
      <c r="BC72" s="188">
        <f t="shared" si="79"/>
        <v>6.5849486887115172E-2</v>
      </c>
      <c r="BD72" s="188">
        <f t="shared" si="79"/>
        <v>7.3379055207740462E-2</v>
      </c>
      <c r="BE72" s="188">
        <f t="shared" si="79"/>
        <v>0.2806818181818182</v>
      </c>
      <c r="BF72" s="188">
        <f t="shared" si="79"/>
        <v>0.34556747600225862</v>
      </c>
      <c r="BG72" s="188">
        <f t="shared" si="79"/>
        <v>0.37310073157006191</v>
      </c>
      <c r="BH72" s="188">
        <f t="shared" si="79"/>
        <v>0.39518060644979119</v>
      </c>
      <c r="BI72" s="188">
        <f t="shared" si="79"/>
        <v>0.31127313516545146</v>
      </c>
      <c r="BJ72" s="188">
        <f t="shared" si="79"/>
        <v>0.36618141097424411</v>
      </c>
      <c r="BK72" s="188">
        <f t="shared" si="79"/>
        <v>0.36109558412520959</v>
      </c>
      <c r="BL72" s="188">
        <f t="shared" si="79"/>
        <v>0.36865588399330729</v>
      </c>
      <c r="BM72" s="188">
        <f t="shared" si="79"/>
        <v>0.35428253615127919</v>
      </c>
      <c r="BN72" s="188">
        <f t="shared" si="79"/>
        <v>0.36383804769828065</v>
      </c>
      <c r="BO72" s="188">
        <f t="shared" si="79"/>
        <v>0.40746934225195097</v>
      </c>
      <c r="BP72" s="188">
        <f t="shared" si="79"/>
        <v>0.42532651902328222</v>
      </c>
      <c r="BQ72" s="188">
        <f t="shared" si="79"/>
        <v>0.25783972125435539</v>
      </c>
      <c r="BR72" s="188">
        <f t="shared" si="79"/>
        <v>0.33294392523364486</v>
      </c>
      <c r="BS72" s="188">
        <f t="shared" si="79"/>
        <v>0.35131964809384164</v>
      </c>
      <c r="BT72" s="188">
        <f t="shared" si="79"/>
        <v>0.37463126843657818</v>
      </c>
      <c r="BU72" s="188"/>
      <c r="BV72" s="188"/>
      <c r="BW72" s="188"/>
      <c r="BX72" s="188"/>
      <c r="BY72" s="188"/>
      <c r="BZ72" s="188"/>
      <c r="CA72" s="188"/>
      <c r="CB72" s="188"/>
      <c r="CC72" s="188"/>
      <c r="CD72" s="188"/>
      <c r="CE72" s="188"/>
      <c r="CF72" s="188"/>
      <c r="CG72" s="188"/>
      <c r="CH72" s="188"/>
      <c r="CI72" s="188"/>
      <c r="CJ72" s="188"/>
      <c r="CO72" s="192"/>
      <c r="DK72" s="192"/>
      <c r="DL72" s="192"/>
      <c r="DM72" s="192"/>
      <c r="DN72" s="192"/>
      <c r="DO72" s="192"/>
      <c r="DP72" s="192"/>
      <c r="DQ72" s="192"/>
      <c r="DR72" s="192"/>
      <c r="DS72" s="192"/>
      <c r="DT72" s="192"/>
      <c r="DU72" s="192"/>
      <c r="DV72" s="192"/>
      <c r="DW72" s="192"/>
      <c r="DX72" s="192"/>
      <c r="DY72" s="192"/>
      <c r="DZ72" s="192"/>
      <c r="EA72"/>
      <c r="EB72"/>
      <c r="EC72"/>
      <c r="ED72"/>
      <c r="EE72"/>
      <c r="EF72"/>
    </row>
    <row r="73" spans="1:136" hidden="1" outlineLevel="1"/>
    <row r="74" spans="1:136" s="69" customFormat="1" ht="12.75" customHeight="1" collapsed="1">
      <c r="A74" s="42" t="s">
        <v>170</v>
      </c>
      <c r="B74" s="200"/>
      <c r="C74" s="200"/>
      <c r="D74" s="200"/>
      <c r="E74" s="200"/>
      <c r="F74" s="200"/>
      <c r="G74" s="200"/>
      <c r="H74" s="200"/>
      <c r="I74" s="200">
        <f>(0.25*2+0.27*2)*(0.52/1.16)</f>
        <v>0.4662068965517242</v>
      </c>
      <c r="J74" s="200">
        <f>1.12*0.52/1.16</f>
        <v>0.50206896551724145</v>
      </c>
      <c r="K74" s="200">
        <f>1.16-0.64</f>
        <v>0.51999999999999991</v>
      </c>
      <c r="L74" s="200">
        <f>+K74</f>
        <v>0.51999999999999991</v>
      </c>
      <c r="M74" s="201">
        <f>+L74</f>
        <v>0.51999999999999991</v>
      </c>
      <c r="N74" s="201">
        <f>+M74</f>
        <v>0.51999999999999991</v>
      </c>
      <c r="O74" s="201">
        <f>SUM(BM74:BP74)</f>
        <v>0.54</v>
      </c>
      <c r="P74" s="201">
        <f>SUM(BQ74:BT74)</f>
        <v>0.58000000000000007</v>
      </c>
      <c r="Q74" s="201">
        <f>SUM(BU74:BX74)</f>
        <v>0.62</v>
      </c>
      <c r="R74" s="201">
        <f>SUM(BY74:CB74)</f>
        <v>0.72</v>
      </c>
      <c r="S74" s="201">
        <f>SUM(CC74:CF74)</f>
        <v>0.82</v>
      </c>
      <c r="T74" s="201">
        <f t="shared" ref="T74:AA74" ca="1" si="80">+T76/T61</f>
        <v>1.0374377502392913</v>
      </c>
      <c r="U74" s="201">
        <f t="shared" ca="1" si="80"/>
        <v>1.1291147687219631</v>
      </c>
      <c r="V74" s="201">
        <f t="shared" ca="1" si="80"/>
        <v>1.2240867617707751</v>
      </c>
      <c r="W74" s="201">
        <f t="shared" ca="1" si="80"/>
        <v>1.3243276160305837</v>
      </c>
      <c r="X74" s="201">
        <f t="shared" ca="1" si="80"/>
        <v>1.4212838611693965</v>
      </c>
      <c r="Y74" s="201">
        <f t="shared" ca="1" si="80"/>
        <v>1.5176079224454591</v>
      </c>
      <c r="Z74" s="201">
        <f t="shared" ca="1" si="80"/>
        <v>1.6198064963828906</v>
      </c>
      <c r="AA74" s="201">
        <f t="shared" ca="1" si="80"/>
        <v>1.7277858833912783</v>
      </c>
      <c r="AB74" s="42"/>
      <c r="AC74" s="202"/>
      <c r="AD74" s="202"/>
      <c r="AE74" s="202"/>
      <c r="AF74" s="202"/>
      <c r="AG74" s="202"/>
      <c r="AH74" s="202"/>
      <c r="AI74" s="202"/>
      <c r="AJ74" s="202"/>
      <c r="AK74" s="202"/>
      <c r="AL74" s="202"/>
      <c r="AM74" s="202"/>
      <c r="AN74" s="202"/>
      <c r="AO74" s="202"/>
      <c r="AP74" s="202"/>
      <c r="AQ74" s="202"/>
      <c r="AR74" s="202"/>
      <c r="AS74" s="202">
        <v>0.28999999999999998</v>
      </c>
      <c r="AT74" s="202">
        <f>+AS74</f>
        <v>0.28999999999999998</v>
      </c>
      <c r="AU74" s="202">
        <v>0.28999999999999998</v>
      </c>
      <c r="AV74" s="202">
        <f>+AU74</f>
        <v>0.28999999999999998</v>
      </c>
      <c r="AW74" s="202">
        <f>+AV74</f>
        <v>0.28999999999999998</v>
      </c>
      <c r="AX74" s="202">
        <f>+AW74</f>
        <v>0.28999999999999998</v>
      </c>
      <c r="AY74" s="202">
        <f>+AX74</f>
        <v>0.28999999999999998</v>
      </c>
      <c r="AZ74" s="202">
        <v>0.28999999999999998</v>
      </c>
      <c r="BA74" s="202">
        <f>AZ74</f>
        <v>0.28999999999999998</v>
      </c>
      <c r="BB74" s="202">
        <v>0.28999999999999998</v>
      </c>
      <c r="BC74" s="202">
        <f>BB74</f>
        <v>0.28999999999999998</v>
      </c>
      <c r="BD74" s="202">
        <v>0.28999999999999998</v>
      </c>
      <c r="BE74" s="202">
        <v>0.28999999999999998</v>
      </c>
      <c r="BF74" s="201">
        <f>$M$74/4</f>
        <v>0.12999999999999998</v>
      </c>
      <c r="BG74" s="201">
        <f>$M$74/4</f>
        <v>0.12999999999999998</v>
      </c>
      <c r="BH74" s="203">
        <f>M74-SUM(BE74:BG74)</f>
        <v>-3.0000000000000027E-2</v>
      </c>
      <c r="BI74" s="203">
        <f>$N$74/4</f>
        <v>0.12999999999999998</v>
      </c>
      <c r="BJ74" s="203">
        <f>$N$74/4</f>
        <v>0.12999999999999998</v>
      </c>
      <c r="BK74" s="203">
        <f>$N$74/4</f>
        <v>0.12999999999999998</v>
      </c>
      <c r="BL74" s="204">
        <f>N74-SUM(BI74:BK74)</f>
        <v>0.13</v>
      </c>
      <c r="BM74" s="205">
        <v>0.13</v>
      </c>
      <c r="BN74" s="205">
        <v>0.13</v>
      </c>
      <c r="BO74" s="205">
        <v>0.14000000000000001</v>
      </c>
      <c r="BP74" s="205">
        <v>0.14000000000000001</v>
      </c>
      <c r="BQ74" s="205">
        <v>0.14000000000000001</v>
      </c>
      <c r="BR74" s="205">
        <v>0.14000000000000001</v>
      </c>
      <c r="BS74" s="205">
        <v>0.15</v>
      </c>
      <c r="BT74" s="205">
        <v>0.15</v>
      </c>
      <c r="BU74" s="205">
        <f>+BT74</f>
        <v>0.15</v>
      </c>
      <c r="BV74" s="205">
        <f>+BU74</f>
        <v>0.15</v>
      </c>
      <c r="BW74" s="205">
        <f>+BV74</f>
        <v>0.15</v>
      </c>
      <c r="BX74" s="205">
        <v>0.17</v>
      </c>
      <c r="BY74" s="205">
        <v>0.17</v>
      </c>
      <c r="BZ74" s="205">
        <v>0.17</v>
      </c>
      <c r="CA74" s="205">
        <v>0.19</v>
      </c>
      <c r="CB74" s="205">
        <v>0.19</v>
      </c>
      <c r="CC74" s="205">
        <v>0.19</v>
      </c>
      <c r="CD74" s="205">
        <v>0.19</v>
      </c>
      <c r="CE74" s="205">
        <v>0.22</v>
      </c>
      <c r="CF74" s="205">
        <f>CE74</f>
        <v>0.22</v>
      </c>
      <c r="CG74" s="205">
        <v>0.19</v>
      </c>
      <c r="CH74" s="205">
        <v>0.19</v>
      </c>
      <c r="CI74" s="205">
        <f>CH74*1.08</f>
        <v>0.20520000000000002</v>
      </c>
      <c r="CJ74" s="205">
        <f>CI74</f>
        <v>0.20520000000000002</v>
      </c>
      <c r="CO74" s="203"/>
      <c r="DK74" s="204"/>
      <c r="DL74" s="203"/>
      <c r="DM74" s="203"/>
      <c r="DN74" s="203"/>
      <c r="DO74" s="203"/>
      <c r="DP74" s="203"/>
      <c r="DQ74" s="203"/>
      <c r="DR74" s="203"/>
      <c r="DS74" s="203"/>
      <c r="DT74" s="203"/>
      <c r="DU74" s="203"/>
      <c r="DV74" s="203"/>
      <c r="DW74" s="203"/>
      <c r="DX74" s="203"/>
      <c r="DY74" s="203"/>
      <c r="DZ74" s="203"/>
      <c r="EA74"/>
      <c r="EB74"/>
      <c r="EC74"/>
      <c r="ED74"/>
      <c r="EE74"/>
      <c r="EF74"/>
    </row>
    <row r="75" spans="1:136" s="69" customFormat="1" ht="12.75" customHeight="1">
      <c r="A75" s="206" t="s">
        <v>171</v>
      </c>
      <c r="B75" s="38"/>
      <c r="C75" s="38"/>
      <c r="D75" s="38"/>
      <c r="E75" s="38"/>
      <c r="F75" s="38"/>
      <c r="G75" s="38"/>
      <c r="H75" s="38"/>
      <c r="I75" s="38" t="e">
        <f t="shared" ref="I75:V75" si="81">I74/H74-1</f>
        <v>#DIV/0!</v>
      </c>
      <c r="J75" s="38">
        <f t="shared" si="81"/>
        <v>7.6923076923076872E-2</v>
      </c>
      <c r="K75" s="38">
        <f t="shared" si="81"/>
        <v>3.5714285714285365E-2</v>
      </c>
      <c r="L75" s="38">
        <f t="shared" si="81"/>
        <v>0</v>
      </c>
      <c r="M75" s="38">
        <f t="shared" si="81"/>
        <v>0</v>
      </c>
      <c r="N75" s="38">
        <f t="shared" si="81"/>
        <v>0</v>
      </c>
      <c r="O75" s="38">
        <f t="shared" si="81"/>
        <v>3.8461538461538769E-2</v>
      </c>
      <c r="P75" s="38">
        <f t="shared" si="81"/>
        <v>7.4074074074074181E-2</v>
      </c>
      <c r="Q75" s="38">
        <f t="shared" si="81"/>
        <v>6.8965517241379226E-2</v>
      </c>
      <c r="R75" s="38">
        <f t="shared" si="81"/>
        <v>0.16129032258064502</v>
      </c>
      <c r="S75" s="38">
        <f t="shared" si="81"/>
        <v>0.13888888888888884</v>
      </c>
      <c r="T75" s="38">
        <f t="shared" ca="1" si="81"/>
        <v>0.26516798809669684</v>
      </c>
      <c r="U75" s="38">
        <f t="shared" ca="1" si="81"/>
        <v>8.8368693409822452E-2</v>
      </c>
      <c r="V75" s="38">
        <f t="shared" ca="1" si="81"/>
        <v>8.4111904015133909E-2</v>
      </c>
      <c r="W75" s="38">
        <f ca="1">W74/V74-1</f>
        <v>8.1890318064382406E-2</v>
      </c>
      <c r="X75" s="38">
        <f ca="1">X74/W74-1</f>
        <v>7.321167660115746E-2</v>
      </c>
      <c r="Y75" s="38">
        <f ca="1">Y74/X74-1</f>
        <v>6.7772570918246844E-2</v>
      </c>
      <c r="Z75" s="38">
        <f ca="1">Z74/Y74-1</f>
        <v>6.7341882198894698E-2</v>
      </c>
      <c r="AA75" s="38">
        <f ca="1">AA74/Z74-1</f>
        <v>6.6661905140836808E-2</v>
      </c>
      <c r="AB75" s="206"/>
      <c r="AC75" s="38"/>
      <c r="AD75" s="38"/>
      <c r="AE75" s="38"/>
      <c r="AF75" s="38"/>
      <c r="AG75" s="38"/>
      <c r="AH75" s="38"/>
      <c r="AI75" s="38"/>
      <c r="AJ75" s="38"/>
      <c r="AK75" s="38"/>
      <c r="AL75" s="38"/>
      <c r="AM75" s="38"/>
      <c r="AN75" s="38"/>
      <c r="AO75" s="38"/>
      <c r="AP75" s="38"/>
      <c r="AQ75" s="38"/>
      <c r="AR75" s="38"/>
      <c r="AS75" s="38" t="e">
        <f t="shared" ref="AS75:CB75" si="82">AS74/AO74-1</f>
        <v>#DIV/0!</v>
      </c>
      <c r="AT75" s="38" t="e">
        <f t="shared" si="82"/>
        <v>#DIV/0!</v>
      </c>
      <c r="AU75" s="38" t="e">
        <f t="shared" si="82"/>
        <v>#DIV/0!</v>
      </c>
      <c r="AV75" s="38" t="e">
        <f t="shared" si="82"/>
        <v>#DIV/0!</v>
      </c>
      <c r="AW75" s="38">
        <f t="shared" si="82"/>
        <v>0</v>
      </c>
      <c r="AX75" s="38">
        <f t="shared" si="82"/>
        <v>0</v>
      </c>
      <c r="AY75" s="38">
        <f t="shared" si="82"/>
        <v>0</v>
      </c>
      <c r="AZ75" s="38">
        <f t="shared" si="82"/>
        <v>0</v>
      </c>
      <c r="BA75" s="38">
        <f t="shared" si="82"/>
        <v>0</v>
      </c>
      <c r="BB75" s="38">
        <f t="shared" si="82"/>
        <v>0</v>
      </c>
      <c r="BC75" s="38">
        <f t="shared" si="82"/>
        <v>0</v>
      </c>
      <c r="BD75" s="38">
        <f t="shared" si="82"/>
        <v>0</v>
      </c>
      <c r="BE75" s="38">
        <f t="shared" si="82"/>
        <v>0</v>
      </c>
      <c r="BF75" s="38">
        <f t="shared" si="82"/>
        <v>-0.55172413793103448</v>
      </c>
      <c r="BG75" s="38">
        <f t="shared" si="82"/>
        <v>-0.55172413793103448</v>
      </c>
      <c r="BH75" s="38">
        <f t="shared" si="82"/>
        <v>-1.103448275862069</v>
      </c>
      <c r="BI75" s="38">
        <f t="shared" si="82"/>
        <v>-0.55172413793103448</v>
      </c>
      <c r="BJ75" s="38">
        <f t="shared" si="82"/>
        <v>0</v>
      </c>
      <c r="BK75" s="38">
        <f t="shared" si="82"/>
        <v>0</v>
      </c>
      <c r="BL75" s="38">
        <f t="shared" si="82"/>
        <v>-5.3333333333333295</v>
      </c>
      <c r="BM75" s="38">
        <f t="shared" si="82"/>
        <v>0</v>
      </c>
      <c r="BN75" s="38">
        <f t="shared" si="82"/>
        <v>0</v>
      </c>
      <c r="BO75" s="38">
        <f t="shared" si="82"/>
        <v>7.6923076923077316E-2</v>
      </c>
      <c r="BP75" s="38">
        <f t="shared" si="82"/>
        <v>7.6923076923077094E-2</v>
      </c>
      <c r="BQ75" s="38">
        <f t="shared" si="82"/>
        <v>7.6923076923077094E-2</v>
      </c>
      <c r="BR75" s="38">
        <f t="shared" si="82"/>
        <v>7.6923076923077094E-2</v>
      </c>
      <c r="BS75" s="38">
        <f t="shared" si="82"/>
        <v>7.1428571428571397E-2</v>
      </c>
      <c r="BT75" s="38">
        <f t="shared" si="82"/>
        <v>7.1428571428571397E-2</v>
      </c>
      <c r="BU75" s="38">
        <f t="shared" si="82"/>
        <v>7.1428571428571397E-2</v>
      </c>
      <c r="BV75" s="38">
        <f t="shared" si="82"/>
        <v>7.1428571428571397E-2</v>
      </c>
      <c r="BW75" s="38">
        <f t="shared" si="82"/>
        <v>0</v>
      </c>
      <c r="BX75" s="38">
        <f t="shared" si="82"/>
        <v>0.13333333333333353</v>
      </c>
      <c r="BY75" s="38">
        <f t="shared" si="82"/>
        <v>0.13333333333333353</v>
      </c>
      <c r="BZ75" s="38">
        <f t="shared" si="82"/>
        <v>0.13333333333333353</v>
      </c>
      <c r="CA75" s="38">
        <f t="shared" si="82"/>
        <v>0.26666666666666683</v>
      </c>
      <c r="CB75" s="38">
        <f t="shared" si="82"/>
        <v>0.11764705882352944</v>
      </c>
      <c r="CC75" s="38">
        <f t="shared" ref="CC75:CJ75" si="83">CC74/BY74-1</f>
        <v>0.11764705882352944</v>
      </c>
      <c r="CD75" s="38">
        <f t="shared" si="83"/>
        <v>0.11764705882352944</v>
      </c>
      <c r="CE75" s="38">
        <f t="shared" si="83"/>
        <v>0.15789473684210531</v>
      </c>
      <c r="CF75" s="38">
        <f t="shared" si="83"/>
        <v>0.15789473684210531</v>
      </c>
      <c r="CG75" s="38">
        <f t="shared" si="83"/>
        <v>0</v>
      </c>
      <c r="CH75" s="38">
        <f t="shared" si="83"/>
        <v>0</v>
      </c>
      <c r="CI75" s="38">
        <f t="shared" si="83"/>
        <v>-6.7272727272727151E-2</v>
      </c>
      <c r="CJ75" s="38">
        <f t="shared" si="83"/>
        <v>-6.7272727272727151E-2</v>
      </c>
      <c r="CO75" s="203"/>
      <c r="DK75" s="204"/>
      <c r="DL75" s="203"/>
      <c r="DM75" s="203"/>
      <c r="DN75" s="203"/>
      <c r="DO75" s="203"/>
      <c r="DP75" s="203"/>
      <c r="DQ75" s="203"/>
      <c r="DR75" s="203"/>
      <c r="DS75" s="203"/>
      <c r="DT75" s="203"/>
      <c r="DU75" s="203"/>
      <c r="DV75" s="203"/>
      <c r="DW75" s="203"/>
      <c r="DX75" s="203"/>
      <c r="DY75" s="203"/>
      <c r="DZ75" s="203"/>
      <c r="EA75"/>
      <c r="EB75"/>
      <c r="EC75"/>
      <c r="ED75"/>
      <c r="EE75"/>
      <c r="EF75"/>
    </row>
    <row r="76" spans="1:136" s="183" customFormat="1" ht="12.75" customHeight="1">
      <c r="A76" s="87" t="s">
        <v>172</v>
      </c>
      <c r="B76" s="185"/>
      <c r="C76" s="185"/>
      <c r="D76" s="185"/>
      <c r="E76" s="185"/>
      <c r="F76" s="185"/>
      <c r="G76" s="185"/>
      <c r="H76" s="185"/>
      <c r="I76" s="185">
        <f t="shared" ref="I76:Q76" si="84">+I74*I60</f>
        <v>741.73517241379318</v>
      </c>
      <c r="J76" s="185">
        <f t="shared" si="84"/>
        <v>755.61379310344842</v>
      </c>
      <c r="K76" s="185">
        <f t="shared" si="84"/>
        <v>768.55999999999983</v>
      </c>
      <c r="L76" s="185">
        <f t="shared" si="84"/>
        <v>891.79999999999984</v>
      </c>
      <c r="M76" s="185">
        <f t="shared" si="84"/>
        <v>917.79999999999984</v>
      </c>
      <c r="N76" s="185">
        <f t="shared" si="84"/>
        <v>925.0683473389355</v>
      </c>
      <c r="O76" s="185">
        <f t="shared" si="84"/>
        <v>957.96</v>
      </c>
      <c r="P76" s="185">
        <f t="shared" si="84"/>
        <v>980.78000000000009</v>
      </c>
      <c r="Q76" s="185">
        <f t="shared" si="84"/>
        <v>1007.4332694805986</v>
      </c>
      <c r="R76" s="185">
        <f>+R74*R60</f>
        <v>1121.8970033962846</v>
      </c>
      <c r="S76" s="185">
        <f>+S74*S60</f>
        <v>1240.6599999999999</v>
      </c>
      <c r="T76" s="185">
        <f t="shared" ref="T76:AA76" ca="1" si="85">+T77*T55</f>
        <v>1545.8810511429642</v>
      </c>
      <c r="U76" s="185">
        <f t="shared" ca="1" si="85"/>
        <v>1648.0770308300582</v>
      </c>
      <c r="V76" s="185">
        <f t="shared" ca="1" si="85"/>
        <v>1753.178153935997</v>
      </c>
      <c r="W76" s="185">
        <f t="shared" ca="1" si="85"/>
        <v>1863.1313086263417</v>
      </c>
      <c r="X76" s="185">
        <f t="shared" ca="1" si="85"/>
        <v>1964.9046539212429</v>
      </c>
      <c r="Y76" s="185">
        <f t="shared" ca="1" si="85"/>
        <v>2061.9795351323337</v>
      </c>
      <c r="Z76" s="185">
        <f t="shared" ca="1" si="85"/>
        <v>2162.5776370729554</v>
      </c>
      <c r="AA76" s="185">
        <f t="shared" ca="1" si="85"/>
        <v>2266.2082350243004</v>
      </c>
      <c r="AB76" s="87"/>
      <c r="AC76" s="185"/>
      <c r="AD76" s="185"/>
      <c r="AE76" s="185"/>
      <c r="AF76" s="185"/>
      <c r="AG76" s="185"/>
      <c r="AH76" s="185"/>
      <c r="AI76" s="185"/>
      <c r="AJ76" s="185"/>
      <c r="AK76" s="185"/>
      <c r="AL76" s="185"/>
      <c r="AM76" s="185"/>
      <c r="AN76" s="185"/>
      <c r="AO76" s="185"/>
      <c r="AP76" s="185"/>
      <c r="AQ76" s="185"/>
      <c r="AR76" s="185"/>
      <c r="AS76" s="185">
        <f t="shared" ref="AS76:BG76" si="86">+AS74*AS61</f>
        <v>447.17999999999995</v>
      </c>
      <c r="AT76" s="185">
        <f t="shared" si="86"/>
        <v>444.28</v>
      </c>
      <c r="AU76" s="185">
        <f t="shared" si="86"/>
        <v>435.86999999999995</v>
      </c>
      <c r="AV76" s="185">
        <f t="shared" si="86"/>
        <v>429.48999999999995</v>
      </c>
      <c r="AW76" s="185">
        <f t="shared" si="86"/>
        <v>430.07</v>
      </c>
      <c r="AX76" s="185">
        <f t="shared" si="86"/>
        <v>430.35999999999996</v>
      </c>
      <c r="AY76" s="185">
        <f t="shared" si="86"/>
        <v>431.22999999999996</v>
      </c>
      <c r="AZ76" s="185">
        <f t="shared" si="86"/>
        <v>431.22999999999996</v>
      </c>
      <c r="BA76" s="185">
        <f t="shared" si="86"/>
        <v>469.79999999999995</v>
      </c>
      <c r="BB76" s="185">
        <f t="shared" si="86"/>
        <v>508.08</v>
      </c>
      <c r="BC76" s="185">
        <f t="shared" si="86"/>
        <v>508.65999999999997</v>
      </c>
      <c r="BD76" s="185">
        <f t="shared" si="86"/>
        <v>509.53</v>
      </c>
      <c r="BE76" s="185">
        <f t="shared" si="86"/>
        <v>510.4</v>
      </c>
      <c r="BF76" s="185">
        <f t="shared" si="86"/>
        <v>230.22999999999996</v>
      </c>
      <c r="BG76" s="185">
        <f t="shared" si="86"/>
        <v>231.00999999999996</v>
      </c>
      <c r="BH76" s="185">
        <f t="shared" ref="BH76:BV76" si="87">+BH74*BH60</f>
        <v>-53.130000000000045</v>
      </c>
      <c r="BI76" s="185">
        <f t="shared" si="87"/>
        <v>230.48999999999995</v>
      </c>
      <c r="BJ76" s="185">
        <f t="shared" si="87"/>
        <v>231.00999999999996</v>
      </c>
      <c r="BK76" s="185">
        <f t="shared" si="87"/>
        <v>231.39803471444566</v>
      </c>
      <c r="BL76" s="185">
        <f t="shared" si="87"/>
        <v>231.13945946000001</v>
      </c>
      <c r="BM76" s="185">
        <f t="shared" si="87"/>
        <v>231.92000000000002</v>
      </c>
      <c r="BN76" s="185">
        <f t="shared" si="87"/>
        <v>232.44</v>
      </c>
      <c r="BO76" s="185">
        <f t="shared" si="87"/>
        <v>249.06000000000003</v>
      </c>
      <c r="BP76" s="185">
        <f t="shared" si="87"/>
        <v>244.02</v>
      </c>
      <c r="BQ76" s="185">
        <f t="shared" si="87"/>
        <v>238.56000000000003</v>
      </c>
      <c r="BR76" s="185">
        <f t="shared" si="87"/>
        <v>237.16000000000003</v>
      </c>
      <c r="BS76" s="185">
        <f t="shared" si="87"/>
        <v>253.2</v>
      </c>
      <c r="BT76" s="185">
        <f t="shared" si="87"/>
        <v>251.54999999999998</v>
      </c>
      <c r="BU76" s="185">
        <f t="shared" si="87"/>
        <v>247.2</v>
      </c>
      <c r="BV76" s="185">
        <f t="shared" si="87"/>
        <v>245.45360409154199</v>
      </c>
      <c r="BW76" s="185">
        <f>736-BV76-BU76</f>
        <v>243.34639590845802</v>
      </c>
      <c r="BX76" s="185">
        <f t="shared" ref="BX76:CF76" si="88">+BX74*BX60</f>
        <v>270.07345496209956</v>
      </c>
      <c r="BY76" s="185">
        <f t="shared" si="88"/>
        <v>266.73</v>
      </c>
      <c r="BZ76" s="185">
        <f t="shared" si="88"/>
        <v>264.69</v>
      </c>
      <c r="CA76" s="185">
        <f t="shared" si="88"/>
        <v>295.83</v>
      </c>
      <c r="CB76" s="185">
        <f t="shared" si="88"/>
        <v>292.60000000000002</v>
      </c>
      <c r="CC76" s="185">
        <f t="shared" si="88"/>
        <v>290.51</v>
      </c>
      <c r="CD76" s="185">
        <f t="shared" si="88"/>
        <v>288.61</v>
      </c>
      <c r="CE76" s="185">
        <f t="shared" si="88"/>
        <v>331.54</v>
      </c>
      <c r="CF76" s="185">
        <f t="shared" si="88"/>
        <v>329.34</v>
      </c>
      <c r="CG76" s="185">
        <f>+CG74*CG60</f>
        <v>281.91666572857844</v>
      </c>
      <c r="CH76" s="185">
        <f>+CH74*CH60</f>
        <v>280.27978635209888</v>
      </c>
      <c r="CI76" s="185">
        <f>+CI74*CI60</f>
        <v>300.98032656309084</v>
      </c>
      <c r="CJ76" s="185">
        <f>+CJ74*CJ60</f>
        <v>299.3035691888777</v>
      </c>
      <c r="CO76" s="186"/>
      <c r="DK76" s="186"/>
      <c r="DL76" s="186"/>
      <c r="DM76" s="186"/>
      <c r="DN76" s="186"/>
      <c r="DO76" s="186"/>
      <c r="DP76" s="186"/>
      <c r="DQ76" s="186"/>
      <c r="DR76" s="186"/>
      <c r="DS76" s="186"/>
      <c r="DT76" s="186"/>
      <c r="DU76" s="186"/>
      <c r="DV76" s="186"/>
      <c r="DW76" s="186"/>
      <c r="DX76" s="186"/>
      <c r="DY76" s="186"/>
      <c r="DZ76" s="186"/>
      <c r="EA76"/>
      <c r="EB76"/>
      <c r="EC76"/>
      <c r="ED76"/>
      <c r="EE76"/>
      <c r="EF76"/>
    </row>
    <row r="77" spans="1:136" s="69" customFormat="1" ht="12.75" customHeight="1">
      <c r="A77" s="42" t="s">
        <v>173</v>
      </c>
      <c r="B77" s="20"/>
      <c r="C77" s="20"/>
      <c r="D77" s="20"/>
      <c r="E77" s="20"/>
      <c r="F77" s="20"/>
      <c r="G77" s="20"/>
      <c r="H77" s="20"/>
      <c r="I77" s="20">
        <f>I76/I46</f>
        <v>0.52178100054081522</v>
      </c>
      <c r="J77" s="20">
        <f>J76/J46</f>
        <v>0.63970179169340258</v>
      </c>
      <c r="K77" s="20">
        <f>K76/K46</f>
        <v>0.7142750929368028</v>
      </c>
      <c r="L77" s="20">
        <f t="shared" ref="L77:Q77" si="89">L76/L50</f>
        <v>0.60602230417589986</v>
      </c>
      <c r="M77" s="20">
        <f t="shared" si="89"/>
        <v>0.37127831715210352</v>
      </c>
      <c r="N77" s="20">
        <f t="shared" si="89"/>
        <v>0.36767422390259757</v>
      </c>
      <c r="O77" s="20">
        <f t="shared" si="89"/>
        <v>0.34545979084024525</v>
      </c>
      <c r="P77" s="20">
        <f t="shared" si="89"/>
        <v>0.43629003558718865</v>
      </c>
      <c r="Q77" s="20">
        <f t="shared" si="89"/>
        <v>0.47610267933865719</v>
      </c>
      <c r="R77" s="20">
        <f>R76/R50</f>
        <v>0.43995960917501359</v>
      </c>
      <c r="S77" s="20">
        <f>S76/S50</f>
        <v>0.43349406009783364</v>
      </c>
      <c r="T77" s="164">
        <v>0.42</v>
      </c>
      <c r="U77" s="164">
        <v>0.42</v>
      </c>
      <c r="V77" s="164">
        <v>0.42</v>
      </c>
      <c r="W77" s="164">
        <v>0.42</v>
      </c>
      <c r="X77" s="164">
        <v>0.42</v>
      </c>
      <c r="Y77" s="164">
        <v>0.42</v>
      </c>
      <c r="Z77" s="164">
        <v>0.42</v>
      </c>
      <c r="AA77" s="164">
        <v>0.42</v>
      </c>
      <c r="AB77" s="42"/>
      <c r="AC77" s="20"/>
      <c r="AD77" s="20"/>
      <c r="AE77" s="20"/>
      <c r="AF77" s="20"/>
      <c r="AG77" s="20"/>
      <c r="AH77" s="20"/>
      <c r="AI77" s="20"/>
      <c r="AJ77" s="20"/>
      <c r="AK77" s="20"/>
      <c r="AL77" s="20"/>
      <c r="AM77" s="20"/>
      <c r="AN77" s="20"/>
      <c r="AO77" s="20"/>
      <c r="AP77" s="20"/>
      <c r="AQ77" s="20"/>
      <c r="AR77" s="20"/>
      <c r="AS77" s="20">
        <f t="shared" ref="AS77:BL77" si="90">AS76/AS46</f>
        <v>-1.6623791821561336</v>
      </c>
      <c r="AT77" s="20">
        <f t="shared" si="90"/>
        <v>-1.1910991957104557</v>
      </c>
      <c r="AU77" s="20">
        <f t="shared" si="90"/>
        <v>-1.4825510204081631</v>
      </c>
      <c r="AV77" s="20">
        <f t="shared" si="90"/>
        <v>-1.7193143451732371</v>
      </c>
      <c r="AW77" s="20">
        <f t="shared" si="90"/>
        <v>8.228932527693857</v>
      </c>
      <c r="AX77" s="20">
        <f t="shared" si="90"/>
        <v>8.437617048652994</v>
      </c>
      <c r="AY77" s="20">
        <f t="shared" si="90"/>
        <v>9.532051282051281</v>
      </c>
      <c r="AZ77" s="20">
        <f t="shared" si="90"/>
        <v>-59.644536652835399</v>
      </c>
      <c r="BA77" s="20">
        <f t="shared" si="90"/>
        <v>5.372212692967409</v>
      </c>
      <c r="BB77" s="20">
        <f t="shared" si="90"/>
        <v>2.9951895868704015</v>
      </c>
      <c r="BC77" s="20">
        <f t="shared" si="90"/>
        <v>4.4039826839826839</v>
      </c>
      <c r="BD77" s="20">
        <f t="shared" si="90"/>
        <v>3.9520814104105426</v>
      </c>
      <c r="BE77" s="20">
        <f t="shared" si="90"/>
        <v>1.0331983805668015</v>
      </c>
      <c r="BF77" s="20">
        <f t="shared" si="90"/>
        <v>0.37619281045751629</v>
      </c>
      <c r="BG77" s="20">
        <f t="shared" si="90"/>
        <v>0.34843137254901957</v>
      </c>
      <c r="BH77" s="20">
        <f t="shared" si="90"/>
        <v>-7.5576102418207752E-2</v>
      </c>
      <c r="BI77" s="20">
        <f t="shared" si="90"/>
        <v>0.4152972972972972</v>
      </c>
      <c r="BJ77" s="20">
        <f t="shared" si="90"/>
        <v>0.35322629969418956</v>
      </c>
      <c r="BK77" s="20">
        <f t="shared" si="90"/>
        <v>0.35820129212762486</v>
      </c>
      <c r="BL77" s="20">
        <f t="shared" si="90"/>
        <v>0.349681481785174</v>
      </c>
      <c r="BM77" s="20"/>
      <c r="BN77" s="20"/>
      <c r="BO77" s="20"/>
      <c r="BP77" s="207"/>
      <c r="BQ77" s="20"/>
      <c r="BR77" s="20"/>
      <c r="BS77" s="20"/>
      <c r="BT77" s="20"/>
      <c r="BU77" s="20">
        <f t="shared" ref="BU77:CF77" si="91">+BU74/BU57</f>
        <v>0.38781055900621114</v>
      </c>
      <c r="BV77" s="20">
        <f t="shared" si="91"/>
        <v>0.3722809667673716</v>
      </c>
      <c r="BW77" s="20">
        <f t="shared" si="91"/>
        <v>0.40998322147651006</v>
      </c>
      <c r="BX77" s="20">
        <f t="shared" si="91"/>
        <v>0.42499999999999999</v>
      </c>
      <c r="BY77" s="20">
        <f t="shared" si="91"/>
        <v>0.34632862644415918</v>
      </c>
      <c r="BZ77" s="20">
        <f t="shared" si="91"/>
        <v>0.40903816793893133</v>
      </c>
      <c r="CA77" s="20">
        <f t="shared" si="91"/>
        <v>0.38048284625158835</v>
      </c>
      <c r="CB77" s="20">
        <f t="shared" si="91"/>
        <v>0.43116448326055312</v>
      </c>
      <c r="CC77" s="20">
        <f t="shared" si="91"/>
        <v>0.36629353233830847</v>
      </c>
      <c r="CD77" s="20">
        <f t="shared" si="91"/>
        <v>0.40500000000000003</v>
      </c>
      <c r="CE77" s="20">
        <f t="shared" si="91"/>
        <v>0.38671280276816611</v>
      </c>
      <c r="CF77" s="20">
        <f t="shared" si="91"/>
        <v>0.38749708963911528</v>
      </c>
      <c r="CG77" s="20">
        <f ca="1">+CG74/CG57</f>
        <v>0.31338451949157548</v>
      </c>
      <c r="CH77" s="20">
        <f ca="1">+CH74/CH57</f>
        <v>0.33114483272642087</v>
      </c>
      <c r="CI77" s="20">
        <f ca="1">+CI74/CI57</f>
        <v>0.32559410355825225</v>
      </c>
      <c r="CJ77" s="20">
        <f ca="1">+CJ74/CJ57</f>
        <v>0.31148226514927102</v>
      </c>
      <c r="CO77" s="208"/>
      <c r="DK77" s="208"/>
      <c r="DL77" s="209"/>
      <c r="DM77" s="209"/>
      <c r="DN77" s="209"/>
      <c r="DO77" s="209"/>
      <c r="DP77" s="209"/>
      <c r="DQ77" s="209"/>
      <c r="DR77" s="209"/>
      <c r="DS77" s="209"/>
      <c r="DT77" s="209"/>
      <c r="DU77" s="209"/>
      <c r="DV77" s="209"/>
      <c r="DW77" s="209"/>
      <c r="DX77" s="209"/>
      <c r="DY77" s="209"/>
      <c r="DZ77" s="209"/>
      <c r="EA77"/>
      <c r="EB77"/>
      <c r="EC77"/>
      <c r="ED77"/>
      <c r="EE77"/>
      <c r="EF77"/>
    </row>
    <row r="78" spans="1:136" s="69" customFormat="1" ht="12.75" customHeight="1">
      <c r="A78" s="42"/>
      <c r="B78" s="210"/>
      <c r="C78" s="210"/>
      <c r="D78" s="210"/>
      <c r="E78" s="210"/>
      <c r="F78" s="210"/>
      <c r="G78" s="210"/>
      <c r="H78" s="210"/>
      <c r="I78" s="210"/>
      <c r="J78" s="210"/>
      <c r="K78" s="210"/>
      <c r="L78" s="210"/>
      <c r="M78" s="210"/>
      <c r="N78" s="210"/>
      <c r="O78" s="210"/>
      <c r="P78" s="210"/>
      <c r="Q78" s="87"/>
      <c r="R78" s="87"/>
      <c r="S78" s="87"/>
      <c r="T78" s="87"/>
      <c r="U78" s="87"/>
      <c r="V78" s="87"/>
      <c r="W78" s="87"/>
      <c r="X78" s="87"/>
      <c r="Y78" s="87"/>
      <c r="Z78" s="87"/>
      <c r="AA78" s="87"/>
      <c r="AB78" s="42"/>
      <c r="AC78" s="169"/>
      <c r="AD78" s="169"/>
      <c r="AE78" s="169"/>
      <c r="AF78" s="169"/>
      <c r="AG78" s="169"/>
      <c r="AH78" s="169"/>
      <c r="AI78" s="169"/>
      <c r="AJ78" s="169"/>
      <c r="AK78" s="169"/>
      <c r="AL78" s="169"/>
      <c r="AM78" s="169"/>
      <c r="AN78" s="169"/>
      <c r="AO78" s="169"/>
      <c r="AP78" s="169"/>
      <c r="AQ78" s="169"/>
      <c r="AR78" s="169"/>
      <c r="AS78" s="169"/>
      <c r="AT78" s="169"/>
      <c r="AU78" s="169"/>
      <c r="AV78" s="169"/>
      <c r="AW78" s="169"/>
      <c r="AX78" s="169"/>
      <c r="AY78" s="169"/>
      <c r="AZ78" s="169"/>
      <c r="BA78" s="169"/>
      <c r="BB78" s="169"/>
      <c r="BC78" s="169"/>
      <c r="BD78" s="169"/>
      <c r="BE78" s="169"/>
      <c r="BF78" s="37"/>
      <c r="BG78" s="37"/>
      <c r="BH78" s="37"/>
      <c r="BI78" s="37"/>
      <c r="BJ78" s="37"/>
      <c r="BK78" s="37"/>
      <c r="BL78" s="37"/>
      <c r="BM78" s="37"/>
      <c r="BN78" s="37"/>
      <c r="BO78" s="37"/>
      <c r="BP78" s="37"/>
      <c r="BQ78" s="37"/>
      <c r="BR78" s="37"/>
      <c r="BS78" s="37"/>
      <c r="BT78" s="37"/>
      <c r="BU78" s="37"/>
      <c r="BV78" s="37"/>
      <c r="BW78" s="37"/>
      <c r="BX78" s="37"/>
      <c r="BY78" s="37"/>
      <c r="BZ78" s="37"/>
      <c r="CA78" s="37"/>
      <c r="CB78" s="37"/>
      <c r="CC78" s="37"/>
      <c r="CD78" s="37"/>
      <c r="CE78" s="37"/>
      <c r="CF78" s="37"/>
      <c r="CG78" s="37"/>
      <c r="CH78" s="37"/>
      <c r="CI78" s="37"/>
      <c r="CJ78" s="37"/>
      <c r="CO78" s="37"/>
      <c r="DK78" s="211"/>
      <c r="DL78" s="37"/>
      <c r="DM78" s="37"/>
      <c r="DN78" s="37"/>
      <c r="DO78" s="37"/>
      <c r="DP78" s="37"/>
      <c r="DQ78" s="37"/>
      <c r="DR78" s="37"/>
      <c r="DS78" s="37"/>
      <c r="DT78" s="37"/>
      <c r="DU78" s="37"/>
      <c r="DV78" s="37"/>
      <c r="DW78" s="37"/>
      <c r="DX78" s="37"/>
      <c r="DY78" s="37"/>
      <c r="DZ78" s="37"/>
      <c r="EA78"/>
      <c r="EB78"/>
      <c r="EC78"/>
      <c r="ED78"/>
      <c r="EE78"/>
      <c r="EF78"/>
    </row>
    <row r="79" spans="1:136" s="183" customFormat="1" ht="12.75" customHeight="1">
      <c r="A79" s="87" t="s">
        <v>563</v>
      </c>
      <c r="B79" s="87"/>
      <c r="C79" s="87"/>
      <c r="D79" s="87"/>
      <c r="E79" s="87"/>
      <c r="F79" s="87"/>
      <c r="G79" s="87"/>
      <c r="H79" s="87"/>
      <c r="I79" s="87">
        <f>+I28+CF!H14</f>
        <v>3572</v>
      </c>
      <c r="J79" s="87">
        <f>+J28+CF!I14</f>
        <v>3941</v>
      </c>
      <c r="K79" s="87">
        <f>+K28+CF!J14</f>
        <v>3132</v>
      </c>
      <c r="L79" s="87">
        <f>+L28+CF!K14</f>
        <v>4942</v>
      </c>
      <c r="M79" s="87">
        <f>+M28+CF!L14</f>
        <v>5582</v>
      </c>
      <c r="N79" s="87">
        <f>+N28+CF!M14</f>
        <v>5579</v>
      </c>
      <c r="O79" s="87">
        <f>+O28+CF!N14</f>
        <v>5347</v>
      </c>
      <c r="P79" s="87">
        <f>+P28+CF!O14+P52</f>
        <v>5218</v>
      </c>
      <c r="Q79" s="87">
        <f>+Q28+CF!P14+Q52</f>
        <v>4705</v>
      </c>
      <c r="R79" s="87">
        <f>+R28+CF!Q14+R52</f>
        <v>4964</v>
      </c>
      <c r="S79" s="87">
        <f>+S28+CF!R14+S52</f>
        <v>5339</v>
      </c>
      <c r="T79" s="87">
        <f ca="1">+T28+CF!S14+T52</f>
        <v>5860.821781076168</v>
      </c>
      <c r="U79" s="87">
        <f ca="1">+U28+CF!T14+U52</f>
        <v>6222.1140054226489</v>
      </c>
      <c r="V79" s="87">
        <f ca="1">+V28+CF!U14+V52</f>
        <v>6597.8584559396859</v>
      </c>
      <c r="W79" s="87">
        <f ca="1">+W28+CF!V14+W52</f>
        <v>6980.8499199491398</v>
      </c>
      <c r="X79" s="87">
        <f ca="1">+X28+CF!W14+X52</f>
        <v>7332.400613903349</v>
      </c>
      <c r="Y79" s="87">
        <f ca="1">+Y28+CF!X14+Y52</f>
        <v>7666.516193191208</v>
      </c>
      <c r="Z79" s="87">
        <f ca="1">+Z28+CF!Y14+Z52</f>
        <v>8011.2515881817199</v>
      </c>
      <c r="AA79" s="87">
        <f ca="1">+AA28+CF!Z14+AA52</f>
        <v>8364.9137861583295</v>
      </c>
      <c r="AB79" s="87"/>
      <c r="AC79" s="87">
        <f>+AC28+209</f>
        <v>1511</v>
      </c>
      <c r="AD79" s="87">
        <f>+AD28+215</f>
        <v>1602</v>
      </c>
      <c r="AE79" s="87">
        <f>+AE28+209</f>
        <v>1552</v>
      </c>
      <c r="AF79" s="87">
        <f>+AF28+246</f>
        <v>1658</v>
      </c>
      <c r="AG79" s="87">
        <f>+AG28+218</f>
        <v>1423</v>
      </c>
      <c r="AH79" s="87">
        <f>+AH28+218</f>
        <v>1526</v>
      </c>
      <c r="AI79" s="87">
        <f>+AI28+215</f>
        <v>1407.5</v>
      </c>
      <c r="AJ79" s="87">
        <f>+AJ28+228</f>
        <v>1729.5</v>
      </c>
      <c r="AK79" s="87">
        <f>+AK28+216</f>
        <v>1452</v>
      </c>
      <c r="AL79" s="87">
        <f>+AL28+217</f>
        <v>1627</v>
      </c>
      <c r="AM79" s="87">
        <f>+AM28+221</f>
        <v>1475</v>
      </c>
      <c r="AN79" s="87">
        <f>+AN28+237</f>
        <v>1571</v>
      </c>
      <c r="AO79" s="87">
        <f>+AO28+220</f>
        <v>1418</v>
      </c>
      <c r="AP79" s="87">
        <f>+AP28+442-220</f>
        <v>514</v>
      </c>
      <c r="AQ79" s="87">
        <f>+AQ28+(662-442)</f>
        <v>474</v>
      </c>
      <c r="AR79" s="87">
        <f>I79-SUM(AO79,AP79,AQ79)</f>
        <v>1166</v>
      </c>
      <c r="AS79" s="87">
        <f>+AS28+248</f>
        <v>576</v>
      </c>
      <c r="AT79" s="87">
        <f>+AT28+(507-248)</f>
        <v>722</v>
      </c>
      <c r="AU79" s="87">
        <f>+AU28+(752-507)</f>
        <v>535</v>
      </c>
      <c r="AV79" s="87">
        <f>J79-SUM(AS79,AT79,AU79)</f>
        <v>2108</v>
      </c>
      <c r="AW79" s="87">
        <f>AW28+215</f>
        <v>573</v>
      </c>
      <c r="AX79" s="87" t="e">
        <f>AX28+(#REF!/4)</f>
        <v>#REF!</v>
      </c>
      <c r="AY79" s="87" t="e">
        <f>AY28+(#REF!/4)</f>
        <v>#REF!</v>
      </c>
      <c r="AZ79" s="87" t="e">
        <f>K79-SUM(AW79:AY79)</f>
        <v>#REF!</v>
      </c>
      <c r="BA79" s="87" t="e">
        <f>BA28+(#REF!/4)</f>
        <v>#REF!</v>
      </c>
      <c r="BB79" s="87" t="e">
        <f>BB28+(#REF!/4)</f>
        <v>#REF!</v>
      </c>
      <c r="BC79" s="87" t="e">
        <f>BC28+(#REF!/4)</f>
        <v>#REF!</v>
      </c>
      <c r="BD79" s="87" t="e">
        <f>L79-SUM(BA79:BC79)</f>
        <v>#REF!</v>
      </c>
      <c r="BE79" s="87"/>
      <c r="BF79" s="87"/>
      <c r="BG79" s="87"/>
      <c r="BH79" s="87"/>
      <c r="BI79" s="87"/>
      <c r="BJ79" s="87"/>
      <c r="BK79" s="87"/>
      <c r="BL79" s="87"/>
      <c r="BM79" s="87">
        <f>+BM28+266</f>
        <v>1209</v>
      </c>
      <c r="BN79" s="87">
        <f>+BN28+532-266</f>
        <v>1248</v>
      </c>
      <c r="BO79" s="87">
        <f>+BO28+808-532</f>
        <v>1308</v>
      </c>
      <c r="BP79" s="87">
        <f>+BP28+CF!$N$14-808</f>
        <v>1582</v>
      </c>
      <c r="BQ79" s="87">
        <f>+BQ28+262+BQ52</f>
        <v>1231</v>
      </c>
      <c r="BR79" s="87">
        <f>+BR28+533-262+BR52</f>
        <v>1285</v>
      </c>
      <c r="BS79" s="87">
        <f>+BS28+797-533+BS52</f>
        <v>1326</v>
      </c>
      <c r="BT79" s="87">
        <f>+BT28+CF!$O$14-797+BT52</f>
        <v>1376</v>
      </c>
      <c r="BU79" s="87">
        <f>+BU28+CF!$P$14/4+BU52</f>
        <v>1209.5</v>
      </c>
      <c r="BV79" s="87">
        <f>+BV28+CF!$P$14/4+BV52</f>
        <v>1199.5</v>
      </c>
      <c r="BW79" s="87">
        <f>+BW28+CF!$P$14/4+BW52</f>
        <v>1111.5</v>
      </c>
      <c r="BX79" s="87">
        <f>+BX28+CF!$P$14/4+BX52</f>
        <v>1184.5</v>
      </c>
      <c r="BY79" s="87">
        <f>+BY28+CF!$Q$14/4+BY52</f>
        <v>1274.75</v>
      </c>
      <c r="BZ79" s="87">
        <f>+BZ28+CF!$Q$14/4+BZ52</f>
        <v>1204.75</v>
      </c>
      <c r="CA79" s="87">
        <f>+CA28+CF!$Q$14/4+CA52</f>
        <v>1253.75</v>
      </c>
      <c r="CB79" s="87">
        <f>+CB28+CF!$Q$14/4+CB52</f>
        <v>1230.75</v>
      </c>
      <c r="CC79" s="87">
        <f>+CC28+CF!$Q$14/4+CC52</f>
        <v>1335.75</v>
      </c>
      <c r="CD79" s="87">
        <f>+CD28+CF!$Q$14/4+CD52</f>
        <v>1190.75</v>
      </c>
      <c r="CE79" s="87">
        <f>+CE28+CF!$Q$14/4+CE52</f>
        <v>1398.75</v>
      </c>
      <c r="CF79" s="87">
        <f>+CF28+CF!$Q$14/4+CF52</f>
        <v>1420.75</v>
      </c>
      <c r="CG79" s="87">
        <f ca="1">+CG28+CF!$Q$14/4+CG52</f>
        <v>1447.2958412617786</v>
      </c>
      <c r="CH79" s="87">
        <f ca="1">+CH28+CF!$Q$14/4+CH52</f>
        <v>1377.2573339675253</v>
      </c>
      <c r="CI79" s="87">
        <f ca="1">+CI28+CF!$Q$14/4+CI52</f>
        <v>1480.2010499215712</v>
      </c>
      <c r="CJ79" s="87">
        <f ca="1">+CJ28+CF!$Q$14/4+CJ52</f>
        <v>1528.4210584578284</v>
      </c>
      <c r="CO79" s="39"/>
      <c r="DK79" s="39"/>
      <c r="DL79" s="39"/>
      <c r="DM79" s="39"/>
      <c r="DN79" s="39"/>
      <c r="DO79" s="39"/>
      <c r="DP79" s="39"/>
      <c r="DQ79" s="39"/>
      <c r="DR79" s="39"/>
      <c r="DS79" s="39"/>
      <c r="DT79" s="39"/>
      <c r="DU79" s="39"/>
      <c r="DV79" s="39"/>
      <c r="DW79" s="39"/>
      <c r="DX79" s="39"/>
      <c r="DY79" s="39"/>
      <c r="DZ79" s="39"/>
      <c r="EA79"/>
      <c r="EB79"/>
      <c r="EC79"/>
      <c r="ED79"/>
      <c r="EE79"/>
      <c r="EF79"/>
    </row>
    <row r="80" spans="1:136" s="69" customFormat="1">
      <c r="A80" s="42"/>
      <c r="B80" s="116"/>
      <c r="C80" s="116"/>
      <c r="D80" s="116"/>
      <c r="E80" s="116"/>
      <c r="F80" s="116"/>
      <c r="G80" s="116"/>
      <c r="H80" s="116"/>
      <c r="I80" s="116"/>
      <c r="J80" s="116"/>
      <c r="K80" s="116"/>
      <c r="L80" s="116"/>
      <c r="M80" s="116"/>
      <c r="N80" s="116"/>
      <c r="O80" s="116"/>
      <c r="P80" s="152"/>
      <c r="Q80" s="212"/>
      <c r="R80" s="212"/>
      <c r="S80" s="212"/>
      <c r="T80" s="212"/>
      <c r="U80" s="212"/>
      <c r="V80" s="212"/>
      <c r="W80" s="212"/>
      <c r="X80" s="212"/>
      <c r="Y80" s="212"/>
      <c r="Z80" s="212"/>
      <c r="AA80" s="212"/>
      <c r="AB80" s="42"/>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c r="BY80" s="213"/>
      <c r="BZ80" s="213"/>
      <c r="CA80" s="213"/>
      <c r="CB80" s="213"/>
      <c r="CC80" s="213"/>
      <c r="CD80" s="213"/>
      <c r="CE80" s="213"/>
      <c r="CF80" s="213"/>
      <c r="CG80" s="213"/>
      <c r="CH80" s="213"/>
      <c r="CI80" s="213"/>
      <c r="CJ80" s="213"/>
      <c r="CO80" s="214"/>
      <c r="DK80" s="43"/>
      <c r="DL80" s="211"/>
      <c r="DM80" s="211"/>
      <c r="DN80" s="211"/>
      <c r="DO80" s="211"/>
      <c r="DP80" s="211"/>
      <c r="DQ80" s="211"/>
      <c r="DR80" s="211"/>
      <c r="DS80" s="211"/>
      <c r="DT80" s="211"/>
      <c r="DU80" s="211"/>
      <c r="DV80" s="211"/>
      <c r="DW80" s="211"/>
      <c r="DX80" s="211"/>
      <c r="DY80" s="211"/>
      <c r="DZ80" s="211"/>
      <c r="EA80"/>
      <c r="EB80"/>
      <c r="EC80"/>
      <c r="ED80"/>
      <c r="EE80"/>
      <c r="EF80"/>
    </row>
    <row r="81" spans="1:136" s="218" customFormat="1">
      <c r="A81" s="215" t="s">
        <v>175</v>
      </c>
      <c r="B81" s="215"/>
      <c r="C81" s="215"/>
      <c r="D81" s="215"/>
      <c r="E81" s="215"/>
      <c r="F81" s="215"/>
      <c r="G81" s="215"/>
      <c r="H81" s="215"/>
      <c r="I81" s="215"/>
      <c r="J81" s="215"/>
      <c r="K81" s="215"/>
      <c r="L81" s="215"/>
      <c r="M81" s="215"/>
      <c r="N81" s="215"/>
      <c r="O81" s="215"/>
      <c r="P81" s="215"/>
      <c r="Q81" s="215"/>
      <c r="R81" s="215"/>
      <c r="S81" s="215"/>
      <c r="T81" s="215"/>
      <c r="U81" s="215"/>
      <c r="V81" s="215"/>
      <c r="W81" s="215"/>
      <c r="X81" s="215"/>
      <c r="Y81" s="215"/>
      <c r="Z81" s="215"/>
      <c r="AA81" s="215"/>
      <c r="AB81" s="216"/>
      <c r="AC81" s="217"/>
      <c r="AD81" s="217"/>
      <c r="AE81" s="217"/>
      <c r="AF81" s="217"/>
      <c r="AG81" s="217"/>
      <c r="AH81" s="217"/>
      <c r="AI81" s="217"/>
      <c r="AJ81" s="217"/>
      <c r="AK81" s="217"/>
      <c r="AL81" s="217"/>
      <c r="AM81" s="217"/>
      <c r="AN81" s="217"/>
      <c r="AO81" s="217"/>
      <c r="AP81" s="217"/>
      <c r="AQ81" s="217"/>
      <c r="AR81" s="217"/>
      <c r="AS81" s="217"/>
      <c r="AT81" s="217"/>
      <c r="AU81" s="217"/>
      <c r="AV81" s="217"/>
      <c r="AW81" s="217"/>
      <c r="AX81" s="217"/>
      <c r="AY81" s="217"/>
      <c r="AZ81" s="217"/>
      <c r="BA81" s="217"/>
      <c r="BB81" s="217"/>
      <c r="BC81" s="217"/>
      <c r="BD81" s="217"/>
      <c r="BE81" s="217"/>
      <c r="BF81" s="217"/>
      <c r="BG81" s="217"/>
      <c r="BH81" s="217"/>
      <c r="BI81" s="217"/>
      <c r="BJ81" s="217"/>
      <c r="BK81" s="217"/>
      <c r="BL81" s="217"/>
      <c r="BM81" s="217"/>
      <c r="BN81" s="217"/>
      <c r="BO81" s="217"/>
      <c r="BP81" s="217"/>
      <c r="BQ81" s="217"/>
      <c r="BR81" s="217"/>
      <c r="BS81" s="217"/>
      <c r="BT81" s="217"/>
      <c r="BU81" s="217"/>
      <c r="BV81" s="217"/>
      <c r="BW81" s="217"/>
      <c r="BX81" s="217"/>
      <c r="BY81" s="217"/>
      <c r="BZ81" s="217"/>
      <c r="CA81" s="217"/>
      <c r="CB81" s="217"/>
      <c r="CC81" s="217"/>
      <c r="CD81" s="217"/>
      <c r="CE81" s="217"/>
      <c r="CF81" s="217"/>
      <c r="CG81" s="217"/>
      <c r="CH81" s="217"/>
      <c r="CI81" s="217"/>
      <c r="CJ81" s="217"/>
      <c r="CO81" s="214"/>
      <c r="DK81" s="43"/>
      <c r="DL81" s="211"/>
      <c r="DM81" s="211"/>
      <c r="DN81" s="211"/>
      <c r="DO81" s="211"/>
      <c r="DP81" s="211"/>
      <c r="DQ81" s="211"/>
      <c r="DR81" s="211"/>
      <c r="DS81" s="211"/>
      <c r="DT81" s="211"/>
      <c r="DU81" s="211"/>
      <c r="DV81" s="211"/>
      <c r="DW81" s="211"/>
      <c r="DX81" s="211"/>
      <c r="DY81" s="211"/>
      <c r="DZ81" s="211"/>
      <c r="EA81"/>
      <c r="EB81"/>
      <c r="EC81"/>
      <c r="ED81"/>
      <c r="EE81"/>
      <c r="EF81"/>
    </row>
    <row r="82" spans="1:136">
      <c r="A82" s="219" t="s">
        <v>176</v>
      </c>
      <c r="B82" s="212"/>
      <c r="C82" s="212">
        <f t="shared" ref="C82:AA82" si="92">C10/B10-1</f>
        <v>-1.0186604644891628E-2</v>
      </c>
      <c r="D82" s="212">
        <f t="shared" si="92"/>
        <v>1.2198485029385919E-2</v>
      </c>
      <c r="E82" s="212">
        <f t="shared" si="92"/>
        <v>4.3299801500521484E-2</v>
      </c>
      <c r="F82" s="212">
        <f t="shared" si="92"/>
        <v>3.7342792647533152E-2</v>
      </c>
      <c r="G82" s="212">
        <f t="shared" si="92"/>
        <v>6.0463814971400076E-2</v>
      </c>
      <c r="H82" s="212">
        <f t="shared" si="92"/>
        <v>7.1233840471374155E-3</v>
      </c>
      <c r="I82" s="212">
        <f t="shared" si="92"/>
        <v>-0.41954825940156015</v>
      </c>
      <c r="J82" s="212">
        <f t="shared" si="92"/>
        <v>0.21472269581787184</v>
      </c>
      <c r="K82" s="212">
        <f t="shared" si="92"/>
        <v>-4.6070013210039673E-2</v>
      </c>
      <c r="L82" s="212">
        <f t="shared" si="92"/>
        <v>0.36268824649472053</v>
      </c>
      <c r="M82" s="212">
        <f t="shared" si="92"/>
        <v>0.13722252215059227</v>
      </c>
      <c r="N82" s="212">
        <f t="shared" si="92"/>
        <v>-2.2200502652890308E-2</v>
      </c>
      <c r="O82" s="212">
        <f t="shared" si="92"/>
        <v>8.1108096530058127E-3</v>
      </c>
      <c r="P82" s="212">
        <f t="shared" si="92"/>
        <v>-0.15838975608374173</v>
      </c>
      <c r="Q82" s="212">
        <f t="shared" si="92"/>
        <v>-0.1177124007001481</v>
      </c>
      <c r="R82" s="212">
        <f t="shared" si="92"/>
        <v>-3.5900957613215878E-2</v>
      </c>
      <c r="S82" s="212">
        <f t="shared" si="92"/>
        <v>1.4087851206964874E-2</v>
      </c>
      <c r="T82" s="212">
        <f ca="1">T10/S10-1</f>
        <v>5.0289581489847412E-2</v>
      </c>
      <c r="U82" s="212">
        <f t="shared" ca="1" si="92"/>
        <v>2.4065295403035369E-2</v>
      </c>
      <c r="V82" s="212">
        <f t="shared" ca="1" si="92"/>
        <v>2.8709802874952617E-2</v>
      </c>
      <c r="W82" s="212">
        <f t="shared" ca="1" si="92"/>
        <v>3.2119583571945665E-2</v>
      </c>
      <c r="X82" s="212">
        <f t="shared" ca="1" si="92"/>
        <v>3.1104213947549919E-2</v>
      </c>
      <c r="Y82" s="212">
        <f t="shared" ca="1" si="92"/>
        <v>3.0209318715685995E-2</v>
      </c>
      <c r="Z82" s="212">
        <f t="shared" ca="1" si="92"/>
        <v>2.9423659210337849E-2</v>
      </c>
      <c r="AA82" s="212">
        <f t="shared" ca="1" si="92"/>
        <v>2.8737032765726367E-2</v>
      </c>
      <c r="AB82" s="219"/>
      <c r="AC82" s="212"/>
      <c r="AD82" s="212"/>
      <c r="AE82" s="212"/>
      <c r="AF82" s="212"/>
      <c r="AG82" s="212">
        <f t="shared" ref="AG82:AP83" si="93">AG10/AC10-1</f>
        <v>9.7678493210687778E-2</v>
      </c>
      <c r="AH82" s="212">
        <f t="shared" si="93"/>
        <v>3.5270541082164319E-2</v>
      </c>
      <c r="AI82" s="212">
        <f t="shared" si="93"/>
        <v>6.774605879846618E-2</v>
      </c>
      <c r="AJ82" s="212">
        <f t="shared" si="93"/>
        <v>8.1126382836071098E-2</v>
      </c>
      <c r="AK82" s="212">
        <f t="shared" si="93"/>
        <v>-1.0375099760574602E-2</v>
      </c>
      <c r="AL82" s="212">
        <f t="shared" si="93"/>
        <v>3.5230352303523116E-2</v>
      </c>
      <c r="AM82" s="212">
        <f t="shared" si="93"/>
        <v>5.8260175578611406E-2</v>
      </c>
      <c r="AN82" s="212">
        <f t="shared" si="93"/>
        <v>6.4186046511627959E-2</v>
      </c>
      <c r="AO82" s="212">
        <f t="shared" si="93"/>
        <v>0.1411290322580645</v>
      </c>
      <c r="AP82" s="212">
        <f t="shared" si="93"/>
        <v>0.1518324607329844</v>
      </c>
      <c r="AQ82" s="212">
        <f t="shared" ref="AQ82:AZ83" si="94">AQ10/AM10-1</f>
        <v>0.17609351432880849</v>
      </c>
      <c r="AR82" s="212">
        <f t="shared" si="94"/>
        <v>0.16462703962703973</v>
      </c>
      <c r="AS82" s="212">
        <f t="shared" si="94"/>
        <v>0.51024734982332154</v>
      </c>
      <c r="AT82" s="212">
        <f t="shared" si="94"/>
        <v>0.50292207792207799</v>
      </c>
      <c r="AU82" s="212">
        <f t="shared" si="94"/>
        <v>0.43411349791599863</v>
      </c>
      <c r="AV82" s="212">
        <f t="shared" si="94"/>
        <v>0.15086314736052042</v>
      </c>
      <c r="AW82" s="212">
        <f t="shared" si="94"/>
        <v>-0.13897987833411329</v>
      </c>
      <c r="AX82" s="212">
        <f t="shared" si="94"/>
        <v>-0.13912292071721755</v>
      </c>
      <c r="AY82" s="212">
        <f t="shared" si="94"/>
        <v>-0.10015649452269171</v>
      </c>
      <c r="AZ82" s="212">
        <f t="shared" si="94"/>
        <v>9.4347826086956577E-2</v>
      </c>
      <c r="BA82" s="212">
        <f t="shared" ref="BA82:BD83" si="95">BA10/AW10-1</f>
        <v>0.52989130434782616</v>
      </c>
      <c r="BB82" s="212">
        <f t="shared" si="95"/>
        <v>0.52873274780426605</v>
      </c>
      <c r="BC82" s="212">
        <f t="shared" si="95"/>
        <v>0.47602484472049689</v>
      </c>
      <c r="BD82" s="212">
        <f t="shared" si="95"/>
        <v>0.49562971791815658</v>
      </c>
      <c r="BE82" s="212"/>
      <c r="BF82" s="212"/>
      <c r="BG82" s="212"/>
      <c r="BH82" s="212"/>
      <c r="BI82" s="212">
        <f t="shared" ref="BI82:BR83" si="96">BI10/BE10-1</f>
        <v>5.8241758241758257E-2</v>
      </c>
      <c r="BJ82" s="212">
        <f t="shared" si="96"/>
        <v>-6.9409582014623994E-2</v>
      </c>
      <c r="BK82" s="212">
        <f t="shared" si="96"/>
        <v>-5.1492367281840923E-2</v>
      </c>
      <c r="BL82" s="212">
        <f t="shared" si="96"/>
        <v>-1.9010228329372825E-2</v>
      </c>
      <c r="BM82" s="212">
        <f t="shared" si="96"/>
        <v>8.8842736817815737E-3</v>
      </c>
      <c r="BN82" s="212">
        <f t="shared" si="96"/>
        <v>7.9746686994253135E-3</v>
      </c>
      <c r="BO82" s="212">
        <f t="shared" si="96"/>
        <v>1.753543117943801E-2</v>
      </c>
      <c r="BP82" s="212">
        <f t="shared" si="96"/>
        <v>-7.3723012111637232E-4</v>
      </c>
      <c r="BQ82" s="212">
        <f t="shared" si="96"/>
        <v>-0.14021043000914912</v>
      </c>
      <c r="BR82" s="212">
        <f t="shared" si="96"/>
        <v>-0.14962187318208264</v>
      </c>
      <c r="BS82" s="212">
        <f t="shared" ref="BS82:CB83" si="97">BS10/BO10-1</f>
        <v>-0.13951841359773376</v>
      </c>
      <c r="BT82" s="212">
        <f t="shared" si="97"/>
        <v>-0.19993676222596968</v>
      </c>
      <c r="BU82" s="212">
        <f t="shared" si="97"/>
        <v>-0.11479116786379351</v>
      </c>
      <c r="BV82" s="212">
        <f t="shared" si="97"/>
        <v>-0.13175537009166782</v>
      </c>
      <c r="BW82" s="212">
        <f t="shared" si="97"/>
        <v>-0.12263374485596712</v>
      </c>
      <c r="BX82" s="212">
        <f t="shared" si="97"/>
        <v>-0.10235805559214861</v>
      </c>
      <c r="BY82" s="212">
        <f t="shared" si="97"/>
        <v>-5.2141247182569517E-2</v>
      </c>
      <c r="BZ82" s="212">
        <f t="shared" si="97"/>
        <v>-3.1043176804286143E-2</v>
      </c>
      <c r="CA82" s="212">
        <f t="shared" si="97"/>
        <v>-2.5171982489055611E-2</v>
      </c>
      <c r="CB82" s="212">
        <f t="shared" si="97"/>
        <v>-3.4634575873202178E-2</v>
      </c>
      <c r="CC82" s="212">
        <f t="shared" ref="CC82:CF83" si="98">CC10/BY10-1</f>
        <v>-4.7558655675332684E-3</v>
      </c>
      <c r="CD82" s="212">
        <f t="shared" si="98"/>
        <v>-4.4397463002114113E-2</v>
      </c>
      <c r="CE82" s="212">
        <f t="shared" si="98"/>
        <v>4.4426623897353634E-2</v>
      </c>
      <c r="CF82" s="212">
        <f t="shared" si="98"/>
        <v>5.8072362420188428E-2</v>
      </c>
      <c r="CG82" s="212">
        <f t="shared" ref="CG82:CJ83" si="99">CG10/CC10-1</f>
        <v>6.8621062211033923E-2</v>
      </c>
      <c r="CH82" s="212">
        <f t="shared" si="99"/>
        <v>7.6183421834233656E-2</v>
      </c>
      <c r="CI82" s="212">
        <f t="shared" ca="1" si="99"/>
        <v>2.8946713759213871E-2</v>
      </c>
      <c r="CJ82" s="212">
        <f t="shared" si="99"/>
        <v>3.1862499999999905E-2</v>
      </c>
      <c r="CO82" s="220"/>
      <c r="DK82" s="43"/>
      <c r="DL82" s="211"/>
      <c r="DM82" s="211"/>
      <c r="DN82" s="211"/>
      <c r="DO82" s="211"/>
      <c r="DP82" s="211"/>
      <c r="DQ82" s="211"/>
      <c r="DR82" s="211"/>
      <c r="DS82" s="211"/>
      <c r="DT82" s="211"/>
      <c r="DU82" s="211"/>
      <c r="DV82" s="211"/>
      <c r="DW82" s="211"/>
      <c r="DX82" s="211"/>
      <c r="DY82" s="211"/>
      <c r="DZ82" s="211"/>
    </row>
    <row r="83" spans="1:136">
      <c r="A83" s="219" t="s">
        <v>177</v>
      </c>
      <c r="B83" s="212"/>
      <c r="C83" s="212">
        <f t="shared" ref="C83:AA83" si="100">C11/B11-1</f>
        <v>-3.1055215400739189E-2</v>
      </c>
      <c r="D83" s="212">
        <f t="shared" si="100"/>
        <v>8.7669361266082824E-3</v>
      </c>
      <c r="E83" s="212">
        <f t="shared" si="100"/>
        <v>6.2528216704288875E-2</v>
      </c>
      <c r="F83" s="212">
        <f t="shared" si="100"/>
        <v>7.7172296579562261E-2</v>
      </c>
      <c r="G83" s="212">
        <f t="shared" si="100"/>
        <v>7.7116512992456032E-2</v>
      </c>
      <c r="H83" s="212">
        <f t="shared" si="100"/>
        <v>4.3488212405584648E-3</v>
      </c>
      <c r="I83" s="212">
        <f t="shared" si="100"/>
        <v>-0.41900638103919785</v>
      </c>
      <c r="J83" s="212">
        <f t="shared" si="100"/>
        <v>0.25974739154310811</v>
      </c>
      <c r="K83" s="212">
        <f t="shared" si="100"/>
        <v>-9.6711919292564508E-2</v>
      </c>
      <c r="L83" s="212">
        <f t="shared" si="100"/>
        <v>0.34898310927266452</v>
      </c>
      <c r="M83" s="212">
        <f t="shared" si="100"/>
        <v>0.15280829968825071</v>
      </c>
      <c r="N83" s="212">
        <f t="shared" si="100"/>
        <v>-3.0101520592277331E-2</v>
      </c>
      <c r="O83" s="212">
        <f t="shared" si="100"/>
        <v>1.2386872657464076E-2</v>
      </c>
      <c r="P83" s="212">
        <f t="shared" si="100"/>
        <v>-0.15057113187954307</v>
      </c>
      <c r="Q83" s="212">
        <f t="shared" si="100"/>
        <v>-0.15398107792069737</v>
      </c>
      <c r="R83" s="212">
        <f t="shared" si="100"/>
        <v>-4.6805302506753743E-2</v>
      </c>
      <c r="S83" s="212">
        <f t="shared" si="100"/>
        <v>1.8257316108621247E-2</v>
      </c>
      <c r="T83" s="212">
        <f t="shared" ca="1" si="100"/>
        <v>4.3320917934857706E-2</v>
      </c>
      <c r="U83" s="212">
        <f t="shared" ca="1" si="100"/>
        <v>1.5515233792880556E-2</v>
      </c>
      <c r="V83" s="212">
        <f t="shared" ca="1" si="100"/>
        <v>2.0048650485637864E-2</v>
      </c>
      <c r="W83" s="212">
        <f t="shared" ca="1" si="100"/>
        <v>2.8614125281086089E-2</v>
      </c>
      <c r="X83" s="212">
        <f t="shared" ca="1" si="100"/>
        <v>2.8468755669255996E-2</v>
      </c>
      <c r="Y83" s="212">
        <f t="shared" ca="1" si="100"/>
        <v>2.7569400232583252E-2</v>
      </c>
      <c r="Z83" s="212">
        <f t="shared" ca="1" si="100"/>
        <v>2.7660537715882505E-2</v>
      </c>
      <c r="AA83" s="212">
        <f t="shared" ca="1" si="100"/>
        <v>2.6972064366099557E-2</v>
      </c>
      <c r="AB83" s="219"/>
      <c r="AC83" s="212"/>
      <c r="AD83" s="212"/>
      <c r="AE83" s="212"/>
      <c r="AF83" s="212"/>
      <c r="AG83" s="212">
        <f t="shared" si="93"/>
        <v>7.4978938500421144E-2</v>
      </c>
      <c r="AH83" s="212">
        <f t="shared" si="93"/>
        <v>1.9717765319930303E-2</v>
      </c>
      <c r="AI83" s="212">
        <f t="shared" si="93"/>
        <v>5.5611934239902627E-2</v>
      </c>
      <c r="AJ83" s="212">
        <f t="shared" si="93"/>
        <v>0.10983170947741372</v>
      </c>
      <c r="AK83" s="212">
        <f t="shared" si="93"/>
        <v>1.7045454545454586E-2</v>
      </c>
      <c r="AL83" s="212">
        <f t="shared" si="93"/>
        <v>3.0331753554502461E-2</v>
      </c>
      <c r="AM83" s="212">
        <f t="shared" si="93"/>
        <v>8.0753701211304652E-3</v>
      </c>
      <c r="AN83" s="212">
        <f t="shared" si="93"/>
        <v>-3.0965682362330438E-2</v>
      </c>
      <c r="AO83" s="212">
        <f t="shared" si="93"/>
        <v>5.5047197071855125E-2</v>
      </c>
      <c r="AP83" s="212">
        <f t="shared" si="93"/>
        <v>8.0358785648574127E-2</v>
      </c>
      <c r="AQ83" s="212">
        <f t="shared" si="94"/>
        <v>0.12888613389280956</v>
      </c>
      <c r="AR83" s="212">
        <f t="shared" si="94"/>
        <v>0.14425135891945318</v>
      </c>
      <c r="AS83" s="212">
        <f t="shared" si="94"/>
        <v>0.25640206326744885</v>
      </c>
      <c r="AT83" s="212">
        <f t="shared" si="94"/>
        <v>0.20866862519691742</v>
      </c>
      <c r="AU83" s="212">
        <f t="shared" si="94"/>
        <v>0.1978880675818373</v>
      </c>
      <c r="AV83" s="212">
        <f t="shared" si="94"/>
        <v>4.9123690934609776E-2</v>
      </c>
      <c r="AW83" s="212">
        <f t="shared" si="94"/>
        <v>-0.10899578549629418</v>
      </c>
      <c r="AX83" s="212">
        <f t="shared" si="94"/>
        <v>-8.4542764548400706E-2</v>
      </c>
      <c r="AY83" s="212">
        <f t="shared" si="94"/>
        <v>-0.11678420310296189</v>
      </c>
      <c r="AZ83" s="212">
        <f t="shared" si="94"/>
        <v>-5.3787047200878124E-2</v>
      </c>
      <c r="BA83" s="212">
        <f t="shared" si="95"/>
        <v>0.17908987114663177</v>
      </c>
      <c r="BB83" s="212">
        <f t="shared" si="95"/>
        <v>0.16961674619054956</v>
      </c>
      <c r="BC83" s="212">
        <f t="shared" si="95"/>
        <v>0.20440753752794638</v>
      </c>
      <c r="BD83" s="212">
        <f t="shared" si="95"/>
        <v>0.30147911832946628</v>
      </c>
      <c r="BE83" s="212"/>
      <c r="BF83" s="212"/>
      <c r="BG83" s="212"/>
      <c r="BH83" s="212"/>
      <c r="BI83" s="212">
        <f t="shared" si="96"/>
        <v>7.8078671674243871E-2</v>
      </c>
      <c r="BJ83" s="212">
        <f t="shared" si="96"/>
        <v>-8.8801099278598472E-2</v>
      </c>
      <c r="BK83" s="212">
        <f t="shared" si="96"/>
        <v>-5.3630062021160163E-2</v>
      </c>
      <c r="BL83" s="212">
        <f t="shared" si="96"/>
        <v>-4.2460445592508833E-2</v>
      </c>
      <c r="BM83" s="212">
        <f t="shared" si="96"/>
        <v>8.8008800880088334E-3</v>
      </c>
      <c r="BN83" s="212">
        <f t="shared" si="96"/>
        <v>1.1121583411875635E-2</v>
      </c>
      <c r="BO83" s="212">
        <f t="shared" si="96"/>
        <v>2.4094063222821926E-2</v>
      </c>
      <c r="BP83" s="212">
        <f t="shared" si="96"/>
        <v>6.5756196256954169E-3</v>
      </c>
      <c r="BQ83" s="212">
        <f t="shared" si="96"/>
        <v>-0.13213376953834965</v>
      </c>
      <c r="BR83" s="212">
        <f t="shared" si="96"/>
        <v>-0.13907531692766595</v>
      </c>
      <c r="BS83" s="212">
        <f t="shared" si="97"/>
        <v>-0.14059853190287974</v>
      </c>
      <c r="BT83" s="212">
        <f t="shared" si="97"/>
        <v>-0.18676716917922953</v>
      </c>
      <c r="BU83" s="212">
        <f t="shared" si="97"/>
        <v>-0.14157068062827227</v>
      </c>
      <c r="BV83" s="212">
        <f t="shared" si="97"/>
        <v>-0.16803811173668259</v>
      </c>
      <c r="BW83" s="212">
        <f t="shared" si="97"/>
        <v>-0.15659220324134915</v>
      </c>
      <c r="BX83" s="212">
        <f t="shared" si="97"/>
        <v>-0.1503604531410917</v>
      </c>
      <c r="BY83" s="212">
        <f t="shared" si="97"/>
        <v>-8.7094413271529669E-2</v>
      </c>
      <c r="BZ83" s="212">
        <f t="shared" si="97"/>
        <v>-4.0343571056741245E-2</v>
      </c>
      <c r="CA83" s="212">
        <f t="shared" si="97"/>
        <v>-2.8304336535964647E-2</v>
      </c>
      <c r="CB83" s="212">
        <f t="shared" si="97"/>
        <v>-3.006060606060601E-2</v>
      </c>
      <c r="CC83" s="212">
        <f t="shared" si="98"/>
        <v>-2.4051309460181303E-3</v>
      </c>
      <c r="CD83" s="212">
        <f t="shared" si="98"/>
        <v>-4.0954705722809903E-2</v>
      </c>
      <c r="CE83" s="212">
        <f t="shared" si="98"/>
        <v>5.2378407268840244E-2</v>
      </c>
      <c r="CF83" s="212">
        <f t="shared" si="98"/>
        <v>6.0234941264683872E-2</v>
      </c>
      <c r="CG83" s="212">
        <f t="shared" si="99"/>
        <v>6.32295783948853E-2</v>
      </c>
      <c r="CH83" s="212">
        <f t="shared" si="99"/>
        <v>7.0818330951853969E-2</v>
      </c>
      <c r="CI83" s="212">
        <f t="shared" ca="1" si="99"/>
        <v>1.1931728995374202E-2</v>
      </c>
      <c r="CJ83" s="212">
        <f t="shared" ca="1" si="99"/>
        <v>3.2019820367272578E-2</v>
      </c>
      <c r="CO83" s="220"/>
      <c r="DK83" s="43"/>
      <c r="DL83" s="211"/>
      <c r="DM83" s="211"/>
      <c r="DN83" s="211"/>
      <c r="DO83" s="211"/>
      <c r="DP83" s="211"/>
      <c r="DQ83" s="211"/>
      <c r="DR83" s="211"/>
      <c r="DS83" s="211"/>
      <c r="DT83" s="211"/>
      <c r="DU83" s="211"/>
      <c r="DV83" s="211"/>
      <c r="DW83" s="211"/>
      <c r="DX83" s="211"/>
      <c r="DY83" s="211"/>
      <c r="DZ83" s="211"/>
    </row>
    <row r="84" spans="1:136">
      <c r="A84" s="219" t="s">
        <v>178</v>
      </c>
      <c r="B84" s="212"/>
      <c r="C84" s="212">
        <f t="shared" ref="C84:AA84" si="101">C13/B13-1</f>
        <v>2.2603050788698287E-2</v>
      </c>
      <c r="D84" s="212">
        <f t="shared" si="101"/>
        <v>1.7307362091413703E-2</v>
      </c>
      <c r="E84" s="212">
        <f t="shared" si="101"/>
        <v>1.4912938432058542E-2</v>
      </c>
      <c r="F84" s="212">
        <f t="shared" si="101"/>
        <v>-2.4216056476769054E-2</v>
      </c>
      <c r="G84" s="212">
        <f t="shared" si="101"/>
        <v>3.2051821317405471E-2</v>
      </c>
      <c r="H84" s="212">
        <f t="shared" si="101"/>
        <v>1.2063906097163457E-2</v>
      </c>
      <c r="I84" s="212">
        <f t="shared" si="101"/>
        <v>-0.42050579896907214</v>
      </c>
      <c r="J84" s="212">
        <f t="shared" si="101"/>
        <v>0.13495482974287709</v>
      </c>
      <c r="K84" s="212">
        <f t="shared" si="101"/>
        <v>5.351457261817294E-2</v>
      </c>
      <c r="L84" s="212">
        <f t="shared" si="101"/>
        <v>0.38579565267929783</v>
      </c>
      <c r="M84" s="212">
        <f t="shared" si="101"/>
        <v>0.11164234188894473</v>
      </c>
      <c r="N84" s="212">
        <f t="shared" si="101"/>
        <v>-8.7527352297592786E-3</v>
      </c>
      <c r="O84" s="212">
        <f t="shared" si="101"/>
        <v>9.8957143944589099E-4</v>
      </c>
      <c r="P84" s="212">
        <f t="shared" si="101"/>
        <v>-0.17155893536121669</v>
      </c>
      <c r="Q84" s="212">
        <f t="shared" si="101"/>
        <v>-5.5076188727740005E-2</v>
      </c>
      <c r="R84" s="212">
        <f t="shared" si="101"/>
        <v>-1.9040217602486864E-2</v>
      </c>
      <c r="S84" s="212">
        <f t="shared" si="101"/>
        <v>7.8233313527431569E-3</v>
      </c>
      <c r="T84" s="212">
        <f t="shared" ca="1" si="101"/>
        <v>6.0868227776673889E-2</v>
      </c>
      <c r="U84" s="212">
        <f t="shared" ca="1" si="101"/>
        <v>3.6829869092582346E-2</v>
      </c>
      <c r="V84" s="212">
        <f t="shared" ca="1" si="101"/>
        <v>4.1374409167061366E-2</v>
      </c>
      <c r="W84" s="212">
        <f t="shared" ca="1" si="101"/>
        <v>3.714040530800844E-2</v>
      </c>
      <c r="X84" s="212">
        <f t="shared" ca="1" si="101"/>
        <v>3.4847914238541389E-2</v>
      </c>
      <c r="Y84" s="212">
        <f t="shared" ca="1" si="101"/>
        <v>3.3936238268977181E-2</v>
      </c>
      <c r="Z84" s="212">
        <f t="shared" ca="1" si="101"/>
        <v>3.1897428237948056E-2</v>
      </c>
      <c r="AA84" s="212">
        <f t="shared" ca="1" si="101"/>
        <v>3.12032253732204E-2</v>
      </c>
      <c r="AB84" s="219"/>
      <c r="AC84" s="212"/>
      <c r="AD84" s="212"/>
      <c r="AE84" s="212"/>
      <c r="AF84" s="212"/>
      <c r="AG84" s="212">
        <f t="shared" ref="AG84:BD84" si="102">AG13/AC13-1</f>
        <v>4.5277679518924696E-2</v>
      </c>
      <c r="AH84" s="212">
        <f t="shared" si="102"/>
        <v>4.832076764907467E-2</v>
      </c>
      <c r="AI84" s="212">
        <f t="shared" si="102"/>
        <v>2.3289143676101798E-2</v>
      </c>
      <c r="AJ84" s="212">
        <f t="shared" si="102"/>
        <v>8.2510353615801169E-2</v>
      </c>
      <c r="AK84" s="212">
        <f t="shared" si="102"/>
        <v>-7.7834179357022526E-3</v>
      </c>
      <c r="AL84" s="212">
        <f t="shared" si="102"/>
        <v>4.0863027133050123E-2</v>
      </c>
      <c r="AM84" s="212">
        <f t="shared" si="102"/>
        <v>5.0420168067226934E-2</v>
      </c>
      <c r="AN84" s="212">
        <f t="shared" si="102"/>
        <v>-2.8840494408475581E-2</v>
      </c>
      <c r="AO84" s="212">
        <f t="shared" si="102"/>
        <v>4.0586630286493897E-2</v>
      </c>
      <c r="AP84" s="212">
        <f t="shared" si="102"/>
        <v>-1.8768059045226131</v>
      </c>
      <c r="AQ84" s="212">
        <f t="shared" si="102"/>
        <v>-1.9332500000000001</v>
      </c>
      <c r="AR84" s="212">
        <f t="shared" si="102"/>
        <v>-1.8938636363636365</v>
      </c>
      <c r="AS84" s="212">
        <f t="shared" si="102"/>
        <v>-1.8544739429695181</v>
      </c>
      <c r="AT84" s="212">
        <f t="shared" si="102"/>
        <v>-0.11596668756156536</v>
      </c>
      <c r="AU84" s="212">
        <f t="shared" si="102"/>
        <v>-6.5273685150459837E-2</v>
      </c>
      <c r="AV84" s="212">
        <f t="shared" si="102"/>
        <v>-8.8736333587592142E-2</v>
      </c>
      <c r="AW84" s="212">
        <f t="shared" si="102"/>
        <v>-5.9838895281933202E-2</v>
      </c>
      <c r="AX84" s="212">
        <f t="shared" si="102"/>
        <v>1.7828200972447306E-2</v>
      </c>
      <c r="AY84" s="212">
        <f t="shared" si="102"/>
        <v>-0.14520443255636228</v>
      </c>
      <c r="AZ84" s="212">
        <f t="shared" si="102"/>
        <v>-0.30729166666666663</v>
      </c>
      <c r="BA84" s="212">
        <f t="shared" si="102"/>
        <v>-0.34761321909424725</v>
      </c>
      <c r="BB84" s="212">
        <f t="shared" si="102"/>
        <v>-0.40007961783439494</v>
      </c>
      <c r="BC84" s="212">
        <f t="shared" si="102"/>
        <v>-0.28430934286991505</v>
      </c>
      <c r="BD84" s="212">
        <f t="shared" si="102"/>
        <v>-0.22341568206229856</v>
      </c>
      <c r="BE84" s="212"/>
      <c r="BF84" s="212"/>
      <c r="BG84" s="212"/>
      <c r="BH84" s="212"/>
      <c r="BI84" s="212">
        <f t="shared" ref="BI84:CF84" si="103">BI13/BE13-1</f>
        <v>2.6189715745768227E-2</v>
      </c>
      <c r="BJ84" s="212">
        <f t="shared" si="103"/>
        <v>-3.5618078419634824E-2</v>
      </c>
      <c r="BK84" s="212">
        <f t="shared" si="103"/>
        <v>-4.7936893203883502E-2</v>
      </c>
      <c r="BL84" s="212">
        <f t="shared" si="103"/>
        <v>2.2668579626972774E-2</v>
      </c>
      <c r="BM84" s="212">
        <f t="shared" si="103"/>
        <v>9.0258325552443619E-3</v>
      </c>
      <c r="BN84" s="212">
        <f t="shared" si="103"/>
        <v>2.7932960893854997E-3</v>
      </c>
      <c r="BO84" s="212">
        <f t="shared" si="103"/>
        <v>6.6921606118546251E-3</v>
      </c>
      <c r="BP84" s="212">
        <f t="shared" si="103"/>
        <v>-1.290684624017957E-2</v>
      </c>
      <c r="BQ84" s="212">
        <f t="shared" si="103"/>
        <v>-0.15391733497840843</v>
      </c>
      <c r="BR84" s="212">
        <f t="shared" si="103"/>
        <v>-0.16713091922005574</v>
      </c>
      <c r="BS84" s="212">
        <f t="shared" si="103"/>
        <v>-0.13770180436847101</v>
      </c>
      <c r="BT84" s="212">
        <f t="shared" si="103"/>
        <v>-0.22228538942581011</v>
      </c>
      <c r="BU84" s="212">
        <f t="shared" si="103"/>
        <v>-6.8173532628508893E-2</v>
      </c>
      <c r="BV84" s="212">
        <f t="shared" si="103"/>
        <v>-6.9490895577852152E-2</v>
      </c>
      <c r="BW84" s="212">
        <f t="shared" si="103"/>
        <v>-6.5712187958884005E-2</v>
      </c>
      <c r="BX84" s="212">
        <f t="shared" si="103"/>
        <v>-1.7178362573099459E-2</v>
      </c>
      <c r="BY84" s="212">
        <f t="shared" si="103"/>
        <v>3.9123630672925902E-3</v>
      </c>
      <c r="BZ84" s="212">
        <f t="shared" si="103"/>
        <v>-1.6773162939297093E-2</v>
      </c>
      <c r="CA84" s="212">
        <f t="shared" si="103"/>
        <v>-2.0432220039292681E-2</v>
      </c>
      <c r="CB84" s="212">
        <f t="shared" si="103"/>
        <v>-4.1651171439196721E-2</v>
      </c>
      <c r="CC84" s="212">
        <f t="shared" si="103"/>
        <v>-8.1839438815276555E-3</v>
      </c>
      <c r="CD84" s="212">
        <f t="shared" si="103"/>
        <v>-4.9553208773355006E-2</v>
      </c>
      <c r="CE84" s="212">
        <f t="shared" si="103"/>
        <v>3.2490974729241895E-2</v>
      </c>
      <c r="CF84" s="212">
        <f t="shared" si="103"/>
        <v>5.4714784633294489E-2</v>
      </c>
      <c r="CG84" s="212">
        <f>CG13/CC13-1</f>
        <v>7.6529277961793207E-2</v>
      </c>
      <c r="CH84" s="212">
        <f>CH13/CD13-1</f>
        <v>8.4290670278718283E-2</v>
      </c>
      <c r="CI84" s="212">
        <f ca="1">CI13/CE13-1</f>
        <v>5.4978186175686394E-2</v>
      </c>
      <c r="CJ84" s="212">
        <f ca="1">CJ13/CF13-1</f>
        <v>3.1616969095669356E-2</v>
      </c>
      <c r="CO84" s="220"/>
      <c r="DK84" s="43"/>
      <c r="DL84" s="211"/>
      <c r="DM84" s="211"/>
      <c r="DN84" s="211"/>
      <c r="DO84" s="211"/>
      <c r="DP84" s="211"/>
      <c r="DQ84" s="211"/>
      <c r="DR84" s="211"/>
      <c r="DS84" s="211"/>
      <c r="DT84" s="211"/>
      <c r="DU84" s="211"/>
      <c r="DV84" s="211"/>
      <c r="DW84" s="211"/>
      <c r="DX84" s="211"/>
      <c r="DY84" s="211"/>
      <c r="DZ84" s="211"/>
    </row>
    <row r="85" spans="1:136">
      <c r="A85" s="219" t="s">
        <v>179</v>
      </c>
      <c r="B85" s="212"/>
      <c r="C85" s="212">
        <f t="shared" ref="C85:AA85" si="104">C16/B16-1</f>
        <v>-4.4206583809203615E-2</v>
      </c>
      <c r="D85" s="212">
        <f t="shared" si="104"/>
        <v>-2.2631991247618832E-2</v>
      </c>
      <c r="E85" s="212">
        <f t="shared" si="104"/>
        <v>8.2524271844660158E-2</v>
      </c>
      <c r="F85" s="212">
        <f t="shared" si="104"/>
        <v>3.8365719980069768E-2</v>
      </c>
      <c r="G85" s="212">
        <f t="shared" si="104"/>
        <v>9.7248880358285383E-2</v>
      </c>
      <c r="H85" s="212">
        <f t="shared" si="104"/>
        <v>1.9096209912536466E-2</v>
      </c>
      <c r="I85" s="212">
        <f t="shared" si="104"/>
        <v>-0.3068230582177085</v>
      </c>
      <c r="J85" s="212">
        <f t="shared" si="104"/>
        <v>0.16763309946347515</v>
      </c>
      <c r="K85" s="212">
        <f t="shared" si="104"/>
        <v>2.5387259536790774E-2</v>
      </c>
      <c r="L85" s="212">
        <f t="shared" si="104"/>
        <v>0.35573940020682526</v>
      </c>
      <c r="M85" s="212">
        <f t="shared" si="104"/>
        <v>7.9455886092041794E-2</v>
      </c>
      <c r="N85" s="212">
        <f t="shared" si="104"/>
        <v>-1.4368154516546938E-2</v>
      </c>
      <c r="O85" s="212">
        <f t="shared" si="104"/>
        <v>1.5533516549169457E-2</v>
      </c>
      <c r="P85" s="212">
        <f t="shared" si="104"/>
        <v>-0.18343334509942344</v>
      </c>
      <c r="Q85" s="212">
        <f t="shared" si="104"/>
        <v>-5.878962536023058E-2</v>
      </c>
      <c r="R85" s="212">
        <f t="shared" si="104"/>
        <v>-9.1243110838946762E-2</v>
      </c>
      <c r="S85" s="212">
        <f t="shared" si="104"/>
        <v>-4.3800539083557966E-2</v>
      </c>
      <c r="T85" s="212">
        <f t="shared" ca="1" si="104"/>
        <v>3.4221094108666694E-2</v>
      </c>
      <c r="U85" s="212">
        <f t="shared" ca="1" si="104"/>
        <v>1.8349482452707289E-2</v>
      </c>
      <c r="V85" s="212">
        <f t="shared" ca="1" si="104"/>
        <v>2.6623337940343994E-2</v>
      </c>
      <c r="W85" s="212">
        <f t="shared" ca="1" si="104"/>
        <v>2.3313984600355386E-2</v>
      </c>
      <c r="X85" s="212">
        <f t="shared" ca="1" si="104"/>
        <v>2.6789472862061903E-2</v>
      </c>
      <c r="Y85" s="212">
        <f t="shared" ca="1" si="104"/>
        <v>3.0391195875569377E-2</v>
      </c>
      <c r="Z85" s="212">
        <f t="shared" ca="1" si="104"/>
        <v>2.7234716329392672E-2</v>
      </c>
      <c r="AA85" s="212">
        <f t="shared" ca="1" si="104"/>
        <v>2.6972774438588587E-2</v>
      </c>
      <c r="AB85" s="219"/>
      <c r="AC85" s="212"/>
      <c r="AD85" s="212"/>
      <c r="AE85" s="212"/>
      <c r="AF85" s="212"/>
      <c r="AG85" s="212">
        <f t="shared" ref="AG85:BD85" si="105">AG16/AC16-1</f>
        <v>0.15368991198375093</v>
      </c>
      <c r="AH85" s="212">
        <f t="shared" si="105"/>
        <v>0.14208754208754204</v>
      </c>
      <c r="AI85" s="212">
        <f t="shared" si="105"/>
        <v>0.15214285714285714</v>
      </c>
      <c r="AJ85" s="212">
        <f t="shared" si="105"/>
        <v>0.100715137067938</v>
      </c>
      <c r="AK85" s="212">
        <f t="shared" si="105"/>
        <v>-2.9342723004694871E-2</v>
      </c>
      <c r="AL85" s="212">
        <f t="shared" si="105"/>
        <v>1.7099056603773644E-2</v>
      </c>
      <c r="AM85" s="212">
        <f t="shared" si="105"/>
        <v>5.6416615003099801E-2</v>
      </c>
      <c r="AN85" s="212">
        <f t="shared" si="105"/>
        <v>3.302652950730911E-2</v>
      </c>
      <c r="AO85" s="212">
        <f t="shared" si="105"/>
        <v>8.8875453446191077E-2</v>
      </c>
      <c r="AP85" s="212">
        <f t="shared" si="105"/>
        <v>-2.8143478260869568</v>
      </c>
      <c r="AQ85" s="212">
        <f t="shared" si="105"/>
        <v>-2.820862676056338</v>
      </c>
      <c r="AR85" s="212">
        <f t="shared" si="105"/>
        <v>-2.7441037735849054</v>
      </c>
      <c r="AS85" s="212">
        <f t="shared" si="105"/>
        <v>-2.6618545252637427</v>
      </c>
      <c r="AT85" s="212">
        <f t="shared" si="105"/>
        <v>-7.2449876188193985E-2</v>
      </c>
      <c r="AU85" s="212">
        <f t="shared" si="105"/>
        <v>2.9812263314801246E-3</v>
      </c>
      <c r="AV85" s="212">
        <f t="shared" si="105"/>
        <v>-5.070993914807298E-2</v>
      </c>
      <c r="AW85" s="212">
        <f t="shared" si="105"/>
        <v>-6.3147343802205103E-2</v>
      </c>
      <c r="AX85" s="212">
        <f t="shared" si="105"/>
        <v>2.4112986565621775E-2</v>
      </c>
      <c r="AY85" s="212">
        <f t="shared" si="105"/>
        <v>-0.1217866323907455</v>
      </c>
      <c r="AZ85" s="212">
        <f t="shared" si="105"/>
        <v>-0.28046850269072487</v>
      </c>
      <c r="BA85" s="212">
        <f t="shared" si="105"/>
        <v>-0.18081312410841655</v>
      </c>
      <c r="BB85" s="212">
        <f t="shared" si="105"/>
        <v>-0.21459804910864444</v>
      </c>
      <c r="BC85" s="212">
        <f t="shared" si="105"/>
        <v>-0.13830954994511524</v>
      </c>
      <c r="BD85" s="212">
        <f t="shared" si="105"/>
        <v>3.0796304443466704E-2</v>
      </c>
      <c r="BE85" s="212"/>
      <c r="BF85" s="212"/>
      <c r="BG85" s="212"/>
      <c r="BH85" s="212"/>
      <c r="BI85" s="212">
        <f t="shared" ref="BI85:CF85" si="106">BI16/BE16-1</f>
        <v>-2.2034692920768872E-2</v>
      </c>
      <c r="BJ85" s="212">
        <f t="shared" si="106"/>
        <v>-2.5274201239866456E-2</v>
      </c>
      <c r="BK85" s="212">
        <f t="shared" si="106"/>
        <v>-6.7919075144508678E-2</v>
      </c>
      <c r="BL85" s="212">
        <f t="shared" si="106"/>
        <v>5.4462242562929086E-2</v>
      </c>
      <c r="BM85" s="212">
        <f t="shared" si="106"/>
        <v>5.6567593480345124E-2</v>
      </c>
      <c r="BN85" s="212">
        <f t="shared" si="106"/>
        <v>5.5772994129158482E-2</v>
      </c>
      <c r="BO85" s="212">
        <f t="shared" si="106"/>
        <v>4.2894056847545325E-2</v>
      </c>
      <c r="BP85" s="212">
        <f t="shared" si="106"/>
        <v>-8.029513888888884E-2</v>
      </c>
      <c r="BQ85" s="212">
        <f t="shared" si="106"/>
        <v>-0.17196007259528134</v>
      </c>
      <c r="BR85" s="212">
        <f t="shared" si="106"/>
        <v>-0.21177015755329009</v>
      </c>
      <c r="BS85" s="212">
        <f t="shared" si="106"/>
        <v>-0.11744301288404357</v>
      </c>
      <c r="BT85" s="212">
        <f t="shared" si="106"/>
        <v>-0.22935346861727235</v>
      </c>
      <c r="BU85" s="212">
        <f t="shared" si="106"/>
        <v>-0.1150684931506849</v>
      </c>
      <c r="BV85" s="212">
        <f t="shared" si="106"/>
        <v>-3.9976484420928826E-2</v>
      </c>
      <c r="BW85" s="212">
        <f t="shared" si="106"/>
        <v>-0.10106681639528359</v>
      </c>
      <c r="BX85" s="212">
        <f t="shared" si="106"/>
        <v>3.0618493570116367E-2</v>
      </c>
      <c r="BY85" s="212">
        <f t="shared" si="106"/>
        <v>-7.8018575851393157E-2</v>
      </c>
      <c r="BZ85" s="212">
        <f t="shared" si="106"/>
        <v>-9.8591549295774628E-2</v>
      </c>
      <c r="CA85" s="212">
        <f t="shared" si="106"/>
        <v>-0.11742660836976893</v>
      </c>
      <c r="CB85" s="212">
        <f t="shared" si="106"/>
        <v>-7.1895424836601274E-2</v>
      </c>
      <c r="CC85" s="212">
        <f t="shared" si="106"/>
        <v>-4.4996642041638668E-2</v>
      </c>
      <c r="CD85" s="212">
        <f t="shared" si="106"/>
        <v>-9.9184782608695676E-2</v>
      </c>
      <c r="CE85" s="212">
        <f t="shared" si="106"/>
        <v>-1.2031139419674486E-2</v>
      </c>
      <c r="CF85" s="212">
        <f t="shared" si="106"/>
        <v>-1.9206145966709331E-2</v>
      </c>
      <c r="CG85" s="212">
        <f>CG16/CC16-1</f>
        <v>6.8361980360447605E-2</v>
      </c>
      <c r="CH85" s="212">
        <f>CH16/CD16-1</f>
        <v>4.5793664710593429E-2</v>
      </c>
      <c r="CI85" s="212">
        <f ca="1">CI16/CE16-1</f>
        <v>4.7315448578951758E-2</v>
      </c>
      <c r="CJ85" s="212">
        <f ca="1">CJ16/CF16-1</f>
        <v>-1.9416822150279178E-2</v>
      </c>
      <c r="CO85" s="220"/>
      <c r="DK85" s="43"/>
      <c r="DL85" s="211"/>
      <c r="DM85" s="211"/>
      <c r="DN85" s="211"/>
      <c r="DO85" s="211"/>
      <c r="DP85" s="211"/>
      <c r="DQ85" s="211"/>
      <c r="DR85" s="211"/>
      <c r="DS85" s="211"/>
      <c r="DT85" s="211"/>
      <c r="DU85" s="211"/>
      <c r="DV85" s="211"/>
      <c r="DW85" s="211"/>
      <c r="DX85" s="211"/>
      <c r="DY85" s="211"/>
      <c r="DZ85" s="211"/>
    </row>
    <row r="86" spans="1:136">
      <c r="A86" s="219" t="s">
        <v>180</v>
      </c>
      <c r="B86" s="212"/>
      <c r="C86" s="212">
        <f t="shared" ref="C86:AA86" si="107">C19/B19-1</f>
        <v>9.3839541547277916E-2</v>
      </c>
      <c r="D86" s="212">
        <f t="shared" si="107"/>
        <v>5.4518664047151333E-2</v>
      </c>
      <c r="E86" s="212">
        <f t="shared" si="107"/>
        <v>-4.3471510634994548E-2</v>
      </c>
      <c r="F86" s="212">
        <f t="shared" si="107"/>
        <v>-8.537575068982306E-2</v>
      </c>
      <c r="G86" s="212">
        <f t="shared" si="107"/>
        <v>-4.0283939662821622E-2</v>
      </c>
      <c r="H86" s="212">
        <f t="shared" si="107"/>
        <v>3.143491124260267E-3</v>
      </c>
      <c r="I86" s="212">
        <f t="shared" si="107"/>
        <v>-0.56700460829493093</v>
      </c>
      <c r="J86" s="212">
        <f t="shared" si="107"/>
        <v>6.7539378458918664E-2</v>
      </c>
      <c r="K86" s="212">
        <f t="shared" si="107"/>
        <v>0.11698203497298265</v>
      </c>
      <c r="L86" s="212">
        <f t="shared" si="107"/>
        <v>0.44805426633345236</v>
      </c>
      <c r="M86" s="212">
        <f t="shared" si="107"/>
        <v>0.17406311637080862</v>
      </c>
      <c r="N86" s="212">
        <f t="shared" si="107"/>
        <v>1.2599748005039935E-3</v>
      </c>
      <c r="O86" s="212">
        <f t="shared" si="107"/>
        <v>-2.4538590604026855E-2</v>
      </c>
      <c r="P86" s="212">
        <f t="shared" si="107"/>
        <v>-0.14986024510857876</v>
      </c>
      <c r="Q86" s="212">
        <f t="shared" si="107"/>
        <v>-4.8558421851289779E-2</v>
      </c>
      <c r="R86" s="212">
        <f t="shared" si="107"/>
        <v>0.10632642211589571</v>
      </c>
      <c r="S86" s="212">
        <f t="shared" si="107"/>
        <v>8.1451225372417113E-2</v>
      </c>
      <c r="T86" s="212">
        <f t="shared" ca="1" si="107"/>
        <v>9.4471678276475846E-2</v>
      </c>
      <c r="U86" s="212">
        <f t="shared" ca="1" si="107"/>
        <v>5.885169325725137E-2</v>
      </c>
      <c r="V86" s="212">
        <f t="shared" ca="1" si="107"/>
        <v>5.8279889278088026E-2</v>
      </c>
      <c r="W86" s="212">
        <f t="shared" ca="1" si="107"/>
        <v>5.2512190466316166E-2</v>
      </c>
      <c r="X86" s="212">
        <f t="shared" ca="1" si="107"/>
        <v>4.3558500060490113E-2</v>
      </c>
      <c r="Y86" s="212">
        <f t="shared" ca="1" si="107"/>
        <v>3.7706594227596035E-2</v>
      </c>
      <c r="Z86" s="212">
        <f t="shared" ca="1" si="107"/>
        <v>3.6821530530358082E-2</v>
      </c>
      <c r="AA86" s="212">
        <f t="shared" ca="1" si="107"/>
        <v>3.5629525183997535E-2</v>
      </c>
      <c r="AB86" s="219"/>
      <c r="AC86" s="212"/>
      <c r="AD86" s="212"/>
      <c r="AE86" s="212"/>
      <c r="AF86" s="212"/>
      <c r="AG86" s="212">
        <f t="shared" ref="AG86:BD86" si="108">AG19/AC19-1</f>
        <v>-7.423580786026196E-2</v>
      </c>
      <c r="AH86" s="212">
        <f t="shared" si="108"/>
        <v>-0.10289389067524113</v>
      </c>
      <c r="AI86" s="212">
        <f t="shared" si="108"/>
        <v>2.5547445255474477E-2</v>
      </c>
      <c r="AJ86" s="212">
        <f t="shared" si="108"/>
        <v>5.8974358974358987E-2</v>
      </c>
      <c r="AK86" s="212">
        <f t="shared" si="108"/>
        <v>0.12264150943396235</v>
      </c>
      <c r="AL86" s="212">
        <f t="shared" si="108"/>
        <v>0</v>
      </c>
      <c r="AM86" s="212">
        <f t="shared" si="108"/>
        <v>7.1174377224199059E-3</v>
      </c>
      <c r="AN86" s="212">
        <f t="shared" si="108"/>
        <v>-4.8426150121065881E-3</v>
      </c>
      <c r="AO86" s="212">
        <f t="shared" si="108"/>
        <v>7.1428571428571397E-2</v>
      </c>
      <c r="AP86" s="212">
        <f t="shared" si="108"/>
        <v>0.21146953405017932</v>
      </c>
      <c r="AQ86" s="212">
        <f t="shared" si="108"/>
        <v>7.067137809187285E-2</v>
      </c>
      <c r="AR86" s="212">
        <f t="shared" si="108"/>
        <v>-8.0291970802919721E-2</v>
      </c>
      <c r="AS86" s="212">
        <f t="shared" si="108"/>
        <v>0.51372549019607838</v>
      </c>
      <c r="AT86" s="212">
        <f t="shared" si="108"/>
        <v>0.28698224852071008</v>
      </c>
      <c r="AU86" s="212">
        <f t="shared" si="108"/>
        <v>0.63366336633663356</v>
      </c>
      <c r="AV86" s="212">
        <f t="shared" si="108"/>
        <v>0.24603174603174605</v>
      </c>
      <c r="AW86" s="212">
        <f t="shared" si="108"/>
        <v>-8.5492227979274582E-2</v>
      </c>
      <c r="AX86" s="212">
        <f t="shared" si="108"/>
        <v>5.9770114942528707E-2</v>
      </c>
      <c r="AY86" s="212">
        <f t="shared" si="108"/>
        <v>2.0202020202020332E-3</v>
      </c>
      <c r="AZ86" s="212">
        <f t="shared" si="108"/>
        <v>-0.12738853503184711</v>
      </c>
      <c r="BA86" s="212">
        <f t="shared" si="108"/>
        <v>0.97733711048158645</v>
      </c>
      <c r="BB86" s="212">
        <f t="shared" si="108"/>
        <v>0.79609544468546645</v>
      </c>
      <c r="BC86" s="212">
        <f t="shared" si="108"/>
        <v>0.52016129032258074</v>
      </c>
      <c r="BD86" s="212">
        <f t="shared" si="108"/>
        <v>1.1824817518248176</v>
      </c>
      <c r="BE86" s="212"/>
      <c r="BF86" s="212"/>
      <c r="BG86" s="212"/>
      <c r="BH86" s="212"/>
      <c r="BI86" s="212">
        <f t="shared" ref="BI86:CF86" si="109">BI19/BE19-1</f>
        <v>0.1292585170340681</v>
      </c>
      <c r="BJ86" s="212">
        <f t="shared" si="109"/>
        <v>-5.3054662379421247E-2</v>
      </c>
      <c r="BK86" s="212">
        <f t="shared" si="109"/>
        <v>-1.3934426229508245E-2</v>
      </c>
      <c r="BL86" s="212">
        <f t="shared" si="109"/>
        <v>-3.0769230769230771E-2</v>
      </c>
      <c r="BM86" s="212">
        <f t="shared" si="109"/>
        <v>-7.8970718722271571E-2</v>
      </c>
      <c r="BN86" s="212">
        <f t="shared" si="109"/>
        <v>-8.9134125636672334E-2</v>
      </c>
      <c r="BO86" s="212">
        <f t="shared" si="109"/>
        <v>-5.1537822111388243E-2</v>
      </c>
      <c r="BP86" s="212">
        <f t="shared" si="109"/>
        <v>0.11031746031746037</v>
      </c>
      <c r="BQ86" s="212">
        <f t="shared" si="109"/>
        <v>-0.11560693641618502</v>
      </c>
      <c r="BR86" s="212">
        <f t="shared" si="109"/>
        <v>-7.7353215284249766E-2</v>
      </c>
      <c r="BS86" s="212">
        <f t="shared" si="109"/>
        <v>-0.17353198948290971</v>
      </c>
      <c r="BT86" s="212">
        <f t="shared" si="109"/>
        <v>-0.21157969978556113</v>
      </c>
      <c r="BU86" s="212">
        <f t="shared" si="109"/>
        <v>2.5054466230936878E-2</v>
      </c>
      <c r="BV86" s="212">
        <f t="shared" si="109"/>
        <v>-0.1202020202020202</v>
      </c>
      <c r="BW86" s="212">
        <f t="shared" si="109"/>
        <v>1.0604453870626251E-3</v>
      </c>
      <c r="BX86" s="212">
        <f t="shared" si="109"/>
        <v>-8.7941976427923896E-2</v>
      </c>
      <c r="BY86" s="212">
        <f t="shared" si="109"/>
        <v>0.14452709883103076</v>
      </c>
      <c r="BZ86" s="212">
        <f t="shared" si="109"/>
        <v>0.13662456946039025</v>
      </c>
      <c r="CA86" s="212">
        <f t="shared" si="109"/>
        <v>0.14406779661016955</v>
      </c>
      <c r="CB86" s="212">
        <f t="shared" si="109"/>
        <v>8.9463220675944921E-3</v>
      </c>
      <c r="CC86" s="212">
        <f t="shared" si="109"/>
        <v>4.2711234911791962E-2</v>
      </c>
      <c r="CD86" s="212">
        <f t="shared" si="109"/>
        <v>2.4242424242424176E-2</v>
      </c>
      <c r="CE86" s="212">
        <f t="shared" si="109"/>
        <v>9.0740740740740788E-2</v>
      </c>
      <c r="CF86" s="212">
        <f t="shared" si="109"/>
        <v>0.16847290640394097</v>
      </c>
      <c r="CG86" s="212">
        <f>CG19/CC19-1</f>
        <v>8.6871127640434143E-2</v>
      </c>
      <c r="CH86" s="212">
        <f>CH19/CD19-1</f>
        <v>0.13463290832934338</v>
      </c>
      <c r="CI86" s="212">
        <f ca="1">CI19/CE19-1</f>
        <v>6.4058985568760551E-2</v>
      </c>
      <c r="CJ86" s="212">
        <f ca="1">CJ19/CF19-1</f>
        <v>9.7539201969862654E-2</v>
      </c>
      <c r="CO86" s="220"/>
      <c r="DK86" s="43"/>
      <c r="DL86" s="211"/>
      <c r="DM86" s="211"/>
      <c r="DN86" s="211"/>
      <c r="DO86" s="211"/>
      <c r="DP86" s="211"/>
      <c r="DQ86" s="211"/>
      <c r="DR86" s="211"/>
      <c r="DS86" s="211"/>
      <c r="DT86" s="211"/>
      <c r="DU86" s="211"/>
      <c r="DV86" s="211"/>
      <c r="DW86" s="211"/>
      <c r="DX86" s="211"/>
      <c r="DY86" s="211"/>
      <c r="DZ86" s="211"/>
    </row>
    <row r="87" spans="1:136">
      <c r="A87" s="219" t="s">
        <v>181</v>
      </c>
      <c r="B87" s="212"/>
      <c r="C87" s="212">
        <f t="shared" ref="C87:AA87" si="110">C28/B28-1</f>
        <v>0.1227633069082672</v>
      </c>
      <c r="D87" s="212">
        <f t="shared" si="110"/>
        <v>0.26528142021383894</v>
      </c>
      <c r="E87" s="212">
        <f t="shared" si="110"/>
        <v>-4.8150510204081676E-2</v>
      </c>
      <c r="F87" s="212">
        <f t="shared" si="110"/>
        <v>-8.8944723618090471E-2</v>
      </c>
      <c r="G87" s="212">
        <f t="shared" si="110"/>
        <v>-4.3206471777900379E-2</v>
      </c>
      <c r="H87" s="212">
        <f t="shared" si="110"/>
        <v>5.7647963105302846E-3</v>
      </c>
      <c r="I87" s="212">
        <f t="shared" si="110"/>
        <v>-0.48681696599159341</v>
      </c>
      <c r="J87" s="212">
        <f t="shared" si="110"/>
        <v>0.10014892032762468</v>
      </c>
      <c r="K87" s="212">
        <f t="shared" si="110"/>
        <v>-0.13739424703891712</v>
      </c>
      <c r="L87" s="212">
        <f t="shared" si="110"/>
        <v>0.37387210670851312</v>
      </c>
      <c r="M87" s="212">
        <f t="shared" si="110"/>
        <v>0.16990291262135915</v>
      </c>
      <c r="N87" s="212">
        <f t="shared" si="110"/>
        <v>3.3439101781791658E-2</v>
      </c>
      <c r="O87" s="212">
        <f t="shared" si="110"/>
        <v>8.5025980160604586E-3</v>
      </c>
      <c r="P87" s="212">
        <f t="shared" si="110"/>
        <v>-0.18430913348946132</v>
      </c>
      <c r="Q87" s="212">
        <f t="shared" si="110"/>
        <v>-3.6175710594315236E-2</v>
      </c>
      <c r="R87" s="212">
        <f t="shared" si="110"/>
        <v>0.12392016681560913</v>
      </c>
      <c r="S87" s="212">
        <f t="shared" si="110"/>
        <v>9.1704214153193853E-2</v>
      </c>
      <c r="T87" s="212">
        <f t="shared" ca="1" si="110"/>
        <v>0.10774799179791361</v>
      </c>
      <c r="U87" s="212">
        <f t="shared" ca="1" si="110"/>
        <v>6.2545227489719135E-2</v>
      </c>
      <c r="V87" s="212">
        <f t="shared" ca="1" si="110"/>
        <v>6.1560314468140032E-2</v>
      </c>
      <c r="W87" s="212">
        <f t="shared" ca="1" si="110"/>
        <v>5.5084169054878451E-2</v>
      </c>
      <c r="X87" s="212">
        <f t="shared" ca="1" si="110"/>
        <v>4.5432114847710814E-2</v>
      </c>
      <c r="Y87" s="212">
        <f t="shared" ca="1" si="110"/>
        <v>3.9147929308632756E-2</v>
      </c>
      <c r="Z87" s="212">
        <f t="shared" ca="1" si="110"/>
        <v>3.8186752939300517E-2</v>
      </c>
      <c r="AA87" s="212">
        <f t="shared" ca="1" si="110"/>
        <v>3.6899720095476152E-2</v>
      </c>
      <c r="AB87" s="219"/>
      <c r="AC87" s="212"/>
      <c r="AD87" s="212"/>
      <c r="AE87" s="212"/>
      <c r="AF87" s="212"/>
      <c r="AG87" s="212">
        <f t="shared" ref="AG87:BD87" si="111">AG28/AC28-1</f>
        <v>-7.4500768049155175E-2</v>
      </c>
      <c r="AH87" s="212">
        <f t="shared" si="111"/>
        <v>-5.6957462148522042E-2</v>
      </c>
      <c r="AI87" s="212">
        <f t="shared" si="111"/>
        <v>-0.11206254653760239</v>
      </c>
      <c r="AJ87" s="212">
        <f t="shared" si="111"/>
        <v>6.3385269121813081E-2</v>
      </c>
      <c r="AK87" s="212">
        <f t="shared" si="111"/>
        <v>2.5726141078838083E-2</v>
      </c>
      <c r="AL87" s="212">
        <f t="shared" si="111"/>
        <v>7.7981651376146877E-2</v>
      </c>
      <c r="AM87" s="212">
        <f t="shared" si="111"/>
        <v>5.1572327044025146E-2</v>
      </c>
      <c r="AN87" s="212">
        <f t="shared" si="111"/>
        <v>-0.11155511155511155</v>
      </c>
      <c r="AO87" s="212">
        <f t="shared" si="111"/>
        <v>-3.0744336569579311E-2</v>
      </c>
      <c r="AP87" s="212">
        <f t="shared" si="111"/>
        <v>-0.79290780141843975</v>
      </c>
      <c r="AQ87" s="212">
        <f t="shared" si="111"/>
        <v>-0.79744816586921852</v>
      </c>
      <c r="AR87" s="212">
        <f t="shared" si="111"/>
        <v>-0.76911544227886053</v>
      </c>
      <c r="AS87" s="212">
        <f t="shared" si="111"/>
        <v>-0.72621035058430716</v>
      </c>
      <c r="AT87" s="212">
        <f t="shared" si="111"/>
        <v>0.58561643835616439</v>
      </c>
      <c r="AU87" s="212">
        <f t="shared" si="111"/>
        <v>0.1417322834645669</v>
      </c>
      <c r="AV87" s="212">
        <f t="shared" si="111"/>
        <v>-0.28246753246753242</v>
      </c>
      <c r="AW87" s="212">
        <f t="shared" si="111"/>
        <v>9.1463414634146423E-2</v>
      </c>
      <c r="AX87" s="212">
        <f t="shared" si="111"/>
        <v>-0.16414686825053992</v>
      </c>
      <c r="AY87" s="212">
        <f t="shared" si="111"/>
        <v>0.32068965517241388</v>
      </c>
      <c r="AZ87" s="212">
        <f t="shared" si="111"/>
        <v>0.41176470588235303</v>
      </c>
      <c r="BA87" s="212">
        <f t="shared" si="111"/>
        <v>0.44972067039106145</v>
      </c>
      <c r="BB87" s="212">
        <f t="shared" si="111"/>
        <v>0.72351421188630494</v>
      </c>
      <c r="BC87" s="212">
        <f t="shared" si="111"/>
        <v>0.56135770234986948</v>
      </c>
      <c r="BD87" s="212">
        <f t="shared" si="111"/>
        <v>1.3044871794871793</v>
      </c>
      <c r="BE87" s="212"/>
      <c r="BF87" s="212"/>
      <c r="BG87" s="212"/>
      <c r="BH87" s="212"/>
      <c r="BI87" s="212">
        <f t="shared" ref="BI87:CF87" si="112">BI28/BE28-1</f>
        <v>7.6271186440677985E-2</v>
      </c>
      <c r="BJ87" s="212">
        <f t="shared" si="112"/>
        <v>4.933586337760909E-2</v>
      </c>
      <c r="BK87" s="212">
        <f t="shared" si="112"/>
        <v>2.0095693779904389E-2</v>
      </c>
      <c r="BL87" s="212">
        <f t="shared" si="112"/>
        <v>-7.5901328273244584E-3</v>
      </c>
      <c r="BM87" s="212">
        <f t="shared" si="112"/>
        <v>-7.1850393700787385E-2</v>
      </c>
      <c r="BN87" s="212">
        <f t="shared" si="112"/>
        <v>-0.11211573236889694</v>
      </c>
      <c r="BO87" s="212">
        <f t="shared" si="112"/>
        <v>-3.1894934333958735E-2</v>
      </c>
      <c r="BP87" s="212">
        <f t="shared" si="112"/>
        <v>0.25525812619502863</v>
      </c>
      <c r="BQ87" s="212">
        <f t="shared" si="112"/>
        <v>-0.15058324496288444</v>
      </c>
      <c r="BR87" s="212">
        <f t="shared" si="112"/>
        <v>-0.13238289205702647</v>
      </c>
      <c r="BS87" s="212">
        <f t="shared" si="112"/>
        <v>-0.14534883720930236</v>
      </c>
      <c r="BT87" s="212">
        <f t="shared" si="112"/>
        <v>-0.27798933739527798</v>
      </c>
      <c r="BU87" s="212">
        <f t="shared" si="112"/>
        <v>5.8676654182272081E-2</v>
      </c>
      <c r="BV87" s="212">
        <f t="shared" si="112"/>
        <v>-9.9765258215962493E-2</v>
      </c>
      <c r="BW87" s="212">
        <f t="shared" si="112"/>
        <v>-2.7210884353741527E-2</v>
      </c>
      <c r="BX87" s="212">
        <f t="shared" si="112"/>
        <v>-6.7510548523206704E-2</v>
      </c>
      <c r="BY87" s="212">
        <f t="shared" si="112"/>
        <v>0.16155660377358494</v>
      </c>
      <c r="BZ87" s="212">
        <f t="shared" si="112"/>
        <v>0.17601043024771834</v>
      </c>
      <c r="CA87" s="212">
        <f t="shared" si="112"/>
        <v>0.12354312354312347</v>
      </c>
      <c r="CB87" s="212">
        <f t="shared" si="112"/>
        <v>4.2986425339366585E-2</v>
      </c>
      <c r="CC87" s="212">
        <f t="shared" si="112"/>
        <v>4.8730964467005089E-2</v>
      </c>
      <c r="CD87" s="212">
        <f t="shared" si="112"/>
        <v>4.4345898004434225E-3</v>
      </c>
      <c r="CE87" s="212">
        <f t="shared" si="112"/>
        <v>0.1296680497925311</v>
      </c>
      <c r="CF87" s="212">
        <f t="shared" si="112"/>
        <v>0.18329718004338402</v>
      </c>
      <c r="CG87" s="212">
        <f ca="1">CG28/CC28-1</f>
        <v>9.3616180942404981E-2</v>
      </c>
      <c r="CH87" s="212">
        <f ca="1">CH28/CD28-1</f>
        <v>0.16961038368570769</v>
      </c>
      <c r="CI87" s="212">
        <f ca="1">CI28/CE28-1</f>
        <v>6.7594787486957797E-2</v>
      </c>
      <c r="CJ87" s="212">
        <f ca="1">CJ28/CF28-1</f>
        <v>0.10983568479335859</v>
      </c>
      <c r="CO87" s="220"/>
      <c r="DK87" s="43"/>
      <c r="DL87" s="211"/>
      <c r="DM87" s="211"/>
      <c r="DN87" s="211"/>
      <c r="DO87" s="211"/>
      <c r="DP87" s="211"/>
      <c r="DQ87" s="211"/>
      <c r="DR87" s="211"/>
      <c r="DS87" s="211"/>
      <c r="DT87" s="211"/>
      <c r="DU87" s="211"/>
      <c r="DV87" s="211"/>
      <c r="DW87" s="211"/>
      <c r="DX87" s="211"/>
      <c r="DY87" s="211"/>
      <c r="DZ87" s="211"/>
    </row>
    <row r="88" spans="1:136">
      <c r="A88" s="219" t="s">
        <v>155</v>
      </c>
      <c r="B88" s="212"/>
      <c r="C88" s="212">
        <f t="shared" ref="C88:J88" si="113">C55/B55-1</f>
        <v>0.1580935088097275</v>
      </c>
      <c r="D88" s="212">
        <f t="shared" si="113"/>
        <v>0.68648401281362559</v>
      </c>
      <c r="E88" s="212">
        <f t="shared" si="113"/>
        <v>2.4055874753719175E-2</v>
      </c>
      <c r="F88" s="212">
        <f t="shared" si="113"/>
        <v>-0.23415898617511521</v>
      </c>
      <c r="G88" s="212">
        <f t="shared" si="113"/>
        <v>-1.1658518239939797E-2</v>
      </c>
      <c r="H88" s="212">
        <f t="shared" si="113"/>
        <v>0.16032448636294205</v>
      </c>
      <c r="I88" s="212">
        <f t="shared" si="113"/>
        <v>-0.65482776520727459</v>
      </c>
      <c r="J88" s="212">
        <f t="shared" si="113"/>
        <v>-1.0397161822059864</v>
      </c>
      <c r="K88" s="212"/>
      <c r="L88" s="212"/>
      <c r="M88" s="212"/>
      <c r="N88" s="212">
        <f t="shared" ref="N88:AA88" si="114">N55/M55-1</f>
        <v>1.5089722675367012E-2</v>
      </c>
      <c r="O88" s="212">
        <f t="shared" si="114"/>
        <v>0.10606669345118513</v>
      </c>
      <c r="P88" s="212">
        <f t="shared" si="114"/>
        <v>5.6120595713766708E-2</v>
      </c>
      <c r="Q88" s="212">
        <f t="shared" si="114"/>
        <v>-0.1243336199484093</v>
      </c>
      <c r="R88" s="212">
        <f t="shared" si="114"/>
        <v>0.14218381775333855</v>
      </c>
      <c r="S88" s="212">
        <f t="shared" si="114"/>
        <v>0.11829436038514451</v>
      </c>
      <c r="T88" s="212">
        <f t="shared" ca="1" si="114"/>
        <v>0.13181708775769074</v>
      </c>
      <c r="U88" s="212">
        <f t="shared" ca="1" si="114"/>
        <v>6.6108566122557999E-2</v>
      </c>
      <c r="V88" s="212">
        <f t="shared" ca="1" si="114"/>
        <v>6.3771972510899166E-2</v>
      </c>
      <c r="W88" s="212">
        <f t="shared" ca="1" si="114"/>
        <v>6.2716475472554212E-2</v>
      </c>
      <c r="X88" s="212">
        <f t="shared" ca="1" si="114"/>
        <v>5.4624891344849491E-2</v>
      </c>
      <c r="Y88" s="212">
        <f t="shared" ca="1" si="114"/>
        <v>4.9404372378763606E-2</v>
      </c>
      <c r="Z88" s="212">
        <f t="shared" ca="1" si="114"/>
        <v>4.8787148575732964E-2</v>
      </c>
      <c r="AA88" s="212">
        <f t="shared" ca="1" si="114"/>
        <v>4.791994339292649E-2</v>
      </c>
      <c r="AB88" s="219"/>
      <c r="AC88" s="212"/>
      <c r="AD88" s="212"/>
      <c r="AE88" s="212"/>
      <c r="AF88" s="212"/>
      <c r="AG88" s="212">
        <f t="shared" ref="AG88:BD88" si="115">AG55/AC55-1</f>
        <v>0.27522387732509079</v>
      </c>
      <c r="AH88" s="212">
        <f t="shared" si="115"/>
        <v>-0.32110708563411383</v>
      </c>
      <c r="AI88" s="212">
        <f t="shared" si="115"/>
        <v>-0.13353110032279358</v>
      </c>
      <c r="AJ88" s="212">
        <f t="shared" si="115"/>
        <v>0.1795830305095012</v>
      </c>
      <c r="AK88" s="212">
        <f t="shared" si="115"/>
        <v>-0.14782129058598559</v>
      </c>
      <c r="AL88" s="212">
        <f t="shared" si="115"/>
        <v>0.41892106850968114</v>
      </c>
      <c r="AM88" s="212">
        <f t="shared" si="115"/>
        <v>-0.1854775198942481</v>
      </c>
      <c r="AN88" s="212">
        <f t="shared" si="115"/>
        <v>-0.25483894771376148</v>
      </c>
      <c r="AO88" s="212">
        <f t="shared" si="115"/>
        <v>9.4408045000816454E-2</v>
      </c>
      <c r="AP88" s="212">
        <f t="shared" si="115"/>
        <v>-1.0282949530990573</v>
      </c>
      <c r="AQ88" s="212">
        <f t="shared" si="115"/>
        <v>-0.90979746689536234</v>
      </c>
      <c r="AR88" s="212">
        <f t="shared" si="115"/>
        <v>-0.86577147218735417</v>
      </c>
      <c r="AS88" s="212">
        <f t="shared" si="115"/>
        <v>-1.4083557728095331</v>
      </c>
      <c r="AT88" s="212">
        <f t="shared" si="115"/>
        <v>18.736147757255939</v>
      </c>
      <c r="AU88" s="212">
        <f t="shared" si="115"/>
        <v>-7.2848740003625885</v>
      </c>
      <c r="AV88" s="212">
        <f t="shared" si="115"/>
        <v>-4.3930236215167362</v>
      </c>
      <c r="AW88" s="212">
        <f t="shared" si="115"/>
        <v>-1.1854729073606525</v>
      </c>
      <c r="AX88" s="212">
        <f t="shared" si="115"/>
        <v>-1.1310292033884177</v>
      </c>
      <c r="AY88" s="212">
        <f t="shared" si="115"/>
        <v>-1.1385897435897436</v>
      </c>
      <c r="AZ88" s="212">
        <f t="shared" si="115"/>
        <v>-0.96731572799059096</v>
      </c>
      <c r="BA88" s="212">
        <f t="shared" si="115"/>
        <v>0.54089005235602095</v>
      </c>
      <c r="BB88" s="212">
        <f t="shared" si="115"/>
        <v>2.4003114987361269</v>
      </c>
      <c r="BC88" s="212">
        <f t="shared" si="115"/>
        <v>1.532377428307123</v>
      </c>
      <c r="BD88" s="212">
        <f t="shared" si="115"/>
        <v>-15.814945321992708</v>
      </c>
      <c r="BE88" s="212"/>
      <c r="BF88" s="212"/>
      <c r="BG88" s="212"/>
      <c r="BH88" s="212"/>
      <c r="BI88" s="212">
        <f t="shared" ref="BI88:CF88" si="116">BI55/BE55-1</f>
        <v>0.11812627291242372</v>
      </c>
      <c r="BJ88" s="212">
        <f t="shared" si="116"/>
        <v>6.0457516339869288E-2</v>
      </c>
      <c r="BK88" s="212">
        <f t="shared" si="116"/>
        <v>-2.8875379939209744E-2</v>
      </c>
      <c r="BL88" s="212">
        <f t="shared" si="116"/>
        <v>-5.6439942112879837E-2</v>
      </c>
      <c r="BM88" s="212">
        <f t="shared" si="116"/>
        <v>0.14936247723132978</v>
      </c>
      <c r="BN88" s="212">
        <f t="shared" si="116"/>
        <v>9.244992295839749E-3</v>
      </c>
      <c r="BO88" s="212">
        <f t="shared" si="116"/>
        <v>0.13458528951486692</v>
      </c>
      <c r="BP88" s="212">
        <f t="shared" si="116"/>
        <v>0.13803680981595101</v>
      </c>
      <c r="BQ88" s="212">
        <f t="shared" si="116"/>
        <v>-9.5087163232963068E-3</v>
      </c>
      <c r="BR88" s="212">
        <f t="shared" si="116"/>
        <v>8.7022900763358724E-2</v>
      </c>
      <c r="BS88" s="212">
        <f t="shared" si="116"/>
        <v>7.1034482758620676E-2</v>
      </c>
      <c r="BT88" s="212">
        <f t="shared" si="116"/>
        <v>7.0080862533692612E-2</v>
      </c>
      <c r="BU88" s="212">
        <f t="shared" si="116"/>
        <v>3.0399999999999983E-2</v>
      </c>
      <c r="BV88" s="212">
        <f t="shared" si="116"/>
        <v>-7.02247191011236E-2</v>
      </c>
      <c r="BW88" s="212">
        <f t="shared" si="116"/>
        <v>-0.23245331616226661</v>
      </c>
      <c r="BX88" s="212">
        <f t="shared" si="116"/>
        <v>-0.18891687657430734</v>
      </c>
      <c r="BY88" s="212">
        <f t="shared" si="116"/>
        <v>0.20962732919254656</v>
      </c>
      <c r="BZ88" s="212">
        <f t="shared" si="116"/>
        <v>-1.0574018126888185E-2</v>
      </c>
      <c r="CA88" s="212">
        <f t="shared" si="116"/>
        <v>0.32046979865771807</v>
      </c>
      <c r="CB88" s="212">
        <f t="shared" si="116"/>
        <v>6.6770186335403769E-2</v>
      </c>
      <c r="CC88" s="212">
        <f t="shared" si="116"/>
        <v>3.2092426187419809E-2</v>
      </c>
      <c r="CD88" s="212">
        <f t="shared" si="116"/>
        <v>0.10229007633587783</v>
      </c>
      <c r="CE88" s="212">
        <f t="shared" si="116"/>
        <v>0.1016518424396442</v>
      </c>
      <c r="CF88" s="212">
        <f t="shared" si="116"/>
        <v>0.25036390101892292</v>
      </c>
      <c r="CG88" s="212">
        <f ca="1">CG55/CC55-1</f>
        <v>0.13397109659768369</v>
      </c>
      <c r="CH88" s="212">
        <f ca="1">CH55/CD55-1</f>
        <v>0.18818797420873357</v>
      </c>
      <c r="CI88" s="212">
        <f ca="1">CI55/CE55-1</f>
        <v>8.0747570546814584E-2</v>
      </c>
      <c r="CJ88" s="212">
        <f ca="1">CJ55/CF55-1</f>
        <v>0.13396571208460939</v>
      </c>
      <c r="CO88" s="220"/>
      <c r="DK88" s="43"/>
      <c r="DL88" s="211"/>
      <c r="DM88" s="211"/>
      <c r="DN88" s="211"/>
      <c r="DO88" s="211"/>
      <c r="DP88" s="211"/>
      <c r="DQ88" s="211"/>
      <c r="DR88" s="211"/>
      <c r="DS88" s="211"/>
      <c r="DT88" s="211"/>
      <c r="DU88" s="211"/>
      <c r="DV88" s="211"/>
      <c r="DW88" s="211"/>
      <c r="DX88" s="211"/>
      <c r="DY88" s="211"/>
      <c r="DZ88" s="211"/>
    </row>
    <row r="89" spans="1:136">
      <c r="A89" s="219" t="s">
        <v>182</v>
      </c>
      <c r="B89" s="212"/>
      <c r="C89" s="212">
        <f t="shared" ref="C89:J89" si="117">C57/B57-1</f>
        <v>0.21499824188337491</v>
      </c>
      <c r="D89" s="212">
        <f t="shared" si="117"/>
        <v>0.65753881337634201</v>
      </c>
      <c r="E89" s="212">
        <f t="shared" si="117"/>
        <v>-4.5608072337631755E-3</v>
      </c>
      <c r="F89" s="212">
        <f t="shared" si="117"/>
        <v>-6.745911777756386E-2</v>
      </c>
      <c r="G89" s="212">
        <f t="shared" si="117"/>
        <v>5.6984035182181536E-3</v>
      </c>
      <c r="H89" s="212">
        <f t="shared" si="117"/>
        <v>2.4744913615114772E-2</v>
      </c>
      <c r="I89" s="212">
        <f t="shared" si="117"/>
        <v>-0.53910245270950818</v>
      </c>
      <c r="J89" s="212">
        <f t="shared" si="117"/>
        <v>-0.12245570417637108</v>
      </c>
      <c r="K89" s="212"/>
      <c r="L89" s="212"/>
      <c r="M89" s="212"/>
      <c r="N89" s="212">
        <f t="shared" ref="N89:AA89" si="118">N57/M57-1</f>
        <v>5.4438169819732707E-3</v>
      </c>
      <c r="O89" s="212">
        <f t="shared" si="118"/>
        <v>0.10606669345118513</v>
      </c>
      <c r="P89" s="212">
        <f t="shared" si="118"/>
        <v>0.10555865753769966</v>
      </c>
      <c r="Q89" s="212">
        <f t="shared" si="118"/>
        <v>-8.5679643495849334E-2</v>
      </c>
      <c r="R89" s="212">
        <f t="shared" si="118"/>
        <v>0.18847384851098337</v>
      </c>
      <c r="S89" s="212">
        <f t="shared" si="118"/>
        <v>0.14897258581700323</v>
      </c>
      <c r="T89" s="212">
        <f t="shared" ca="1" si="118"/>
        <v>0.16288671851487369</v>
      </c>
      <c r="U89" s="212">
        <f t="shared" ca="1" si="118"/>
        <v>8.8368693409822674E-2</v>
      </c>
      <c r="V89" s="212">
        <f t="shared" ca="1" si="118"/>
        <v>8.4111904015133909E-2</v>
      </c>
      <c r="W89" s="212">
        <f t="shared" ca="1" si="118"/>
        <v>8.1890318064382184E-2</v>
      </c>
      <c r="X89" s="212">
        <f t="shared" ca="1" si="118"/>
        <v>7.321167660115746E-2</v>
      </c>
      <c r="Y89" s="212">
        <f t="shared" ca="1" si="118"/>
        <v>6.7772570918246622E-2</v>
      </c>
      <c r="Z89" s="212">
        <f t="shared" ca="1" si="118"/>
        <v>6.734188219889492E-2</v>
      </c>
      <c r="AA89" s="212">
        <f t="shared" ca="1" si="118"/>
        <v>6.6661905140836808E-2</v>
      </c>
      <c r="AB89" s="219"/>
      <c r="AC89" s="212"/>
      <c r="AD89" s="212"/>
      <c r="AE89" s="212"/>
      <c r="AF89" s="212"/>
      <c r="AG89" s="212">
        <f t="shared" ref="AG89:BD89" si="119">AG57/AC57-1</f>
        <v>-3.7033891874964975E-2</v>
      </c>
      <c r="AH89" s="212">
        <f t="shared" si="119"/>
        <v>2.4032458751057861E-2</v>
      </c>
      <c r="AI89" s="212">
        <f t="shared" si="119"/>
        <v>-0.12450030601570461</v>
      </c>
      <c r="AJ89" s="212">
        <f t="shared" si="119"/>
        <v>0.15457246997459406</v>
      </c>
      <c r="AK89" s="212">
        <f t="shared" si="119"/>
        <v>5.646582957964541E-2</v>
      </c>
      <c r="AL89" s="212">
        <f t="shared" si="119"/>
        <v>7.2135823637780261E-2</v>
      </c>
      <c r="AM89" s="212">
        <f t="shared" si="119"/>
        <v>9.6120708031839142E-2</v>
      </c>
      <c r="AN89" s="212">
        <f t="shared" si="119"/>
        <v>-9.3028099603600367E-2</v>
      </c>
      <c r="AO89" s="212">
        <f t="shared" si="119"/>
        <v>-4.1866217027164421E-2</v>
      </c>
      <c r="AP89" s="212">
        <f t="shared" si="119"/>
        <v>-0.89325378189848725</v>
      </c>
      <c r="AQ89" s="212">
        <f t="shared" si="119"/>
        <v>-0.9313918577200897</v>
      </c>
      <c r="AR89" s="212">
        <f t="shared" si="119"/>
        <v>-0.90598163005410282</v>
      </c>
      <c r="AS89" s="212">
        <f t="shared" si="119"/>
        <v>-1.4002924538853982</v>
      </c>
      <c r="AT89" s="212">
        <f t="shared" si="119"/>
        <v>-5.5099431977996174</v>
      </c>
      <c r="AU89" s="212">
        <f t="shared" si="119"/>
        <v>-7.2335695629268031</v>
      </c>
      <c r="AV89" s="212">
        <f t="shared" si="119"/>
        <v>-4.494001017461585</v>
      </c>
      <c r="AW89" s="212">
        <f t="shared" si="119"/>
        <v>-1.2020163826306172</v>
      </c>
      <c r="AX89" s="212">
        <f t="shared" si="119"/>
        <v>-1.1411653537772974</v>
      </c>
      <c r="AY89" s="212">
        <f t="shared" si="119"/>
        <v>-1.1555332610515625</v>
      </c>
      <c r="AZ89" s="212">
        <f t="shared" si="119"/>
        <v>-0.97117398438048719</v>
      </c>
      <c r="BA89" s="212">
        <f t="shared" si="119"/>
        <v>0.53175851329678103</v>
      </c>
      <c r="BB89" s="212">
        <f t="shared" si="119"/>
        <v>1.8170560840755487</v>
      </c>
      <c r="BC89" s="212">
        <f t="shared" si="119"/>
        <v>1.1644161582922248</v>
      </c>
      <c r="BD89" s="212">
        <f t="shared" si="119"/>
        <v>-16.091930165132794</v>
      </c>
      <c r="BE89" s="212"/>
      <c r="BF89" s="212"/>
      <c r="BG89" s="212"/>
      <c r="BH89" s="212"/>
      <c r="BI89" s="212">
        <f t="shared" ref="BI89:CF89" si="120">BI57/BE57-1</f>
        <v>9.7000233877761355E-2</v>
      </c>
      <c r="BJ89" s="212">
        <f t="shared" si="120"/>
        <v>5.1551098229511982E-2</v>
      </c>
      <c r="BK89" s="212">
        <f t="shared" si="120"/>
        <v>-4.2663941786027726E-2</v>
      </c>
      <c r="BL89" s="212">
        <f t="shared" si="120"/>
        <v>-6.3842414945401771E-2</v>
      </c>
      <c r="BM89" s="212">
        <f t="shared" si="120"/>
        <v>0.13977380250470572</v>
      </c>
      <c r="BN89" s="212">
        <f t="shared" si="120"/>
        <v>-2.709061340155916E-4</v>
      </c>
      <c r="BO89" s="212">
        <f t="shared" si="120"/>
        <v>0.13142312315613003</v>
      </c>
      <c r="BP89" s="212">
        <f t="shared" si="120"/>
        <v>0.15871663827370797</v>
      </c>
      <c r="BQ89" s="212">
        <f t="shared" si="120"/>
        <v>3.4206346138625499E-2</v>
      </c>
      <c r="BR89" s="212">
        <f t="shared" si="120"/>
        <v>0.14480273953056999</v>
      </c>
      <c r="BS89" s="212">
        <f t="shared" si="120"/>
        <v>0.12694185458590357</v>
      </c>
      <c r="BT89" s="212">
        <f t="shared" si="120"/>
        <v>0.11174772797748256</v>
      </c>
      <c r="BU89" s="212">
        <f t="shared" si="120"/>
        <v>6.5674954954954901E-2</v>
      </c>
      <c r="BV89" s="212">
        <f t="shared" si="120"/>
        <v>-3.1177552709143908E-2</v>
      </c>
      <c r="BW89" s="212">
        <f t="shared" si="120"/>
        <v>-0.19664389444853558</v>
      </c>
      <c r="BX89" s="212">
        <f t="shared" si="120"/>
        <v>-0.146095717884131</v>
      </c>
      <c r="BY89" s="212">
        <f t="shared" si="120"/>
        <v>0.26907971210182113</v>
      </c>
      <c r="BZ89" s="212">
        <f t="shared" si="120"/>
        <v>3.1489142270001658E-2</v>
      </c>
      <c r="CA89" s="212">
        <f t="shared" si="120"/>
        <v>0.36487646066841539</v>
      </c>
      <c r="CB89" s="212">
        <f t="shared" si="120"/>
        <v>0.10166773572803067</v>
      </c>
      <c r="CC89" s="212">
        <f t="shared" si="120"/>
        <v>5.6729471199635562E-2</v>
      </c>
      <c r="CD89" s="212">
        <f t="shared" si="120"/>
        <v>0.12879087739138617</v>
      </c>
      <c r="CE89" s="212">
        <f t="shared" si="120"/>
        <v>0.13924101291658753</v>
      </c>
      <c r="CF89" s="212">
        <f t="shared" si="120"/>
        <v>0.28837893039557216</v>
      </c>
      <c r="CG89" s="212">
        <f ca="1">CG57/CC57-1</f>
        <v>0.16883097139760062</v>
      </c>
      <c r="CH89" s="212">
        <f ca="1">CH57/CD57-1</f>
        <v>0.22302980440765463</v>
      </c>
      <c r="CI89" s="212">
        <f ca="1">CI57/CE57-1</f>
        <v>0.10781360569123044</v>
      </c>
      <c r="CJ89" s="212">
        <f ca="1">CJ57/CF57-1</f>
        <v>0.16035211004915673</v>
      </c>
      <c r="CO89" s="220"/>
      <c r="DK89" s="43"/>
      <c r="DL89" s="211"/>
      <c r="DM89" s="211"/>
      <c r="DN89" s="211"/>
      <c r="DO89" s="211"/>
      <c r="DP89" s="211"/>
      <c r="DQ89" s="211"/>
      <c r="DR89" s="211"/>
      <c r="DS89" s="211"/>
      <c r="DT89" s="211"/>
      <c r="DU89" s="211"/>
      <c r="DV89" s="211"/>
      <c r="DW89" s="211"/>
      <c r="DX89" s="211"/>
      <c r="DY89" s="211"/>
      <c r="DZ89" s="211"/>
    </row>
    <row r="90" spans="1:136">
      <c r="A90" s="42" t="s">
        <v>183</v>
      </c>
      <c r="B90" s="212"/>
      <c r="C90" s="212"/>
      <c r="D90" s="212"/>
      <c r="E90" s="212"/>
      <c r="F90" s="212"/>
      <c r="G90" s="212"/>
      <c r="H90" s="212"/>
      <c r="I90" s="212"/>
      <c r="J90" s="212"/>
      <c r="K90" s="212"/>
      <c r="L90" s="212"/>
      <c r="M90" s="212"/>
      <c r="N90" s="212"/>
      <c r="O90" s="152">
        <f>+(O57-O63)/N57-1</f>
        <v>0.14065692355167125</v>
      </c>
      <c r="P90" s="152">
        <f>+(P57-P63)/O57-1</f>
        <v>0.19653577341129203</v>
      </c>
      <c r="Q90" s="152">
        <f>+(Q57-Q63)/P57-1</f>
        <v>0.10829112176640354</v>
      </c>
      <c r="R90" s="152">
        <f t="shared" ref="R90:AA90" si="121">+(R57-R63)/Q57-1</f>
        <v>0.23347483044342643</v>
      </c>
      <c r="S90" s="152">
        <f t="shared" si="121"/>
        <v>0.14667787406750388</v>
      </c>
      <c r="T90" s="152">
        <f ca="1">+(T57-T63)/S57-1</f>
        <v>0.10639225357022419</v>
      </c>
      <c r="U90" s="152">
        <f t="shared" ca="1" si="121"/>
        <v>8.8368693409822674E-2</v>
      </c>
      <c r="V90" s="152">
        <f t="shared" ca="1" si="121"/>
        <v>8.4111904015133909E-2</v>
      </c>
      <c r="W90" s="152">
        <f t="shared" ca="1" si="121"/>
        <v>8.1890318064382184E-2</v>
      </c>
      <c r="X90" s="152">
        <f t="shared" ca="1" si="121"/>
        <v>7.321167660115746E-2</v>
      </c>
      <c r="Y90" s="152">
        <f t="shared" ca="1" si="121"/>
        <v>6.7772570918246622E-2</v>
      </c>
      <c r="Z90" s="152">
        <f t="shared" ca="1" si="121"/>
        <v>6.734188219889492E-2</v>
      </c>
      <c r="AA90" s="152">
        <f t="shared" ca="1" si="121"/>
        <v>6.6661905140836808E-2</v>
      </c>
      <c r="AB90" s="152"/>
      <c r="AC90" s="212"/>
      <c r="AD90" s="212"/>
      <c r="AE90" s="212"/>
      <c r="AF90" s="212"/>
      <c r="AG90" s="212"/>
      <c r="AH90" s="212"/>
      <c r="AI90" s="212"/>
      <c r="AJ90" s="212"/>
      <c r="AK90" s="212"/>
      <c r="AL90" s="212"/>
      <c r="AM90" s="212"/>
      <c r="AN90" s="212"/>
      <c r="AO90" s="212"/>
      <c r="AP90" s="212"/>
      <c r="AQ90" s="212"/>
      <c r="AR90" s="212"/>
      <c r="AS90" s="212"/>
      <c r="AT90" s="212"/>
      <c r="AU90" s="212"/>
      <c r="AV90" s="212"/>
      <c r="AW90" s="212"/>
      <c r="AX90" s="212"/>
      <c r="AY90" s="212"/>
      <c r="AZ90" s="212"/>
      <c r="BA90" s="212"/>
      <c r="BB90" s="212"/>
      <c r="BC90" s="212"/>
      <c r="BD90" s="212"/>
      <c r="BE90" s="212"/>
      <c r="BF90" s="212"/>
      <c r="BG90" s="212"/>
      <c r="BH90" s="212"/>
      <c r="BI90" s="212">
        <f>(BI57-BI63)/BE57-1</f>
        <v>0.13017218404472675</v>
      </c>
      <c r="BJ90" s="212">
        <f t="shared" ref="BJ90:BU90" si="122">(BJ57-BJ63)/BF57-1</f>
        <v>0.14746899924077161</v>
      </c>
      <c r="BK90" s="212">
        <f t="shared" si="122"/>
        <v>3.8640708005709179E-2</v>
      </c>
      <c r="BL90" s="212">
        <f t="shared" si="122"/>
        <v>-4.2013477525609466E-2</v>
      </c>
      <c r="BM90" s="212">
        <f t="shared" si="122"/>
        <v>0.1794499052831251</v>
      </c>
      <c r="BN90" s="212">
        <f t="shared" si="122"/>
        <v>2.8067194418664787E-2</v>
      </c>
      <c r="BO90" s="212">
        <f t="shared" si="122"/>
        <v>0.17533597268872292</v>
      </c>
      <c r="BP90" s="212">
        <f t="shared" si="122"/>
        <v>0.18824028931128245</v>
      </c>
      <c r="BQ90" s="212">
        <f t="shared" si="122"/>
        <v>0.16999999999999993</v>
      </c>
      <c r="BR90" s="212">
        <f t="shared" si="122"/>
        <v>0.18999999999999995</v>
      </c>
      <c r="BS90" s="212">
        <f t="shared" si="122"/>
        <v>0.17643150975831734</v>
      </c>
      <c r="BT90" s="212">
        <f t="shared" si="122"/>
        <v>0.25414664981036661</v>
      </c>
      <c r="BU90" s="212">
        <f t="shared" si="122"/>
        <v>0.28609095495495507</v>
      </c>
      <c r="BV90" s="212">
        <f t="shared" ref="BV90:CF90" si="123">(BV57-BV63)/BR57-1</f>
        <v>0.16118199785265386</v>
      </c>
      <c r="BW90" s="212">
        <f t="shared" si="123"/>
        <v>-2.0983881570235563E-2</v>
      </c>
      <c r="BX90" s="212">
        <f t="shared" si="123"/>
        <v>4.6032745591939372E-2</v>
      </c>
      <c r="BY90" s="212">
        <f t="shared" si="123"/>
        <v>0.31000000000000005</v>
      </c>
      <c r="BZ90" s="212">
        <f t="shared" si="123"/>
        <v>4.4999999999999929E-2</v>
      </c>
      <c r="CA90" s="212">
        <f t="shared" si="123"/>
        <v>0.40380833835397212</v>
      </c>
      <c r="CB90" s="212">
        <f t="shared" si="123"/>
        <v>0.13966288776474012</v>
      </c>
      <c r="CC90" s="212">
        <f t="shared" si="123"/>
        <v>7.134885801051305E-2</v>
      </c>
      <c r="CD90" s="212">
        <f t="shared" si="123"/>
        <v>0.15163340678052895</v>
      </c>
      <c r="CE90" s="212">
        <f t="shared" si="123"/>
        <v>0.12705323517993183</v>
      </c>
      <c r="CF90" s="212">
        <f t="shared" si="123"/>
        <v>0.25473504204502895</v>
      </c>
      <c r="CG90" s="212">
        <f ca="1">(CG57-CG63)/CC57-1</f>
        <v>0.11035321609417559</v>
      </c>
      <c r="CH90" s="212">
        <f ca="1">(CH57-CH63)/CD57-1</f>
        <v>0.18220979327048847</v>
      </c>
      <c r="CI90" s="212">
        <f ca="1">(CI57-CI63)/CE57-1</f>
        <v>9.1761849110939098E-2</v>
      </c>
      <c r="CJ90" s="212">
        <f ca="1">(CJ57-CJ63)/CF57-1</f>
        <v>0.13776009796890953</v>
      </c>
      <c r="CO90" s="220"/>
      <c r="DK90" s="43"/>
      <c r="DL90" s="211"/>
      <c r="DM90" s="211"/>
      <c r="DN90" s="211"/>
      <c r="DO90" s="211"/>
      <c r="DP90" s="211"/>
      <c r="DQ90" s="211"/>
      <c r="DR90" s="211"/>
      <c r="DS90" s="211"/>
      <c r="DT90" s="211"/>
      <c r="DU90" s="211"/>
      <c r="DV90" s="211"/>
      <c r="DW90" s="211"/>
      <c r="DX90" s="211"/>
      <c r="DY90" s="211"/>
      <c r="DZ90" s="211"/>
    </row>
    <row r="92" spans="1:136" s="218" customFormat="1">
      <c r="A92" s="215" t="s">
        <v>184</v>
      </c>
      <c r="B92" s="215"/>
      <c r="C92" s="215"/>
      <c r="D92" s="215"/>
      <c r="E92" s="215"/>
      <c r="F92" s="215"/>
      <c r="G92" s="215"/>
      <c r="H92" s="215"/>
      <c r="I92" s="215"/>
      <c r="J92" s="215"/>
      <c r="K92" s="215"/>
      <c r="L92" s="215"/>
      <c r="M92" s="215"/>
      <c r="N92" s="215"/>
      <c r="O92" s="215"/>
      <c r="P92" s="215"/>
      <c r="Q92" s="215"/>
      <c r="R92" s="215"/>
      <c r="S92" s="215"/>
      <c r="T92" s="215"/>
      <c r="U92" s="215"/>
      <c r="V92" s="215"/>
      <c r="W92" s="215"/>
      <c r="X92" s="215"/>
      <c r="Y92" s="215"/>
      <c r="Z92" s="215"/>
      <c r="AA92" s="215"/>
      <c r="AB92" s="216"/>
      <c r="AC92" s="215"/>
      <c r="AD92" s="215"/>
      <c r="AE92" s="215"/>
      <c r="AF92" s="215"/>
      <c r="AG92" s="215"/>
      <c r="AH92" s="215"/>
      <c r="AI92" s="215"/>
      <c r="AJ92" s="215"/>
      <c r="AK92" s="215"/>
      <c r="AL92" s="215"/>
      <c r="AM92" s="215"/>
      <c r="AN92" s="215"/>
      <c r="AO92" s="215"/>
      <c r="AP92" s="215"/>
      <c r="AQ92" s="215"/>
      <c r="AR92" s="215"/>
      <c r="AS92" s="215"/>
      <c r="AT92" s="215"/>
      <c r="AU92" s="215"/>
      <c r="AV92" s="215"/>
      <c r="AW92" s="215"/>
      <c r="AX92" s="215"/>
      <c r="AY92" s="215"/>
      <c r="AZ92" s="215"/>
      <c r="BA92" s="215"/>
      <c r="BB92" s="215"/>
      <c r="BC92" s="215"/>
      <c r="BD92" s="215"/>
      <c r="BE92" s="215"/>
      <c r="BF92" s="215"/>
      <c r="BG92" s="215"/>
      <c r="BH92" s="215"/>
      <c r="BI92" s="215"/>
      <c r="BJ92" s="215"/>
      <c r="BK92" s="215"/>
      <c r="BL92" s="215"/>
      <c r="BM92" s="215"/>
      <c r="BN92" s="215"/>
      <c r="BO92" s="215"/>
      <c r="BP92" s="215"/>
      <c r="BQ92" s="215"/>
      <c r="BR92" s="215"/>
      <c r="BS92" s="215"/>
      <c r="BT92" s="215"/>
      <c r="BU92" s="215"/>
      <c r="BV92" s="215"/>
      <c r="BW92" s="215"/>
      <c r="BX92" s="215"/>
      <c r="BY92" s="215"/>
      <c r="BZ92" s="215"/>
      <c r="CA92" s="215"/>
      <c r="CB92" s="215"/>
      <c r="CC92" s="215"/>
      <c r="CD92" s="215"/>
      <c r="CE92" s="215"/>
      <c r="CF92" s="215"/>
      <c r="CG92" s="215"/>
      <c r="CH92" s="215"/>
      <c r="CI92" s="215"/>
      <c r="CJ92" s="215"/>
      <c r="CO92" s="220"/>
      <c r="DK92" s="43"/>
      <c r="DL92" s="211"/>
      <c r="DM92" s="211"/>
      <c r="DN92" s="211"/>
      <c r="DO92" s="211"/>
      <c r="DP92" s="211"/>
      <c r="DQ92" s="211"/>
      <c r="DR92" s="211"/>
      <c r="DS92" s="211"/>
      <c r="DT92" s="211"/>
      <c r="DU92" s="211"/>
      <c r="DV92" s="211"/>
      <c r="DW92" s="211"/>
      <c r="DX92" s="211"/>
      <c r="DY92" s="211"/>
      <c r="DZ92" s="211"/>
      <c r="EA92"/>
      <c r="EB92"/>
      <c r="EC92"/>
      <c r="ED92"/>
      <c r="EE92"/>
      <c r="EF92"/>
    </row>
    <row r="93" spans="1:136" s="90" customFormat="1">
      <c r="A93" s="87" t="s">
        <v>185</v>
      </c>
      <c r="B93" s="87"/>
      <c r="C93" s="87"/>
      <c r="D93" s="87"/>
      <c r="E93" s="87"/>
      <c r="F93" s="87"/>
      <c r="G93" s="87"/>
      <c r="H93" s="87"/>
      <c r="I93" s="87"/>
      <c r="J93" s="87">
        <f t="shared" ref="J93:S93" si="124">(J113-I113)*10000</f>
        <v>-236.92610485864796</v>
      </c>
      <c r="K93" s="87">
        <f t="shared" si="124"/>
        <v>351.91610172805252</v>
      </c>
      <c r="L93" s="87">
        <f t="shared" si="124"/>
        <v>63.13093950456372</v>
      </c>
      <c r="M93" s="87">
        <f t="shared" si="124"/>
        <v>-85.162499044781342</v>
      </c>
      <c r="N93" s="87">
        <f t="shared" si="124"/>
        <v>50.8991179947893</v>
      </c>
      <c r="O93" s="87">
        <f t="shared" si="124"/>
        <v>-26.502650616600508</v>
      </c>
      <c r="P93" s="87">
        <f t="shared" si="124"/>
        <v>-58.292280698396539</v>
      </c>
      <c r="Q93" s="87">
        <f t="shared" si="124"/>
        <v>260.33302553409408</v>
      </c>
      <c r="R93" s="87">
        <f t="shared" si="124"/>
        <v>68.683995912324207</v>
      </c>
      <c r="S93" s="87">
        <f t="shared" si="124"/>
        <v>-24.685523096827367</v>
      </c>
      <c r="T93" s="159">
        <v>40</v>
      </c>
      <c r="U93" s="159">
        <v>50</v>
      </c>
      <c r="V93" s="159">
        <v>50</v>
      </c>
      <c r="W93" s="159">
        <v>20</v>
      </c>
      <c r="X93" s="159">
        <v>15</v>
      </c>
      <c r="Y93" s="159">
        <v>15</v>
      </c>
      <c r="Z93" s="159">
        <v>10</v>
      </c>
      <c r="AA93" s="159">
        <v>10</v>
      </c>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f>(BA113-AW113)*10000</f>
        <v>3820.1839910417793</v>
      </c>
      <c r="BB93" s="87">
        <f>(BB113-AX113)*10000</f>
        <v>3829.90259764333</v>
      </c>
      <c r="BC93" s="87">
        <f>(BC113-AY113)*10000</f>
        <v>2862.9314553774648</v>
      </c>
      <c r="BD93" s="87">
        <f>(BD113-AZ113)*10000</f>
        <v>1778.2740533452088</v>
      </c>
      <c r="BE93" s="87"/>
      <c r="BF93" s="87"/>
      <c r="BG93" s="87"/>
      <c r="BH93" s="87"/>
      <c r="BI93" s="87">
        <f t="shared" ref="BI93:BW93" si="125">(BI113-BE113)*10000</f>
        <v>-115.78971392055493</v>
      </c>
      <c r="BJ93" s="87">
        <f t="shared" si="125"/>
        <v>132.39992202516538</v>
      </c>
      <c r="BK93" s="87">
        <f t="shared" si="125"/>
        <v>14.07499707055948</v>
      </c>
      <c r="BL93" s="87">
        <f t="shared" si="125"/>
        <v>152.97593020312195</v>
      </c>
      <c r="BM93" s="87">
        <f t="shared" si="125"/>
        <v>0.52016086509176773</v>
      </c>
      <c r="BN93" s="87">
        <f t="shared" si="125"/>
        <v>-19.423365386327383</v>
      </c>
      <c r="BO93" s="87">
        <f t="shared" si="125"/>
        <v>-40.163105572563751</v>
      </c>
      <c r="BP93" s="87">
        <f t="shared" si="125"/>
        <v>-45.71301838990405</v>
      </c>
      <c r="BQ93" s="87">
        <f t="shared" si="125"/>
        <v>-59.108520763951347</v>
      </c>
      <c r="BR93" s="87">
        <f t="shared" si="125"/>
        <v>-77.400092692148093</v>
      </c>
      <c r="BS93" s="87">
        <f t="shared" si="125"/>
        <v>7.8719733268051151</v>
      </c>
      <c r="BT93" s="87">
        <f t="shared" si="125"/>
        <v>-103.57327162302587</v>
      </c>
      <c r="BU93" s="87">
        <f t="shared" si="125"/>
        <v>192.14451307345726</v>
      </c>
      <c r="BV93" s="87">
        <f t="shared" si="125"/>
        <v>264.03041430299089</v>
      </c>
      <c r="BW93" s="87">
        <f t="shared" si="125"/>
        <v>242.42389147538179</v>
      </c>
      <c r="BX93" s="87">
        <f t="shared" ref="BX93:CE93" si="126">(BX113-BT113)*10000</f>
        <v>342.01884370431259</v>
      </c>
      <c r="BY93" s="87">
        <f t="shared" si="126"/>
        <v>227.12908655460939</v>
      </c>
      <c r="BZ93" s="87">
        <f t="shared" si="126"/>
        <v>58.110448394751437</v>
      </c>
      <c r="CA93" s="87">
        <f t="shared" si="126"/>
        <v>19.34674488315413</v>
      </c>
      <c r="CB93" s="87">
        <f t="shared" si="126"/>
        <v>-28.682921065611431</v>
      </c>
      <c r="CC93" s="87">
        <f t="shared" si="126"/>
        <v>-14.011546597179624</v>
      </c>
      <c r="CD93" s="87">
        <f t="shared" si="126"/>
        <v>-21.602188714763273</v>
      </c>
      <c r="CE93" s="87">
        <f t="shared" si="126"/>
        <v>-45.693448059125345</v>
      </c>
      <c r="CF93" s="87">
        <f>(CF113-CB113)*10000</f>
        <v>-12.431721202336155</v>
      </c>
      <c r="CG93" s="159">
        <v>30</v>
      </c>
      <c r="CH93" s="159">
        <v>30</v>
      </c>
      <c r="CI93" s="159">
        <v>100</v>
      </c>
      <c r="CJ93" s="87">
        <f ca="1">(CJ113-CF113)*10000</f>
        <v>-0.92923283317780658</v>
      </c>
      <c r="CO93" s="39"/>
      <c r="DK93" s="39"/>
      <c r="DL93" s="39"/>
      <c r="DM93" s="39"/>
      <c r="DN93" s="39"/>
      <c r="DO93" s="39"/>
      <c r="DP93" s="39"/>
      <c r="DQ93" s="39"/>
      <c r="DR93" s="39"/>
      <c r="DS93" s="39"/>
      <c r="DT93" s="39"/>
      <c r="DU93" s="39"/>
      <c r="DV93" s="39"/>
      <c r="DW93" s="39"/>
      <c r="DX93" s="39"/>
      <c r="DY93" s="39"/>
      <c r="DZ93" s="39"/>
      <c r="EA93"/>
      <c r="EB93"/>
      <c r="EC93"/>
      <c r="ED93"/>
      <c r="EE93"/>
      <c r="EF93"/>
    </row>
    <row r="94" spans="1:136" s="90" customFormat="1">
      <c r="A94" s="87" t="s">
        <v>186</v>
      </c>
      <c r="B94" s="87"/>
      <c r="C94" s="87"/>
      <c r="D94" s="87"/>
      <c r="E94" s="87"/>
      <c r="F94" s="87"/>
      <c r="G94" s="87"/>
      <c r="H94" s="87"/>
      <c r="I94" s="87"/>
      <c r="J94" s="87">
        <f t="shared" ref="J94:V94" si="127">(J115-I115)*10000</f>
        <v>-142.72358507107856</v>
      </c>
      <c r="K94" s="87">
        <f t="shared" si="127"/>
        <v>176.94195457250984</v>
      </c>
      <c r="L94" s="87">
        <f t="shared" si="127"/>
        <v>75.934523664863278</v>
      </c>
      <c r="M94" s="87">
        <f t="shared" si="127"/>
        <v>41.727296888354473</v>
      </c>
      <c r="N94" s="87">
        <f t="shared" si="127"/>
        <v>31.905981331733223</v>
      </c>
      <c r="O94" s="87">
        <f t="shared" si="127"/>
        <v>-44.10106247359186</v>
      </c>
      <c r="P94" s="87">
        <f t="shared" si="127"/>
        <v>13.353559830847905</v>
      </c>
      <c r="Q94" s="87">
        <f t="shared" si="127"/>
        <v>104.32064109281797</v>
      </c>
      <c r="R94" s="87">
        <f t="shared" si="127"/>
        <v>211.73700140123404</v>
      </c>
      <c r="S94" s="87">
        <f t="shared" si="127"/>
        <v>109.40699417646638</v>
      </c>
      <c r="T94" s="87">
        <f t="shared" ca="1" si="127"/>
        <v>73.886561559231296</v>
      </c>
      <c r="U94" s="87">
        <f t="shared" ca="1" si="127"/>
        <v>62.173522380021552</v>
      </c>
      <c r="V94" s="87">
        <f t="shared" ca="1" si="127"/>
        <v>54.398993389518644</v>
      </c>
      <c r="W94" s="87">
        <f ca="1">(W115-V115)*10000</f>
        <v>38.466399892656824</v>
      </c>
      <c r="X94" s="87">
        <f ca="1">(X115-W115)*10000</f>
        <v>23.980167161307129</v>
      </c>
      <c r="Y94" s="87">
        <f ca="1">(Y115-X115)*10000</f>
        <v>14.622720004639767</v>
      </c>
      <c r="Z94" s="87">
        <f ca="1">(Z115-Y115)*10000</f>
        <v>14.544938774427308</v>
      </c>
      <c r="AA94" s="87">
        <f ca="1">(AA115-Z115)*10000</f>
        <v>13.657809625216844</v>
      </c>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f t="shared" ref="BA94:BW94" si="128">(BA115-AW115)*10000</f>
        <v>280.5477256931037</v>
      </c>
      <c r="BB94" s="87">
        <f t="shared" si="128"/>
        <v>202.32141047641719</v>
      </c>
      <c r="BC94" s="87">
        <f t="shared" si="128"/>
        <v>36.848471669135712</v>
      </c>
      <c r="BD94" s="87">
        <f t="shared" si="128"/>
        <v>374.94512675738821</v>
      </c>
      <c r="BE94" s="87">
        <f t="shared" si="128"/>
        <v>-21.227637568667774</v>
      </c>
      <c r="BF94" s="87">
        <f t="shared" si="128"/>
        <v>-1.5255908368241866</v>
      </c>
      <c r="BG94" s="87">
        <f t="shared" si="128"/>
        <v>120.6916236283967</v>
      </c>
      <c r="BH94" s="87">
        <f t="shared" si="128"/>
        <v>151.7206787335551</v>
      </c>
      <c r="BI94" s="87">
        <f t="shared" si="128"/>
        <v>81.775383956069348</v>
      </c>
      <c r="BJ94" s="87">
        <f t="shared" si="128"/>
        <v>23.860114959765866</v>
      </c>
      <c r="BK94" s="87">
        <f t="shared" si="128"/>
        <v>55.033254964984287</v>
      </c>
      <c r="BL94" s="87">
        <f t="shared" si="128"/>
        <v>-16.099740044039081</v>
      </c>
      <c r="BM94" s="87">
        <f t="shared" si="128"/>
        <v>-113.23487698921289</v>
      </c>
      <c r="BN94" s="87">
        <f t="shared" si="128"/>
        <v>-133.09384494231898</v>
      </c>
      <c r="BO94" s="87">
        <f t="shared" si="128"/>
        <v>-98.082062923587898</v>
      </c>
      <c r="BP94" s="87">
        <f t="shared" si="128"/>
        <v>147.47987979827849</v>
      </c>
      <c r="BQ94" s="87">
        <f t="shared" si="128"/>
        <v>33.969707833861193</v>
      </c>
      <c r="BR94" s="87">
        <f t="shared" si="128"/>
        <v>106.09422619287808</v>
      </c>
      <c r="BS94" s="87">
        <f t="shared" si="128"/>
        <v>-53.236611913561049</v>
      </c>
      <c r="BT94" s="87">
        <f t="shared" si="128"/>
        <v>-21.457607226806065</v>
      </c>
      <c r="BU94" s="87">
        <f t="shared" si="128"/>
        <v>192.90502193683307</v>
      </c>
      <c r="BV94" s="87">
        <f t="shared" si="128"/>
        <v>18.023662765129512</v>
      </c>
      <c r="BW94" s="87">
        <f t="shared" si="128"/>
        <v>182.36963946087704</v>
      </c>
      <c r="BX94" s="87">
        <f t="shared" ref="BX94:CF94" si="129">(BX115-BT115)*10000</f>
        <v>23.335684353008311</v>
      </c>
      <c r="BY94" s="87">
        <f t="shared" si="129"/>
        <v>293.38128344768234</v>
      </c>
      <c r="BZ94" s="87">
        <f t="shared" si="129"/>
        <v>237.49976743622253</v>
      </c>
      <c r="CA94" s="87">
        <f t="shared" si="129"/>
        <v>256.23472569313327</v>
      </c>
      <c r="CB94" s="87">
        <f t="shared" si="129"/>
        <v>66.650020262148672</v>
      </c>
      <c r="CC94" s="87">
        <f t="shared" si="129"/>
        <v>81.430498910852748</v>
      </c>
      <c r="CD94" s="87">
        <f t="shared" si="129"/>
        <v>115.64582772650267</v>
      </c>
      <c r="CE94" s="87">
        <f t="shared" si="129"/>
        <v>76.810881742718223</v>
      </c>
      <c r="CF94" s="87">
        <f t="shared" si="129"/>
        <v>161.00079330963885</v>
      </c>
      <c r="CG94" s="87">
        <f>(CG115-CC115)*10000</f>
        <v>30.549150705372064</v>
      </c>
      <c r="CH94" s="87">
        <f>(CH115-CD115)*10000</f>
        <v>93.72394711221088</v>
      </c>
      <c r="CI94" s="87">
        <f ca="1">(CI115-CE115)*10000</f>
        <v>61.730094796861032</v>
      </c>
      <c r="CJ94" s="87">
        <f ca="1">(CJ115-CF115)*10000</f>
        <v>108.45884017094049</v>
      </c>
      <c r="CO94" s="39"/>
      <c r="DK94" s="39"/>
      <c r="DL94" s="39"/>
      <c r="DM94" s="39"/>
      <c r="DN94" s="39"/>
      <c r="DO94" s="39"/>
      <c r="DP94" s="39"/>
      <c r="DQ94" s="39"/>
      <c r="DR94" s="39"/>
      <c r="DS94" s="39"/>
      <c r="DT94" s="39"/>
      <c r="DU94" s="39"/>
      <c r="DV94" s="39"/>
      <c r="DW94" s="39"/>
      <c r="DX94" s="39"/>
      <c r="DY94" s="39"/>
      <c r="DZ94" s="39"/>
      <c r="EA94"/>
      <c r="EB94"/>
      <c r="EC94"/>
      <c r="ED94"/>
      <c r="EE94"/>
      <c r="EF94"/>
    </row>
    <row r="95" spans="1:136" s="90" customFormat="1">
      <c r="A95" s="39" t="s">
        <v>187</v>
      </c>
      <c r="B95" s="39"/>
      <c r="C95" s="39"/>
      <c r="D95" s="39"/>
      <c r="E95" s="39"/>
      <c r="F95" s="39"/>
      <c r="G95" s="39"/>
      <c r="H95" s="39"/>
      <c r="I95" s="39"/>
      <c r="J95" s="39"/>
      <c r="K95" s="39"/>
      <c r="L95" s="39"/>
      <c r="M95" s="87">
        <f t="shared" ref="M95:AA95" si="130">(M117-L117)*10000</f>
        <v>31.959432401180155</v>
      </c>
      <c r="N95" s="87">
        <f t="shared" si="130"/>
        <v>65.102230292415072</v>
      </c>
      <c r="O95" s="87">
        <f t="shared" si="130"/>
        <v>0.46993737192926877</v>
      </c>
      <c r="P95" s="87">
        <f t="shared" si="130"/>
        <v>-37.254524546392467</v>
      </c>
      <c r="Q95" s="87">
        <f t="shared" si="130"/>
        <v>108.3485146078425</v>
      </c>
      <c r="R95" s="87">
        <f t="shared" si="130"/>
        <v>212.31480597845882</v>
      </c>
      <c r="S95" s="87">
        <f t="shared" si="130"/>
        <v>114.27711597444851</v>
      </c>
      <c r="T95" s="87">
        <f t="shared" ca="1" si="130"/>
        <v>87.933734733279536</v>
      </c>
      <c r="U95" s="87">
        <f t="shared" ca="1" si="130"/>
        <v>63.701481439842887</v>
      </c>
      <c r="V95" s="87">
        <f t="shared" ca="1" si="130"/>
        <v>56.170969461549205</v>
      </c>
      <c r="W95" s="87">
        <f t="shared" ca="1" si="130"/>
        <v>40.38713524557064</v>
      </c>
      <c r="X95" s="87">
        <f t="shared" ca="1" si="130"/>
        <v>25.784074779895416</v>
      </c>
      <c r="Y95" s="87">
        <f t="shared" ca="1" si="130"/>
        <v>16.323352680824854</v>
      </c>
      <c r="Z95" s="87">
        <f t="shared" ca="1" si="130"/>
        <v>16.153998352048394</v>
      </c>
      <c r="AA95" s="87">
        <f t="shared" ca="1" si="130"/>
        <v>15.185421381823661</v>
      </c>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87">
        <f t="shared" ref="BI95:CJ95" si="131">(BI117-BE117)*10000</f>
        <v>19.637452659259509</v>
      </c>
      <c r="BJ95" s="87">
        <f t="shared" si="131"/>
        <v>146.77811591815831</v>
      </c>
      <c r="BK95" s="87">
        <f t="shared" si="131"/>
        <v>89.850497008796268</v>
      </c>
      <c r="BL95" s="87">
        <f t="shared" si="131"/>
        <v>12.676967518861492</v>
      </c>
      <c r="BM95" s="87">
        <f t="shared" si="131"/>
        <v>-93.808808395116628</v>
      </c>
      <c r="BN95" s="87">
        <f t="shared" si="131"/>
        <v>-154.53168537703829</v>
      </c>
      <c r="BO95" s="87">
        <f t="shared" si="131"/>
        <v>-62.196375870255807</v>
      </c>
      <c r="BP95" s="87">
        <f t="shared" si="131"/>
        <v>282.22085023892049</v>
      </c>
      <c r="BQ95" s="87">
        <f t="shared" si="131"/>
        <v>-13.010859937978708</v>
      </c>
      <c r="BR95" s="87">
        <f t="shared" si="131"/>
        <v>23.161416698324196</v>
      </c>
      <c r="BS95" s="87">
        <f t="shared" si="131"/>
        <v>-8.2537684048543394</v>
      </c>
      <c r="BT95" s="87">
        <f t="shared" si="131"/>
        <v>-135.00596917046747</v>
      </c>
      <c r="BU95" s="87">
        <f t="shared" si="131"/>
        <v>208.78696537775909</v>
      </c>
      <c r="BV95" s="87">
        <f t="shared" si="131"/>
        <v>42.949220482352693</v>
      </c>
      <c r="BW95" s="87">
        <f t="shared" si="131"/>
        <v>131.5868714242699</v>
      </c>
      <c r="BX95" s="87">
        <f t="shared" si="131"/>
        <v>48.481709277013174</v>
      </c>
      <c r="BY95" s="87">
        <f t="shared" si="131"/>
        <v>287.27929234435459</v>
      </c>
      <c r="BZ95" s="87">
        <f t="shared" si="131"/>
        <v>258.26982697818733</v>
      </c>
      <c r="CA95" s="87">
        <f t="shared" si="131"/>
        <v>204.64725096328741</v>
      </c>
      <c r="CB95" s="87">
        <f t="shared" si="131"/>
        <v>104.31280795364984</v>
      </c>
      <c r="CC95" s="87">
        <f t="shared" si="131"/>
        <v>83.919285734342651</v>
      </c>
      <c r="CD95" s="87">
        <f t="shared" si="131"/>
        <v>74.960026596165847</v>
      </c>
      <c r="CE95" s="87">
        <f t="shared" si="131"/>
        <v>126.18663169986361</v>
      </c>
      <c r="CF95" s="87">
        <f t="shared" si="131"/>
        <v>165.88689920773891</v>
      </c>
      <c r="CG95" s="87">
        <f t="shared" ca="1" si="131"/>
        <v>38.486683152844094</v>
      </c>
      <c r="CH95" s="87">
        <f t="shared" ca="1" si="131"/>
        <v>133.85430368672124</v>
      </c>
      <c r="CI95" s="87">
        <f t="shared" ca="1" si="131"/>
        <v>62.81284382990637</v>
      </c>
      <c r="CJ95" s="87">
        <f t="shared" ca="1" si="131"/>
        <v>118.45106084613782</v>
      </c>
      <c r="CO95" s="39"/>
      <c r="DK95" s="39"/>
      <c r="DL95" s="39"/>
      <c r="DM95" s="39"/>
      <c r="DN95" s="39"/>
      <c r="DO95" s="39"/>
      <c r="DP95" s="39"/>
      <c r="DQ95" s="39"/>
      <c r="DR95" s="39"/>
      <c r="DS95" s="39"/>
      <c r="DT95" s="39"/>
      <c r="DU95" s="39"/>
      <c r="DV95" s="39"/>
      <c r="DW95" s="39"/>
      <c r="DX95" s="39"/>
      <c r="DY95" s="39"/>
      <c r="DZ95" s="39"/>
      <c r="EA95"/>
      <c r="EB95"/>
      <c r="EC95"/>
      <c r="ED95"/>
      <c r="EE95"/>
      <c r="EF95"/>
    </row>
    <row r="96" spans="1:136" s="90" customFormat="1">
      <c r="A96" s="87"/>
      <c r="B96" s="87"/>
      <c r="C96" s="87"/>
      <c r="D96" s="87"/>
      <c r="E96" s="87"/>
      <c r="F96" s="87"/>
      <c r="G96" s="87"/>
      <c r="H96" s="87"/>
      <c r="I96" s="87"/>
      <c r="J96" s="87"/>
      <c r="K96" s="87"/>
      <c r="L96" s="87"/>
      <c r="M96" s="87"/>
      <c r="N96" s="87"/>
      <c r="O96" s="87"/>
      <c r="P96" s="87">
        <f>+SUM(P93:R93)</f>
        <v>270.72474074802176</v>
      </c>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193"/>
      <c r="BV96" s="193"/>
      <c r="BW96" s="193"/>
      <c r="BX96" s="87"/>
      <c r="BY96" s="87"/>
      <c r="BZ96" s="87"/>
      <c r="CA96" s="87"/>
      <c r="CB96" s="87"/>
      <c r="CC96" s="87"/>
      <c r="CD96" s="87"/>
      <c r="CE96" s="87"/>
      <c r="CF96" s="87"/>
      <c r="CG96" s="87"/>
      <c r="CH96" s="87"/>
      <c r="CI96" s="87"/>
      <c r="CJ96" s="87"/>
      <c r="CO96" s="39"/>
      <c r="DK96" s="39"/>
      <c r="DL96" s="39"/>
      <c r="DM96" s="39"/>
      <c r="DN96" s="39"/>
      <c r="DO96" s="39"/>
      <c r="DP96" s="39"/>
      <c r="DQ96" s="39"/>
      <c r="DR96" s="39"/>
      <c r="DS96" s="39"/>
      <c r="DT96" s="39"/>
      <c r="DU96" s="39"/>
      <c r="DV96" s="39"/>
      <c r="DW96" s="39"/>
      <c r="DX96" s="39"/>
      <c r="DY96" s="39"/>
      <c r="DZ96" s="39"/>
      <c r="EA96"/>
      <c r="EB96"/>
      <c r="EC96"/>
      <c r="ED96"/>
      <c r="EE96"/>
      <c r="EF96"/>
    </row>
    <row r="97" spans="1:136" s="90" customFormat="1">
      <c r="A97" s="93" t="s">
        <v>188</v>
      </c>
      <c r="B97" s="87"/>
      <c r="C97" s="87"/>
      <c r="D97" s="87"/>
      <c r="E97" s="87"/>
      <c r="F97" s="87"/>
      <c r="G97" s="87"/>
      <c r="H97" s="87"/>
      <c r="I97" s="87"/>
      <c r="J97" s="87"/>
      <c r="K97" s="87"/>
      <c r="L97" s="87"/>
      <c r="M97" s="87"/>
      <c r="N97" s="87"/>
      <c r="O97" s="87"/>
      <c r="P97" s="87">
        <f>+SUM(P95:R95)</f>
        <v>283.40879603990885</v>
      </c>
      <c r="Q97" s="87">
        <f>+P97-P96</f>
        <v>12.684055291887091</v>
      </c>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193"/>
      <c r="BV97" s="193"/>
      <c r="BW97" s="193"/>
      <c r="BX97" s="87"/>
      <c r="BY97" s="87"/>
      <c r="BZ97" s="87"/>
      <c r="CA97" s="87"/>
      <c r="CB97" s="87"/>
      <c r="CC97" s="87"/>
      <c r="CD97" s="87"/>
      <c r="CE97" s="87"/>
      <c r="CF97" s="87"/>
      <c r="CG97" s="87"/>
      <c r="CH97" s="87"/>
      <c r="CI97" s="87"/>
      <c r="CJ97" s="87"/>
      <c r="CO97" s="39"/>
      <c r="DK97" s="39"/>
      <c r="DL97" s="39"/>
      <c r="DM97" s="39"/>
      <c r="DN97" s="39"/>
      <c r="DO97" s="39"/>
      <c r="DP97" s="39"/>
      <c r="DQ97" s="39"/>
      <c r="DR97" s="39"/>
      <c r="DS97" s="39"/>
      <c r="DT97" s="39"/>
      <c r="DU97" s="39"/>
      <c r="DV97" s="39"/>
      <c r="DW97" s="39"/>
      <c r="DX97" s="39"/>
      <c r="DY97" s="39"/>
      <c r="DZ97" s="39"/>
      <c r="EA97"/>
      <c r="EB97"/>
      <c r="EC97"/>
      <c r="ED97"/>
      <c r="EE97"/>
      <c r="EF97"/>
    </row>
    <row r="98" spans="1:136" s="90" customFormat="1">
      <c r="A98" s="87" t="s">
        <v>54</v>
      </c>
      <c r="B98" s="87"/>
      <c r="C98" s="87"/>
      <c r="D98" s="87"/>
      <c r="E98" s="87"/>
      <c r="F98" s="87"/>
      <c r="G98" s="87"/>
      <c r="H98" s="87"/>
      <c r="I98" s="87"/>
      <c r="J98" s="87"/>
      <c r="K98" s="87"/>
      <c r="L98" s="87"/>
      <c r="M98" s="134">
        <f t="shared" ref="M98:S102" si="132">(M123-L123)*10000</f>
        <v>289.66795751526303</v>
      </c>
      <c r="N98" s="134">
        <f t="shared" si="132"/>
        <v>-16.553826793916649</v>
      </c>
      <c r="O98" s="134">
        <f t="shared" si="132"/>
        <v>-248.77009519417737</v>
      </c>
      <c r="P98" s="134">
        <f t="shared" si="132"/>
        <v>46.079354965249117</v>
      </c>
      <c r="Q98" s="134">
        <f t="shared" si="132"/>
        <v>-237.25355071610403</v>
      </c>
      <c r="R98" s="134">
        <f t="shared" si="132"/>
        <v>222.79061612768228</v>
      </c>
      <c r="S98" s="134">
        <f t="shared" si="132"/>
        <v>259.38599247688626</v>
      </c>
      <c r="T98" s="102">
        <v>65</v>
      </c>
      <c r="U98" s="102">
        <v>65</v>
      </c>
      <c r="V98" s="102">
        <v>55</v>
      </c>
      <c r="W98" s="102">
        <v>25</v>
      </c>
      <c r="X98" s="102">
        <v>20</v>
      </c>
      <c r="Y98" s="102">
        <v>15</v>
      </c>
      <c r="Z98" s="102">
        <v>15</v>
      </c>
      <c r="AA98" s="102">
        <v>10</v>
      </c>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134">
        <f t="shared" ref="BI98:CE98" si="133">(BI123-BE123)*10000</f>
        <v>-105.99051559812168</v>
      </c>
      <c r="BJ98" s="134">
        <f t="shared" si="133"/>
        <v>-27.240124466009206</v>
      </c>
      <c r="BK98" s="134">
        <f t="shared" si="133"/>
        <v>17.864050515565001</v>
      </c>
      <c r="BL98" s="134">
        <f t="shared" si="133"/>
        <v>69.818392989124675</v>
      </c>
      <c r="BM98" s="134">
        <f t="shared" si="133"/>
        <v>-182.51307916418656</v>
      </c>
      <c r="BN98" s="134">
        <f t="shared" si="133"/>
        <v>-379.67184243086291</v>
      </c>
      <c r="BO98" s="134">
        <f t="shared" si="133"/>
        <v>-179.06316435287562</v>
      </c>
      <c r="BP98" s="134">
        <f t="shared" si="133"/>
        <v>-245.88631264023942</v>
      </c>
      <c r="BQ98" s="134">
        <f t="shared" si="133"/>
        <v>0.38388600121300187</v>
      </c>
      <c r="BR98" s="134">
        <f t="shared" si="133"/>
        <v>-116.34256069164614</v>
      </c>
      <c r="BS98" s="134">
        <f t="shared" si="133"/>
        <v>-263.05685132386225</v>
      </c>
      <c r="BT98" s="134">
        <f t="shared" si="133"/>
        <v>580.30801723159527</v>
      </c>
      <c r="BU98" s="134">
        <f t="shared" si="133"/>
        <v>238.13015044429466</v>
      </c>
      <c r="BV98" s="134">
        <f t="shared" si="133"/>
        <v>-24.135647053505348</v>
      </c>
      <c r="BW98" s="134">
        <f t="shared" si="133"/>
        <v>-119.64015600757494</v>
      </c>
      <c r="BX98" s="134">
        <f t="shared" si="133"/>
        <v>-1115.8764883397178</v>
      </c>
      <c r="BY98" s="134">
        <f t="shared" si="133"/>
        <v>-268.53062455999208</v>
      </c>
      <c r="BZ98" s="134">
        <f t="shared" si="133"/>
        <v>-195.56684690812509</v>
      </c>
      <c r="CA98" s="134">
        <f t="shared" si="133"/>
        <v>542.34698508426038</v>
      </c>
      <c r="CB98" s="134">
        <f t="shared" si="133"/>
        <v>833.24464122267375</v>
      </c>
      <c r="CC98" s="134">
        <f t="shared" si="133"/>
        <v>539.47279714150875</v>
      </c>
      <c r="CD98" s="134">
        <f t="shared" si="133"/>
        <v>511.40825163215402</v>
      </c>
      <c r="CE98" s="134">
        <f t="shared" si="133"/>
        <v>248.34420241934663</v>
      </c>
      <c r="CF98" s="134">
        <f>(CF123-CB123)*10000</f>
        <v>-247.82160350605821</v>
      </c>
      <c r="CG98" s="159">
        <v>60</v>
      </c>
      <c r="CH98" s="159">
        <v>200</v>
      </c>
      <c r="CI98" s="159">
        <v>-50</v>
      </c>
      <c r="CJ98" s="134">
        <f>(CJ123-CF123)*10000</f>
        <v>56.062838850865774</v>
      </c>
      <c r="CO98" s="39"/>
      <c r="DK98" s="39"/>
      <c r="DL98" s="39"/>
      <c r="DM98" s="39"/>
      <c r="DN98" s="39"/>
      <c r="DO98" s="39"/>
      <c r="DP98" s="39"/>
      <c r="DQ98" s="39"/>
      <c r="DR98" s="39"/>
      <c r="DS98" s="39"/>
      <c r="DT98" s="39"/>
      <c r="DU98" s="39"/>
      <c r="DV98" s="39"/>
      <c r="DW98" s="39"/>
      <c r="DX98" s="39"/>
      <c r="DY98" s="39"/>
      <c r="DZ98" s="39"/>
      <c r="EA98"/>
      <c r="EB98"/>
      <c r="EC98"/>
      <c r="ED98"/>
      <c r="EE98"/>
      <c r="EF98"/>
    </row>
    <row r="99" spans="1:136" s="90" customFormat="1">
      <c r="A99" s="87" t="s">
        <v>564</v>
      </c>
      <c r="B99" s="87"/>
      <c r="C99" s="87"/>
      <c r="D99" s="87"/>
      <c r="E99" s="87"/>
      <c r="F99" s="87"/>
      <c r="G99" s="87"/>
      <c r="H99" s="87"/>
      <c r="I99" s="87"/>
      <c r="J99" s="87"/>
      <c r="K99" s="87"/>
      <c r="L99" s="87"/>
      <c r="M99" s="134">
        <f t="shared" si="132"/>
        <v>386.60394199757019</v>
      </c>
      <c r="N99" s="134">
        <f t="shared" si="132"/>
        <v>-26.323398288947974</v>
      </c>
      <c r="O99" s="134">
        <f t="shared" si="132"/>
        <v>-259.60912376009173</v>
      </c>
      <c r="P99" s="134">
        <f t="shared" si="132"/>
        <v>-305.89069600799837</v>
      </c>
      <c r="Q99" s="134">
        <f t="shared" si="132"/>
        <v>36.675904160106967</v>
      </c>
      <c r="R99" s="134">
        <f t="shared" si="132"/>
        <v>230.72770760222087</v>
      </c>
      <c r="S99" s="134">
        <f t="shared" si="132"/>
        <v>137.45976809596772</v>
      </c>
      <c r="T99" s="102">
        <v>100</v>
      </c>
      <c r="U99" s="102">
        <v>65</v>
      </c>
      <c r="V99" s="102">
        <v>55</v>
      </c>
      <c r="W99" s="102">
        <v>30</v>
      </c>
      <c r="X99" s="102">
        <v>20</v>
      </c>
      <c r="Y99" s="102">
        <v>10</v>
      </c>
      <c r="Z99" s="102">
        <v>10</v>
      </c>
      <c r="AA99" s="102">
        <v>10</v>
      </c>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134">
        <f t="shared" ref="BI99:BR102" si="134">(BI124-BE124)*10000</f>
        <v>319.99088718598301</v>
      </c>
      <c r="BJ99" s="134">
        <f t="shared" si="134"/>
        <v>-53.790166299928778</v>
      </c>
      <c r="BK99" s="134">
        <f t="shared" si="134"/>
        <v>35.7906356636406</v>
      </c>
      <c r="BL99" s="134">
        <f t="shared" si="134"/>
        <v>-348.28842231458532</v>
      </c>
      <c r="BM99" s="134">
        <f t="shared" si="134"/>
        <v>-275.28681352087995</v>
      </c>
      <c r="BN99" s="134">
        <f t="shared" si="134"/>
        <v>-165.818424778984</v>
      </c>
      <c r="BO99" s="134">
        <f t="shared" si="134"/>
        <v>-663.6320815702353</v>
      </c>
      <c r="BP99" s="134">
        <f t="shared" si="134"/>
        <v>13.735616863761319</v>
      </c>
      <c r="BQ99" s="134">
        <f t="shared" si="134"/>
        <v>-145.03044892996462</v>
      </c>
      <c r="BR99" s="134">
        <f t="shared" si="134"/>
        <v>-216.35669111805686</v>
      </c>
      <c r="BS99" s="134">
        <f t="shared" ref="BS99:BZ102" si="135">(BS124-BO124)*10000</f>
        <v>-266.70544680550563</v>
      </c>
      <c r="BT99" s="134">
        <f t="shared" si="135"/>
        <v>-588.12494002619792</v>
      </c>
      <c r="BU99" s="134">
        <f t="shared" si="135"/>
        <v>-117.18428044142651</v>
      </c>
      <c r="BV99" s="134">
        <f t="shared" si="135"/>
        <v>6.6443949012864874</v>
      </c>
      <c r="BW99" s="134">
        <f t="shared" si="135"/>
        <v>303.47503678558917</v>
      </c>
      <c r="BX99" s="134">
        <f t="shared" si="135"/>
        <v>-40.12337899375003</v>
      </c>
      <c r="BY99" s="134">
        <f t="shared" si="135"/>
        <v>464.6552188037237</v>
      </c>
      <c r="BZ99" s="134">
        <f t="shared" si="135"/>
        <v>254.65838509316788</v>
      </c>
      <c r="CA99" s="134">
        <f t="shared" ref="CA99:CE102" si="136">(CA124-BW124)*10000</f>
        <v>144.47249242080838</v>
      </c>
      <c r="CB99" s="134">
        <f t="shared" si="136"/>
        <v>29.835572842998591</v>
      </c>
      <c r="CC99" s="134">
        <f t="shared" si="136"/>
        <v>-40.947836685416576</v>
      </c>
      <c r="CD99" s="134">
        <f t="shared" si="136"/>
        <v>210.05762179151372</v>
      </c>
      <c r="CE99" s="134">
        <f t="shared" si="136"/>
        <v>94.427679171729949</v>
      </c>
      <c r="CF99" s="134">
        <f>(CF124-CB124)*10000</f>
        <v>338.49789915966386</v>
      </c>
      <c r="CG99" s="159">
        <v>0</v>
      </c>
      <c r="CH99" s="159">
        <v>-150</v>
      </c>
      <c r="CI99" s="159">
        <v>100</v>
      </c>
      <c r="CJ99" s="134">
        <f>(CJ124-CF124)*10000</f>
        <v>427.75477104398828</v>
      </c>
      <c r="CO99" s="39"/>
      <c r="DK99" s="39"/>
      <c r="DL99" s="39"/>
      <c r="DM99" s="39"/>
      <c r="DN99" s="39"/>
      <c r="DO99" s="39"/>
      <c r="DP99" s="39"/>
      <c r="DQ99" s="39"/>
      <c r="DR99" s="39"/>
      <c r="DS99" s="39"/>
      <c r="DT99" s="39"/>
      <c r="DU99" s="39"/>
      <c r="DV99" s="39"/>
      <c r="DW99" s="39"/>
      <c r="DX99" s="39"/>
      <c r="DY99" s="39"/>
      <c r="DZ99" s="39"/>
      <c r="EA99"/>
      <c r="EB99"/>
      <c r="EC99"/>
      <c r="ED99"/>
      <c r="EE99"/>
      <c r="EF99"/>
    </row>
    <row r="100" spans="1:136" s="90" customFormat="1">
      <c r="A100" s="87" t="s">
        <v>57</v>
      </c>
      <c r="B100" s="87"/>
      <c r="C100" s="87"/>
      <c r="D100" s="87"/>
      <c r="E100" s="87"/>
      <c r="F100" s="87"/>
      <c r="G100" s="87"/>
      <c r="H100" s="87"/>
      <c r="I100" s="87"/>
      <c r="J100" s="87"/>
      <c r="K100" s="87"/>
      <c r="L100" s="87"/>
      <c r="M100" s="134">
        <f t="shared" si="132"/>
        <v>-153.58307621210932</v>
      </c>
      <c r="N100" s="134">
        <f t="shared" si="132"/>
        <v>73.039445679999588</v>
      </c>
      <c r="O100" s="134">
        <f t="shared" si="132"/>
        <v>62.04109547425535</v>
      </c>
      <c r="P100" s="134">
        <f t="shared" si="132"/>
        <v>89.000123896305908</v>
      </c>
      <c r="Q100" s="134">
        <f t="shared" si="132"/>
        <v>186.61600100652569</v>
      </c>
      <c r="R100" s="134">
        <f t="shared" si="132"/>
        <v>151.26154884367276</v>
      </c>
      <c r="S100" s="134">
        <f t="shared" si="132"/>
        <v>163.11663987825909</v>
      </c>
      <c r="T100" s="102">
        <v>70</v>
      </c>
      <c r="U100" s="102">
        <v>65</v>
      </c>
      <c r="V100" s="175">
        <v>60</v>
      </c>
      <c r="W100" s="175">
        <v>50</v>
      </c>
      <c r="X100" s="175">
        <v>30</v>
      </c>
      <c r="Y100" s="175">
        <v>20</v>
      </c>
      <c r="Z100" s="175">
        <v>20</v>
      </c>
      <c r="AA100" s="175">
        <v>20</v>
      </c>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134">
        <f t="shared" si="134"/>
        <v>128.36852226498857</v>
      </c>
      <c r="BJ100" s="134">
        <f t="shared" si="134"/>
        <v>74.772937866983142</v>
      </c>
      <c r="BK100" s="134">
        <f t="shared" si="134"/>
        <v>30.804288077011659</v>
      </c>
      <c r="BL100" s="134">
        <f t="shared" si="134"/>
        <v>66.196566593765553</v>
      </c>
      <c r="BM100" s="134">
        <f t="shared" si="134"/>
        <v>-35.836340042912781</v>
      </c>
      <c r="BN100" s="134">
        <f t="shared" si="134"/>
        <v>-85.113940856710585</v>
      </c>
      <c r="BO100" s="134">
        <f t="shared" si="134"/>
        <v>89.243751122811403</v>
      </c>
      <c r="BP100" s="134">
        <f t="shared" si="134"/>
        <v>245.4907396656869</v>
      </c>
      <c r="BQ100" s="134">
        <f t="shared" si="134"/>
        <v>30.544296863623394</v>
      </c>
      <c r="BR100" s="134">
        <f t="shared" si="134"/>
        <v>208.51331665333205</v>
      </c>
      <c r="BS100" s="134">
        <f t="shared" si="135"/>
        <v>41.832274722387595</v>
      </c>
      <c r="BT100" s="134">
        <f t="shared" si="135"/>
        <v>102.45211054591779</v>
      </c>
      <c r="BU100" s="134">
        <f t="shared" si="135"/>
        <v>220.73262639419639</v>
      </c>
      <c r="BV100" s="134">
        <f t="shared" si="135"/>
        <v>21.498749681127251</v>
      </c>
      <c r="BW100" s="134">
        <f t="shared" si="135"/>
        <v>239.62454756349089</v>
      </c>
      <c r="BX100" s="134">
        <f t="shared" si="135"/>
        <v>235.94789082240774</v>
      </c>
      <c r="BY100" s="134">
        <f t="shared" si="135"/>
        <v>345.4272659073859</v>
      </c>
      <c r="BZ100" s="134">
        <f t="shared" si="135"/>
        <v>156.57349896480349</v>
      </c>
      <c r="CA100" s="134">
        <f t="shared" si="136"/>
        <v>183.32261310415572</v>
      </c>
      <c r="CB100" s="134">
        <f t="shared" si="136"/>
        <v>-55.544459672587365</v>
      </c>
      <c r="CC100" s="134">
        <f t="shared" si="136"/>
        <v>73.589201496178092</v>
      </c>
      <c r="CD100" s="134">
        <f t="shared" si="136"/>
        <v>220.21473395883146</v>
      </c>
      <c r="CE100" s="134">
        <f t="shared" si="136"/>
        <v>77.948896108045446</v>
      </c>
      <c r="CF100" s="134">
        <f>(CF125-CB125)*10000</f>
        <v>256.99273990528013</v>
      </c>
      <c r="CG100" s="88">
        <v>50</v>
      </c>
      <c r="CH100" s="88">
        <v>180</v>
      </c>
      <c r="CI100" s="88">
        <v>100</v>
      </c>
      <c r="CJ100" s="134">
        <f ca="1">(CJ125-CF125)*10000</f>
        <v>-20.167887059898415</v>
      </c>
      <c r="CO100" s="39"/>
      <c r="DK100" s="39"/>
      <c r="DL100" s="39"/>
      <c r="DM100" s="39"/>
      <c r="DN100" s="39"/>
      <c r="DO100" s="39"/>
      <c r="DP100" s="39"/>
      <c r="DQ100" s="39"/>
      <c r="DR100" s="39"/>
      <c r="DS100" s="39"/>
      <c r="DT100" s="39"/>
      <c r="DU100" s="39"/>
      <c r="DV100" s="39"/>
      <c r="DW100" s="39"/>
      <c r="DX100" s="39"/>
      <c r="DY100" s="39"/>
      <c r="DZ100" s="39"/>
      <c r="EA100"/>
      <c r="EB100"/>
      <c r="EC100"/>
      <c r="ED100"/>
      <c r="EE100"/>
      <c r="EF100"/>
    </row>
    <row r="101" spans="1:136" s="90" customFormat="1">
      <c r="A101" s="98" t="s">
        <v>58</v>
      </c>
      <c r="B101" s="87"/>
      <c r="C101" s="87"/>
      <c r="D101" s="87"/>
      <c r="E101" s="87"/>
      <c r="F101" s="87"/>
      <c r="G101" s="87"/>
      <c r="H101" s="87"/>
      <c r="I101" s="87"/>
      <c r="J101" s="87"/>
      <c r="K101" s="87"/>
      <c r="L101" s="98"/>
      <c r="M101" s="680">
        <f t="shared" si="132"/>
        <v>-27.564705861235218</v>
      </c>
      <c r="N101" s="680">
        <f t="shared" si="132"/>
        <v>12.170063987391178</v>
      </c>
      <c r="O101" s="680">
        <f t="shared" si="132"/>
        <v>111.32253337122062</v>
      </c>
      <c r="P101" s="680">
        <f t="shared" si="132"/>
        <v>119.98455090636378</v>
      </c>
      <c r="Q101" s="680">
        <f t="shared" si="132"/>
        <v>214.25943602593173</v>
      </c>
      <c r="R101" s="680">
        <f t="shared" si="132"/>
        <v>252.4510290557902</v>
      </c>
      <c r="S101" s="680">
        <f t="shared" si="132"/>
        <v>-49.695291653048258</v>
      </c>
      <c r="T101" s="681">
        <v>65</v>
      </c>
      <c r="U101" s="681">
        <v>65</v>
      </c>
      <c r="V101" s="681">
        <v>60</v>
      </c>
      <c r="W101" s="681">
        <v>50</v>
      </c>
      <c r="X101" s="681">
        <v>35</v>
      </c>
      <c r="Y101" s="681">
        <v>25</v>
      </c>
      <c r="Z101" s="681">
        <v>25</v>
      </c>
      <c r="AA101" s="681">
        <v>25</v>
      </c>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680">
        <f t="shared" si="134"/>
        <v>-142.31751314528807</v>
      </c>
      <c r="BJ101" s="680">
        <f t="shared" si="134"/>
        <v>-5.7078447754313473</v>
      </c>
      <c r="BK101" s="680">
        <f t="shared" si="134"/>
        <v>132.12148082465097</v>
      </c>
      <c r="BL101" s="680">
        <f t="shared" si="134"/>
        <v>52.229341876919023</v>
      </c>
      <c r="BM101" s="680">
        <f t="shared" si="134"/>
        <v>-53.374241281099884</v>
      </c>
      <c r="BN101" s="680">
        <f t="shared" si="134"/>
        <v>-9.0204928880902031</v>
      </c>
      <c r="BO101" s="680">
        <f t="shared" si="134"/>
        <v>147.81297134238315</v>
      </c>
      <c r="BP101" s="680">
        <f t="shared" si="134"/>
        <v>335.84335910250672</v>
      </c>
      <c r="BQ101" s="680">
        <f t="shared" si="134"/>
        <v>239.82899439412495</v>
      </c>
      <c r="BR101" s="680">
        <f t="shared" si="134"/>
        <v>345.2121122945839</v>
      </c>
      <c r="BS101" s="680">
        <f t="shared" si="135"/>
        <v>80.770944741532787</v>
      </c>
      <c r="BT101" s="680">
        <f t="shared" si="135"/>
        <v>-154.64944264015372</v>
      </c>
      <c r="BU101" s="680">
        <f t="shared" si="135"/>
        <v>382.22712600337047</v>
      </c>
      <c r="BV101" s="680">
        <f t="shared" si="135"/>
        <v>27.270888453629905</v>
      </c>
      <c r="BW101" s="680">
        <f t="shared" si="135"/>
        <v>121.14621687496773</v>
      </c>
      <c r="BX101" s="680">
        <f t="shared" si="135"/>
        <v>327.57537184348178</v>
      </c>
      <c r="BY101" s="680">
        <f t="shared" si="135"/>
        <v>333.59985785358924</v>
      </c>
      <c r="BZ101" s="680">
        <f t="shared" si="135"/>
        <v>516.34219850934687</v>
      </c>
      <c r="CA101" s="680">
        <f t="shared" si="136"/>
        <v>285.72137205783861</v>
      </c>
      <c r="CB101" s="680">
        <f t="shared" si="136"/>
        <v>-105.52930276220674</v>
      </c>
      <c r="CC101" s="680">
        <f t="shared" si="136"/>
        <v>-8.2415591943196809</v>
      </c>
      <c r="CD101" s="680">
        <f t="shared" si="136"/>
        <v>-269.788879196913</v>
      </c>
      <c r="CE101" s="680">
        <f t="shared" si="136"/>
        <v>-27.434170238824219</v>
      </c>
      <c r="CF101" s="680">
        <f>(CF126-CB126)*10000</f>
        <v>91.932789248643516</v>
      </c>
      <c r="CG101" s="97">
        <v>20</v>
      </c>
      <c r="CH101" s="97">
        <v>120</v>
      </c>
      <c r="CI101" s="97">
        <v>50</v>
      </c>
      <c r="CJ101" s="680">
        <f>(CJ126-CF126)*10000</f>
        <v>74.391496248598642</v>
      </c>
      <c r="CO101" s="39"/>
      <c r="DK101" s="39"/>
      <c r="DL101" s="39"/>
      <c r="DM101" s="39"/>
      <c r="DN101" s="39"/>
      <c r="DO101" s="39"/>
      <c r="DP101" s="39"/>
      <c r="DQ101" s="39"/>
      <c r="DR101" s="39"/>
      <c r="DS101" s="39"/>
      <c r="DT101" s="39"/>
      <c r="DU101" s="39"/>
      <c r="DV101" s="39"/>
      <c r="DW101" s="39"/>
      <c r="DX101" s="39"/>
      <c r="DY101" s="39"/>
      <c r="DZ101" s="39"/>
      <c r="EA101"/>
      <c r="EB101"/>
      <c r="EC101"/>
      <c r="ED101"/>
      <c r="EE101"/>
      <c r="EF101"/>
    </row>
    <row r="102" spans="1:136" s="171" customFormat="1">
      <c r="A102" s="93" t="s">
        <v>189</v>
      </c>
      <c r="B102" s="93"/>
      <c r="C102" s="93"/>
      <c r="D102" s="93"/>
      <c r="E102" s="93"/>
      <c r="F102" s="93"/>
      <c r="G102" s="93"/>
      <c r="H102" s="93"/>
      <c r="I102" s="93"/>
      <c r="J102" s="93"/>
      <c r="K102" s="93"/>
      <c r="L102" s="93"/>
      <c r="M102" s="221">
        <f t="shared" si="132"/>
        <v>41.727296888354473</v>
      </c>
      <c r="N102" s="221">
        <f t="shared" si="132"/>
        <v>31.905981331733223</v>
      </c>
      <c r="O102" s="221">
        <f t="shared" si="132"/>
        <v>-44.10106247359186</v>
      </c>
      <c r="P102" s="221">
        <f t="shared" si="132"/>
        <v>13.353559830847905</v>
      </c>
      <c r="Q102" s="221">
        <f t="shared" si="132"/>
        <v>104.32064109281797</v>
      </c>
      <c r="R102" s="221">
        <f t="shared" si="132"/>
        <v>211.73700140123404</v>
      </c>
      <c r="S102" s="221">
        <f t="shared" si="132"/>
        <v>109.40699417646638</v>
      </c>
      <c r="T102" s="221">
        <f t="shared" ref="T102:AA102" ca="1" si="137">(T127-S127)*10000</f>
        <v>73.886561559231296</v>
      </c>
      <c r="U102" s="221">
        <f t="shared" ca="1" si="137"/>
        <v>62.173522380021552</v>
      </c>
      <c r="V102" s="221">
        <f t="shared" ca="1" si="137"/>
        <v>54.398993389518644</v>
      </c>
      <c r="W102" s="221">
        <f t="shared" ca="1" si="137"/>
        <v>38.466399892656824</v>
      </c>
      <c r="X102" s="221">
        <f t="shared" ca="1" si="137"/>
        <v>23.980167161307129</v>
      </c>
      <c r="Y102" s="221">
        <f t="shared" ca="1" si="137"/>
        <v>14.622720004639767</v>
      </c>
      <c r="Z102" s="221">
        <f t="shared" ca="1" si="137"/>
        <v>14.544938774427308</v>
      </c>
      <c r="AA102" s="221">
        <f t="shared" ca="1" si="137"/>
        <v>13.657809625216844</v>
      </c>
      <c r="AB102" s="93"/>
      <c r="AC102" s="93"/>
      <c r="AD102" s="93"/>
      <c r="AE102" s="93"/>
      <c r="AF102" s="93"/>
      <c r="AG102" s="93"/>
      <c r="AH102" s="93"/>
      <c r="AI102" s="93"/>
      <c r="AJ102" s="93"/>
      <c r="AK102" s="93"/>
      <c r="AL102" s="93"/>
      <c r="AM102" s="93"/>
      <c r="AN102" s="93"/>
      <c r="AO102" s="93"/>
      <c r="AP102" s="93"/>
      <c r="AQ102" s="93"/>
      <c r="AR102" s="93"/>
      <c r="AS102" s="93"/>
      <c r="AT102" s="93"/>
      <c r="AU102" s="93"/>
      <c r="AV102" s="93"/>
      <c r="AW102" s="93"/>
      <c r="AX102" s="93"/>
      <c r="AY102" s="93"/>
      <c r="AZ102" s="93"/>
      <c r="BA102" s="93"/>
      <c r="BB102" s="93"/>
      <c r="BC102" s="93"/>
      <c r="BD102" s="93"/>
      <c r="BE102" s="93"/>
      <c r="BF102" s="93"/>
      <c r="BG102" s="93"/>
      <c r="BH102" s="93"/>
      <c r="BI102" s="221">
        <f t="shared" si="134"/>
        <v>81.775383956069348</v>
      </c>
      <c r="BJ102" s="221">
        <f t="shared" si="134"/>
        <v>23.860114959765866</v>
      </c>
      <c r="BK102" s="221">
        <f t="shared" si="134"/>
        <v>55.033254964984287</v>
      </c>
      <c r="BL102" s="221">
        <f t="shared" si="134"/>
        <v>-16.099740044039081</v>
      </c>
      <c r="BM102" s="221">
        <f t="shared" si="134"/>
        <v>-113.23487698921289</v>
      </c>
      <c r="BN102" s="221">
        <f t="shared" si="134"/>
        <v>-133.09384494231898</v>
      </c>
      <c r="BO102" s="221">
        <f t="shared" si="134"/>
        <v>-98.082062923587898</v>
      </c>
      <c r="BP102" s="221">
        <f t="shared" si="134"/>
        <v>147.47987979827849</v>
      </c>
      <c r="BQ102" s="221">
        <f t="shared" si="134"/>
        <v>33.969707833861193</v>
      </c>
      <c r="BR102" s="221">
        <f t="shared" si="134"/>
        <v>106.09422619287808</v>
      </c>
      <c r="BS102" s="221">
        <f t="shared" si="135"/>
        <v>-53.236611913561049</v>
      </c>
      <c r="BT102" s="221">
        <f t="shared" si="135"/>
        <v>-21.457607226806065</v>
      </c>
      <c r="BU102" s="221">
        <f t="shared" si="135"/>
        <v>192.90502193683307</v>
      </c>
      <c r="BV102" s="221">
        <f t="shared" si="135"/>
        <v>18.023662765129512</v>
      </c>
      <c r="BW102" s="221">
        <f t="shared" si="135"/>
        <v>182.36963946087704</v>
      </c>
      <c r="BX102" s="221">
        <f t="shared" si="135"/>
        <v>23.335684353008311</v>
      </c>
      <c r="BY102" s="221">
        <f t="shared" si="135"/>
        <v>293.38128344768234</v>
      </c>
      <c r="BZ102" s="221">
        <f t="shared" si="135"/>
        <v>237.49976743622253</v>
      </c>
      <c r="CA102" s="221">
        <f t="shared" si="136"/>
        <v>256.23472569313327</v>
      </c>
      <c r="CB102" s="221">
        <f t="shared" si="136"/>
        <v>66.650020262148672</v>
      </c>
      <c r="CC102" s="221">
        <f t="shared" si="136"/>
        <v>81.430498910852748</v>
      </c>
      <c r="CD102" s="221">
        <f t="shared" si="136"/>
        <v>115.64582772650267</v>
      </c>
      <c r="CE102" s="221">
        <f t="shared" si="136"/>
        <v>76.810881742718223</v>
      </c>
      <c r="CF102" s="221">
        <f>(CF127-CB127)*10000</f>
        <v>161.00079330963885</v>
      </c>
      <c r="CG102" s="221">
        <f>(CG127-CC127)*10000</f>
        <v>30.549150705372064</v>
      </c>
      <c r="CH102" s="221">
        <f>(CH127-CD127)*10000</f>
        <v>93.72394711221088</v>
      </c>
      <c r="CI102" s="221">
        <f ca="1">(CI127-CE127)*10000</f>
        <v>61.730094796861032</v>
      </c>
      <c r="CJ102" s="221">
        <f ca="1">(CJ127-CF127)*10000</f>
        <v>108.45884017094049</v>
      </c>
      <c r="CO102" s="94"/>
      <c r="DK102" s="94"/>
      <c r="DL102" s="94"/>
      <c r="DM102" s="94"/>
      <c r="DN102" s="94"/>
      <c r="DO102" s="94"/>
      <c r="DP102" s="94"/>
      <c r="DQ102" s="94"/>
      <c r="DR102" s="94"/>
      <c r="DS102" s="94"/>
      <c r="DT102" s="94"/>
      <c r="DU102" s="94"/>
      <c r="DV102" s="94"/>
      <c r="DW102" s="94"/>
      <c r="DX102" s="94"/>
      <c r="DY102" s="94"/>
      <c r="DZ102" s="94"/>
      <c r="EA102"/>
      <c r="EB102"/>
      <c r="EC102"/>
      <c r="ED102"/>
      <c r="EE102"/>
      <c r="EF102"/>
    </row>
    <row r="103" spans="1:136" s="90" customFormat="1">
      <c r="A103" s="87"/>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193"/>
      <c r="BV103" s="193"/>
      <c r="BW103" s="193"/>
      <c r="BX103" s="87"/>
      <c r="BY103" s="87"/>
      <c r="BZ103" s="87"/>
      <c r="CA103" s="87"/>
      <c r="CB103" s="87"/>
      <c r="CC103" s="87"/>
      <c r="CD103" s="87"/>
      <c r="CE103" s="87"/>
      <c r="CF103" s="87"/>
      <c r="CG103" s="87"/>
      <c r="CH103" s="87"/>
      <c r="CI103" s="87"/>
      <c r="CJ103" s="87"/>
      <c r="CO103" s="39"/>
      <c r="DK103" s="39"/>
      <c r="DL103" s="39"/>
      <c r="DM103" s="39"/>
      <c r="DN103" s="39"/>
      <c r="DO103" s="39"/>
      <c r="DP103" s="39"/>
      <c r="DQ103" s="39"/>
      <c r="DR103" s="39"/>
      <c r="DS103" s="39"/>
      <c r="DT103" s="39"/>
      <c r="DU103" s="39"/>
      <c r="DV103" s="39"/>
      <c r="DW103" s="39"/>
      <c r="DX103" s="39"/>
      <c r="DY103" s="39"/>
      <c r="DZ103" s="39"/>
      <c r="EA103"/>
      <c r="EB103"/>
      <c r="EC103"/>
      <c r="ED103"/>
      <c r="EE103"/>
      <c r="EF103"/>
    </row>
    <row r="104" spans="1:136" s="90" customFormat="1" hidden="1" outlineLevel="1">
      <c r="A104" s="93" t="s">
        <v>569</v>
      </c>
      <c r="B104" s="221"/>
      <c r="C104" s="221"/>
      <c r="D104" s="221"/>
      <c r="E104" s="221"/>
      <c r="F104" s="221"/>
      <c r="G104" s="221"/>
      <c r="H104" s="221"/>
      <c r="I104" s="221"/>
      <c r="J104" s="221"/>
      <c r="K104" s="221"/>
      <c r="L104" s="221"/>
      <c r="M104" s="221"/>
      <c r="N104" s="221"/>
      <c r="O104" s="221"/>
      <c r="P104" s="221"/>
      <c r="Q104" s="221"/>
      <c r="R104" s="221"/>
      <c r="S104" s="221"/>
      <c r="T104" s="221"/>
      <c r="U104" s="221"/>
      <c r="V104" s="221"/>
      <c r="W104" s="221"/>
      <c r="X104" s="221"/>
      <c r="Y104" s="221"/>
      <c r="Z104" s="221"/>
      <c r="AA104" s="221"/>
      <c r="AB104" s="93"/>
      <c r="AC104" s="221"/>
      <c r="AD104" s="221"/>
      <c r="AE104" s="221"/>
      <c r="AF104" s="221"/>
      <c r="AG104" s="221"/>
      <c r="AH104" s="221"/>
      <c r="AI104" s="221"/>
      <c r="AJ104" s="221"/>
      <c r="AK104" s="221"/>
      <c r="AL104" s="221"/>
      <c r="AM104" s="221"/>
      <c r="AN104" s="221"/>
      <c r="AO104" s="221"/>
      <c r="AP104" s="221"/>
      <c r="AQ104" s="221"/>
      <c r="AR104" s="221"/>
      <c r="AS104" s="221"/>
      <c r="AT104" s="221"/>
      <c r="AU104" s="221"/>
      <c r="AV104" s="221"/>
      <c r="AW104" s="221"/>
      <c r="AX104" s="221"/>
      <c r="AY104" s="221"/>
      <c r="AZ104" s="221"/>
      <c r="BA104" s="221"/>
      <c r="BB104" s="221"/>
      <c r="BC104" s="221"/>
      <c r="BD104" s="221"/>
      <c r="BE104" s="221"/>
      <c r="BF104" s="221"/>
      <c r="BG104" s="221"/>
      <c r="BH104" s="221"/>
      <c r="BI104" s="183"/>
      <c r="BJ104" s="221"/>
      <c r="BK104" s="221"/>
      <c r="BL104" s="221"/>
      <c r="BM104" s="221"/>
      <c r="BN104" s="221"/>
      <c r="BO104" s="221"/>
      <c r="BP104" s="221"/>
      <c r="BQ104" s="221"/>
      <c r="BR104" s="221"/>
      <c r="BS104" s="221"/>
      <c r="BT104" s="221"/>
      <c r="BU104" s="221"/>
      <c r="BV104" s="221"/>
      <c r="BW104" s="221"/>
      <c r="BX104" s="221"/>
      <c r="BY104" s="221"/>
      <c r="BZ104" s="221"/>
      <c r="CA104" s="221"/>
      <c r="CB104" s="221"/>
      <c r="CC104" s="221"/>
      <c r="CD104" s="221"/>
      <c r="CE104" s="221"/>
      <c r="CF104" s="221"/>
      <c r="CG104" s="221"/>
      <c r="CH104" s="221"/>
      <c r="CI104" s="221"/>
      <c r="CJ104" s="221"/>
      <c r="CO104" s="94"/>
      <c r="DK104" s="94"/>
      <c r="DL104" s="94"/>
      <c r="DM104" s="94"/>
      <c r="DN104" s="94"/>
      <c r="DO104" s="94"/>
      <c r="DP104" s="94"/>
      <c r="DQ104" s="94"/>
      <c r="DR104" s="94"/>
      <c r="DS104" s="94"/>
      <c r="DT104" s="94"/>
      <c r="DU104" s="94"/>
      <c r="DV104" s="94"/>
      <c r="DW104" s="94"/>
      <c r="DX104" s="94"/>
      <c r="DY104" s="94"/>
      <c r="DZ104" s="94"/>
      <c r="EA104"/>
      <c r="EB104"/>
      <c r="EC104"/>
      <c r="ED104"/>
      <c r="EE104"/>
      <c r="EF104"/>
    </row>
    <row r="105" spans="1:136" s="90" customFormat="1" hidden="1" outlineLevel="1">
      <c r="A105" s="87" t="s">
        <v>54</v>
      </c>
      <c r="B105" s="134"/>
      <c r="C105" s="134"/>
      <c r="D105" s="134"/>
      <c r="E105" s="134"/>
      <c r="F105" s="134"/>
      <c r="G105" s="134"/>
      <c r="H105" s="134"/>
      <c r="I105" s="134"/>
      <c r="J105" s="134"/>
      <c r="K105" s="134"/>
      <c r="L105" s="134"/>
      <c r="M105" s="134">
        <f t="shared" ref="M105:Q110" si="138">(M130-L130)*10000</f>
        <v>289.66795751526303</v>
      </c>
      <c r="N105" s="134">
        <f t="shared" si="138"/>
        <v>-16.553826793916649</v>
      </c>
      <c r="O105" s="134">
        <f t="shared" si="138"/>
        <v>-248.77009519417737</v>
      </c>
      <c r="P105" s="134">
        <f t="shared" si="138"/>
        <v>46.079354965249117</v>
      </c>
      <c r="Q105" s="134">
        <f t="shared" si="138"/>
        <v>-231.84841278992604</v>
      </c>
      <c r="R105" s="102">
        <v>100</v>
      </c>
      <c r="S105" s="102">
        <v>90</v>
      </c>
      <c r="T105" s="102">
        <v>90</v>
      </c>
      <c r="U105" s="102">
        <v>75</v>
      </c>
      <c r="V105" s="102">
        <v>50</v>
      </c>
      <c r="W105" s="102">
        <v>35</v>
      </c>
      <c r="X105" s="102">
        <v>25</v>
      </c>
      <c r="Y105" s="102">
        <v>15</v>
      </c>
      <c r="Z105" s="102">
        <v>15</v>
      </c>
      <c r="AA105" s="102">
        <v>15</v>
      </c>
      <c r="AB105" s="87"/>
      <c r="AC105" s="221"/>
      <c r="AD105" s="221"/>
      <c r="AE105" s="221"/>
      <c r="AF105" s="221"/>
      <c r="AG105" s="221"/>
      <c r="AH105" s="221"/>
      <c r="AI105" s="221"/>
      <c r="AJ105" s="221"/>
      <c r="AK105" s="221"/>
      <c r="AL105" s="221"/>
      <c r="AM105" s="221"/>
      <c r="AN105" s="221"/>
      <c r="AO105" s="221"/>
      <c r="AP105" s="221"/>
      <c r="AQ105" s="221"/>
      <c r="AR105" s="221"/>
      <c r="AS105" s="221"/>
      <c r="AT105" s="221"/>
      <c r="AU105" s="221"/>
      <c r="AV105" s="221"/>
      <c r="AW105" s="221"/>
      <c r="AX105" s="221"/>
      <c r="AY105" s="221"/>
      <c r="AZ105" s="221"/>
      <c r="BA105" s="221"/>
      <c r="BB105" s="221"/>
      <c r="BC105" s="221"/>
      <c r="BD105" s="221"/>
      <c r="BE105" s="221"/>
      <c r="BF105" s="221"/>
      <c r="BG105" s="221"/>
      <c r="BH105" s="221"/>
      <c r="BI105" s="134">
        <f t="shared" ref="BI105:CA110" si="139">(BI130-BE130)*10000</f>
        <v>-105.99051559812168</v>
      </c>
      <c r="BJ105" s="134">
        <f t="shared" si="139"/>
        <v>-27.240124466009206</v>
      </c>
      <c r="BK105" s="134">
        <f t="shared" si="139"/>
        <v>17.864050515565001</v>
      </c>
      <c r="BL105" s="134">
        <f t="shared" si="139"/>
        <v>69.818392989124675</v>
      </c>
      <c r="BM105" s="134">
        <f t="shared" si="139"/>
        <v>-182.51307916418656</v>
      </c>
      <c r="BN105" s="134">
        <f t="shared" si="139"/>
        <v>-379.67184243086291</v>
      </c>
      <c r="BO105" s="134">
        <f t="shared" si="139"/>
        <v>-179.06316435287562</v>
      </c>
      <c r="BP105" s="134">
        <f t="shared" si="139"/>
        <v>-245.88631264023942</v>
      </c>
      <c r="BQ105" s="134">
        <f t="shared" si="139"/>
        <v>0.38388600121300187</v>
      </c>
      <c r="BR105" s="134">
        <f t="shared" si="139"/>
        <v>-116.34256069164614</v>
      </c>
      <c r="BS105" s="134">
        <f t="shared" si="139"/>
        <v>-263.05685132386225</v>
      </c>
      <c r="BT105" s="134">
        <f t="shared" si="139"/>
        <v>580.30801723159527</v>
      </c>
      <c r="BU105" s="134">
        <f t="shared" si="139"/>
        <v>235.60565494894118</v>
      </c>
      <c r="BV105" s="134">
        <f t="shared" si="139"/>
        <v>-15.827346595355396</v>
      </c>
      <c r="BW105" s="134">
        <f t="shared" si="139"/>
        <v>-110.91128842949077</v>
      </c>
      <c r="BX105" s="134">
        <f t="shared" si="139"/>
        <v>-1107.2788474484987</v>
      </c>
      <c r="BY105" s="134">
        <f t="shared" si="139"/>
        <v>-256.31933539334381</v>
      </c>
      <c r="BZ105" s="134">
        <f t="shared" si="139"/>
        <v>-206.01912385023817</v>
      </c>
      <c r="CA105" s="134">
        <f t="shared" si="139"/>
        <v>541.60015260584521</v>
      </c>
      <c r="CB105" s="134">
        <f t="shared" ref="CB105:CC110" si="140">(CB130-BX130)*10000</f>
        <v>348.85393731020798</v>
      </c>
      <c r="CC105" s="134">
        <f t="shared" ca="1" si="140"/>
        <v>89.999999999999943</v>
      </c>
      <c r="CD105" s="134">
        <f t="shared" ref="CD105:CE109" si="141">+S105</f>
        <v>90</v>
      </c>
      <c r="CE105" s="134">
        <f t="shared" si="141"/>
        <v>90</v>
      </c>
      <c r="CF105" s="134">
        <f t="shared" ref="CF105:CF110" ca="1" si="142">(CF130-CB130)*10000</f>
        <v>87.170721834620025</v>
      </c>
      <c r="CG105" s="159"/>
      <c r="CH105" s="159"/>
      <c r="CI105" s="159"/>
      <c r="CJ105" s="134"/>
      <c r="CO105" s="94"/>
      <c r="DK105" s="94"/>
      <c r="DL105" s="94"/>
      <c r="DM105" s="94"/>
      <c r="DN105" s="94"/>
      <c r="DO105" s="94"/>
      <c r="DP105" s="94"/>
      <c r="DQ105" s="94"/>
      <c r="DR105" s="94"/>
      <c r="DS105" s="94"/>
      <c r="DT105" s="94"/>
      <c r="DU105" s="94"/>
      <c r="DV105" s="94"/>
      <c r="DW105" s="94"/>
      <c r="DX105" s="94"/>
      <c r="DY105" s="94"/>
      <c r="DZ105" s="94"/>
      <c r="EA105"/>
      <c r="EB105"/>
      <c r="EC105"/>
      <c r="ED105"/>
      <c r="EE105"/>
      <c r="EF105"/>
    </row>
    <row r="106" spans="1:136" s="90" customFormat="1" hidden="1" outlineLevel="1">
      <c r="A106" s="87" t="s">
        <v>55</v>
      </c>
      <c r="B106" s="134"/>
      <c r="C106" s="134"/>
      <c r="D106" s="134"/>
      <c r="E106" s="134"/>
      <c r="F106" s="134"/>
      <c r="G106" s="134"/>
      <c r="H106" s="134"/>
      <c r="I106" s="134"/>
      <c r="J106" s="134"/>
      <c r="K106" s="134"/>
      <c r="L106" s="134"/>
      <c r="M106" s="134">
        <f t="shared" si="138"/>
        <v>-95.340414138389008</v>
      </c>
      <c r="N106" s="134">
        <f t="shared" si="138"/>
        <v>-116.3562135635371</v>
      </c>
      <c r="O106" s="134">
        <f t="shared" si="138"/>
        <v>-265.76278673405659</v>
      </c>
      <c r="P106" s="134">
        <f t="shared" si="138"/>
        <v>-305.78131560780861</v>
      </c>
      <c r="Q106" s="134">
        <f t="shared" si="138"/>
        <v>144.11608698175274</v>
      </c>
      <c r="R106" s="102">
        <v>350</v>
      </c>
      <c r="S106" s="102">
        <v>90</v>
      </c>
      <c r="T106" s="102">
        <v>90</v>
      </c>
      <c r="U106" s="102">
        <v>75</v>
      </c>
      <c r="V106" s="102">
        <v>50</v>
      </c>
      <c r="W106" s="102">
        <v>35</v>
      </c>
      <c r="X106" s="102">
        <v>25</v>
      </c>
      <c r="Y106" s="102">
        <v>15</v>
      </c>
      <c r="Z106" s="102">
        <v>15</v>
      </c>
      <c r="AA106" s="102">
        <v>15</v>
      </c>
      <c r="AB106" s="87"/>
      <c r="AC106" s="221"/>
      <c r="AD106" s="221"/>
      <c r="AE106" s="221"/>
      <c r="AF106" s="221"/>
      <c r="AG106" s="221"/>
      <c r="AH106" s="221"/>
      <c r="AI106" s="221"/>
      <c r="AJ106" s="221"/>
      <c r="AK106" s="221"/>
      <c r="AL106" s="221"/>
      <c r="AM106" s="221"/>
      <c r="AN106" s="221"/>
      <c r="AO106" s="221"/>
      <c r="AP106" s="221"/>
      <c r="AQ106" s="221"/>
      <c r="AR106" s="221"/>
      <c r="AS106" s="221"/>
      <c r="AT106" s="221"/>
      <c r="AU106" s="221"/>
      <c r="AV106" s="221"/>
      <c r="AW106" s="221"/>
      <c r="AX106" s="221"/>
      <c r="AY106" s="221"/>
      <c r="AZ106" s="221"/>
      <c r="BA106" s="221"/>
      <c r="BB106" s="221"/>
      <c r="BC106" s="221"/>
      <c r="BD106" s="221"/>
      <c r="BE106" s="221"/>
      <c r="BF106" s="221"/>
      <c r="BG106" s="221"/>
      <c r="BH106" s="221"/>
      <c r="BI106" s="134">
        <f t="shared" si="139"/>
        <v>-137.95518207282919</v>
      </c>
      <c r="BJ106" s="134">
        <f t="shared" si="139"/>
        <v>-251.75536104299456</v>
      </c>
      <c r="BK106" s="134">
        <f t="shared" si="139"/>
        <v>262.44448327391564</v>
      </c>
      <c r="BL106" s="134">
        <f t="shared" si="139"/>
        <v>-303.83893576506767</v>
      </c>
      <c r="BM106" s="134">
        <f t="shared" si="139"/>
        <v>-4.8158985613264154</v>
      </c>
      <c r="BN106" s="134">
        <f t="shared" si="139"/>
        <v>-196.30695317037109</v>
      </c>
      <c r="BO106" s="134">
        <f t="shared" si="139"/>
        <v>-998.61792907280812</v>
      </c>
      <c r="BP106" s="134">
        <f t="shared" si="139"/>
        <v>39.487440561166707</v>
      </c>
      <c r="BQ106" s="134">
        <f t="shared" si="139"/>
        <v>-104.98559027242032</v>
      </c>
      <c r="BR106" s="134">
        <f t="shared" si="139"/>
        <v>-385.88446131140637</v>
      </c>
      <c r="BS106" s="134">
        <f t="shared" si="139"/>
        <v>-185.40110495868797</v>
      </c>
      <c r="BT106" s="134">
        <f t="shared" si="139"/>
        <v>-529.5472439929971</v>
      </c>
      <c r="BU106" s="134">
        <f t="shared" si="139"/>
        <v>-11.710992810893551</v>
      </c>
      <c r="BV106" s="134">
        <f t="shared" si="139"/>
        <v>272.12602913646464</v>
      </c>
      <c r="BW106" s="134">
        <f t="shared" si="139"/>
        <v>383.43650171707662</v>
      </c>
      <c r="BX106" s="134">
        <f t="shared" si="139"/>
        <v>-42.76240529476928</v>
      </c>
      <c r="BY106" s="134">
        <f t="shared" si="139"/>
        <v>310.8795328129338</v>
      </c>
      <c r="BZ106" s="134">
        <f t="shared" si="139"/>
        <v>191.71542142225357</v>
      </c>
      <c r="CA106" s="134">
        <f t="shared" si="139"/>
        <v>339.56074748294594</v>
      </c>
      <c r="CB106" s="134">
        <f t="shared" si="140"/>
        <v>544.50959527938005</v>
      </c>
      <c r="CC106" s="134">
        <f t="shared" ca="1" si="140"/>
        <v>90.000000000000085</v>
      </c>
      <c r="CD106" s="134">
        <f t="shared" si="141"/>
        <v>90</v>
      </c>
      <c r="CE106" s="134">
        <f t="shared" si="141"/>
        <v>90</v>
      </c>
      <c r="CF106" s="134">
        <f t="shared" ca="1" si="142"/>
        <v>318.54010297860282</v>
      </c>
      <c r="CG106" s="159"/>
      <c r="CH106" s="159"/>
      <c r="CI106" s="159"/>
      <c r="CJ106" s="134"/>
      <c r="CO106" s="94"/>
      <c r="DK106" s="94"/>
      <c r="DL106" s="94"/>
      <c r="DM106" s="94"/>
      <c r="DN106" s="94"/>
      <c r="DO106" s="94"/>
      <c r="DP106" s="94"/>
      <c r="DQ106" s="94"/>
      <c r="DR106" s="94"/>
      <c r="DS106" s="94"/>
      <c r="DT106" s="94"/>
      <c r="DU106" s="94"/>
      <c r="DV106" s="94"/>
      <c r="DW106" s="94"/>
      <c r="DX106" s="94"/>
      <c r="DY106" s="94"/>
      <c r="DZ106" s="94"/>
      <c r="EA106"/>
      <c r="EB106"/>
      <c r="EC106"/>
      <c r="ED106"/>
      <c r="EE106"/>
      <c r="EF106"/>
    </row>
    <row r="107" spans="1:136" s="90" customFormat="1" hidden="1" outlineLevel="1">
      <c r="A107" s="87" t="s">
        <v>56</v>
      </c>
      <c r="B107" s="134"/>
      <c r="C107" s="134"/>
      <c r="D107" s="134"/>
      <c r="E107" s="134"/>
      <c r="F107" s="134"/>
      <c r="G107" s="134"/>
      <c r="H107" s="134"/>
      <c r="I107" s="134"/>
      <c r="J107" s="134"/>
      <c r="K107" s="134"/>
      <c r="L107" s="134"/>
      <c r="M107" s="134">
        <f t="shared" si="138"/>
        <v>63.177641687232608</v>
      </c>
      <c r="N107" s="134">
        <f t="shared" si="138"/>
        <v>146.00494435161579</v>
      </c>
      <c r="O107" s="134">
        <f t="shared" si="138"/>
        <v>-222.12989890596876</v>
      </c>
      <c r="P107" s="134">
        <f t="shared" si="138"/>
        <v>-302.04535194638339</v>
      </c>
      <c r="Q107" s="134">
        <f t="shared" si="138"/>
        <v>101.86132322583543</v>
      </c>
      <c r="R107" s="102">
        <v>200</v>
      </c>
      <c r="S107" s="102">
        <v>90</v>
      </c>
      <c r="T107" s="102">
        <v>90</v>
      </c>
      <c r="U107" s="102">
        <v>75</v>
      </c>
      <c r="V107" s="102">
        <v>50</v>
      </c>
      <c r="W107" s="102">
        <v>35</v>
      </c>
      <c r="X107" s="102">
        <v>25</v>
      </c>
      <c r="Y107" s="102">
        <v>15</v>
      </c>
      <c r="Z107" s="102">
        <v>15</v>
      </c>
      <c r="AA107" s="102">
        <v>15</v>
      </c>
      <c r="AB107" s="87"/>
      <c r="AC107" s="221"/>
      <c r="AD107" s="221"/>
      <c r="AE107" s="221"/>
      <c r="AF107" s="221"/>
      <c r="AG107" s="221"/>
      <c r="AH107" s="221"/>
      <c r="AI107" s="221"/>
      <c r="AJ107" s="221"/>
      <c r="AK107" s="221"/>
      <c r="AL107" s="221"/>
      <c r="AM107" s="221"/>
      <c r="AN107" s="221"/>
      <c r="AO107" s="221"/>
      <c r="AP107" s="221"/>
      <c r="AQ107" s="221"/>
      <c r="AR107" s="221"/>
      <c r="AS107" s="221"/>
      <c r="AT107" s="221"/>
      <c r="AU107" s="221"/>
      <c r="AV107" s="221"/>
      <c r="AW107" s="221"/>
      <c r="AX107" s="221"/>
      <c r="AY107" s="221"/>
      <c r="AZ107" s="221"/>
      <c r="BA107" s="221"/>
      <c r="BB107" s="221"/>
      <c r="BC107" s="221"/>
      <c r="BD107" s="221"/>
      <c r="BE107" s="221"/>
      <c r="BF107" s="221"/>
      <c r="BG107" s="221"/>
      <c r="BH107" s="221"/>
      <c r="BI107" s="134">
        <f t="shared" si="139"/>
        <v>1221.8631437517388</v>
      </c>
      <c r="BJ107" s="134">
        <f t="shared" si="139"/>
        <v>289.74705837310796</v>
      </c>
      <c r="BK107" s="134">
        <f t="shared" si="139"/>
        <v>-386.87779077622707</v>
      </c>
      <c r="BL107" s="134">
        <f t="shared" si="139"/>
        <v>-339.550987483119</v>
      </c>
      <c r="BM107" s="134">
        <f t="shared" si="139"/>
        <v>-814.69986501739493</v>
      </c>
      <c r="BN107" s="134">
        <f t="shared" si="139"/>
        <v>-105.54189710113849</v>
      </c>
      <c r="BO107" s="134">
        <f t="shared" si="139"/>
        <v>15.215589907706384</v>
      </c>
      <c r="BP107" s="134">
        <f t="shared" si="139"/>
        <v>-62.73389127032722</v>
      </c>
      <c r="BQ107" s="134">
        <f t="shared" si="139"/>
        <v>-333.56258010126675</v>
      </c>
      <c r="BR107" s="134">
        <f t="shared" si="139"/>
        <v>40.34327879371191</v>
      </c>
      <c r="BS107" s="134">
        <f t="shared" si="139"/>
        <v>-351.41859450021838</v>
      </c>
      <c r="BT107" s="134">
        <f t="shared" si="139"/>
        <v>-620.10156175146119</v>
      </c>
      <c r="BU107" s="134">
        <f t="shared" si="139"/>
        <v>-120.7709193393719</v>
      </c>
      <c r="BV107" s="134">
        <f t="shared" si="139"/>
        <v>-49.95489400090203</v>
      </c>
      <c r="BW107" s="134">
        <f t="shared" si="139"/>
        <v>209.39154995880907</v>
      </c>
      <c r="BX107" s="134">
        <f t="shared" si="139"/>
        <v>367.7319984597612</v>
      </c>
      <c r="BY107" s="134">
        <f t="shared" si="139"/>
        <v>771.7712882009896</v>
      </c>
      <c r="BZ107" s="134">
        <f t="shared" si="139"/>
        <v>6.7450174576921818</v>
      </c>
      <c r="CA107" s="134">
        <f t="shared" si="139"/>
        <v>-97.675032526917249</v>
      </c>
      <c r="CB107" s="134">
        <f t="shared" si="140"/>
        <v>195.86223229744627</v>
      </c>
      <c r="CC107" s="134">
        <f t="shared" ca="1" si="140"/>
        <v>89.999999999999943</v>
      </c>
      <c r="CD107" s="134">
        <f t="shared" si="141"/>
        <v>90</v>
      </c>
      <c r="CE107" s="134">
        <f t="shared" si="141"/>
        <v>90</v>
      </c>
      <c r="CF107" s="134">
        <f t="shared" ca="1" si="142"/>
        <v>146.75501130182082</v>
      </c>
      <c r="CG107" s="159"/>
      <c r="CH107" s="159"/>
      <c r="CI107" s="159"/>
      <c r="CJ107" s="134"/>
      <c r="CO107" s="94"/>
      <c r="DK107" s="94"/>
      <c r="DL107" s="94"/>
      <c r="DM107" s="94"/>
      <c r="DN107" s="94"/>
      <c r="DO107" s="94"/>
      <c r="DP107" s="94"/>
      <c r="DQ107" s="94"/>
      <c r="DR107" s="94"/>
      <c r="DS107" s="94"/>
      <c r="DT107" s="94"/>
      <c r="DU107" s="94"/>
      <c r="DV107" s="94"/>
      <c r="DW107" s="94"/>
      <c r="DX107" s="94"/>
      <c r="DY107" s="94"/>
      <c r="DZ107" s="94"/>
      <c r="EA107"/>
      <c r="EB107"/>
      <c r="EC107"/>
      <c r="ED107"/>
      <c r="EE107"/>
      <c r="EF107"/>
    </row>
    <row r="108" spans="1:136" s="90" customFormat="1" hidden="1" outlineLevel="1">
      <c r="A108" s="87" t="s">
        <v>57</v>
      </c>
      <c r="B108" s="134"/>
      <c r="C108" s="134"/>
      <c r="D108" s="134"/>
      <c r="E108" s="134"/>
      <c r="F108" s="134"/>
      <c r="G108" s="134"/>
      <c r="H108" s="134"/>
      <c r="I108" s="134"/>
      <c r="J108" s="134"/>
      <c r="K108" s="134"/>
      <c r="L108" s="134"/>
      <c r="M108" s="134">
        <f t="shared" si="138"/>
        <v>21.629941066394625</v>
      </c>
      <c r="N108" s="134">
        <f t="shared" si="138"/>
        <v>71.280379272156694</v>
      </c>
      <c r="O108" s="134">
        <f t="shared" si="138"/>
        <v>86.127485887581571</v>
      </c>
      <c r="P108" s="134">
        <f t="shared" si="138"/>
        <v>140.37227309130819</v>
      </c>
      <c r="Q108" s="134">
        <f t="shared" si="138"/>
        <v>185.63084077011709</v>
      </c>
      <c r="R108" s="102">
        <v>250</v>
      </c>
      <c r="S108" s="102">
        <v>125</v>
      </c>
      <c r="T108" s="102">
        <v>125</v>
      </c>
      <c r="U108" s="102">
        <v>100</v>
      </c>
      <c r="V108" s="102">
        <v>75</v>
      </c>
      <c r="W108" s="102">
        <v>50</v>
      </c>
      <c r="X108" s="102">
        <v>35</v>
      </c>
      <c r="Y108" s="102">
        <v>25</v>
      </c>
      <c r="Z108" s="102">
        <v>25</v>
      </c>
      <c r="AA108" s="102">
        <v>25</v>
      </c>
      <c r="AB108" s="87"/>
      <c r="AC108" s="221"/>
      <c r="AD108" s="221"/>
      <c r="AE108" s="221"/>
      <c r="AF108" s="221"/>
      <c r="AG108" s="221"/>
      <c r="AH108" s="221"/>
      <c r="AI108" s="221"/>
      <c r="AJ108" s="221"/>
      <c r="AK108" s="221"/>
      <c r="AL108" s="221"/>
      <c r="AM108" s="221"/>
      <c r="AN108" s="221"/>
      <c r="AO108" s="221"/>
      <c r="AP108" s="221"/>
      <c r="AQ108" s="221"/>
      <c r="AR108" s="221"/>
      <c r="AS108" s="221"/>
      <c r="AT108" s="221"/>
      <c r="AU108" s="221"/>
      <c r="AV108" s="221"/>
      <c r="AW108" s="221"/>
      <c r="AX108" s="221"/>
      <c r="AY108" s="221"/>
      <c r="AZ108" s="221"/>
      <c r="BA108" s="221"/>
      <c r="BB108" s="221"/>
      <c r="BC108" s="221"/>
      <c r="BD108" s="221"/>
      <c r="BE108" s="221"/>
      <c r="BF108" s="221"/>
      <c r="BG108" s="221"/>
      <c r="BH108" s="221"/>
      <c r="BI108" s="134">
        <f t="shared" si="139"/>
        <v>61.615318002238297</v>
      </c>
      <c r="BJ108" s="134">
        <f t="shared" si="139"/>
        <v>64.631219213982661</v>
      </c>
      <c r="BK108" s="134">
        <f t="shared" si="139"/>
        <v>63.46682734032327</v>
      </c>
      <c r="BL108" s="134">
        <f t="shared" si="139"/>
        <v>97.92876034761089</v>
      </c>
      <c r="BM108" s="134">
        <f t="shared" si="139"/>
        <v>15.823209116975907</v>
      </c>
      <c r="BN108" s="134">
        <f t="shared" si="139"/>
        <v>-84.024923513789645</v>
      </c>
      <c r="BO108" s="134">
        <f t="shared" si="139"/>
        <v>98.817849217873729</v>
      </c>
      <c r="BP108" s="134">
        <f t="shared" si="139"/>
        <v>273.91874180865028</v>
      </c>
      <c r="BQ108" s="134">
        <f t="shared" si="139"/>
        <v>67.179236451274107</v>
      </c>
      <c r="BR108" s="134">
        <f t="shared" si="139"/>
        <v>258.02246619785666</v>
      </c>
      <c r="BS108" s="134">
        <f t="shared" si="139"/>
        <v>93.843443211867879</v>
      </c>
      <c r="BT108" s="134">
        <f t="shared" si="139"/>
        <v>172.86870497879664</v>
      </c>
      <c r="BU108" s="134">
        <f t="shared" si="139"/>
        <v>253.14566116857924</v>
      </c>
      <c r="BV108" s="134">
        <f t="shared" si="139"/>
        <v>-34.756898999919464</v>
      </c>
      <c r="BW108" s="134">
        <f t="shared" si="139"/>
        <v>278.51367515417365</v>
      </c>
      <c r="BX108" s="134">
        <f t="shared" si="139"/>
        <v>209.01873533452491</v>
      </c>
      <c r="BY108" s="134">
        <f t="shared" si="139"/>
        <v>387.64651291070732</v>
      </c>
      <c r="BZ108" s="134">
        <f t="shared" si="139"/>
        <v>355.23380135350141</v>
      </c>
      <c r="CA108" s="134">
        <f t="shared" si="139"/>
        <v>228.30092441106646</v>
      </c>
      <c r="CB108" s="134">
        <f t="shared" si="140"/>
        <v>59.389838871308775</v>
      </c>
      <c r="CC108" s="134">
        <f t="shared" ca="1" si="140"/>
        <v>125.00000000000011</v>
      </c>
      <c r="CD108" s="134">
        <f t="shared" si="141"/>
        <v>125</v>
      </c>
      <c r="CE108" s="134">
        <f t="shared" si="141"/>
        <v>125</v>
      </c>
      <c r="CF108" s="134">
        <f t="shared" ca="1" si="142"/>
        <v>121.19655643484106</v>
      </c>
      <c r="CG108" s="159"/>
      <c r="CH108" s="159"/>
      <c r="CI108" s="159"/>
      <c r="CJ108" s="134"/>
      <c r="CO108" s="94"/>
      <c r="DK108" s="94"/>
      <c r="DL108" s="134"/>
      <c r="DM108" s="94"/>
      <c r="DN108" s="94"/>
      <c r="DO108" s="94"/>
      <c r="DP108" s="94"/>
      <c r="DQ108" s="94"/>
      <c r="DR108" s="94"/>
      <c r="DS108" s="94"/>
      <c r="DT108" s="94"/>
      <c r="DU108" s="94"/>
      <c r="DV108" s="94"/>
      <c r="DW108" s="94"/>
      <c r="DX108" s="94"/>
      <c r="DY108" s="94"/>
      <c r="DZ108" s="94"/>
      <c r="EA108"/>
      <c r="EB108"/>
      <c r="EC108"/>
      <c r="ED108"/>
      <c r="EE108"/>
      <c r="EF108"/>
    </row>
    <row r="109" spans="1:136" s="90" customFormat="1" hidden="1" outlineLevel="1">
      <c r="A109" s="98" t="s">
        <v>58</v>
      </c>
      <c r="B109" s="134"/>
      <c r="C109" s="134"/>
      <c r="D109" s="134"/>
      <c r="E109" s="134"/>
      <c r="F109" s="134"/>
      <c r="G109" s="134"/>
      <c r="H109" s="134"/>
      <c r="I109" s="134"/>
      <c r="J109" s="134"/>
      <c r="K109" s="134"/>
      <c r="L109" s="680"/>
      <c r="M109" s="680">
        <f t="shared" si="138"/>
        <v>-27.564705861235218</v>
      </c>
      <c r="N109" s="680">
        <f t="shared" si="138"/>
        <v>12.170063987391178</v>
      </c>
      <c r="O109" s="680">
        <f t="shared" si="138"/>
        <v>111.32253337122062</v>
      </c>
      <c r="P109" s="680">
        <f t="shared" si="138"/>
        <v>119.98455090636378</v>
      </c>
      <c r="Q109" s="680">
        <f t="shared" si="138"/>
        <v>223.49282836331614</v>
      </c>
      <c r="R109" s="681">
        <v>260</v>
      </c>
      <c r="S109" s="681">
        <v>125</v>
      </c>
      <c r="T109" s="681">
        <v>125</v>
      </c>
      <c r="U109" s="681">
        <v>100</v>
      </c>
      <c r="V109" s="681">
        <v>75</v>
      </c>
      <c r="W109" s="681">
        <v>50</v>
      </c>
      <c r="X109" s="681">
        <v>35</v>
      </c>
      <c r="Y109" s="681">
        <v>25</v>
      </c>
      <c r="Z109" s="681">
        <v>25</v>
      </c>
      <c r="AA109" s="681">
        <v>25</v>
      </c>
      <c r="AB109" s="87"/>
      <c r="AC109" s="221"/>
      <c r="AD109" s="221"/>
      <c r="AE109" s="221"/>
      <c r="AF109" s="221"/>
      <c r="AG109" s="221"/>
      <c r="AH109" s="221"/>
      <c r="AI109" s="221"/>
      <c r="AJ109" s="221"/>
      <c r="AK109" s="221"/>
      <c r="AL109" s="221"/>
      <c r="AM109" s="221"/>
      <c r="AN109" s="221"/>
      <c r="AO109" s="221"/>
      <c r="AP109" s="221"/>
      <c r="AQ109" s="221"/>
      <c r="AR109" s="221"/>
      <c r="AS109" s="221"/>
      <c r="AT109" s="221"/>
      <c r="AU109" s="221"/>
      <c r="AV109" s="221"/>
      <c r="AW109" s="221"/>
      <c r="AX109" s="221"/>
      <c r="AY109" s="221"/>
      <c r="AZ109" s="221"/>
      <c r="BA109" s="221"/>
      <c r="BB109" s="221"/>
      <c r="BC109" s="221"/>
      <c r="BD109" s="221"/>
      <c r="BE109" s="221"/>
      <c r="BF109" s="221"/>
      <c r="BG109" s="221"/>
      <c r="BH109" s="221"/>
      <c r="BI109" s="134">
        <f t="shared" si="139"/>
        <v>-142.31751314528807</v>
      </c>
      <c r="BJ109" s="134">
        <f t="shared" si="139"/>
        <v>-5.7078447754313473</v>
      </c>
      <c r="BK109" s="134">
        <f t="shared" si="139"/>
        <v>132.12148082465097</v>
      </c>
      <c r="BL109" s="134">
        <f t="shared" si="139"/>
        <v>52.229341876919023</v>
      </c>
      <c r="BM109" s="134">
        <f t="shared" si="139"/>
        <v>-53.374241281099884</v>
      </c>
      <c r="BN109" s="134">
        <f t="shared" si="139"/>
        <v>-9.0204928880902031</v>
      </c>
      <c r="BO109" s="134">
        <f t="shared" si="139"/>
        <v>147.81297134238315</v>
      </c>
      <c r="BP109" s="134">
        <f t="shared" si="139"/>
        <v>335.84335910250672</v>
      </c>
      <c r="BQ109" s="134">
        <f t="shared" si="139"/>
        <v>239.82899439412495</v>
      </c>
      <c r="BR109" s="134">
        <f t="shared" si="139"/>
        <v>345.2121122945839</v>
      </c>
      <c r="BS109" s="134">
        <f t="shared" si="139"/>
        <v>80.770944741532787</v>
      </c>
      <c r="BT109" s="134">
        <f t="shared" si="139"/>
        <v>-154.64944264015372</v>
      </c>
      <c r="BU109" s="680">
        <f t="shared" si="139"/>
        <v>392.02979855871843</v>
      </c>
      <c r="BV109" s="680">
        <f t="shared" si="139"/>
        <v>27.270888453629905</v>
      </c>
      <c r="BW109" s="680">
        <f t="shared" si="139"/>
        <v>129.30989852971641</v>
      </c>
      <c r="BX109" s="680">
        <f t="shared" si="139"/>
        <v>345.31392146757321</v>
      </c>
      <c r="BY109" s="680">
        <f t="shared" si="139"/>
        <v>264.09569276092782</v>
      </c>
      <c r="BZ109" s="680">
        <f t="shared" si="139"/>
        <v>469.8305706023703</v>
      </c>
      <c r="CA109" s="680">
        <f t="shared" si="139"/>
        <v>225.72108731273548</v>
      </c>
      <c r="CB109" s="680">
        <f t="shared" si="140"/>
        <v>91.224643506926938</v>
      </c>
      <c r="CC109" s="680">
        <f t="shared" ca="1" si="140"/>
        <v>125.00000000000011</v>
      </c>
      <c r="CD109" s="680">
        <f t="shared" si="141"/>
        <v>125</v>
      </c>
      <c r="CE109" s="680">
        <f t="shared" si="141"/>
        <v>125</v>
      </c>
      <c r="CF109" s="680">
        <f t="shared" ca="1" si="142"/>
        <v>129.45516996420019</v>
      </c>
      <c r="CG109" s="97"/>
      <c r="CH109" s="97"/>
      <c r="CI109" s="97"/>
      <c r="CJ109" s="680"/>
      <c r="CO109" s="94"/>
      <c r="DK109" s="94"/>
      <c r="DL109" s="134"/>
      <c r="DM109" s="94"/>
      <c r="DN109" s="94"/>
      <c r="DO109" s="94"/>
      <c r="DP109" s="94"/>
      <c r="DQ109" s="94"/>
      <c r="DR109" s="94"/>
      <c r="DS109" s="94"/>
      <c r="DT109" s="94"/>
      <c r="DU109" s="94"/>
      <c r="DV109" s="94"/>
      <c r="DW109" s="94"/>
      <c r="DX109" s="94"/>
      <c r="DY109" s="94"/>
      <c r="DZ109" s="94"/>
      <c r="EA109"/>
      <c r="EB109"/>
      <c r="EC109"/>
      <c r="ED109"/>
      <c r="EE109"/>
      <c r="EF109"/>
    </row>
    <row r="110" spans="1:136" s="171" customFormat="1" hidden="1" outlineLevel="1">
      <c r="A110" s="93" t="s">
        <v>189</v>
      </c>
      <c r="B110" s="134"/>
      <c r="C110" s="134"/>
      <c r="D110" s="134"/>
      <c r="E110" s="134"/>
      <c r="F110" s="134"/>
      <c r="G110" s="134"/>
      <c r="H110" s="134"/>
      <c r="I110" s="134"/>
      <c r="J110" s="134"/>
      <c r="K110" s="134"/>
      <c r="L110" s="134"/>
      <c r="M110" s="221">
        <f t="shared" si="138"/>
        <v>41.727296888354473</v>
      </c>
      <c r="N110" s="221">
        <f t="shared" si="138"/>
        <v>31.905981331733223</v>
      </c>
      <c r="O110" s="221">
        <f t="shared" si="138"/>
        <v>-44.10106247359186</v>
      </c>
      <c r="P110" s="221">
        <f t="shared" si="138"/>
        <v>13.353559830847905</v>
      </c>
      <c r="Q110" s="221">
        <f t="shared" si="138"/>
        <v>123.9572889873497</v>
      </c>
      <c r="R110" s="221">
        <f t="shared" ref="R110:AA110" si="143">(R135-Q135)*10000</f>
        <v>251.46001481241657</v>
      </c>
      <c r="S110" s="221">
        <f t="shared" si="143"/>
        <v>103.1596004313276</v>
      </c>
      <c r="T110" s="221">
        <f t="shared" si="143"/>
        <v>107.79954105855138</v>
      </c>
      <c r="U110" s="221">
        <f t="shared" si="143"/>
        <v>82.001043944958937</v>
      </c>
      <c r="V110" s="221">
        <f t="shared" si="143"/>
        <v>56.46339900620162</v>
      </c>
      <c r="W110" s="221">
        <f t="shared" si="143"/>
        <v>34.932992047740363</v>
      </c>
      <c r="X110" s="221">
        <f t="shared" si="143"/>
        <v>21.857004061294205</v>
      </c>
      <c r="Y110" s="221">
        <f t="shared" si="143"/>
        <v>11.67647158590357</v>
      </c>
      <c r="Z110" s="221">
        <f t="shared" si="143"/>
        <v>11.496422483625036</v>
      </c>
      <c r="AA110" s="221">
        <f t="shared" si="143"/>
        <v>11.317238209740122</v>
      </c>
      <c r="AB110" s="93"/>
      <c r="AC110" s="221"/>
      <c r="AD110" s="221"/>
      <c r="AE110" s="221"/>
      <c r="AF110" s="221"/>
      <c r="AG110" s="221"/>
      <c r="AH110" s="221"/>
      <c r="AI110" s="221"/>
      <c r="AJ110" s="221"/>
      <c r="AK110" s="221"/>
      <c r="AL110" s="221"/>
      <c r="AM110" s="221"/>
      <c r="AN110" s="221"/>
      <c r="AO110" s="221"/>
      <c r="AP110" s="221"/>
      <c r="AQ110" s="221"/>
      <c r="AR110" s="221"/>
      <c r="AS110" s="221"/>
      <c r="AT110" s="221"/>
      <c r="AU110" s="221"/>
      <c r="AV110" s="221"/>
      <c r="AW110" s="221"/>
      <c r="AX110" s="221"/>
      <c r="AY110" s="221"/>
      <c r="AZ110" s="221"/>
      <c r="BA110" s="221"/>
      <c r="BB110" s="221"/>
      <c r="BC110" s="221"/>
      <c r="BD110" s="221"/>
      <c r="BE110" s="221"/>
      <c r="BF110" s="221"/>
      <c r="BG110" s="221"/>
      <c r="BH110" s="221"/>
      <c r="BI110" s="221">
        <f t="shared" si="139"/>
        <v>81.775383956069348</v>
      </c>
      <c r="BJ110" s="221">
        <f t="shared" si="139"/>
        <v>23.860114959765866</v>
      </c>
      <c r="BK110" s="221">
        <f t="shared" si="139"/>
        <v>55.033254964984287</v>
      </c>
      <c r="BL110" s="221">
        <f t="shared" si="139"/>
        <v>-16.099740044039081</v>
      </c>
      <c r="BM110" s="221">
        <f t="shared" si="139"/>
        <v>-113.23487698921289</v>
      </c>
      <c r="BN110" s="221">
        <f t="shared" si="139"/>
        <v>-133.09384494231898</v>
      </c>
      <c r="BO110" s="221">
        <f t="shared" si="139"/>
        <v>-98.082062923587898</v>
      </c>
      <c r="BP110" s="221">
        <f t="shared" si="139"/>
        <v>147.47987979827849</v>
      </c>
      <c r="BQ110" s="221">
        <f t="shared" si="139"/>
        <v>33.969707833861193</v>
      </c>
      <c r="BR110" s="221">
        <f t="shared" si="139"/>
        <v>106.09422619287808</v>
      </c>
      <c r="BS110" s="221">
        <f t="shared" si="139"/>
        <v>-53.236611913561049</v>
      </c>
      <c r="BT110" s="221">
        <f t="shared" si="139"/>
        <v>-21.457607226806065</v>
      </c>
      <c r="BU110" s="221">
        <f t="shared" si="139"/>
        <v>212.97061375431582</v>
      </c>
      <c r="BV110" s="221">
        <f>(BV135-BR135)*10000</f>
        <v>30.239542655715603</v>
      </c>
      <c r="BW110" s="221">
        <f>(BW135-BS135)*10000</f>
        <v>203.23323016925715</v>
      </c>
      <c r="BX110" s="221">
        <f t="shared" si="139"/>
        <v>48.1811000221144</v>
      </c>
      <c r="BY110" s="221">
        <f t="shared" si="139"/>
        <v>301.04903111967508</v>
      </c>
      <c r="BZ110" s="221">
        <f t="shared" si="139"/>
        <v>252.8413713554728</v>
      </c>
      <c r="CA110" s="221">
        <f t="shared" si="139"/>
        <v>263.68925482007535</v>
      </c>
      <c r="CB110" s="221">
        <f t="shared" si="140"/>
        <v>190.76482478917549</v>
      </c>
      <c r="CC110" s="221">
        <f t="shared" ca="1" si="140"/>
        <v>196.90621674232105</v>
      </c>
      <c r="CD110" s="221">
        <f>(CD135-BZ135)*10000</f>
        <v>240.90461701060468</v>
      </c>
      <c r="CE110" s="221">
        <f>(CE135-CA135)*10000</f>
        <v>304.13834643423979</v>
      </c>
      <c r="CF110" s="221">
        <f t="shared" ca="1" si="142"/>
        <v>-58.619715660254144</v>
      </c>
      <c r="CG110" s="221"/>
      <c r="CH110" s="221"/>
      <c r="CI110" s="221"/>
      <c r="CJ110" s="221"/>
      <c r="CO110" s="94"/>
      <c r="DK110" s="94"/>
      <c r="DL110" s="134"/>
      <c r="DM110" s="94"/>
      <c r="DN110" s="94"/>
      <c r="DO110" s="94"/>
      <c r="DP110" s="94"/>
      <c r="DQ110" s="94"/>
      <c r="DR110" s="94"/>
      <c r="DS110" s="94"/>
      <c r="DT110" s="94"/>
      <c r="DU110" s="94"/>
      <c r="DV110" s="94"/>
      <c r="DW110" s="94"/>
      <c r="DX110" s="94"/>
      <c r="DY110" s="94"/>
      <c r="DZ110" s="94"/>
      <c r="EA110"/>
      <c r="EB110"/>
      <c r="EC110"/>
      <c r="ED110"/>
      <c r="EE110"/>
      <c r="EF110"/>
    </row>
    <row r="111" spans="1:136" s="90" customFormat="1" hidden="1" outlineLevel="1">
      <c r="A111" s="87"/>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20"/>
      <c r="BW111" s="20"/>
      <c r="BX111" s="87"/>
      <c r="BY111" s="87"/>
      <c r="BZ111" s="87"/>
      <c r="CA111" s="87"/>
      <c r="CB111" s="87"/>
      <c r="CC111" s="87"/>
      <c r="CD111" s="87"/>
      <c r="CE111" s="87"/>
      <c r="CF111" s="87"/>
      <c r="CG111" s="87"/>
      <c r="CH111" s="87"/>
      <c r="CI111" s="87"/>
      <c r="CJ111" s="87"/>
      <c r="CO111" s="39"/>
      <c r="DK111" s="39"/>
      <c r="DL111" s="39"/>
      <c r="DM111" s="39"/>
      <c r="DN111" s="39"/>
      <c r="DO111" s="39"/>
      <c r="DP111" s="39"/>
      <c r="DQ111" s="39"/>
      <c r="DR111" s="39"/>
      <c r="DS111" s="39"/>
      <c r="DT111" s="39"/>
      <c r="DU111" s="39"/>
      <c r="DV111" s="39"/>
      <c r="DW111" s="39"/>
      <c r="DX111" s="39"/>
      <c r="DY111" s="39"/>
      <c r="DZ111" s="39"/>
      <c r="EA111"/>
      <c r="EB111"/>
      <c r="EC111"/>
      <c r="ED111"/>
      <c r="EE111"/>
      <c r="EF111"/>
    </row>
    <row r="112" spans="1:136" s="224" customFormat="1" collapsed="1">
      <c r="A112" s="222" t="s">
        <v>190</v>
      </c>
      <c r="B112" s="222"/>
      <c r="C112" s="222"/>
      <c r="D112" s="222"/>
      <c r="E112" s="222"/>
      <c r="F112" s="222"/>
      <c r="G112" s="222"/>
      <c r="H112" s="222"/>
      <c r="I112" s="222"/>
      <c r="J112" s="222"/>
      <c r="K112" s="222"/>
      <c r="L112" s="222"/>
      <c r="M112" s="222"/>
      <c r="N112" s="222"/>
      <c r="O112" s="222"/>
      <c r="P112" s="222"/>
      <c r="Q112" s="222"/>
      <c r="R112" s="222"/>
      <c r="S112" s="222"/>
      <c r="T112" s="222"/>
      <c r="U112" s="222"/>
      <c r="V112" s="222"/>
      <c r="W112" s="222"/>
      <c r="X112" s="222"/>
      <c r="Y112" s="222"/>
      <c r="Z112" s="222"/>
      <c r="AA112" s="222"/>
      <c r="AB112" s="223"/>
      <c r="AC112" s="222"/>
      <c r="AD112" s="222"/>
      <c r="AE112" s="222"/>
      <c r="AF112" s="222"/>
      <c r="AG112" s="222"/>
      <c r="AH112" s="222"/>
      <c r="AI112" s="222"/>
      <c r="AJ112" s="222"/>
      <c r="AK112" s="222"/>
      <c r="AL112" s="222"/>
      <c r="AM112" s="222"/>
      <c r="AN112" s="222"/>
      <c r="AO112" s="222"/>
      <c r="AP112" s="222"/>
      <c r="AQ112" s="222"/>
      <c r="AR112" s="222"/>
      <c r="AS112" s="222"/>
      <c r="AT112" s="222"/>
      <c r="AU112" s="222"/>
      <c r="AV112" s="222"/>
      <c r="AW112" s="222"/>
      <c r="AX112" s="222"/>
      <c r="AY112" s="222"/>
      <c r="AZ112" s="222"/>
      <c r="BA112" s="222"/>
      <c r="BB112" s="222"/>
      <c r="BC112" s="222"/>
      <c r="BD112" s="222"/>
      <c r="BE112" s="222"/>
      <c r="BF112" s="222"/>
      <c r="BG112" s="222"/>
      <c r="BH112" s="222"/>
      <c r="BI112" s="222"/>
      <c r="BJ112" s="222"/>
      <c r="BK112" s="222"/>
      <c r="BL112" s="222"/>
      <c r="BM112" s="222"/>
      <c r="BN112" s="222"/>
      <c r="BO112" s="222"/>
      <c r="BP112" s="222"/>
      <c r="BQ112" s="222"/>
      <c r="BR112" s="222"/>
      <c r="BS112" s="222"/>
      <c r="BT112" s="222"/>
      <c r="BU112" s="222"/>
      <c r="BV112" s="222"/>
      <c r="BW112" s="222"/>
      <c r="BX112" s="222"/>
      <c r="BY112" s="222"/>
      <c r="BZ112" s="222"/>
      <c r="CA112" s="222"/>
      <c r="CB112" s="222"/>
      <c r="CC112" s="222"/>
      <c r="CD112" s="222"/>
      <c r="CE112" s="222"/>
      <c r="CF112" s="222"/>
      <c r="CG112" s="222"/>
      <c r="CH112" s="222"/>
      <c r="CI112" s="222"/>
      <c r="CJ112" s="222"/>
      <c r="CO112" s="39"/>
      <c r="DK112" s="39"/>
      <c r="DL112" s="39"/>
      <c r="DM112" s="39"/>
      <c r="DN112" s="39"/>
      <c r="DO112" s="39"/>
      <c r="DP112" s="39"/>
      <c r="DQ112" s="39"/>
      <c r="DR112" s="39"/>
      <c r="DS112" s="39"/>
      <c r="DT112" s="39"/>
      <c r="DU112" s="39"/>
      <c r="DV112" s="39"/>
      <c r="DW112" s="39"/>
      <c r="DX112" s="39"/>
      <c r="DY112" s="39"/>
      <c r="DZ112" s="39"/>
      <c r="EA112"/>
      <c r="EB112"/>
      <c r="EC112"/>
      <c r="ED112"/>
      <c r="EE112"/>
      <c r="EF112"/>
    </row>
    <row r="113" spans="1:256">
      <c r="A113" s="213" t="s">
        <v>191</v>
      </c>
      <c r="B113" s="212">
        <f t="shared" ref="B113:O113" si="144">+B13/B10</f>
        <v>0.38891697846091616</v>
      </c>
      <c r="C113" s="212">
        <f t="shared" si="144"/>
        <v>0.40180067328243479</v>
      </c>
      <c r="D113" s="212">
        <f t="shared" si="144"/>
        <v>0.40382868485684487</v>
      </c>
      <c r="E113" s="212">
        <f t="shared" si="144"/>
        <v>0.39284101902612062</v>
      </c>
      <c r="F113" s="212">
        <f t="shared" si="144"/>
        <v>0.36952872419796073</v>
      </c>
      <c r="G113" s="212">
        <f t="shared" si="144"/>
        <v>0.35962829419869258</v>
      </c>
      <c r="H113" s="212">
        <f t="shared" si="144"/>
        <v>0.36139247875189195</v>
      </c>
      <c r="I113" s="212">
        <f t="shared" si="144"/>
        <v>0.36079630929696122</v>
      </c>
      <c r="J113" s="212">
        <f t="shared" si="144"/>
        <v>0.33710369881109642</v>
      </c>
      <c r="K113" s="212">
        <f t="shared" si="144"/>
        <v>0.37229530898390167</v>
      </c>
      <c r="L113" s="212">
        <f t="shared" si="144"/>
        <v>0.37860840293435805</v>
      </c>
      <c r="M113" s="212">
        <f t="shared" si="144"/>
        <v>0.37009215302987991</v>
      </c>
      <c r="N113" s="212">
        <f t="shared" si="144"/>
        <v>0.37518206482935884</v>
      </c>
      <c r="O113" s="212">
        <f t="shared" si="144"/>
        <v>0.37253179976769879</v>
      </c>
      <c r="P113" s="212">
        <f>+P13/P10</f>
        <v>0.36670257169785914</v>
      </c>
      <c r="Q113" s="212">
        <f>+Q13/Q10</f>
        <v>0.39273587425126855</v>
      </c>
      <c r="R113" s="212">
        <f>+R13/R10</f>
        <v>0.39960427384250097</v>
      </c>
      <c r="S113" s="212">
        <f>+S13/S10</f>
        <v>0.39713572153281823</v>
      </c>
      <c r="T113" s="225">
        <f t="shared" ref="T113:AA113" si="145">+S113+T93/10000</f>
        <v>0.40113572153281823</v>
      </c>
      <c r="U113" s="225">
        <f t="shared" si="145"/>
        <v>0.40613572153281824</v>
      </c>
      <c r="V113" s="225">
        <f t="shared" si="145"/>
        <v>0.41113572153281824</v>
      </c>
      <c r="W113" s="225">
        <f t="shared" si="145"/>
        <v>0.41313572153281825</v>
      </c>
      <c r="X113" s="225">
        <f t="shared" si="145"/>
        <v>0.41463572153281825</v>
      </c>
      <c r="Y113" s="225">
        <f t="shared" si="145"/>
        <v>0.41613572153281825</v>
      </c>
      <c r="Z113" s="225">
        <f t="shared" si="145"/>
        <v>0.41713572153281825</v>
      </c>
      <c r="AA113" s="225">
        <f t="shared" si="145"/>
        <v>0.41813572153281825</v>
      </c>
      <c r="AB113" s="213"/>
      <c r="AC113" s="212">
        <f t="shared" ref="AC113:AR113" si="146">+AC13/AC10</f>
        <v>1.2382829610162067</v>
      </c>
      <c r="AD113" s="212">
        <f t="shared" si="146"/>
        <v>1.1695390781563126</v>
      </c>
      <c r="AE113" s="212">
        <f t="shared" si="146"/>
        <v>1.1891776736259054</v>
      </c>
      <c r="AF113" s="212">
        <f t="shared" si="146"/>
        <v>1.0522963459604424</v>
      </c>
      <c r="AG113" s="212">
        <f t="shared" si="146"/>
        <v>1.1791699920191541</v>
      </c>
      <c r="AH113" s="212">
        <f t="shared" si="146"/>
        <v>1.1842818428184281</v>
      </c>
      <c r="AI113" s="212">
        <f t="shared" si="146"/>
        <v>1.1396648044692737</v>
      </c>
      <c r="AJ113" s="212">
        <f t="shared" si="146"/>
        <v>1.0536434108527131</v>
      </c>
      <c r="AK113" s="212">
        <f t="shared" si="146"/>
        <v>1.1822580645161291</v>
      </c>
      <c r="AL113" s="212">
        <f t="shared" si="146"/>
        <v>1.1907255048616305</v>
      </c>
      <c r="AM113" s="212">
        <f t="shared" si="146"/>
        <v>1.1312217194570136</v>
      </c>
      <c r="AN113" s="212">
        <f t="shared" si="146"/>
        <v>0.96153846153846156</v>
      </c>
      <c r="AO113" s="212">
        <f t="shared" si="146"/>
        <v>1.0780918727915194</v>
      </c>
      <c r="AP113" s="212">
        <f t="shared" si="146"/>
        <v>-0.90641233766233764</v>
      </c>
      <c r="AQ113" s="212">
        <f t="shared" si="146"/>
        <v>-0.89764347547290801</v>
      </c>
      <c r="AR113" s="212">
        <f t="shared" si="146"/>
        <v>-0.73799099324493367</v>
      </c>
      <c r="AS113" s="212">
        <f>AS13/AS10</f>
        <v>-0.60996724379971923</v>
      </c>
      <c r="AT113" s="212">
        <f t="shared" ref="AT113:BC113" si="147">+AT13/AT10</f>
        <v>-0.53316050982933683</v>
      </c>
      <c r="AU113" s="212">
        <f t="shared" si="147"/>
        <v>-0.58506595126313432</v>
      </c>
      <c r="AV113" s="212">
        <f t="shared" si="147"/>
        <v>-0.58434782608695657</v>
      </c>
      <c r="AW113" s="212">
        <f t="shared" si="147"/>
        <v>-0.66603260869565217</v>
      </c>
      <c r="AX113" s="212">
        <f t="shared" si="147"/>
        <v>-0.63036386449184445</v>
      </c>
      <c r="AY113" s="212">
        <f t="shared" si="147"/>
        <v>-0.55577639751552799</v>
      </c>
      <c r="AZ113" s="212">
        <f t="shared" si="147"/>
        <v>-0.36988478347238779</v>
      </c>
      <c r="BA113" s="212">
        <f t="shared" si="147"/>
        <v>-0.28401420959147422</v>
      </c>
      <c r="BB113" s="212">
        <f t="shared" si="147"/>
        <v>-0.24737360472751149</v>
      </c>
      <c r="BC113" s="212">
        <f t="shared" si="147"/>
        <v>-0.2694832519777815</v>
      </c>
      <c r="BD113" s="212">
        <f t="shared" ref="BD113:BJ113" si="148">BD13/BD10</f>
        <v>-0.19205737813786691</v>
      </c>
      <c r="BE113" s="212">
        <f t="shared" si="148"/>
        <v>0.38229548229548227</v>
      </c>
      <c r="BF113" s="212">
        <f t="shared" si="148"/>
        <v>0.36461857470260833</v>
      </c>
      <c r="BG113" s="212">
        <f t="shared" si="148"/>
        <v>0.37548416495784914</v>
      </c>
      <c r="BH113" s="220">
        <f t="shared" si="148"/>
        <v>0.36005785721665462</v>
      </c>
      <c r="BI113" s="220">
        <f t="shared" si="148"/>
        <v>0.37071651090342678</v>
      </c>
      <c r="BJ113" s="220">
        <f t="shared" si="148"/>
        <v>0.37785856690512487</v>
      </c>
      <c r="BK113" s="220">
        <f>BK13/BK10</f>
        <v>0.37689166466490509</v>
      </c>
      <c r="BL113" s="220">
        <f>BL13/BL10</f>
        <v>0.37535545023696681</v>
      </c>
      <c r="BM113" s="220">
        <f>BM13/BM10</f>
        <v>0.37076852698993595</v>
      </c>
      <c r="BN113" s="220">
        <f>BN13/BN10</f>
        <v>0.37591623036649213</v>
      </c>
      <c r="BO113" s="220">
        <f>BO13/BO10</f>
        <v>0.37287535410764872</v>
      </c>
      <c r="BP113" s="220">
        <f t="shared" ref="BP113:BU113" si="149">+BP13/BP10</f>
        <v>0.37078414839797641</v>
      </c>
      <c r="BQ113" s="220">
        <f t="shared" si="149"/>
        <v>0.36485767491354082</v>
      </c>
      <c r="BR113" s="220">
        <f t="shared" si="149"/>
        <v>0.36817622109727732</v>
      </c>
      <c r="BS113" s="220">
        <f t="shared" si="149"/>
        <v>0.37366255144032923</v>
      </c>
      <c r="BT113" s="220">
        <f t="shared" si="149"/>
        <v>0.36042682123567382</v>
      </c>
      <c r="BU113" s="220">
        <f t="shared" si="149"/>
        <v>0.38407212622088654</v>
      </c>
      <c r="BV113" s="220">
        <f t="shared" ref="BV113:CB113" si="150">+BV13/BV10</f>
        <v>0.39457926252757641</v>
      </c>
      <c r="BW113" s="220">
        <f t="shared" si="150"/>
        <v>0.39790494058786741</v>
      </c>
      <c r="BX113" s="220">
        <f t="shared" si="150"/>
        <v>0.39462870560610508</v>
      </c>
      <c r="BY113" s="220">
        <f t="shared" si="150"/>
        <v>0.40678503487634748</v>
      </c>
      <c r="BZ113" s="220">
        <f t="shared" si="150"/>
        <v>0.40039030736705156</v>
      </c>
      <c r="CA113" s="220">
        <f t="shared" si="150"/>
        <v>0.39983961507618282</v>
      </c>
      <c r="CB113" s="220">
        <f t="shared" si="150"/>
        <v>0.39176041349954394</v>
      </c>
      <c r="CC113" s="220">
        <f>+CC13/CC10</f>
        <v>0.40538388021662952</v>
      </c>
      <c r="CD113" s="220">
        <f>+CD13/CD10</f>
        <v>0.39823008849557523</v>
      </c>
      <c r="CE113" s="220">
        <f>+CE13/CE10</f>
        <v>0.39527027027027029</v>
      </c>
      <c r="CF113" s="220">
        <f>+CF13/CF10</f>
        <v>0.39051724137931032</v>
      </c>
      <c r="CG113" s="226">
        <f>CC113+CG93/10000</f>
        <v>0.40838388021662952</v>
      </c>
      <c r="CH113" s="226">
        <f>CD113+CH93/10000</f>
        <v>0.40123008849557523</v>
      </c>
      <c r="CI113" s="226">
        <f>CE113+CI93/10000</f>
        <v>0.40527027027027029</v>
      </c>
      <c r="CJ113" s="220">
        <f ca="1">+CJ13/CJ10</f>
        <v>0.39042431809599254</v>
      </c>
      <c r="CO113" s="220"/>
      <c r="DK113" s="214"/>
      <c r="DL113" s="214"/>
      <c r="DM113" s="214"/>
      <c r="DN113" s="214"/>
      <c r="DO113" s="214"/>
      <c r="DP113" s="214"/>
      <c r="DQ113" s="214"/>
      <c r="DR113" s="214"/>
      <c r="DS113" s="214"/>
      <c r="DT113" s="214"/>
      <c r="DU113" s="214"/>
      <c r="DV113" s="214"/>
      <c r="DW113" s="214"/>
      <c r="DX113" s="214"/>
      <c r="DY113" s="214"/>
      <c r="DZ113" s="214"/>
    </row>
    <row r="114" spans="1:256">
      <c r="A114" s="213" t="s">
        <v>192</v>
      </c>
      <c r="B114" s="212">
        <f t="shared" ref="B114:V114" si="151">B16/B10</f>
        <v>0.20069437422051437</v>
      </c>
      <c r="C114" s="212">
        <f t="shared" si="151"/>
        <v>0.19379648976934766</v>
      </c>
      <c r="D114" s="212">
        <f t="shared" si="151"/>
        <v>0.18712781347777815</v>
      </c>
      <c r="E114" s="212">
        <f t="shared" si="151"/>
        <v>0.19416317316994519</v>
      </c>
      <c r="F114" s="212">
        <f t="shared" si="151"/>
        <v>0.19435463814971402</v>
      </c>
      <c r="G114" s="212">
        <f t="shared" si="151"/>
        <v>0.20109635622783104</v>
      </c>
      <c r="H114" s="212">
        <f t="shared" si="151"/>
        <v>0.20348701827919433</v>
      </c>
      <c r="I114" s="212">
        <f t="shared" si="151"/>
        <v>0.24300471366964196</v>
      </c>
      <c r="J114" s="212">
        <f t="shared" si="151"/>
        <v>0.23358446169088509</v>
      </c>
      <c r="K114" s="212">
        <f t="shared" si="151"/>
        <v>0.25108187640643931</v>
      </c>
      <c r="L114" s="212">
        <f t="shared" si="151"/>
        <v>0.24980151799040934</v>
      </c>
      <c r="M114" s="212">
        <f t="shared" si="151"/>
        <v>0.23711253839709578</v>
      </c>
      <c r="N114" s="212">
        <f t="shared" si="151"/>
        <v>0.23901185206340139</v>
      </c>
      <c r="O114" s="212">
        <f t="shared" si="151"/>
        <v>0.24077169324910055</v>
      </c>
      <c r="P114" s="212">
        <f>P16/P10</f>
        <v>0.23360710919617611</v>
      </c>
      <c r="Q114" s="212">
        <f>Q16/Q10</f>
        <v>0.2492083476403037</v>
      </c>
      <c r="R114" s="212">
        <f>R16/R10</f>
        <v>0.23490304709141274</v>
      </c>
      <c r="S114" s="212">
        <f>S16/S10</f>
        <v>0.22149379536408334</v>
      </c>
      <c r="T114" s="212">
        <f t="shared" ca="1" si="151"/>
        <v>0.21810513920816016</v>
      </c>
      <c r="U114" s="212">
        <f t="shared" ca="1" si="151"/>
        <v>0.21688778697015812</v>
      </c>
      <c r="V114" s="212">
        <f t="shared" ca="1" si="151"/>
        <v>0.21644788763120618</v>
      </c>
      <c r="W114" s="212">
        <f ca="1">W16/W10</f>
        <v>0.21460124764194044</v>
      </c>
      <c r="X114" s="212">
        <f ca="1">X16/X10</f>
        <v>0.21370323092580978</v>
      </c>
      <c r="Y114" s="212">
        <f ca="1">Y16/Y10</f>
        <v>0.21374095892534595</v>
      </c>
      <c r="Z114" s="212">
        <f ca="1">Z16/Z10</f>
        <v>0.213286465047903</v>
      </c>
      <c r="AA114" s="212">
        <f ca="1">AA16/AA10</f>
        <v>0.21292068408538148</v>
      </c>
      <c r="AB114" s="213"/>
      <c r="AC114" s="212">
        <f t="shared" ref="AC114:CB114" si="152">AC16/AC10</f>
        <v>0.64695575996495835</v>
      </c>
      <c r="AD114" s="212">
        <f t="shared" si="152"/>
        <v>0.59519038076152309</v>
      </c>
      <c r="AE114" s="212">
        <f t="shared" si="152"/>
        <v>0.59650617809970174</v>
      </c>
      <c r="AF114" s="212">
        <f t="shared" si="152"/>
        <v>0.56252095206168284</v>
      </c>
      <c r="AG114" s="212">
        <f t="shared" si="152"/>
        <v>0.67996807661612135</v>
      </c>
      <c r="AH114" s="212">
        <f t="shared" si="152"/>
        <v>0.65660085172280291</v>
      </c>
      <c r="AI114" s="212">
        <f t="shared" si="152"/>
        <v>0.64365522745411019</v>
      </c>
      <c r="AJ114" s="212">
        <f t="shared" si="152"/>
        <v>0.57271317829457369</v>
      </c>
      <c r="AK114" s="212">
        <f t="shared" si="152"/>
        <v>0.66693548387096779</v>
      </c>
      <c r="AL114" s="212">
        <f t="shared" si="152"/>
        <v>0.64510097232610319</v>
      </c>
      <c r="AM114" s="212">
        <f t="shared" si="152"/>
        <v>0.64253393665158376</v>
      </c>
      <c r="AN114" s="212">
        <f t="shared" si="152"/>
        <v>0.55594405594405594</v>
      </c>
      <c r="AO114" s="212">
        <f t="shared" si="152"/>
        <v>0.63639575971731444</v>
      </c>
      <c r="AP114" s="212">
        <f t="shared" si="152"/>
        <v>-1.0161525974025973</v>
      </c>
      <c r="AQ114" s="212">
        <f t="shared" si="152"/>
        <v>-0.99478999679384417</v>
      </c>
      <c r="AR114" s="212">
        <f t="shared" si="152"/>
        <v>-0.83256192144108077</v>
      </c>
      <c r="AS114" s="212">
        <f t="shared" si="152"/>
        <v>-0.700280767430978</v>
      </c>
      <c r="AT114" s="212">
        <f t="shared" si="152"/>
        <v>-0.62713329012745733</v>
      </c>
      <c r="AU114" s="212">
        <f t="shared" si="152"/>
        <v>-0.6957299351665549</v>
      </c>
      <c r="AV114" s="212">
        <f t="shared" si="152"/>
        <v>-0.68673913043478263</v>
      </c>
      <c r="AW114" s="212">
        <f t="shared" si="152"/>
        <v>-0.76195652173913042</v>
      </c>
      <c r="AX114" s="212">
        <f t="shared" si="152"/>
        <v>-0.74604767879548306</v>
      </c>
      <c r="AY114" s="212">
        <f t="shared" si="152"/>
        <v>-0.67900621118012428</v>
      </c>
      <c r="AZ114" s="212">
        <f t="shared" si="152"/>
        <v>-0.45152959872864523</v>
      </c>
      <c r="BA114" s="212">
        <f t="shared" si="152"/>
        <v>-0.40799289520426285</v>
      </c>
      <c r="BB114" s="212">
        <f t="shared" si="152"/>
        <v>-0.38328956007879184</v>
      </c>
      <c r="BC114" s="212">
        <f t="shared" si="152"/>
        <v>-0.39639791280929138</v>
      </c>
      <c r="BD114" s="212">
        <f t="shared" si="152"/>
        <v>-0.31119670606986322</v>
      </c>
      <c r="BE114" s="212">
        <f t="shared" si="152"/>
        <v>0.26043956043956046</v>
      </c>
      <c r="BF114" s="212">
        <f t="shared" si="152"/>
        <v>0.22885517843501038</v>
      </c>
      <c r="BG114" s="212">
        <f t="shared" si="152"/>
        <v>0.23650034176349966</v>
      </c>
      <c r="BH114" s="212">
        <f t="shared" si="152"/>
        <v>0.22574646141130281</v>
      </c>
      <c r="BI114" s="212">
        <f t="shared" si="152"/>
        <v>0.24068305065189802</v>
      </c>
      <c r="BJ114" s="212">
        <f t="shared" si="152"/>
        <v>0.23970915914155036</v>
      </c>
      <c r="BK114" s="212">
        <f>BK16/BK10</f>
        <v>0.23240451597405717</v>
      </c>
      <c r="BL114" s="212">
        <f t="shared" si="152"/>
        <v>0.24265402843601896</v>
      </c>
      <c r="BM114" s="212">
        <f t="shared" si="152"/>
        <v>0.25205855443732844</v>
      </c>
      <c r="BN114" s="212">
        <f t="shared" si="152"/>
        <v>0.25107620709714951</v>
      </c>
      <c r="BO114" s="212">
        <f t="shared" si="152"/>
        <v>0.23819641170915959</v>
      </c>
      <c r="BP114" s="212">
        <f t="shared" si="152"/>
        <v>0.22333473861720068</v>
      </c>
      <c r="BQ114" s="212">
        <f t="shared" si="152"/>
        <v>0.24275073157754723</v>
      </c>
      <c r="BR114" s="212">
        <f>BR16/BR10</f>
        <v>0.23272677520864687</v>
      </c>
      <c r="BS114" s="212">
        <f>BS16/BS10</f>
        <v>0.24430727023319615</v>
      </c>
      <c r="BT114" s="212">
        <f t="shared" si="152"/>
        <v>0.2151231721775787</v>
      </c>
      <c r="BU114" s="212">
        <f t="shared" si="152"/>
        <v>0.24267468069120962</v>
      </c>
      <c r="BV114" s="212">
        <f>BV16/BV10</f>
        <v>0.25732745036243304</v>
      </c>
      <c r="BW114" s="212">
        <f>BW16/BW10</f>
        <v>0.25031269543464668</v>
      </c>
      <c r="BX114" s="212">
        <f t="shared" si="152"/>
        <v>0.24699148811270913</v>
      </c>
      <c r="BY114" s="212">
        <f>BY16/BY10</f>
        <v>0.23604946100190236</v>
      </c>
      <c r="BZ114" s="212">
        <f>BZ16/BZ10</f>
        <v>0.2393885184582859</v>
      </c>
      <c r="CA114" s="212">
        <f>CA16/CA10</f>
        <v>0.22662389735364877</v>
      </c>
      <c r="CB114" s="212">
        <f t="shared" si="152"/>
        <v>0.23745819397993312</v>
      </c>
      <c r="CC114" s="212">
        <f t="shared" ref="CC114:CJ114" si="153">CC16/CC10</f>
        <v>0.22650525645109906</v>
      </c>
      <c r="CD114" s="212">
        <f>CD16/CD10</f>
        <v>0.22566371681415928</v>
      </c>
      <c r="CE114" s="212">
        <f>CE16/CE10</f>
        <v>0.21437346437346438</v>
      </c>
      <c r="CF114" s="212">
        <f t="shared" si="153"/>
        <v>0.22011494252873562</v>
      </c>
      <c r="CG114" s="212">
        <f t="shared" si="153"/>
        <v>0.22645034138056186</v>
      </c>
      <c r="CH114" s="212">
        <f t="shared" si="153"/>
        <v>0.21929132210293825</v>
      </c>
      <c r="CI114" s="212">
        <f t="shared" ca="1" si="153"/>
        <v>0.21820045489377832</v>
      </c>
      <c r="CJ114" s="212">
        <f t="shared" ca="1" si="153"/>
        <v>0.20917613522832379</v>
      </c>
      <c r="CO114" s="220"/>
      <c r="DK114" s="214"/>
      <c r="DL114" s="214"/>
      <c r="DM114" s="214"/>
      <c r="DN114" s="214"/>
      <c r="DO114" s="214"/>
      <c r="DP114" s="214"/>
      <c r="DQ114" s="214"/>
      <c r="DR114" s="214"/>
      <c r="DS114" s="214"/>
      <c r="DT114" s="214"/>
      <c r="DU114" s="214"/>
      <c r="DV114" s="214"/>
      <c r="DW114" s="214"/>
      <c r="DX114" s="214"/>
      <c r="DY114" s="214"/>
      <c r="DZ114" s="214"/>
    </row>
    <row r="115" spans="1:256">
      <c r="A115" s="213" t="s">
        <v>193</v>
      </c>
      <c r="B115" s="212">
        <f t="shared" ref="B115:V115" si="154">+B19/B10</f>
        <v>0.1882226042404018</v>
      </c>
      <c r="C115" s="212">
        <f t="shared" si="154"/>
        <v>0.20800418351308711</v>
      </c>
      <c r="D115" s="212">
        <f t="shared" si="154"/>
        <v>0.21670087137906671</v>
      </c>
      <c r="E115" s="212">
        <f t="shared" si="154"/>
        <v>0.19867784585617543</v>
      </c>
      <c r="F115" s="212">
        <f t="shared" si="154"/>
        <v>0.17517408604824669</v>
      </c>
      <c r="G115" s="212">
        <f t="shared" si="154"/>
        <v>0.15853193797086154</v>
      </c>
      <c r="H115" s="212">
        <f t="shared" si="154"/>
        <v>0.15790546047269763</v>
      </c>
      <c r="I115" s="212">
        <f t="shared" si="154"/>
        <v>0.11779159562731922</v>
      </c>
      <c r="J115" s="212">
        <f t="shared" si="154"/>
        <v>0.10351923712021137</v>
      </c>
      <c r="K115" s="212">
        <f t="shared" si="154"/>
        <v>0.12121343257746235</v>
      </c>
      <c r="L115" s="212">
        <f t="shared" si="154"/>
        <v>0.12880688494394868</v>
      </c>
      <c r="M115" s="212">
        <f t="shared" si="154"/>
        <v>0.13297961463278413</v>
      </c>
      <c r="N115" s="212">
        <f t="shared" si="154"/>
        <v>0.13617021276595745</v>
      </c>
      <c r="O115" s="212">
        <f t="shared" si="154"/>
        <v>0.13176010651859826</v>
      </c>
      <c r="P115" s="212">
        <f>+P19/P10</f>
        <v>0.13309546250168305</v>
      </c>
      <c r="Q115" s="212">
        <f>+Q19/Q10</f>
        <v>0.14352752661096485</v>
      </c>
      <c r="R115" s="212">
        <f>+R19/R10</f>
        <v>0.16470122675108825</v>
      </c>
      <c r="S115" s="212">
        <f>+S19/S10</f>
        <v>0.17564192616873489</v>
      </c>
      <c r="T115" s="213">
        <f t="shared" ca="1" si="154"/>
        <v>0.18303058232465802</v>
      </c>
      <c r="U115" s="213">
        <f t="shared" ca="1" si="154"/>
        <v>0.18924793456266017</v>
      </c>
      <c r="V115" s="213">
        <f t="shared" ca="1" si="154"/>
        <v>0.19468783390161204</v>
      </c>
      <c r="W115" s="213">
        <f ca="1">+W19/W10</f>
        <v>0.19853447389087772</v>
      </c>
      <c r="X115" s="213">
        <f ca="1">+X19/X10</f>
        <v>0.20093249060700843</v>
      </c>
      <c r="Y115" s="213">
        <f ca="1">+Y19/Y10</f>
        <v>0.20239476260747241</v>
      </c>
      <c r="Z115" s="213">
        <f ca="1">+Z19/Z10</f>
        <v>0.20384925648491514</v>
      </c>
      <c r="AA115" s="213">
        <f ca="1">+AA19/AA10</f>
        <v>0.20521503744743683</v>
      </c>
      <c r="AB115" s="213"/>
      <c r="AC115" s="212">
        <f t="shared" ref="AC115:CB115" si="155">+AC19/AC10</f>
        <v>0.10030661410424879</v>
      </c>
      <c r="AD115" s="212">
        <f t="shared" si="155"/>
        <v>0.12464929859719438</v>
      </c>
      <c r="AE115" s="212">
        <f t="shared" si="155"/>
        <v>0.11674478057094163</v>
      </c>
      <c r="AF115" s="212">
        <f t="shared" si="155"/>
        <v>0.13074086490110626</v>
      </c>
      <c r="AG115" s="212">
        <f t="shared" si="155"/>
        <v>8.4596967278531526E-2</v>
      </c>
      <c r="AH115" s="212">
        <f t="shared" si="155"/>
        <v>0.10801393728222997</v>
      </c>
      <c r="AI115" s="212">
        <f t="shared" si="155"/>
        <v>0.11213088587390263</v>
      </c>
      <c r="AJ115" s="212">
        <f t="shared" si="155"/>
        <v>0.12806201550387597</v>
      </c>
      <c r="AK115" s="212">
        <f t="shared" si="155"/>
        <v>9.5967741935483866E-2</v>
      </c>
      <c r="AL115" s="212">
        <f t="shared" si="155"/>
        <v>0.10433807030665669</v>
      </c>
      <c r="AM115" s="212">
        <f t="shared" si="155"/>
        <v>0.10671191553544494</v>
      </c>
      <c r="AN115" s="212">
        <f t="shared" si="155"/>
        <v>0.11975524475524475</v>
      </c>
      <c r="AO115" s="212">
        <f t="shared" si="155"/>
        <v>9.0106007067137811E-2</v>
      </c>
      <c r="AP115" s="212">
        <f t="shared" si="155"/>
        <v>0.10974025974025974</v>
      </c>
      <c r="AQ115" s="212">
        <f t="shared" si="155"/>
        <v>9.7146521320936194E-2</v>
      </c>
      <c r="AR115" s="212">
        <f t="shared" si="155"/>
        <v>9.4570928196147111E-2</v>
      </c>
      <c r="AS115" s="212">
        <f t="shared" si="155"/>
        <v>9.0313523631258774E-2</v>
      </c>
      <c r="AT115" s="212">
        <f t="shared" si="155"/>
        <v>9.3972780298120548E-2</v>
      </c>
      <c r="AU115" s="212">
        <f t="shared" si="155"/>
        <v>0.11066398390342053</v>
      </c>
      <c r="AV115" s="212">
        <f t="shared" si="155"/>
        <v>0.10239130434782609</v>
      </c>
      <c r="AW115" s="212">
        <f t="shared" si="155"/>
        <v>9.5923913043478262E-2</v>
      </c>
      <c r="AX115" s="212">
        <f t="shared" si="155"/>
        <v>0.11568381430363865</v>
      </c>
      <c r="AY115" s="212">
        <f t="shared" si="155"/>
        <v>0.12322981366459627</v>
      </c>
      <c r="AZ115" s="212">
        <f t="shared" si="155"/>
        <v>8.1644815256257455E-2</v>
      </c>
      <c r="BA115" s="212">
        <f t="shared" si="155"/>
        <v>0.12397868561278863</v>
      </c>
      <c r="BB115" s="212">
        <f t="shared" si="155"/>
        <v>0.13591595535128037</v>
      </c>
      <c r="BC115" s="212">
        <f t="shared" si="155"/>
        <v>0.12691466083150985</v>
      </c>
      <c r="BD115" s="212">
        <f t="shared" si="155"/>
        <v>0.11913932793199628</v>
      </c>
      <c r="BE115" s="212">
        <f t="shared" si="155"/>
        <v>0.12185592185592185</v>
      </c>
      <c r="BF115" s="212">
        <f t="shared" si="155"/>
        <v>0.13576339626759795</v>
      </c>
      <c r="BG115" s="212">
        <f t="shared" si="155"/>
        <v>0.13898382319434952</v>
      </c>
      <c r="BH115" s="212">
        <f t="shared" si="155"/>
        <v>0.13431139580535179</v>
      </c>
      <c r="BI115" s="212">
        <f t="shared" si="155"/>
        <v>0.13003346025152879</v>
      </c>
      <c r="BJ115" s="212">
        <f t="shared" si="155"/>
        <v>0.13814940776357454</v>
      </c>
      <c r="BK115" s="212">
        <f>+BK19/BK10</f>
        <v>0.14448714869084794</v>
      </c>
      <c r="BL115" s="212">
        <f t="shared" si="155"/>
        <v>0.13270142180094788</v>
      </c>
      <c r="BM115" s="212">
        <f t="shared" si="155"/>
        <v>0.1187099725526075</v>
      </c>
      <c r="BN115" s="212">
        <f t="shared" si="155"/>
        <v>0.12484002326934264</v>
      </c>
      <c r="BO115" s="212">
        <f t="shared" si="155"/>
        <v>0.13467894239848915</v>
      </c>
      <c r="BP115" s="212">
        <f t="shared" si="155"/>
        <v>0.14744940978077573</v>
      </c>
      <c r="BQ115" s="212">
        <f t="shared" si="155"/>
        <v>0.12210694333599362</v>
      </c>
      <c r="BR115" s="212">
        <f>+BR19/BR10</f>
        <v>0.13544944588863045</v>
      </c>
      <c r="BS115" s="212">
        <f>+BS19/BS10</f>
        <v>0.12935528120713305</v>
      </c>
      <c r="BT115" s="212">
        <f t="shared" si="155"/>
        <v>0.14530364905809512</v>
      </c>
      <c r="BU115" s="212">
        <f t="shared" si="155"/>
        <v>0.14139744552967692</v>
      </c>
      <c r="BV115" s="212">
        <f>+BV19/BV10</f>
        <v>0.1372518121651434</v>
      </c>
      <c r="BW115" s="212">
        <f>+BW19/BW10</f>
        <v>0.14759224515322075</v>
      </c>
      <c r="BX115" s="212">
        <f t="shared" si="155"/>
        <v>0.14763721749339595</v>
      </c>
      <c r="BY115" s="212">
        <f>+BY19/BY10</f>
        <v>0.17073557387444516</v>
      </c>
      <c r="BZ115" s="212">
        <f>+BZ19/BZ10</f>
        <v>0.16100178890876565</v>
      </c>
      <c r="CA115" s="212">
        <f>+CA19/CA10</f>
        <v>0.17321571772253408</v>
      </c>
      <c r="CB115" s="212">
        <f t="shared" si="155"/>
        <v>0.15430221951961082</v>
      </c>
      <c r="CC115" s="212">
        <f t="shared" ref="CC115:CJ115" si="156">+CC19/CC10</f>
        <v>0.17887862376553043</v>
      </c>
      <c r="CD115" s="212">
        <f>+CD19/CD10</f>
        <v>0.17256637168141592</v>
      </c>
      <c r="CE115" s="212">
        <f>+CE19/CE10</f>
        <v>0.1808968058968059</v>
      </c>
      <c r="CF115" s="212">
        <f t="shared" si="156"/>
        <v>0.1704022988505747</v>
      </c>
      <c r="CG115" s="212">
        <f t="shared" si="156"/>
        <v>0.18193353883606764</v>
      </c>
      <c r="CH115" s="212">
        <f t="shared" si="156"/>
        <v>0.18193876639263701</v>
      </c>
      <c r="CI115" s="212">
        <f t="shared" ca="1" si="156"/>
        <v>0.187069815376492</v>
      </c>
      <c r="CJ115" s="212">
        <f t="shared" ca="1" si="156"/>
        <v>0.18124818286766875</v>
      </c>
      <c r="CO115" s="220"/>
      <c r="DK115" s="214"/>
      <c r="DL115" s="214"/>
      <c r="DM115" s="214"/>
      <c r="DN115" s="214"/>
      <c r="DO115" s="214"/>
      <c r="DP115" s="214"/>
      <c r="DQ115" s="214"/>
      <c r="DR115" s="214"/>
      <c r="DS115" s="214"/>
      <c r="DT115" s="214"/>
      <c r="DU115" s="214"/>
      <c r="DV115" s="214"/>
      <c r="DW115" s="214"/>
      <c r="DX115" s="214"/>
      <c r="DY115" s="214"/>
      <c r="DZ115" s="214"/>
    </row>
    <row r="116" spans="1:256">
      <c r="A116" s="213" t="s">
        <v>194</v>
      </c>
      <c r="B116" s="212"/>
      <c r="C116" s="212"/>
      <c r="D116" s="212"/>
      <c r="E116" s="212"/>
      <c r="F116" s="212"/>
      <c r="G116" s="212"/>
      <c r="H116" s="212"/>
      <c r="I116" s="212"/>
      <c r="J116" s="212"/>
      <c r="K116" s="212"/>
      <c r="L116" s="212">
        <f t="shared" ref="L116:S116" si="157">L25/L10</f>
        <v>1.2131220426180572E-2</v>
      </c>
      <c r="M116" s="212">
        <f t="shared" si="157"/>
        <v>1.1281764870148004E-2</v>
      </c>
      <c r="N116" s="212">
        <f t="shared" si="157"/>
        <v>9.0818220762530349E-3</v>
      </c>
      <c r="O116" s="212">
        <f t="shared" si="157"/>
        <v>6.3457888325448315E-3</v>
      </c>
      <c r="P116" s="212">
        <f t="shared" si="157"/>
        <v>6.4965665813922178E-3</v>
      </c>
      <c r="Q116" s="212">
        <f t="shared" si="157"/>
        <v>8.5460302926252344E-3</v>
      </c>
      <c r="R116" s="212">
        <f t="shared" si="157"/>
        <v>8.4289671547289283E-3</v>
      </c>
      <c r="S116" s="212">
        <f t="shared" si="157"/>
        <v>7.9606649496605005E-3</v>
      </c>
      <c r="T116" s="225">
        <v>7.0000000000000001E-3</v>
      </c>
      <c r="U116" s="225">
        <f t="shared" ref="U116:AA116" si="158">T116</f>
        <v>7.0000000000000001E-3</v>
      </c>
      <c r="V116" s="225">
        <f t="shared" si="158"/>
        <v>7.0000000000000001E-3</v>
      </c>
      <c r="W116" s="225">
        <f t="shared" si="158"/>
        <v>7.0000000000000001E-3</v>
      </c>
      <c r="X116" s="225">
        <f t="shared" si="158"/>
        <v>7.0000000000000001E-3</v>
      </c>
      <c r="Y116" s="225">
        <f t="shared" si="158"/>
        <v>7.0000000000000001E-3</v>
      </c>
      <c r="Z116" s="225">
        <f t="shared" si="158"/>
        <v>7.0000000000000001E-3</v>
      </c>
      <c r="AA116" s="225">
        <f t="shared" si="158"/>
        <v>7.0000000000000001E-3</v>
      </c>
      <c r="AB116" s="213"/>
      <c r="AC116" s="212"/>
      <c r="AD116" s="212"/>
      <c r="AE116" s="212"/>
      <c r="AF116" s="212"/>
      <c r="AG116" s="212"/>
      <c r="AH116" s="212"/>
      <c r="AI116" s="212"/>
      <c r="AJ116" s="212"/>
      <c r="AK116" s="212"/>
      <c r="AL116" s="212"/>
      <c r="AM116" s="212"/>
      <c r="AN116" s="212"/>
      <c r="AO116" s="212"/>
      <c r="AP116" s="212"/>
      <c r="AQ116" s="212"/>
      <c r="AR116" s="212"/>
      <c r="AS116" s="212"/>
      <c r="AT116" s="212"/>
      <c r="AU116" s="212"/>
      <c r="AV116" s="212"/>
      <c r="AW116" s="212"/>
      <c r="AX116" s="212"/>
      <c r="AY116" s="212"/>
      <c r="AZ116" s="212"/>
      <c r="BA116" s="212">
        <f t="shared" ref="BA116:CJ116" si="159">BA25/BA10</f>
        <v>9.2362344582593257E-3</v>
      </c>
      <c r="BB116" s="212">
        <f t="shared" si="159"/>
        <v>1.6086671043992119E-2</v>
      </c>
      <c r="BC116" s="212">
        <f t="shared" si="159"/>
        <v>1.2960781013297425E-2</v>
      </c>
      <c r="BD116" s="212">
        <f t="shared" si="159"/>
        <v>1.6469650684021783E-2</v>
      </c>
      <c r="BE116" s="212">
        <f t="shared" si="159"/>
        <v>7.5702075702075702E-3</v>
      </c>
      <c r="BF116" s="212">
        <f t="shared" si="159"/>
        <v>6.6572083378806067E-3</v>
      </c>
      <c r="BG116" s="212">
        <f t="shared" si="159"/>
        <v>1.5265436318067897E-2</v>
      </c>
      <c r="BH116" s="212">
        <f t="shared" si="159"/>
        <v>1.5187519371835934E-2</v>
      </c>
      <c r="BI116" s="212">
        <f t="shared" si="159"/>
        <v>8.4227529710395755E-3</v>
      </c>
      <c r="BJ116" s="212">
        <f t="shared" si="159"/>
        <v>4.9255306672921313E-3</v>
      </c>
      <c r="BK116" s="212">
        <f t="shared" si="159"/>
        <v>1.0088878212827288E-2</v>
      </c>
      <c r="BL116" s="212">
        <f t="shared" si="159"/>
        <v>1.2532912058978409E-2</v>
      </c>
      <c r="BM116" s="212">
        <f t="shared" si="159"/>
        <v>6.861848124428179E-3</v>
      </c>
      <c r="BN116" s="212">
        <f t="shared" si="159"/>
        <v>6.9808027923211171E-3</v>
      </c>
      <c r="BO116" s="212">
        <f t="shared" si="159"/>
        <v>7.5542965061378663E-3</v>
      </c>
      <c r="BP116" s="212">
        <f t="shared" si="159"/>
        <v>4.2158516020236085E-3</v>
      </c>
      <c r="BQ116" s="212">
        <f t="shared" si="159"/>
        <v>9.0449587656291561E-3</v>
      </c>
      <c r="BR116" s="212">
        <f t="shared" si="159"/>
        <v>5.3358872622793815E-3</v>
      </c>
      <c r="BS116" s="212">
        <f t="shared" si="159"/>
        <v>5.6241426611796982E-3</v>
      </c>
      <c r="BT116" s="212">
        <f t="shared" si="159"/>
        <v>5.9280727176920034E-3</v>
      </c>
      <c r="BU116" s="212">
        <f t="shared" si="159"/>
        <v>7.0623591284748313E-3</v>
      </c>
      <c r="BV116" s="212">
        <f t="shared" si="159"/>
        <v>9.1396155058304437E-3</v>
      </c>
      <c r="BW116" s="212">
        <f t="shared" si="159"/>
        <v>6.41025641025641E-3</v>
      </c>
      <c r="BX116" s="212">
        <f t="shared" si="159"/>
        <v>1.1447020839448195E-2</v>
      </c>
      <c r="BY116" s="212">
        <f t="shared" si="159"/>
        <v>7.6093849080532657E-3</v>
      </c>
      <c r="BZ116" s="212">
        <f t="shared" si="159"/>
        <v>7.1556350626118068E-3</v>
      </c>
      <c r="CA116" s="212">
        <f t="shared" si="159"/>
        <v>1.1547714514835605E-2</v>
      </c>
      <c r="CB116" s="212">
        <f t="shared" si="159"/>
        <v>7.449072666463971E-3</v>
      </c>
      <c r="CC116" s="212">
        <f t="shared" si="159"/>
        <v>7.327174259318254E-3</v>
      </c>
      <c r="CD116" s="212">
        <f t="shared" si="159"/>
        <v>1.0891763104152484E-2</v>
      </c>
      <c r="CE116" s="212">
        <f t="shared" si="159"/>
        <v>6.7567567567567571E-3</v>
      </c>
      <c r="CF116" s="212">
        <f t="shared" si="159"/>
        <v>7.1839080459770114E-3</v>
      </c>
      <c r="CG116" s="212">
        <f t="shared" ca="1" si="159"/>
        <v>7.0207399481225646E-3</v>
      </c>
      <c r="CH116" s="212">
        <f t="shared" ca="1" si="159"/>
        <v>7.4483460061936296E-3</v>
      </c>
      <c r="CI116" s="212">
        <f t="shared" ca="1" si="159"/>
        <v>7.0294387578933217E-3</v>
      </c>
      <c r="CJ116" s="212">
        <f t="shared" ca="1" si="159"/>
        <v>6.5583842611769486E-3</v>
      </c>
      <c r="CO116" s="220"/>
      <c r="DK116" s="214"/>
      <c r="DL116" s="214"/>
      <c r="DM116" s="214"/>
      <c r="DN116" s="214"/>
      <c r="DO116" s="214"/>
      <c r="DP116" s="214"/>
      <c r="DQ116" s="214"/>
      <c r="DR116" s="214"/>
      <c r="DS116" s="214"/>
      <c r="DT116" s="214"/>
      <c r="DU116" s="214"/>
      <c r="DV116" s="214"/>
      <c r="DW116" s="214"/>
      <c r="DX116" s="214"/>
      <c r="DY116" s="214"/>
      <c r="DZ116" s="214"/>
    </row>
    <row r="117" spans="1:256" s="24" customFormat="1">
      <c r="A117" s="718" t="s">
        <v>195</v>
      </c>
      <c r="B117" s="677">
        <f t="shared" ref="B117:AA117" si="160">+B28/B10</f>
        <v>0.14881855260053259</v>
      </c>
      <c r="C117" s="677">
        <f t="shared" si="160"/>
        <v>0.16880758639069629</v>
      </c>
      <c r="D117" s="677">
        <f t="shared" si="160"/>
        <v>0.21101503885879622</v>
      </c>
      <c r="E117" s="677">
        <f t="shared" si="160"/>
        <v>0.19251854240567559</v>
      </c>
      <c r="F117" s="677">
        <f t="shared" si="160"/>
        <v>0.16908107435961203</v>
      </c>
      <c r="G117" s="677">
        <f t="shared" si="160"/>
        <v>0.1525518130917832</v>
      </c>
      <c r="H117" s="677">
        <f t="shared" si="160"/>
        <v>0.1523460239841658</v>
      </c>
      <c r="I117" s="677">
        <f t="shared" si="160"/>
        <v>0.13469060274796912</v>
      </c>
      <c r="J117" s="677">
        <f t="shared" si="160"/>
        <v>0.12198645970937913</v>
      </c>
      <c r="K117" s="677">
        <f t="shared" si="160"/>
        <v>0.11030811840055392</v>
      </c>
      <c r="L117" s="677">
        <f t="shared" si="160"/>
        <v>0.1112134396138334</v>
      </c>
      <c r="M117" s="677">
        <f t="shared" si="160"/>
        <v>0.11440938285395141</v>
      </c>
      <c r="N117" s="677">
        <f t="shared" si="160"/>
        <v>0.12091960588319292</v>
      </c>
      <c r="O117" s="677">
        <f t="shared" si="160"/>
        <v>0.12096659962038585</v>
      </c>
      <c r="P117" s="677">
        <f t="shared" si="160"/>
        <v>0.1172411471657466</v>
      </c>
      <c r="Q117" s="677">
        <f t="shared" si="160"/>
        <v>0.12807599862653085</v>
      </c>
      <c r="R117" s="677">
        <f t="shared" si="160"/>
        <v>0.14930747922437673</v>
      </c>
      <c r="S117" s="677">
        <f t="shared" si="160"/>
        <v>0.16073519082182158</v>
      </c>
      <c r="T117" s="718">
        <f t="shared" ca="1" si="160"/>
        <v>0.16952856429514954</v>
      </c>
      <c r="U117" s="718">
        <f t="shared" ca="1" si="160"/>
        <v>0.17589871243913383</v>
      </c>
      <c r="V117" s="718">
        <f t="shared" ca="1" si="160"/>
        <v>0.18151580938528875</v>
      </c>
      <c r="W117" s="718">
        <f t="shared" ca="1" si="160"/>
        <v>0.18555452290984581</v>
      </c>
      <c r="X117" s="718">
        <f t="shared" ca="1" si="160"/>
        <v>0.18813293038783535</v>
      </c>
      <c r="Y117" s="718">
        <f t="shared" ca="1" si="160"/>
        <v>0.18976526565591784</v>
      </c>
      <c r="Z117" s="718">
        <f t="shared" ca="1" si="160"/>
        <v>0.19138066549112268</v>
      </c>
      <c r="AA117" s="718">
        <f t="shared" ca="1" si="160"/>
        <v>0.19289920762930504</v>
      </c>
      <c r="AB117" s="718"/>
      <c r="AC117" s="677">
        <f t="shared" ref="AC117:BH117" si="161">+AC28/AC10</f>
        <v>0.57030223390275958</v>
      </c>
      <c r="AD117" s="677">
        <f t="shared" si="161"/>
        <v>0.55591182364729463</v>
      </c>
      <c r="AE117" s="677">
        <f t="shared" si="161"/>
        <v>0.57221985513421392</v>
      </c>
      <c r="AF117" s="677">
        <f t="shared" si="161"/>
        <v>0.47334897753938987</v>
      </c>
      <c r="AG117" s="677">
        <f t="shared" si="161"/>
        <v>0.48084596967278531</v>
      </c>
      <c r="AH117" s="677">
        <f t="shared" si="161"/>
        <v>0.50638792102206731</v>
      </c>
      <c r="AI117" s="677">
        <f t="shared" si="161"/>
        <v>0.47585794094173983</v>
      </c>
      <c r="AJ117" s="677">
        <f t="shared" si="161"/>
        <v>0.46558139534883719</v>
      </c>
      <c r="AK117" s="677">
        <f t="shared" si="161"/>
        <v>0.49838709677419357</v>
      </c>
      <c r="AL117" s="677">
        <f t="shared" si="161"/>
        <v>0.52729992520568436</v>
      </c>
      <c r="AM117" s="677">
        <f t="shared" si="161"/>
        <v>0.47285067873303166</v>
      </c>
      <c r="AN117" s="677">
        <f t="shared" si="161"/>
        <v>0.38869463869463872</v>
      </c>
      <c r="AO117" s="677">
        <f t="shared" si="161"/>
        <v>0.42332155477031802</v>
      </c>
      <c r="AP117" s="677">
        <f t="shared" si="161"/>
        <v>9.4805194805194809E-2</v>
      </c>
      <c r="AQ117" s="677">
        <f t="shared" si="161"/>
        <v>8.1436357806989421E-2</v>
      </c>
      <c r="AR117" s="677">
        <f t="shared" si="161"/>
        <v>7.7057793345008757E-2</v>
      </c>
      <c r="AS117" s="677">
        <f t="shared" si="161"/>
        <v>7.6743097800655122E-2</v>
      </c>
      <c r="AT117" s="677">
        <f t="shared" si="161"/>
        <v>0.10002160293799957</v>
      </c>
      <c r="AU117" s="677">
        <f t="shared" si="161"/>
        <v>6.4833445115135252E-2</v>
      </c>
      <c r="AV117" s="677">
        <f t="shared" si="161"/>
        <v>4.8043478260869563E-2</v>
      </c>
      <c r="AW117" s="677">
        <f t="shared" si="161"/>
        <v>9.7282608695652167E-2</v>
      </c>
      <c r="AX117" s="677">
        <f t="shared" si="161"/>
        <v>9.7114178168130491E-2</v>
      </c>
      <c r="AY117" s="677">
        <f t="shared" si="161"/>
        <v>9.5155279503105594E-2</v>
      </c>
      <c r="AZ117" s="677">
        <f t="shared" si="161"/>
        <v>6.197854588796186E-2</v>
      </c>
      <c r="BA117" s="677">
        <f t="shared" si="161"/>
        <v>9.2184724689165193E-2</v>
      </c>
      <c r="BB117" s="677">
        <f t="shared" si="161"/>
        <v>0.10948785292186473</v>
      </c>
      <c r="BC117" s="677">
        <f t="shared" si="161"/>
        <v>0.10065645514223195</v>
      </c>
      <c r="BD117" s="677">
        <f t="shared" si="161"/>
        <v>9.5497410014610179E-2</v>
      </c>
      <c r="BE117" s="677">
        <f t="shared" si="161"/>
        <v>0.11526251526251527</v>
      </c>
      <c r="BF117" s="677">
        <f t="shared" si="161"/>
        <v>0.11502782931354361</v>
      </c>
      <c r="BG117" s="677">
        <f t="shared" si="161"/>
        <v>0.11904761904761904</v>
      </c>
      <c r="BH117" s="677">
        <f t="shared" si="161"/>
        <v>0.10889554706064676</v>
      </c>
      <c r="BI117" s="677">
        <f t="shared" ref="BI117:CJ117" si="162">+BI28/BI10</f>
        <v>0.11722626052844122</v>
      </c>
      <c r="BJ117" s="677">
        <f t="shared" si="162"/>
        <v>0.12970564090535944</v>
      </c>
      <c r="BK117" s="677">
        <f t="shared" si="162"/>
        <v>0.12803266874849867</v>
      </c>
      <c r="BL117" s="677">
        <f t="shared" si="162"/>
        <v>0.11016324381253291</v>
      </c>
      <c r="BM117" s="677">
        <f t="shared" si="162"/>
        <v>0.10784537968892956</v>
      </c>
      <c r="BN117" s="677">
        <f t="shared" si="162"/>
        <v>0.11425247236765561</v>
      </c>
      <c r="BO117" s="677">
        <f t="shared" si="162"/>
        <v>0.12181303116147309</v>
      </c>
      <c r="BP117" s="677">
        <f t="shared" si="162"/>
        <v>0.13838532883642496</v>
      </c>
      <c r="BQ117" s="677">
        <f t="shared" si="162"/>
        <v>0.10654429369513169</v>
      </c>
      <c r="BR117" s="677">
        <f t="shared" si="162"/>
        <v>0.11656861403748803</v>
      </c>
      <c r="BS117" s="677">
        <f t="shared" si="162"/>
        <v>0.12098765432098765</v>
      </c>
      <c r="BT117" s="677">
        <f t="shared" si="162"/>
        <v>0.12488473191937821</v>
      </c>
      <c r="BU117" s="677">
        <f t="shared" si="162"/>
        <v>0.1274229902329076</v>
      </c>
      <c r="BV117" s="677">
        <f t="shared" si="162"/>
        <v>0.1208635360857233</v>
      </c>
      <c r="BW117" s="677">
        <f t="shared" si="162"/>
        <v>0.13414634146341464</v>
      </c>
      <c r="BX117" s="677">
        <f t="shared" si="162"/>
        <v>0.12973290284707953</v>
      </c>
      <c r="BY117" s="677">
        <f t="shared" si="162"/>
        <v>0.15615091946734305</v>
      </c>
      <c r="BZ117" s="677">
        <f t="shared" si="162"/>
        <v>0.14669051878354203</v>
      </c>
      <c r="CA117" s="677">
        <f t="shared" si="162"/>
        <v>0.15461106655974338</v>
      </c>
      <c r="CB117" s="677">
        <f t="shared" si="162"/>
        <v>0.14016418364244451</v>
      </c>
      <c r="CC117" s="677">
        <f t="shared" si="162"/>
        <v>0.16454284804077732</v>
      </c>
      <c r="CD117" s="677">
        <f t="shared" si="162"/>
        <v>0.15418652144315861</v>
      </c>
      <c r="CE117" s="677">
        <f t="shared" si="162"/>
        <v>0.16722972972972974</v>
      </c>
      <c r="CF117" s="677">
        <f t="shared" si="162"/>
        <v>0.1567528735632184</v>
      </c>
      <c r="CG117" s="677">
        <f t="shared" ca="1" si="162"/>
        <v>0.16839151635606173</v>
      </c>
      <c r="CH117" s="677">
        <f t="shared" ca="1" si="162"/>
        <v>0.16757195181183074</v>
      </c>
      <c r="CI117" s="677">
        <f t="shared" ca="1" si="162"/>
        <v>0.17351101411272038</v>
      </c>
      <c r="CJ117" s="677">
        <f t="shared" ca="1" si="162"/>
        <v>0.16859797964783219</v>
      </c>
      <c r="CO117" s="271"/>
      <c r="DK117" s="719"/>
      <c r="DL117" s="719"/>
      <c r="DM117" s="719"/>
      <c r="DN117" s="719"/>
      <c r="DO117" s="719"/>
      <c r="DP117" s="719"/>
      <c r="DQ117" s="719"/>
      <c r="DR117" s="719"/>
      <c r="DS117" s="719"/>
      <c r="DT117" s="719"/>
      <c r="DU117" s="719"/>
      <c r="DV117" s="719"/>
      <c r="DW117" s="719"/>
      <c r="DX117" s="719"/>
      <c r="DY117" s="719"/>
      <c r="DZ117" s="719"/>
      <c r="EA117"/>
      <c r="EB117"/>
      <c r="EC117"/>
      <c r="ED117"/>
      <c r="EE117"/>
      <c r="EF117"/>
    </row>
    <row r="118" spans="1:256">
      <c r="A118" s="212" t="s">
        <v>589</v>
      </c>
      <c r="B118" s="212"/>
      <c r="C118" s="212"/>
      <c r="D118" s="212"/>
      <c r="E118" s="212"/>
      <c r="F118" s="212"/>
      <c r="G118" s="212"/>
      <c r="H118" s="212"/>
      <c r="I118" s="212"/>
      <c r="J118" s="212"/>
      <c r="K118" s="212"/>
      <c r="L118" s="212"/>
      <c r="M118" s="212"/>
      <c r="N118" s="212"/>
      <c r="O118" s="212"/>
      <c r="P118" s="212"/>
      <c r="Q118" s="212"/>
      <c r="R118" s="212">
        <f>+R37/R10</f>
        <v>5.9358923624851603E-4</v>
      </c>
      <c r="S118" s="212">
        <f>+S37/S10</f>
        <v>1.7170061656130492E-3</v>
      </c>
      <c r="T118" s="212"/>
      <c r="U118" s="212"/>
      <c r="V118" s="212"/>
      <c r="W118" s="212"/>
      <c r="X118" s="212"/>
      <c r="Y118" s="212"/>
      <c r="Z118" s="212"/>
      <c r="AA118" s="212"/>
      <c r="AB118" s="212"/>
      <c r="AC118" s="212"/>
      <c r="AD118" s="212"/>
      <c r="AE118" s="212"/>
      <c r="AF118" s="212"/>
      <c r="AG118" s="212"/>
      <c r="AH118" s="212"/>
      <c r="AI118" s="212"/>
      <c r="AJ118" s="212"/>
      <c r="AK118" s="212"/>
      <c r="AL118" s="212"/>
      <c r="AM118" s="212"/>
      <c r="AN118" s="212"/>
      <c r="AO118" s="212"/>
      <c r="AP118" s="212"/>
      <c r="AQ118" s="212"/>
      <c r="AR118" s="212"/>
      <c r="AS118" s="212"/>
      <c r="AT118" s="212"/>
      <c r="AU118" s="212"/>
      <c r="AV118" s="212"/>
      <c r="AW118" s="212"/>
      <c r="AX118" s="212"/>
      <c r="AY118" s="212"/>
      <c r="AZ118" s="212"/>
      <c r="BA118" s="212"/>
      <c r="BB118" s="212"/>
      <c r="BC118" s="212"/>
      <c r="BD118" s="212"/>
      <c r="BE118" s="212"/>
      <c r="BF118" s="212"/>
      <c r="BG118" s="212"/>
      <c r="BH118" s="212"/>
      <c r="BI118" s="212"/>
      <c r="BJ118" s="212"/>
      <c r="BK118" s="212"/>
      <c r="BL118" s="212"/>
      <c r="BM118" s="212"/>
      <c r="BN118" s="212"/>
      <c r="BO118" s="212"/>
      <c r="BP118" s="212"/>
      <c r="BQ118" s="212"/>
      <c r="BR118" s="212"/>
      <c r="BS118" s="212"/>
      <c r="BT118" s="212"/>
      <c r="BU118" s="212"/>
      <c r="BV118" s="212"/>
      <c r="BW118" s="212"/>
      <c r="BX118" s="212"/>
      <c r="BY118" s="212"/>
      <c r="BZ118" s="212">
        <f t="shared" ref="BZ118:CF118" si="163">+BZ37/BZ10</f>
        <v>1.626280696048138E-4</v>
      </c>
      <c r="CA118" s="212">
        <f t="shared" si="163"/>
        <v>6.4153969526864474E-4</v>
      </c>
      <c r="CB118" s="212">
        <f t="shared" si="163"/>
        <v>3.0404378230465187E-4</v>
      </c>
      <c r="CC118" s="212">
        <f t="shared" si="163"/>
        <v>2.3892959541255178E-3</v>
      </c>
      <c r="CD118" s="212">
        <f t="shared" si="163"/>
        <v>8.5091899251191281E-4</v>
      </c>
      <c r="CE118" s="212">
        <f t="shared" si="163"/>
        <v>1.5356265356265355E-3</v>
      </c>
      <c r="CF118" s="212">
        <f t="shared" si="163"/>
        <v>2.0114942528735632E-3</v>
      </c>
      <c r="CG118" s="212"/>
      <c r="CH118" s="212"/>
      <c r="CI118" s="212"/>
      <c r="CJ118" s="212"/>
      <c r="CK118" s="212"/>
      <c r="CL118" s="212"/>
      <c r="CM118" s="212"/>
      <c r="CN118" s="212"/>
      <c r="CO118" s="212"/>
      <c r="CP118" s="212"/>
      <c r="CQ118" s="212"/>
      <c r="CR118" s="212"/>
      <c r="CS118" s="212"/>
      <c r="CT118" s="212"/>
      <c r="CU118" s="212"/>
      <c r="CV118" s="212"/>
      <c r="CW118" s="212"/>
      <c r="CX118" s="212"/>
      <c r="CY118" s="212"/>
      <c r="CZ118" s="212"/>
      <c r="DA118" s="212"/>
      <c r="DB118" s="212"/>
      <c r="DC118" s="212"/>
      <c r="DD118" s="212"/>
      <c r="DE118" s="212"/>
      <c r="DF118" s="212"/>
      <c r="DG118" s="212"/>
      <c r="DH118" s="212"/>
      <c r="DI118" s="212"/>
      <c r="DJ118" s="212"/>
      <c r="DK118" s="212"/>
      <c r="DL118" s="212"/>
      <c r="DM118" s="212"/>
      <c r="DN118" s="212"/>
      <c r="DO118" s="212"/>
      <c r="DP118" s="212"/>
      <c r="DQ118" s="212"/>
      <c r="DR118" s="212"/>
      <c r="DS118" s="212"/>
      <c r="DT118" s="212"/>
      <c r="DU118" s="212"/>
      <c r="DV118" s="212"/>
      <c r="DW118" s="212"/>
      <c r="DX118" s="212"/>
      <c r="DY118" s="212"/>
      <c r="DZ118" s="212"/>
      <c r="EG118" s="212"/>
      <c r="EH118" s="212"/>
      <c r="EI118" s="212"/>
      <c r="EJ118" s="212"/>
      <c r="EK118" s="212"/>
      <c r="EL118" s="212"/>
      <c r="EM118" s="212"/>
      <c r="EN118" s="212"/>
      <c r="EO118" s="212"/>
      <c r="EP118" s="212"/>
      <c r="EQ118" s="212"/>
      <c r="ER118" s="212"/>
      <c r="ES118" s="212"/>
      <c r="ET118" s="212"/>
      <c r="EU118" s="212"/>
      <c r="EV118" s="212"/>
      <c r="EW118" s="212"/>
      <c r="EX118" s="212"/>
      <c r="EY118" s="212"/>
      <c r="EZ118" s="212"/>
      <c r="FA118" s="212"/>
      <c r="FB118" s="212"/>
      <c r="FC118" s="212"/>
      <c r="FD118" s="212"/>
      <c r="FE118" s="212"/>
      <c r="FF118" s="212"/>
      <c r="FG118" s="212"/>
      <c r="FH118" s="212"/>
      <c r="FI118" s="212"/>
      <c r="FJ118" s="212"/>
      <c r="FK118" s="212"/>
      <c r="FL118" s="212"/>
      <c r="FM118" s="212"/>
      <c r="FN118" s="212"/>
      <c r="FO118" s="212"/>
      <c r="FP118" s="212"/>
      <c r="FQ118" s="212"/>
      <c r="FR118" s="212"/>
      <c r="FS118" s="212"/>
      <c r="FT118" s="212"/>
      <c r="FU118" s="212"/>
      <c r="FV118" s="212"/>
      <c r="FW118" s="212"/>
      <c r="FX118" s="212"/>
      <c r="FY118" s="212"/>
      <c r="FZ118" s="212"/>
      <c r="GA118" s="212"/>
      <c r="GB118" s="212"/>
      <c r="GC118" s="212"/>
      <c r="GD118" s="212"/>
      <c r="GE118" s="212"/>
      <c r="GF118" s="212"/>
      <c r="GG118" s="212"/>
      <c r="GH118" s="212"/>
      <c r="GI118" s="212"/>
      <c r="GJ118" s="212"/>
      <c r="GK118" s="212"/>
      <c r="GL118" s="212"/>
      <c r="GM118" s="212"/>
      <c r="GN118" s="212"/>
      <c r="GO118" s="212"/>
      <c r="GP118" s="212"/>
      <c r="GQ118" s="212"/>
      <c r="GR118" s="212"/>
      <c r="GS118" s="212"/>
      <c r="GT118" s="212"/>
      <c r="GU118" s="212"/>
      <c r="GV118" s="212"/>
      <c r="GW118" s="212"/>
      <c r="GX118" s="212"/>
      <c r="GY118" s="212"/>
      <c r="GZ118" s="212"/>
      <c r="HA118" s="212"/>
      <c r="HB118" s="212"/>
      <c r="HC118" s="212"/>
      <c r="HD118" s="212"/>
      <c r="HE118" s="212"/>
      <c r="HF118" s="212"/>
      <c r="HG118" s="212"/>
      <c r="HH118" s="212"/>
      <c r="HI118" s="212"/>
      <c r="HJ118" s="212"/>
      <c r="HK118" s="212"/>
      <c r="HL118" s="212"/>
      <c r="HM118" s="212"/>
      <c r="HN118" s="212"/>
      <c r="HO118" s="212"/>
      <c r="HP118" s="212"/>
      <c r="HQ118" s="212"/>
      <c r="HR118" s="212"/>
      <c r="HS118" s="212"/>
      <c r="HT118" s="212"/>
      <c r="HU118" s="212"/>
      <c r="HV118" s="212"/>
      <c r="HW118" s="212"/>
      <c r="HX118" s="212"/>
      <c r="HY118" s="212"/>
      <c r="HZ118" s="212"/>
      <c r="IA118" s="212"/>
      <c r="IB118" s="212"/>
      <c r="IC118" s="212"/>
      <c r="ID118" s="212"/>
      <c r="IE118" s="212"/>
      <c r="IF118" s="212"/>
      <c r="IG118" s="212"/>
      <c r="IH118" s="212"/>
      <c r="II118" s="212"/>
      <c r="IJ118" s="212"/>
      <c r="IK118" s="212"/>
      <c r="IL118" s="212"/>
      <c r="IM118" s="212"/>
      <c r="IN118" s="212"/>
      <c r="IO118" s="212"/>
      <c r="IP118" s="212"/>
      <c r="IQ118" s="212"/>
      <c r="IR118" s="212"/>
      <c r="IS118" s="212"/>
      <c r="IT118" s="212"/>
      <c r="IU118" s="212"/>
      <c r="IV118" s="212"/>
    </row>
    <row r="119" spans="1:256">
      <c r="A119" s="213" t="s">
        <v>196</v>
      </c>
      <c r="B119" s="212" t="s">
        <v>167</v>
      </c>
      <c r="C119" s="212">
        <f t="shared" ref="C119:AA119" si="164">+C79/C10</f>
        <v>0</v>
      </c>
      <c r="D119" s="212">
        <f t="shared" si="164"/>
        <v>0</v>
      </c>
      <c r="E119" s="212">
        <f t="shared" si="164"/>
        <v>0</v>
      </c>
      <c r="F119" s="212">
        <f t="shared" si="164"/>
        <v>0</v>
      </c>
      <c r="G119" s="212">
        <f t="shared" si="164"/>
        <v>0</v>
      </c>
      <c r="H119" s="212">
        <f t="shared" si="164"/>
        <v>0</v>
      </c>
      <c r="I119" s="212">
        <f t="shared" si="164"/>
        <v>0.17911944639454419</v>
      </c>
      <c r="J119" s="212">
        <f t="shared" si="164"/>
        <v>0.16268989431968295</v>
      </c>
      <c r="K119" s="212">
        <f t="shared" si="164"/>
        <v>0.13553747619871906</v>
      </c>
      <c r="L119" s="212">
        <f t="shared" si="164"/>
        <v>0.15694369462351931</v>
      </c>
      <c r="M119" s="212">
        <f t="shared" si="164"/>
        <v>0.15587824629991623</v>
      </c>
      <c r="N119" s="212">
        <f t="shared" si="164"/>
        <v>0.15933171497929458</v>
      </c>
      <c r="O119" s="212">
        <f t="shared" si="164"/>
        <v>0.15147737896257685</v>
      </c>
      <c r="P119" s="212">
        <f t="shared" si="164"/>
        <v>0.17564292446479063</v>
      </c>
      <c r="Q119" s="212">
        <f t="shared" si="164"/>
        <v>0.17950478806607914</v>
      </c>
      <c r="R119" s="212">
        <f>+R79/R10</f>
        <v>0.19643846458250891</v>
      </c>
      <c r="S119" s="212">
        <f>+S79/S10</f>
        <v>0.20834308905018339</v>
      </c>
      <c r="T119" s="213">
        <f t="shared" ca="1" si="164"/>
        <v>0.21775525079024702</v>
      </c>
      <c r="U119" s="213">
        <f t="shared" ca="1" si="164"/>
        <v>0.22574619370475715</v>
      </c>
      <c r="V119" s="213">
        <f t="shared" ca="1" si="164"/>
        <v>0.23269796654451894</v>
      </c>
      <c r="W119" s="213">
        <f t="shared" ca="1" si="164"/>
        <v>0.23854365901277971</v>
      </c>
      <c r="X119" s="213">
        <f t="shared" ca="1" si="164"/>
        <v>0.24299827949390851</v>
      </c>
      <c r="Y119" s="213">
        <f t="shared" ca="1" si="164"/>
        <v>0.24662074022064925</v>
      </c>
      <c r="Z119" s="213">
        <f t="shared" ca="1" si="164"/>
        <v>0.25034433305220777</v>
      </c>
      <c r="AA119" s="213">
        <f t="shared" ca="1" si="164"/>
        <v>0.25409404646035616</v>
      </c>
      <c r="AB119" s="213"/>
      <c r="AC119" s="212">
        <f t="shared" ref="AC119:BH119" si="165">+AC79/AC10</f>
        <v>0.66184844502847129</v>
      </c>
      <c r="AD119" s="212">
        <f t="shared" si="165"/>
        <v>0.64208416833667337</v>
      </c>
      <c r="AE119" s="212">
        <f t="shared" si="165"/>
        <v>0.66126970600766932</v>
      </c>
      <c r="AF119" s="212">
        <f t="shared" si="165"/>
        <v>0.55581629232316465</v>
      </c>
      <c r="AG119" s="212">
        <f t="shared" si="165"/>
        <v>0.56783719074221872</v>
      </c>
      <c r="AH119" s="212">
        <f t="shared" si="165"/>
        <v>0.59078590785907859</v>
      </c>
      <c r="AI119" s="212">
        <f t="shared" si="165"/>
        <v>0.56165203511572226</v>
      </c>
      <c r="AJ119" s="212">
        <f t="shared" si="165"/>
        <v>0.53627906976744188</v>
      </c>
      <c r="AK119" s="212">
        <f t="shared" si="165"/>
        <v>0.5854838709677419</v>
      </c>
      <c r="AL119" s="212">
        <f t="shared" si="165"/>
        <v>0.60845175766641735</v>
      </c>
      <c r="AM119" s="212">
        <f t="shared" si="165"/>
        <v>0.55618401206636503</v>
      </c>
      <c r="AN119" s="212">
        <f t="shared" si="165"/>
        <v>0.45775058275058272</v>
      </c>
      <c r="AO119" s="212">
        <f t="shared" si="165"/>
        <v>0.50106007067137814</v>
      </c>
      <c r="AP119" s="212">
        <f t="shared" si="165"/>
        <v>0.16688311688311688</v>
      </c>
      <c r="AQ119" s="212">
        <f t="shared" si="165"/>
        <v>0.15197178582879128</v>
      </c>
      <c r="AR119" s="212">
        <f t="shared" si="165"/>
        <v>0.29171878909181886</v>
      </c>
      <c r="AS119" s="212">
        <f t="shared" si="165"/>
        <v>0.13476836686944316</v>
      </c>
      <c r="AT119" s="212">
        <f t="shared" si="165"/>
        <v>0.15597321235688053</v>
      </c>
      <c r="AU119" s="212">
        <f t="shared" si="165"/>
        <v>0.11960652805723228</v>
      </c>
      <c r="AV119" s="212">
        <f t="shared" si="165"/>
        <v>0.45826086956521739</v>
      </c>
      <c r="AW119" s="212">
        <f t="shared" si="165"/>
        <v>0.15570652173913044</v>
      </c>
      <c r="AX119" s="212"/>
      <c r="AY119" s="212"/>
      <c r="AZ119" s="212"/>
      <c r="BA119" s="212"/>
      <c r="BB119" s="212"/>
      <c r="BC119" s="212"/>
      <c r="BD119" s="212"/>
      <c r="BE119" s="212">
        <f t="shared" si="165"/>
        <v>0</v>
      </c>
      <c r="BF119" s="212">
        <f t="shared" si="165"/>
        <v>0</v>
      </c>
      <c r="BG119" s="212">
        <f t="shared" si="165"/>
        <v>0</v>
      </c>
      <c r="BH119" s="212">
        <f t="shared" si="165"/>
        <v>0</v>
      </c>
      <c r="BI119" s="212">
        <f t="shared" ref="BI119:CF119" si="166">+BI79/BI10</f>
        <v>0</v>
      </c>
      <c r="BJ119" s="212">
        <f t="shared" si="166"/>
        <v>0</v>
      </c>
      <c r="BK119" s="212">
        <f t="shared" si="166"/>
        <v>0</v>
      </c>
      <c r="BL119" s="212">
        <f t="shared" si="166"/>
        <v>0</v>
      </c>
      <c r="BM119" s="212">
        <f t="shared" si="166"/>
        <v>0.13826623970722782</v>
      </c>
      <c r="BN119" s="212">
        <f t="shared" si="166"/>
        <v>0.14520069808027924</v>
      </c>
      <c r="BO119" s="212">
        <f t="shared" si="166"/>
        <v>0.15439093484419264</v>
      </c>
      <c r="BP119" s="212">
        <f t="shared" si="166"/>
        <v>0.16673693086003372</v>
      </c>
      <c r="BQ119" s="212">
        <f t="shared" si="166"/>
        <v>0.16374035647778665</v>
      </c>
      <c r="BR119" s="212">
        <f t="shared" si="166"/>
        <v>0.17581064441100014</v>
      </c>
      <c r="BS119" s="212">
        <f t="shared" si="166"/>
        <v>0.18189300411522633</v>
      </c>
      <c r="BT119" s="212">
        <f t="shared" si="166"/>
        <v>0.18126729021209326</v>
      </c>
      <c r="BU119" s="212">
        <f t="shared" si="166"/>
        <v>0.18174305033809166</v>
      </c>
      <c r="BV119" s="212">
        <f t="shared" si="166"/>
        <v>0.1890167034352348</v>
      </c>
      <c r="BW119" s="212">
        <f t="shared" si="166"/>
        <v>0.17378048780487804</v>
      </c>
      <c r="BX119" s="212">
        <f t="shared" si="166"/>
        <v>0.17383328441444085</v>
      </c>
      <c r="BY119" s="212">
        <f t="shared" si="166"/>
        <v>0.2020846544071021</v>
      </c>
      <c r="BZ119" s="212">
        <f>+BZ79/BZ10</f>
        <v>0.19592616685639941</v>
      </c>
      <c r="CA119" s="212">
        <f>+CA79/CA10</f>
        <v>0.20108259823576582</v>
      </c>
      <c r="CB119" s="212">
        <f t="shared" si="166"/>
        <v>0.18710094253572515</v>
      </c>
      <c r="CC119" s="212">
        <f>+CC79/CC10</f>
        <v>0.21276680471487736</v>
      </c>
      <c r="CD119" s="212">
        <f>+CD79/CD10</f>
        <v>0.20264635806671205</v>
      </c>
      <c r="CE119" s="212">
        <f>+CE79/CE10</f>
        <v>0.21479576167076167</v>
      </c>
      <c r="CF119" s="212">
        <f t="shared" si="166"/>
        <v>0.20413074712643678</v>
      </c>
      <c r="CG119" s="212">
        <f ca="1">+CG79/CG10</f>
        <v>0.2157308591562932</v>
      </c>
      <c r="CH119" s="212">
        <f ca="1">+CH79/CH10</f>
        <v>0.21779455049620802</v>
      </c>
      <c r="CI119" s="212">
        <f ca="1">+CI79/CI10</f>
        <v>0.22090901112044772</v>
      </c>
      <c r="CJ119" s="212">
        <f ca="1">+CJ79/CJ10</f>
        <v>0.212819757273782</v>
      </c>
      <c r="CO119" s="220"/>
      <c r="DK119" s="214"/>
      <c r="DL119" s="214"/>
      <c r="DM119" s="214"/>
      <c r="DN119" s="214"/>
      <c r="DO119" s="214"/>
      <c r="DP119" s="214"/>
      <c r="DQ119" s="214"/>
      <c r="DR119" s="214"/>
      <c r="DS119" s="214"/>
      <c r="DT119" s="214"/>
      <c r="DU119" s="214"/>
      <c r="DV119" s="214"/>
      <c r="DW119" s="214"/>
      <c r="DX119" s="214"/>
      <c r="DY119" s="214"/>
      <c r="DZ119" s="214"/>
    </row>
    <row r="120" spans="1:256">
      <c r="A120" s="42" t="s">
        <v>197</v>
      </c>
      <c r="B120" s="212">
        <f t="shared" ref="B120:V120" si="167">B46/B10</f>
        <v>5.8513567263289178E-2</v>
      </c>
      <c r="C120" s="212">
        <f t="shared" si="167"/>
        <v>7.1846238730637779E-2</v>
      </c>
      <c r="D120" s="212">
        <f t="shared" si="167"/>
        <v>0.11768663997577633</v>
      </c>
      <c r="E120" s="212">
        <f t="shared" si="167"/>
        <v>0.11177039664624315</v>
      </c>
      <c r="F120" s="212">
        <f t="shared" si="167"/>
        <v>9.9664262621238495E-2</v>
      </c>
      <c r="G120" s="212">
        <f t="shared" si="167"/>
        <v>9.3359282427484994E-2</v>
      </c>
      <c r="H120" s="212">
        <f t="shared" si="167"/>
        <v>9.2860632305715021E-2</v>
      </c>
      <c r="I120" s="212">
        <f t="shared" si="167"/>
        <v>7.1283973523217331E-2</v>
      </c>
      <c r="J120" s="212">
        <f t="shared" si="167"/>
        <v>4.8761432092140025E-2</v>
      </c>
      <c r="K120" s="212">
        <f t="shared" si="167"/>
        <v>4.6563960533148693E-2</v>
      </c>
      <c r="L120" s="212">
        <f t="shared" si="167"/>
        <v>4.6732605036679475E-2</v>
      </c>
      <c r="M120" s="212">
        <f t="shared" si="167"/>
        <v>6.9030996928232335E-2</v>
      </c>
      <c r="N120" s="212">
        <f t="shared" si="167"/>
        <v>7.1854919320291311E-2</v>
      </c>
      <c r="O120" s="212">
        <f>O46/O10</f>
        <v>7.8557466217173286E-2</v>
      </c>
      <c r="P120" s="212">
        <f>P46/P10</f>
        <v>7.5669853238184995E-2</v>
      </c>
      <c r="Q120" s="212">
        <f>Q46/Q10</f>
        <v>8.0729464728549083E-2</v>
      </c>
      <c r="R120" s="212">
        <f>R46/R10</f>
        <v>0.10091017016224772</v>
      </c>
      <c r="S120" s="212">
        <f>S46/S10</f>
        <v>0.1116834464996488</v>
      </c>
      <c r="T120" s="152">
        <f t="shared" ca="1" si="167"/>
        <v>0.1205031211825232</v>
      </c>
      <c r="U120" s="152">
        <f t="shared" ca="1" si="167"/>
        <v>0.12552345085159028</v>
      </c>
      <c r="V120" s="152">
        <f t="shared" ca="1" si="167"/>
        <v>0.12985861144156521</v>
      </c>
      <c r="W120" s="152">
        <f ca="1">W46/W10</f>
        <v>0.13306225191621421</v>
      </c>
      <c r="X120" s="152">
        <f ca="1">X46/X10</f>
        <v>0.13526329342195595</v>
      </c>
      <c r="Y120" s="152">
        <f ca="1">Y46/Y10</f>
        <v>0.13679262515377161</v>
      </c>
      <c r="Z120" s="152">
        <f ca="1">Z46/Z10</f>
        <v>0.13829415723853808</v>
      </c>
      <c r="AA120" s="152">
        <f ca="1">AA46/AA10</f>
        <v>0.1397080849615138</v>
      </c>
      <c r="AB120" s="42"/>
      <c r="AC120" s="212">
        <f t="shared" ref="AC120:BL120" si="168">AC46/AC10</f>
        <v>0.33683749452474815</v>
      </c>
      <c r="AD120" s="212">
        <f t="shared" si="168"/>
        <v>0.31663326653306612</v>
      </c>
      <c r="AE120" s="212">
        <f t="shared" si="168"/>
        <v>0.34725181082232637</v>
      </c>
      <c r="AF120" s="212">
        <f t="shared" si="168"/>
        <v>0.28059001005698958</v>
      </c>
      <c r="AG120" s="212">
        <f t="shared" si="168"/>
        <v>0.29257854543590794</v>
      </c>
      <c r="AH120" s="212">
        <f t="shared" si="168"/>
        <v>0.31009157675219878</v>
      </c>
      <c r="AI120" s="212">
        <f t="shared" si="168"/>
        <v>0.28123287064464514</v>
      </c>
      <c r="AJ120" s="212">
        <f t="shared" si="168"/>
        <v>0.29421000000000003</v>
      </c>
      <c r="AK120" s="212">
        <f t="shared" si="168"/>
        <v>0.30482016129032258</v>
      </c>
      <c r="AL120" s="212">
        <f t="shared" si="168"/>
        <v>0.31320264902585848</v>
      </c>
      <c r="AM120" s="212">
        <f t="shared" si="168"/>
        <v>0.28422322775263953</v>
      </c>
      <c r="AN120" s="212">
        <f t="shared" si="168"/>
        <v>0.24565909090909094</v>
      </c>
      <c r="AO120" s="212">
        <f t="shared" si="168"/>
        <v>0.25285830388692576</v>
      </c>
      <c r="AP120" s="212">
        <f t="shared" si="168"/>
        <v>2.8254870129870133E-2</v>
      </c>
      <c r="AQ120" s="212">
        <f t="shared" si="168"/>
        <v>1.5916319333119589E-2</v>
      </c>
      <c r="AR120" s="212">
        <f t="shared" si="168"/>
        <v>1.8817112834625969E-2</v>
      </c>
      <c r="AS120" s="212">
        <f t="shared" si="168"/>
        <v>-6.2938699110903135E-2</v>
      </c>
      <c r="AT120" s="212">
        <f t="shared" si="168"/>
        <v>-8.0578958738388426E-2</v>
      </c>
      <c r="AU120" s="212">
        <f t="shared" si="168"/>
        <v>-6.5727699530516437E-2</v>
      </c>
      <c r="AV120" s="212">
        <f t="shared" si="168"/>
        <v>-5.4305014999999998E-2</v>
      </c>
      <c r="AW120" s="212">
        <f t="shared" si="168"/>
        <v>1.4201945080091533E-2</v>
      </c>
      <c r="AX120" s="212">
        <f t="shared" si="168"/>
        <v>1.2799227620393538E-2</v>
      </c>
      <c r="AY120" s="212">
        <f t="shared" si="168"/>
        <v>1.1239751552795031E-2</v>
      </c>
      <c r="AZ120" s="212">
        <f t="shared" si="168"/>
        <v>-1.4362336114421932E-3</v>
      </c>
      <c r="BA120" s="212">
        <f t="shared" si="168"/>
        <v>1.5532859680284193E-2</v>
      </c>
      <c r="BB120" s="212">
        <f t="shared" si="168"/>
        <v>2.7845042678923178E-2</v>
      </c>
      <c r="BC120" s="212">
        <f t="shared" si="168"/>
        <v>1.9441171519946138E-2</v>
      </c>
      <c r="BD120" s="212">
        <f t="shared" si="168"/>
        <v>1.7124053659184485E-2</v>
      </c>
      <c r="BE120" s="212">
        <f t="shared" si="168"/>
        <v>6.0317460317460318E-2</v>
      </c>
      <c r="BF120" s="212">
        <f t="shared" si="168"/>
        <v>6.6790352504638217E-2</v>
      </c>
      <c r="BG120" s="212">
        <f t="shared" si="168"/>
        <v>7.5529733424470266E-2</v>
      </c>
      <c r="BH120" s="212">
        <f t="shared" si="168"/>
        <v>7.2631470193201778E-2</v>
      </c>
      <c r="BI120" s="212">
        <f t="shared" si="168"/>
        <v>6.4035998615437864E-2</v>
      </c>
      <c r="BJ120" s="212">
        <f t="shared" si="168"/>
        <v>7.6697548962120318E-2</v>
      </c>
      <c r="BK120" s="212">
        <f t="shared" si="168"/>
        <v>7.7588277684362245E-2</v>
      </c>
      <c r="BL120" s="212">
        <f t="shared" si="168"/>
        <v>6.9615587151132169E-2</v>
      </c>
      <c r="BM120" s="212">
        <f>BM46/BM10</f>
        <v>7.2849954254345831E-2</v>
      </c>
      <c r="BN120" s="212">
        <f>BN46/BN10</f>
        <v>7.632344386271088E-2</v>
      </c>
      <c r="BO120" s="212">
        <f>BO46/BO10</f>
        <v>8.6284230406043438E-2</v>
      </c>
      <c r="BP120" s="212">
        <f>BP46/BP10</f>
        <v>7.8941821247892077E-2</v>
      </c>
      <c r="BQ120" s="212">
        <f t="shared" ref="BQ120:BX120" si="169">BQ50/BQ10</f>
        <v>5.9058260175578609E-2</v>
      </c>
      <c r="BR120" s="212">
        <f t="shared" si="169"/>
        <v>7.798604460254481E-2</v>
      </c>
      <c r="BS120" s="212">
        <f t="shared" si="169"/>
        <v>8.2167352537722907E-2</v>
      </c>
      <c r="BT120" s="212">
        <f t="shared" si="169"/>
        <v>8.3651692794098273E-2</v>
      </c>
      <c r="BU120" s="212">
        <f t="shared" si="169"/>
        <v>7.4229902329075878E-2</v>
      </c>
      <c r="BV120" s="212">
        <f>BV50/BV10</f>
        <v>7.4692719823510875E-2</v>
      </c>
      <c r="BW120" s="212">
        <f t="shared" si="169"/>
        <v>8.8805503439649783E-2</v>
      </c>
      <c r="BX120" s="212">
        <f t="shared" si="169"/>
        <v>8.511887290871735E-2</v>
      </c>
      <c r="BY120" s="212">
        <f t="shared" ref="BY120:CJ120" si="170">BY50/BY10</f>
        <v>0.11065313887127458</v>
      </c>
      <c r="BZ120" s="212">
        <f t="shared" si="170"/>
        <v>9.1884859326719789E-2</v>
      </c>
      <c r="CA120" s="212">
        <f t="shared" si="170"/>
        <v>0.11275060144346431</v>
      </c>
      <c r="CB120" s="212">
        <f t="shared" si="170"/>
        <v>8.8780784432958351E-2</v>
      </c>
      <c r="CC120" s="212">
        <f t="shared" si="170"/>
        <v>0.11309334182860784</v>
      </c>
      <c r="CD120" s="212">
        <f t="shared" si="170"/>
        <v>0.10976855003403677</v>
      </c>
      <c r="CE120" s="212">
        <f t="shared" si="170"/>
        <v>0.11732186732186732</v>
      </c>
      <c r="CF120" s="212">
        <f t="shared" si="170"/>
        <v>0.10675287356321839</v>
      </c>
      <c r="CG120" s="212">
        <f t="shared" ca="1" si="170"/>
        <v>0.11959993934840317</v>
      </c>
      <c r="CH120" s="212">
        <f t="shared" ca="1" si="170"/>
        <v>0.11837007785040279</v>
      </c>
      <c r="CI120" s="212">
        <f t="shared" ca="1" si="170"/>
        <v>0.12352327345609145</v>
      </c>
      <c r="CJ120" s="212">
        <f t="shared" ca="1" si="170"/>
        <v>0.12040723431452768</v>
      </c>
      <c r="CO120" s="220"/>
      <c r="DK120" s="50"/>
      <c r="DL120" s="37"/>
      <c r="DM120" s="37"/>
      <c r="DN120" s="37"/>
      <c r="DO120" s="37"/>
      <c r="DP120" s="37"/>
      <c r="DQ120" s="37"/>
      <c r="DR120" s="37"/>
      <c r="DS120" s="37"/>
      <c r="DT120" s="37"/>
      <c r="DU120" s="37"/>
      <c r="DV120" s="37"/>
      <c r="DW120" s="37"/>
      <c r="DX120" s="37"/>
      <c r="DY120" s="37"/>
      <c r="DZ120" s="37"/>
    </row>
    <row r="121" spans="1:256">
      <c r="A121" s="42"/>
      <c r="B121" s="212"/>
      <c r="C121" s="212"/>
      <c r="D121" s="212"/>
      <c r="E121" s="212"/>
      <c r="F121" s="212"/>
      <c r="G121" s="212"/>
      <c r="H121" s="212"/>
      <c r="I121" s="212"/>
      <c r="J121" s="212"/>
      <c r="K121" s="212"/>
      <c r="L121" s="212"/>
      <c r="M121" s="212"/>
      <c r="N121" s="212"/>
      <c r="O121" s="212"/>
      <c r="P121" s="212"/>
      <c r="Q121" s="212"/>
      <c r="R121" s="152"/>
      <c r="S121" s="152"/>
      <c r="T121" s="152"/>
      <c r="U121" s="152"/>
      <c r="V121" s="152"/>
      <c r="W121" s="152"/>
      <c r="X121" s="152"/>
      <c r="Y121" s="152"/>
      <c r="Z121" s="152"/>
      <c r="AA121" s="152"/>
      <c r="AB121" s="42"/>
      <c r="AC121" s="212"/>
      <c r="AD121" s="212"/>
      <c r="AE121" s="212"/>
      <c r="AF121" s="212"/>
      <c r="AG121" s="212"/>
      <c r="AH121" s="212"/>
      <c r="AI121" s="212"/>
      <c r="AJ121" s="212"/>
      <c r="AK121" s="212"/>
      <c r="AL121" s="212"/>
      <c r="AM121" s="212"/>
      <c r="AN121" s="212"/>
      <c r="AO121" s="212"/>
      <c r="AP121" s="212"/>
      <c r="AQ121" s="212"/>
      <c r="AR121" s="212"/>
      <c r="AS121" s="212"/>
      <c r="AT121" s="212"/>
      <c r="AU121" s="212"/>
      <c r="AV121" s="212"/>
      <c r="AW121" s="212"/>
      <c r="AX121" s="212"/>
      <c r="AY121" s="212"/>
      <c r="AZ121" s="212"/>
      <c r="BA121" s="212"/>
      <c r="BB121" s="212"/>
      <c r="BC121" s="212"/>
      <c r="BD121" s="212"/>
      <c r="BE121" s="212"/>
      <c r="BF121" s="212"/>
      <c r="BG121" s="212"/>
      <c r="BH121" s="212"/>
      <c r="BI121" s="212"/>
      <c r="BJ121" s="212"/>
      <c r="BK121" s="212"/>
      <c r="BL121" s="212"/>
      <c r="BM121" s="212"/>
      <c r="BN121" s="212"/>
      <c r="BO121" s="212"/>
      <c r="BP121" s="212"/>
      <c r="BQ121" s="212"/>
      <c r="BR121" s="212"/>
      <c r="BS121" s="212"/>
      <c r="BT121" s="212"/>
      <c r="BU121" s="212"/>
      <c r="BV121" s="212"/>
      <c r="BW121" s="212"/>
      <c r="BX121" s="212"/>
      <c r="BY121" s="212"/>
      <c r="BZ121" s="212"/>
      <c r="CA121" s="212"/>
      <c r="CB121" s="212"/>
      <c r="CC121" s="212"/>
      <c r="CD121" s="212"/>
      <c r="CE121" s="212"/>
      <c r="CF121" s="212"/>
      <c r="CG121" s="212"/>
      <c r="CH121" s="212"/>
      <c r="CI121" s="212"/>
      <c r="CJ121" s="212"/>
      <c r="CO121" s="220"/>
      <c r="DK121" s="50"/>
      <c r="DL121" s="37"/>
      <c r="DM121" s="37"/>
      <c r="DN121" s="37"/>
      <c r="DO121" s="37"/>
      <c r="DP121" s="37"/>
      <c r="DQ121" s="37"/>
      <c r="DR121" s="37"/>
      <c r="DS121" s="37"/>
      <c r="DT121" s="37"/>
      <c r="DU121" s="37"/>
      <c r="DV121" s="37"/>
      <c r="DW121" s="37"/>
      <c r="DX121" s="37"/>
      <c r="DY121" s="37"/>
      <c r="DZ121" s="37"/>
    </row>
    <row r="122" spans="1:256">
      <c r="A122" s="93" t="s">
        <v>198</v>
      </c>
      <c r="B122" s="212"/>
      <c r="C122" s="212"/>
      <c r="D122" s="212"/>
      <c r="E122" s="212"/>
      <c r="F122" s="212"/>
      <c r="G122" s="212"/>
      <c r="H122" s="212"/>
      <c r="I122" s="212"/>
      <c r="J122" s="212"/>
      <c r="K122" s="212"/>
      <c r="L122" s="212"/>
      <c r="M122" s="212"/>
      <c r="N122" s="212"/>
      <c r="O122" s="212"/>
      <c r="P122" s="212"/>
      <c r="Q122" s="212"/>
      <c r="R122" s="152"/>
      <c r="S122" s="152"/>
      <c r="T122" s="152"/>
      <c r="U122" s="152"/>
      <c r="V122" s="152"/>
      <c r="W122" s="152"/>
      <c r="X122" s="152"/>
      <c r="Y122" s="152"/>
      <c r="Z122" s="152"/>
      <c r="AA122" s="152"/>
      <c r="AB122" s="42"/>
      <c r="AC122" s="212"/>
      <c r="AD122" s="212"/>
      <c r="AE122" s="212"/>
      <c r="AF122" s="212"/>
      <c r="AG122" s="212"/>
      <c r="AH122" s="212"/>
      <c r="AI122" s="212"/>
      <c r="AJ122" s="212"/>
      <c r="AK122" s="212"/>
      <c r="AL122" s="212"/>
      <c r="AM122" s="212"/>
      <c r="AN122" s="212"/>
      <c r="AO122" s="212"/>
      <c r="AP122" s="212"/>
      <c r="AQ122" s="212"/>
      <c r="AR122" s="212"/>
      <c r="AS122" s="212"/>
      <c r="AT122" s="212"/>
      <c r="AU122" s="212"/>
      <c r="AV122" s="212"/>
      <c r="AW122" s="212"/>
      <c r="AX122" s="212"/>
      <c r="AY122" s="212"/>
      <c r="AZ122" s="212"/>
      <c r="BA122" s="212"/>
      <c r="BB122" s="212"/>
      <c r="BC122" s="212"/>
      <c r="BD122" s="212"/>
      <c r="BE122" s="212"/>
      <c r="BF122" s="212"/>
      <c r="BG122" s="212"/>
      <c r="BH122" s="212"/>
      <c r="BI122" s="212"/>
      <c r="BJ122" s="212"/>
      <c r="BK122" s="212"/>
      <c r="BL122" s="212"/>
      <c r="BM122" s="212"/>
      <c r="BN122" s="212"/>
      <c r="BO122" s="212"/>
      <c r="BP122" s="212"/>
      <c r="BQ122" s="212"/>
      <c r="BR122" s="212"/>
      <c r="BS122" s="212"/>
      <c r="BT122" s="212"/>
      <c r="BU122" s="212"/>
      <c r="BV122" s="212"/>
      <c r="BW122" s="212"/>
      <c r="BX122" s="212"/>
      <c r="BY122" s="212"/>
      <c r="BZ122" s="212"/>
      <c r="CA122" s="212"/>
      <c r="CB122" s="212"/>
      <c r="CC122" s="212"/>
      <c r="CD122" s="212"/>
      <c r="CE122" s="212"/>
      <c r="CF122" s="212"/>
      <c r="CG122" s="212"/>
      <c r="CH122" s="212"/>
      <c r="CI122" s="212"/>
      <c r="CJ122" s="212"/>
      <c r="CO122" s="220"/>
      <c r="DK122" s="50"/>
      <c r="DL122" s="37"/>
      <c r="DM122" s="37"/>
      <c r="DN122" s="37"/>
      <c r="DO122" s="37"/>
      <c r="DP122" s="37"/>
      <c r="DQ122" s="37"/>
      <c r="DR122" s="37"/>
      <c r="DS122" s="37"/>
      <c r="DT122" s="37"/>
      <c r="DU122" s="37"/>
      <c r="DV122" s="37"/>
      <c r="DW122" s="37"/>
      <c r="DX122" s="37"/>
      <c r="DY122" s="37"/>
      <c r="DZ122" s="37"/>
    </row>
    <row r="123" spans="1:256">
      <c r="A123" s="87" t="s">
        <v>54</v>
      </c>
      <c r="B123" s="212"/>
      <c r="C123" s="212"/>
      <c r="D123" s="212"/>
      <c r="E123" s="212"/>
      <c r="F123" s="212"/>
      <c r="G123" s="212"/>
      <c r="H123" s="212"/>
      <c r="I123" s="212"/>
      <c r="J123" s="212"/>
      <c r="K123" s="212"/>
      <c r="L123" s="212">
        <f t="shared" ref="L123:Q127" si="171">+L147/L140</f>
        <v>0.12354107024884387</v>
      </c>
      <c r="M123" s="212">
        <f t="shared" si="171"/>
        <v>0.15250786600037017</v>
      </c>
      <c r="N123" s="212">
        <f t="shared" si="171"/>
        <v>0.1508524833209785</v>
      </c>
      <c r="O123" s="212">
        <f t="shared" si="171"/>
        <v>0.12597547380156077</v>
      </c>
      <c r="P123" s="212">
        <f t="shared" si="171"/>
        <v>0.13058340929808568</v>
      </c>
      <c r="Q123" s="212">
        <f t="shared" si="171"/>
        <v>0.10685805422647528</v>
      </c>
      <c r="R123" s="212">
        <f t="shared" ref="R123:S127" si="172">+R147/R140</f>
        <v>0.1291371158392435</v>
      </c>
      <c r="S123" s="212">
        <f t="shared" si="172"/>
        <v>0.15507571508693213</v>
      </c>
      <c r="T123" s="152">
        <f t="shared" ref="T123:AA123" si="173">+S123+T98/10000</f>
        <v>0.16157571508693214</v>
      </c>
      <c r="U123" s="152">
        <f t="shared" si="173"/>
        <v>0.16807571508693214</v>
      </c>
      <c r="V123" s="152">
        <f t="shared" si="173"/>
        <v>0.17357571508693215</v>
      </c>
      <c r="W123" s="152">
        <f t="shared" si="173"/>
        <v>0.17607571508693215</v>
      </c>
      <c r="X123" s="152">
        <f t="shared" si="173"/>
        <v>0.17807571508693215</v>
      </c>
      <c r="Y123" s="152">
        <f t="shared" si="173"/>
        <v>0.17957571508693215</v>
      </c>
      <c r="Z123" s="152">
        <f t="shared" si="173"/>
        <v>0.18107571508693215</v>
      </c>
      <c r="AA123" s="152">
        <f t="shared" si="173"/>
        <v>0.18207571508693216</v>
      </c>
      <c r="AB123" s="42"/>
      <c r="AC123" s="212"/>
      <c r="AD123" s="212"/>
      <c r="AE123" s="212"/>
      <c r="AF123" s="212"/>
      <c r="AG123" s="212"/>
      <c r="AH123" s="212"/>
      <c r="AI123" s="212"/>
      <c r="AJ123" s="212"/>
      <c r="AK123" s="212"/>
      <c r="AL123" s="212"/>
      <c r="AM123" s="212"/>
      <c r="AN123" s="212"/>
      <c r="AO123" s="212"/>
      <c r="AP123" s="212"/>
      <c r="AQ123" s="212"/>
      <c r="AR123" s="212"/>
      <c r="AS123" s="212"/>
      <c r="AT123" s="212"/>
      <c r="AU123" s="212"/>
      <c r="AV123" s="212"/>
      <c r="AW123" s="212"/>
      <c r="AX123" s="212"/>
      <c r="AY123" s="212"/>
      <c r="AZ123" s="212"/>
      <c r="BA123" s="212"/>
      <c r="BB123" s="212"/>
      <c r="BC123" s="212"/>
      <c r="BD123" s="212"/>
      <c r="BE123" s="212">
        <f t="shared" ref="BE123:BT123" si="174">+BE147/BE140</f>
        <v>0.13614649681528662</v>
      </c>
      <c r="BF123" s="212">
        <f t="shared" si="174"/>
        <v>0.16466431095406361</v>
      </c>
      <c r="BG123" s="212">
        <f t="shared" si="174"/>
        <v>0.15373459028281364</v>
      </c>
      <c r="BH123" s="212">
        <f t="shared" si="174"/>
        <v>0.15373244641537326</v>
      </c>
      <c r="BI123" s="212">
        <f t="shared" si="174"/>
        <v>0.12554744525547445</v>
      </c>
      <c r="BJ123" s="212">
        <f t="shared" si="174"/>
        <v>0.16194029850746269</v>
      </c>
      <c r="BK123" s="212">
        <f t="shared" si="174"/>
        <v>0.15552099533437014</v>
      </c>
      <c r="BL123" s="212">
        <f t="shared" si="174"/>
        <v>0.16071428571428573</v>
      </c>
      <c r="BM123" s="212">
        <f t="shared" si="174"/>
        <v>0.1072961373390558</v>
      </c>
      <c r="BN123" s="212">
        <f t="shared" si="174"/>
        <v>0.12397311426437641</v>
      </c>
      <c r="BO123" s="212">
        <f t="shared" si="174"/>
        <v>0.13761467889908258</v>
      </c>
      <c r="BP123" s="212">
        <f t="shared" si="174"/>
        <v>0.13612565445026178</v>
      </c>
      <c r="BQ123" s="212">
        <f t="shared" si="174"/>
        <v>0.1073345259391771</v>
      </c>
      <c r="BR123" s="212">
        <f t="shared" si="174"/>
        <v>0.11233885819521179</v>
      </c>
      <c r="BS123" s="212">
        <f t="shared" si="174"/>
        <v>0.11130899376669635</v>
      </c>
      <c r="BT123" s="212">
        <f t="shared" si="174"/>
        <v>0.19415645617342131</v>
      </c>
      <c r="BU123" s="212">
        <f t="shared" ref="BU123:CF127" si="175">+BU147/BU140</f>
        <v>0.13114754098360656</v>
      </c>
      <c r="BV123" s="212">
        <f t="shared" si="175"/>
        <v>0.10992529348986126</v>
      </c>
      <c r="BW123" s="212">
        <f t="shared" si="175"/>
        <v>9.934497816593886E-2</v>
      </c>
      <c r="BX123" s="212">
        <f t="shared" si="175"/>
        <v>8.2568807339449546E-2</v>
      </c>
      <c r="BY123" s="212">
        <f t="shared" si="175"/>
        <v>0.10429447852760736</v>
      </c>
      <c r="BZ123" s="212">
        <f t="shared" si="175"/>
        <v>9.0368608799048747E-2</v>
      </c>
      <c r="CA123" s="212">
        <f t="shared" si="175"/>
        <v>0.1535796766743649</v>
      </c>
      <c r="CB123" s="212">
        <f t="shared" ref="CB123:CC127" si="176">+CB147/CB140</f>
        <v>0.16589327146171692</v>
      </c>
      <c r="CC123" s="212">
        <f t="shared" si="176"/>
        <v>0.15824175824175823</v>
      </c>
      <c r="CD123" s="212">
        <f t="shared" ref="CD123:CF126" si="177">+CD147/CD140</f>
        <v>0.14150943396226415</v>
      </c>
      <c r="CE123" s="212">
        <f t="shared" si="177"/>
        <v>0.17841409691629956</v>
      </c>
      <c r="CF123" s="212">
        <f t="shared" si="177"/>
        <v>0.1411111111111111</v>
      </c>
      <c r="CG123" s="212">
        <f t="shared" ref="CG123:CI126" si="178">+CC123+CG98/10000</f>
        <v>0.16424175824175824</v>
      </c>
      <c r="CH123" s="212">
        <f t="shared" si="178"/>
        <v>0.16150943396226414</v>
      </c>
      <c r="CI123" s="212">
        <f t="shared" si="178"/>
        <v>0.17341409691629955</v>
      </c>
      <c r="CJ123" s="212">
        <f>+CJ147/CJ140</f>
        <v>0.14671739499619768</v>
      </c>
      <c r="CO123" s="220"/>
      <c r="DK123" s="50"/>
      <c r="DL123" s="37"/>
      <c r="DM123" s="37"/>
      <c r="DN123" s="37"/>
      <c r="DO123" s="37"/>
      <c r="DP123" s="37"/>
      <c r="DQ123" s="37"/>
      <c r="DR123" s="37"/>
      <c r="DS123" s="37"/>
      <c r="DT123" s="37"/>
      <c r="DU123" s="37"/>
      <c r="DV123" s="37"/>
      <c r="DW123" s="37"/>
      <c r="DX123" s="37"/>
      <c r="DY123" s="37"/>
      <c r="DZ123" s="37"/>
    </row>
    <row r="124" spans="1:256">
      <c r="A124" s="87" t="s">
        <v>564</v>
      </c>
      <c r="B124" s="212"/>
      <c r="C124" s="212"/>
      <c r="D124" s="212"/>
      <c r="E124" s="212"/>
      <c r="F124" s="212"/>
      <c r="G124" s="212"/>
      <c r="H124" s="212"/>
      <c r="I124" s="212"/>
      <c r="J124" s="212"/>
      <c r="K124" s="212"/>
      <c r="L124" s="212">
        <f t="shared" si="171"/>
        <v>0.11025321359443048</v>
      </c>
      <c r="M124" s="212">
        <f t="shared" si="171"/>
        <v>0.1489136077941875</v>
      </c>
      <c r="N124" s="212">
        <f t="shared" si="171"/>
        <v>0.1462812679652927</v>
      </c>
      <c r="O124" s="212">
        <f t="shared" si="171"/>
        <v>0.12032035558928353</v>
      </c>
      <c r="P124" s="212">
        <f t="shared" si="171"/>
        <v>8.9731285988483692E-2</v>
      </c>
      <c r="Q124" s="212">
        <f t="shared" si="171"/>
        <v>9.3398876404494388E-2</v>
      </c>
      <c r="R124" s="212">
        <f t="shared" si="172"/>
        <v>0.11647164716471647</v>
      </c>
      <c r="S124" s="212">
        <f t="shared" si="172"/>
        <v>0.13021762397431325</v>
      </c>
      <c r="T124" s="152">
        <f t="shared" ref="T124:AA124" si="179">+S124+T99/10000</f>
        <v>0.14021762397431325</v>
      </c>
      <c r="U124" s="152">
        <f t="shared" si="179"/>
        <v>0.14671762397431326</v>
      </c>
      <c r="V124" s="152">
        <f t="shared" si="179"/>
        <v>0.15221762397431327</v>
      </c>
      <c r="W124" s="152">
        <f t="shared" si="179"/>
        <v>0.15521762397431327</v>
      </c>
      <c r="X124" s="152">
        <f t="shared" si="179"/>
        <v>0.15721762397431327</v>
      </c>
      <c r="Y124" s="152">
        <f t="shared" si="179"/>
        <v>0.15821762397431327</v>
      </c>
      <c r="Z124" s="152">
        <f t="shared" si="179"/>
        <v>0.15921762397431327</v>
      </c>
      <c r="AA124" s="152">
        <f t="shared" si="179"/>
        <v>0.16021762397431327</v>
      </c>
      <c r="AB124" s="42"/>
      <c r="AC124" s="212"/>
      <c r="AD124" s="212"/>
      <c r="AE124" s="212"/>
      <c r="AF124" s="212"/>
      <c r="AG124" s="212"/>
      <c r="AH124" s="212"/>
      <c r="AI124" s="212"/>
      <c r="AJ124" s="212"/>
      <c r="AK124" s="212"/>
      <c r="AL124" s="212"/>
      <c r="AM124" s="212"/>
      <c r="AN124" s="212"/>
      <c r="AO124" s="212"/>
      <c r="AP124" s="212"/>
      <c r="AQ124" s="212"/>
      <c r="AR124" s="212"/>
      <c r="AS124" s="212"/>
      <c r="AT124" s="212"/>
      <c r="AU124" s="212"/>
      <c r="AV124" s="212"/>
      <c r="AW124" s="212"/>
      <c r="AX124" s="212"/>
      <c r="AY124" s="212"/>
      <c r="AZ124" s="212"/>
      <c r="BA124" s="212"/>
      <c r="BB124" s="212"/>
      <c r="BC124" s="212"/>
      <c r="BD124" s="212"/>
      <c r="BE124" s="212">
        <f t="shared" ref="BE124:BT124" si="180">+BE148/BE141</f>
        <v>0.1246317240068428</v>
      </c>
      <c r="BF124" s="212">
        <f t="shared" si="180"/>
        <v>0.15007494587242545</v>
      </c>
      <c r="BG124" s="212">
        <f t="shared" si="180"/>
        <v>0.16512437756972848</v>
      </c>
      <c r="BH124" s="212">
        <f t="shared" si="180"/>
        <v>0.15356441230563447</v>
      </c>
      <c r="BI124" s="212">
        <f t="shared" si="180"/>
        <v>0.1566308127254411</v>
      </c>
      <c r="BJ124" s="212">
        <f t="shared" si="180"/>
        <v>0.14469592924243257</v>
      </c>
      <c r="BK124" s="212">
        <f t="shared" si="180"/>
        <v>0.16870344113609254</v>
      </c>
      <c r="BL124" s="212">
        <f t="shared" si="180"/>
        <v>0.11873557007417594</v>
      </c>
      <c r="BM124" s="212">
        <f t="shared" si="180"/>
        <v>0.12910213137335311</v>
      </c>
      <c r="BN124" s="212">
        <f t="shared" si="180"/>
        <v>0.12811408676453417</v>
      </c>
      <c r="BO124" s="212">
        <f t="shared" si="180"/>
        <v>0.10234023297906901</v>
      </c>
      <c r="BP124" s="212">
        <f t="shared" si="180"/>
        <v>0.12010913176055207</v>
      </c>
      <c r="BQ124" s="212">
        <f t="shared" si="180"/>
        <v>0.11459908648035665</v>
      </c>
      <c r="BR124" s="212">
        <f t="shared" si="180"/>
        <v>0.10647841765272849</v>
      </c>
      <c r="BS124" s="212">
        <f t="shared" si="180"/>
        <v>7.5669688298518445E-2</v>
      </c>
      <c r="BT124" s="212">
        <f t="shared" si="180"/>
        <v>6.1296637757932287E-2</v>
      </c>
      <c r="BU124" s="212">
        <f t="shared" si="175"/>
        <v>0.102880658436214</v>
      </c>
      <c r="BV124" s="212">
        <f t="shared" si="175"/>
        <v>0.10714285714285714</v>
      </c>
      <c r="BW124" s="212">
        <f t="shared" si="175"/>
        <v>0.10601719197707736</v>
      </c>
      <c r="BX124" s="212">
        <f t="shared" si="175"/>
        <v>5.7284299858557285E-2</v>
      </c>
      <c r="BY124" s="212">
        <f t="shared" si="175"/>
        <v>0.14934618031658636</v>
      </c>
      <c r="BZ124" s="212">
        <f t="shared" si="175"/>
        <v>0.13260869565217392</v>
      </c>
      <c r="CA124" s="212">
        <f t="shared" si="175"/>
        <v>0.1204644412191582</v>
      </c>
      <c r="CB124" s="212">
        <f t="shared" si="176"/>
        <v>6.0267857142857144E-2</v>
      </c>
      <c r="CC124" s="212">
        <f t="shared" si="176"/>
        <v>0.14525139664804471</v>
      </c>
      <c r="CD124" s="212">
        <f t="shared" si="177"/>
        <v>0.1536144578313253</v>
      </c>
      <c r="CE124" s="212">
        <f t="shared" si="177"/>
        <v>0.12990720913633119</v>
      </c>
      <c r="CF124" s="212">
        <f t="shared" si="177"/>
        <v>9.4117647058823528E-2</v>
      </c>
      <c r="CG124" s="212">
        <f t="shared" si="178"/>
        <v>0.14525139664804471</v>
      </c>
      <c r="CH124" s="212">
        <f t="shared" si="178"/>
        <v>0.13861445783132531</v>
      </c>
      <c r="CI124" s="212">
        <f t="shared" si="178"/>
        <v>0.1399072091363312</v>
      </c>
      <c r="CJ124" s="212">
        <f>+CJ148/CJ141</f>
        <v>0.13689312416322236</v>
      </c>
      <c r="CO124" s="220"/>
      <c r="DK124" s="50"/>
      <c r="DL124" s="37"/>
      <c r="DM124" s="37"/>
      <c r="DN124" s="37"/>
      <c r="DO124" s="37"/>
      <c r="DP124" s="37"/>
      <c r="DQ124" s="37"/>
      <c r="DR124" s="37"/>
      <c r="DS124" s="37"/>
      <c r="DT124" s="37"/>
      <c r="DU124" s="37"/>
      <c r="DV124" s="37"/>
      <c r="DW124" s="37"/>
      <c r="DX124" s="37"/>
      <c r="DY124" s="37"/>
      <c r="DZ124" s="37"/>
    </row>
    <row r="125" spans="1:256">
      <c r="A125" s="87" t="s">
        <v>57</v>
      </c>
      <c r="B125" s="212"/>
      <c r="C125" s="212"/>
      <c r="D125" s="212"/>
      <c r="E125" s="212"/>
      <c r="F125" s="212"/>
      <c r="G125" s="212"/>
      <c r="H125" s="212"/>
      <c r="I125" s="212"/>
      <c r="J125" s="212"/>
      <c r="K125" s="212"/>
      <c r="L125" s="212">
        <f t="shared" si="171"/>
        <v>0.13307552960939587</v>
      </c>
      <c r="M125" s="212">
        <f t="shared" si="171"/>
        <v>0.11771722198818493</v>
      </c>
      <c r="N125" s="212">
        <f t="shared" si="171"/>
        <v>0.12502116655618489</v>
      </c>
      <c r="O125" s="212">
        <f t="shared" si="171"/>
        <v>0.13122527610361043</v>
      </c>
      <c r="P125" s="212">
        <f t="shared" si="171"/>
        <v>0.14012528849324102</v>
      </c>
      <c r="Q125" s="212">
        <f t="shared" si="171"/>
        <v>0.15878688859389359</v>
      </c>
      <c r="R125" s="212">
        <f t="shared" si="172"/>
        <v>0.17391304347826086</v>
      </c>
      <c r="S125" s="212">
        <f t="shared" si="172"/>
        <v>0.19022470746608677</v>
      </c>
      <c r="T125" s="152">
        <f t="shared" ref="T125:AA125" si="181">+S125+T100/10000</f>
        <v>0.19722470746608678</v>
      </c>
      <c r="U125" s="152">
        <f t="shared" si="181"/>
        <v>0.20372470746608679</v>
      </c>
      <c r="V125" s="152">
        <f t="shared" si="181"/>
        <v>0.20972470746608679</v>
      </c>
      <c r="W125" s="152">
        <f t="shared" si="181"/>
        <v>0.21472470746608679</v>
      </c>
      <c r="X125" s="152">
        <f t="shared" si="181"/>
        <v>0.2177247074660868</v>
      </c>
      <c r="Y125" s="152">
        <f t="shared" si="181"/>
        <v>0.2197247074660868</v>
      </c>
      <c r="Z125" s="152">
        <f t="shared" si="181"/>
        <v>0.2217247074660868</v>
      </c>
      <c r="AA125" s="152">
        <f t="shared" si="181"/>
        <v>0.2237247074660868</v>
      </c>
      <c r="AB125" s="42"/>
      <c r="AC125" s="212"/>
      <c r="AD125" s="212"/>
      <c r="AE125" s="212"/>
      <c r="AF125" s="212"/>
      <c r="AG125" s="212"/>
      <c r="AH125" s="212"/>
      <c r="AI125" s="212"/>
      <c r="AJ125" s="212"/>
      <c r="AK125" s="212"/>
      <c r="AL125" s="212"/>
      <c r="AM125" s="212"/>
      <c r="AN125" s="212"/>
      <c r="AO125" s="212"/>
      <c r="AP125" s="212"/>
      <c r="AQ125" s="212"/>
      <c r="AR125" s="212"/>
      <c r="AS125" s="212"/>
      <c r="AT125" s="212"/>
      <c r="AU125" s="212"/>
      <c r="AV125" s="212"/>
      <c r="AW125" s="212"/>
      <c r="AX125" s="212"/>
      <c r="AY125" s="212"/>
      <c r="AZ125" s="212"/>
      <c r="BA125" s="212"/>
      <c r="BB125" s="212"/>
      <c r="BC125" s="212"/>
      <c r="BD125" s="212"/>
      <c r="BE125" s="212">
        <f t="shared" ref="BE125:BT125" si="182">+BE149/BE142</f>
        <v>0.1107803797745911</v>
      </c>
      <c r="BF125" s="212">
        <f t="shared" si="182"/>
        <v>0.12089003652266966</v>
      </c>
      <c r="BG125" s="212">
        <f t="shared" si="182"/>
        <v>0.12029567429759029</v>
      </c>
      <c r="BH125" s="212">
        <f t="shared" si="182"/>
        <v>0.11811580866242485</v>
      </c>
      <c r="BI125" s="212">
        <f t="shared" si="182"/>
        <v>0.12361723200108996</v>
      </c>
      <c r="BJ125" s="212">
        <f t="shared" si="182"/>
        <v>0.12836733030936798</v>
      </c>
      <c r="BK125" s="212">
        <f t="shared" si="182"/>
        <v>0.12337610310529146</v>
      </c>
      <c r="BL125" s="212">
        <f t="shared" si="182"/>
        <v>0.12473546532180141</v>
      </c>
      <c r="BM125" s="212">
        <f t="shared" si="182"/>
        <v>0.12003359799679868</v>
      </c>
      <c r="BN125" s="212">
        <f t="shared" si="182"/>
        <v>0.11985593622369692</v>
      </c>
      <c r="BO125" s="212">
        <f t="shared" si="182"/>
        <v>0.1323004782175726</v>
      </c>
      <c r="BP125" s="212">
        <f t="shared" si="182"/>
        <v>0.1492845392883701</v>
      </c>
      <c r="BQ125" s="212">
        <f t="shared" si="182"/>
        <v>0.12308802768316102</v>
      </c>
      <c r="BR125" s="212">
        <f t="shared" si="182"/>
        <v>0.14070726788903012</v>
      </c>
      <c r="BS125" s="212">
        <f t="shared" si="182"/>
        <v>0.13648370568981136</v>
      </c>
      <c r="BT125" s="212">
        <f t="shared" si="182"/>
        <v>0.15952975034296188</v>
      </c>
      <c r="BU125" s="212">
        <f t="shared" si="175"/>
        <v>0.14516129032258066</v>
      </c>
      <c r="BV125" s="212">
        <f t="shared" si="175"/>
        <v>0.14285714285714285</v>
      </c>
      <c r="BW125" s="212">
        <f t="shared" si="175"/>
        <v>0.16044616044616045</v>
      </c>
      <c r="BX125" s="212">
        <f t="shared" si="175"/>
        <v>0.18312453942520265</v>
      </c>
      <c r="BY125" s="212">
        <f t="shared" si="175"/>
        <v>0.17970401691331925</v>
      </c>
      <c r="BZ125" s="212">
        <f t="shared" si="175"/>
        <v>0.1585144927536232</v>
      </c>
      <c r="CA125" s="212">
        <f t="shared" si="175"/>
        <v>0.17877842175657602</v>
      </c>
      <c r="CB125" s="212">
        <f t="shared" si="176"/>
        <v>0.17757009345794392</v>
      </c>
      <c r="CC125" s="212">
        <f t="shared" si="176"/>
        <v>0.18706293706293706</v>
      </c>
      <c r="CD125" s="212">
        <f t="shared" si="177"/>
        <v>0.18053596614950634</v>
      </c>
      <c r="CE125" s="212">
        <f t="shared" si="177"/>
        <v>0.18657331136738056</v>
      </c>
      <c r="CF125" s="212">
        <f t="shared" si="177"/>
        <v>0.20326936744847193</v>
      </c>
      <c r="CG125" s="212">
        <f t="shared" si="178"/>
        <v>0.19206293706293706</v>
      </c>
      <c r="CH125" s="212">
        <f t="shared" si="178"/>
        <v>0.19853596614950633</v>
      </c>
      <c r="CI125" s="212">
        <f t="shared" si="178"/>
        <v>0.19657331136738057</v>
      </c>
      <c r="CJ125" s="212">
        <f ca="1">+CJ149/CJ142</f>
        <v>0.20125257874248209</v>
      </c>
      <c r="CO125" s="220"/>
      <c r="DK125" s="50"/>
      <c r="DL125" s="37"/>
      <c r="DM125" s="37"/>
      <c r="DN125" s="37"/>
      <c r="DO125" s="37"/>
      <c r="DP125" s="37"/>
      <c r="DQ125" s="37"/>
      <c r="DR125" s="37"/>
      <c r="DS125" s="37"/>
      <c r="DT125" s="37"/>
      <c r="DU125" s="37"/>
      <c r="DV125" s="37"/>
      <c r="DW125" s="37"/>
      <c r="DX125" s="37"/>
      <c r="DY125" s="37"/>
      <c r="DZ125" s="37"/>
    </row>
    <row r="126" spans="1:256">
      <c r="A126" s="98" t="s">
        <v>58</v>
      </c>
      <c r="B126" s="212"/>
      <c r="C126" s="212"/>
      <c r="D126" s="212"/>
      <c r="E126" s="212"/>
      <c r="F126" s="212"/>
      <c r="G126" s="212"/>
      <c r="H126" s="212"/>
      <c r="I126" s="212"/>
      <c r="J126" s="212"/>
      <c r="K126" s="212"/>
      <c r="L126" s="678">
        <f t="shared" si="171"/>
        <v>0.1398851110076075</v>
      </c>
      <c r="M126" s="678">
        <f t="shared" si="171"/>
        <v>0.13712864042148398</v>
      </c>
      <c r="N126" s="678">
        <f t="shared" si="171"/>
        <v>0.1383456468202231</v>
      </c>
      <c r="O126" s="678">
        <f t="shared" si="171"/>
        <v>0.14947790015734516</v>
      </c>
      <c r="P126" s="678">
        <f t="shared" si="171"/>
        <v>0.16147635524798154</v>
      </c>
      <c r="Q126" s="678">
        <f t="shared" si="171"/>
        <v>0.18290229885057471</v>
      </c>
      <c r="R126" s="678">
        <f t="shared" si="172"/>
        <v>0.20814740175615373</v>
      </c>
      <c r="S126" s="678">
        <f t="shared" si="172"/>
        <v>0.20317787259084891</v>
      </c>
      <c r="T126" s="679">
        <f t="shared" ref="T126:AA126" si="183">+S126+T101/10000</f>
        <v>0.20967787259084891</v>
      </c>
      <c r="U126" s="679">
        <f t="shared" si="183"/>
        <v>0.21617787259084892</v>
      </c>
      <c r="V126" s="679">
        <f t="shared" si="183"/>
        <v>0.22217787259084892</v>
      </c>
      <c r="W126" s="679">
        <f t="shared" si="183"/>
        <v>0.22717787259084893</v>
      </c>
      <c r="X126" s="679">
        <f t="shared" si="183"/>
        <v>0.23067787259084893</v>
      </c>
      <c r="Y126" s="679">
        <f t="shared" si="183"/>
        <v>0.23317787259084893</v>
      </c>
      <c r="Z126" s="679">
        <f t="shared" si="183"/>
        <v>0.23567787259084894</v>
      </c>
      <c r="AA126" s="679">
        <f t="shared" si="183"/>
        <v>0.23817787259084894</v>
      </c>
      <c r="AB126" s="42"/>
      <c r="AC126" s="212"/>
      <c r="AD126" s="212"/>
      <c r="AE126" s="212"/>
      <c r="AF126" s="212"/>
      <c r="AG126" s="212"/>
      <c r="AH126" s="212"/>
      <c r="AI126" s="212"/>
      <c r="AJ126" s="212"/>
      <c r="AK126" s="212"/>
      <c r="AL126" s="212"/>
      <c r="AM126" s="212"/>
      <c r="AN126" s="212"/>
      <c r="AO126" s="212"/>
      <c r="AP126" s="212"/>
      <c r="AQ126" s="212"/>
      <c r="AR126" s="212"/>
      <c r="AS126" s="212"/>
      <c r="AT126" s="212"/>
      <c r="AU126" s="212"/>
      <c r="AV126" s="212"/>
      <c r="AW126" s="212"/>
      <c r="AX126" s="212"/>
      <c r="AY126" s="212"/>
      <c r="AZ126" s="212"/>
      <c r="BA126" s="212"/>
      <c r="BB126" s="212"/>
      <c r="BC126" s="212"/>
      <c r="BD126" s="212"/>
      <c r="BE126" s="678">
        <f t="shared" ref="BE126:BT126" si="184">+BE150/BE143</f>
        <v>0.13295880149812733</v>
      </c>
      <c r="BF126" s="678">
        <f t="shared" si="184"/>
        <v>0.13410194174757281</v>
      </c>
      <c r="BG126" s="678">
        <f t="shared" si="184"/>
        <v>0.14063400576368876</v>
      </c>
      <c r="BH126" s="678">
        <f t="shared" si="184"/>
        <v>0.14015151515151514</v>
      </c>
      <c r="BI126" s="678">
        <f t="shared" si="184"/>
        <v>0.11872705018359853</v>
      </c>
      <c r="BJ126" s="678">
        <f t="shared" si="184"/>
        <v>0.13353115727002968</v>
      </c>
      <c r="BK126" s="678">
        <f t="shared" si="184"/>
        <v>0.15384615384615385</v>
      </c>
      <c r="BL126" s="678">
        <f t="shared" si="184"/>
        <v>0.14537444933920704</v>
      </c>
      <c r="BM126" s="678">
        <f t="shared" si="184"/>
        <v>0.11338962605548854</v>
      </c>
      <c r="BN126" s="678">
        <f t="shared" si="184"/>
        <v>0.13262910798122066</v>
      </c>
      <c r="BO126" s="678">
        <f t="shared" si="184"/>
        <v>0.16862745098039217</v>
      </c>
      <c r="BP126" s="678">
        <f t="shared" si="184"/>
        <v>0.17895878524945771</v>
      </c>
      <c r="BQ126" s="678">
        <f t="shared" si="184"/>
        <v>0.13737252549490103</v>
      </c>
      <c r="BR126" s="678">
        <f t="shared" si="184"/>
        <v>0.16715031921067905</v>
      </c>
      <c r="BS126" s="678">
        <f t="shared" si="184"/>
        <v>0.17670454545454545</v>
      </c>
      <c r="BT126" s="678">
        <f t="shared" si="184"/>
        <v>0.16349384098544234</v>
      </c>
      <c r="BU126" s="678">
        <f t="shared" si="175"/>
        <v>0.17559523809523808</v>
      </c>
      <c r="BV126" s="678">
        <f t="shared" si="175"/>
        <v>0.16987740805604204</v>
      </c>
      <c r="BW126" s="678">
        <f t="shared" si="175"/>
        <v>0.18881916714204222</v>
      </c>
      <c r="BX126" s="678">
        <f t="shared" si="175"/>
        <v>0.19625137816979052</v>
      </c>
      <c r="BY126" s="678">
        <f t="shared" si="175"/>
        <v>0.20895522388059701</v>
      </c>
      <c r="BZ126" s="678">
        <f t="shared" si="175"/>
        <v>0.22151162790697673</v>
      </c>
      <c r="CA126" s="678">
        <f t="shared" si="175"/>
        <v>0.21739130434782608</v>
      </c>
      <c r="CB126" s="678">
        <f t="shared" si="176"/>
        <v>0.18569844789356985</v>
      </c>
      <c r="CC126" s="678">
        <f t="shared" si="176"/>
        <v>0.20813106796116504</v>
      </c>
      <c r="CD126" s="678">
        <f t="shared" si="177"/>
        <v>0.19453273998728543</v>
      </c>
      <c r="CE126" s="678">
        <f t="shared" si="177"/>
        <v>0.21464788732394366</v>
      </c>
      <c r="CF126" s="678">
        <f t="shared" si="177"/>
        <v>0.1948917268184342</v>
      </c>
      <c r="CG126" s="678">
        <f t="shared" si="178"/>
        <v>0.21013106796116504</v>
      </c>
      <c r="CH126" s="678">
        <f t="shared" si="178"/>
        <v>0.20653273998728544</v>
      </c>
      <c r="CI126" s="678">
        <f t="shared" si="178"/>
        <v>0.21964788732394366</v>
      </c>
      <c r="CJ126" s="678">
        <f>+CJ150/CJ143</f>
        <v>0.20233087644329406</v>
      </c>
      <c r="CO126" s="220"/>
      <c r="DK126" s="50"/>
      <c r="DL126" s="37"/>
      <c r="DM126" s="37"/>
      <c r="DN126" s="37"/>
      <c r="DO126" s="37"/>
      <c r="DP126" s="37"/>
      <c r="DQ126" s="37"/>
      <c r="DR126" s="37"/>
      <c r="DS126" s="37"/>
      <c r="DT126" s="37"/>
      <c r="DU126" s="37"/>
      <c r="DV126" s="37"/>
      <c r="DW126" s="37"/>
      <c r="DX126" s="37"/>
      <c r="DY126" s="37"/>
      <c r="DZ126" s="37"/>
    </row>
    <row r="127" spans="1:256" s="24" customFormat="1">
      <c r="A127" s="93" t="s">
        <v>189</v>
      </c>
      <c r="B127" s="677"/>
      <c r="C127" s="677"/>
      <c r="D127" s="677"/>
      <c r="E127" s="677"/>
      <c r="F127" s="677"/>
      <c r="G127" s="677"/>
      <c r="H127" s="677"/>
      <c r="I127" s="677"/>
      <c r="J127" s="677"/>
      <c r="K127" s="677"/>
      <c r="L127" s="677">
        <f t="shared" si="171"/>
        <v>0.12880688494394868</v>
      </c>
      <c r="M127" s="677">
        <f t="shared" si="171"/>
        <v>0.13297961463278413</v>
      </c>
      <c r="N127" s="677">
        <f t="shared" si="171"/>
        <v>0.13617021276595745</v>
      </c>
      <c r="O127" s="677">
        <f t="shared" si="171"/>
        <v>0.13176010651859826</v>
      </c>
      <c r="P127" s="677">
        <f t="shared" si="171"/>
        <v>0.13309546250168305</v>
      </c>
      <c r="Q127" s="677">
        <f t="shared" si="171"/>
        <v>0.14352752661096485</v>
      </c>
      <c r="R127" s="677">
        <f t="shared" si="172"/>
        <v>0.16470122675108825</v>
      </c>
      <c r="S127" s="677">
        <f t="shared" si="172"/>
        <v>0.17564192616873489</v>
      </c>
      <c r="T127" s="677">
        <f t="shared" ref="T127:AA127" ca="1" si="185">+T151/T144</f>
        <v>0.18303058232465802</v>
      </c>
      <c r="U127" s="677">
        <f t="shared" ca="1" si="185"/>
        <v>0.18924793456266017</v>
      </c>
      <c r="V127" s="677">
        <f t="shared" ca="1" si="185"/>
        <v>0.19468783390161204</v>
      </c>
      <c r="W127" s="677">
        <f t="shared" ca="1" si="185"/>
        <v>0.19853447389087772</v>
      </c>
      <c r="X127" s="677">
        <f t="shared" ca="1" si="185"/>
        <v>0.20093249060700843</v>
      </c>
      <c r="Y127" s="677">
        <f t="shared" ca="1" si="185"/>
        <v>0.20239476260747241</v>
      </c>
      <c r="Z127" s="677">
        <f t="shared" ca="1" si="185"/>
        <v>0.20384925648491514</v>
      </c>
      <c r="AA127" s="677">
        <f t="shared" ca="1" si="185"/>
        <v>0.20521503744743683</v>
      </c>
      <c r="AB127" s="228"/>
      <c r="AC127" s="677"/>
      <c r="AD127" s="677"/>
      <c r="AE127" s="677"/>
      <c r="AF127" s="677"/>
      <c r="AG127" s="677"/>
      <c r="AH127" s="677"/>
      <c r="AI127" s="677"/>
      <c r="AJ127" s="677"/>
      <c r="AK127" s="677"/>
      <c r="AL127" s="677"/>
      <c r="AM127" s="677"/>
      <c r="AN127" s="677"/>
      <c r="AO127" s="677"/>
      <c r="AP127" s="677"/>
      <c r="AQ127" s="677"/>
      <c r="AR127" s="677"/>
      <c r="AS127" s="677"/>
      <c r="AT127" s="677"/>
      <c r="AU127" s="677"/>
      <c r="AV127" s="677"/>
      <c r="AW127" s="677"/>
      <c r="AX127" s="677"/>
      <c r="AY127" s="677"/>
      <c r="AZ127" s="677"/>
      <c r="BA127" s="677"/>
      <c r="BB127" s="677"/>
      <c r="BC127" s="677"/>
      <c r="BD127" s="677"/>
      <c r="BE127" s="677">
        <f t="shared" ref="BE127:BT127" si="186">+BE151/BE144</f>
        <v>0.12185592185592185</v>
      </c>
      <c r="BF127" s="677">
        <f t="shared" si="186"/>
        <v>0.13576339626759795</v>
      </c>
      <c r="BG127" s="677">
        <f t="shared" si="186"/>
        <v>0.13898382319434952</v>
      </c>
      <c r="BH127" s="677">
        <f t="shared" si="186"/>
        <v>0.13431139580535179</v>
      </c>
      <c r="BI127" s="677">
        <f t="shared" si="186"/>
        <v>0.13003346025152879</v>
      </c>
      <c r="BJ127" s="677">
        <f t="shared" si="186"/>
        <v>0.13814940776357454</v>
      </c>
      <c r="BK127" s="677">
        <f t="shared" si="186"/>
        <v>0.14448714869084794</v>
      </c>
      <c r="BL127" s="677">
        <f t="shared" si="186"/>
        <v>0.13270142180094788</v>
      </c>
      <c r="BM127" s="677">
        <f t="shared" si="186"/>
        <v>0.1187099725526075</v>
      </c>
      <c r="BN127" s="677">
        <f t="shared" si="186"/>
        <v>0.12484002326934264</v>
      </c>
      <c r="BO127" s="677">
        <f t="shared" si="186"/>
        <v>0.13467894239848915</v>
      </c>
      <c r="BP127" s="677">
        <f t="shared" si="186"/>
        <v>0.14744940978077573</v>
      </c>
      <c r="BQ127" s="677">
        <f t="shared" si="186"/>
        <v>0.12210694333599362</v>
      </c>
      <c r="BR127" s="677">
        <f t="shared" si="186"/>
        <v>0.13544944588863045</v>
      </c>
      <c r="BS127" s="677">
        <f t="shared" si="186"/>
        <v>0.12935528120713305</v>
      </c>
      <c r="BT127" s="677">
        <f t="shared" si="186"/>
        <v>0.14530364905809512</v>
      </c>
      <c r="BU127" s="677">
        <f t="shared" si="175"/>
        <v>0.14139744552967692</v>
      </c>
      <c r="BV127" s="677">
        <f t="shared" si="175"/>
        <v>0.1372518121651434</v>
      </c>
      <c r="BW127" s="677">
        <f t="shared" si="175"/>
        <v>0.14759224515322075</v>
      </c>
      <c r="BX127" s="677">
        <f t="shared" si="175"/>
        <v>0.14763721749339595</v>
      </c>
      <c r="BY127" s="677">
        <f t="shared" si="175"/>
        <v>0.17073557387444516</v>
      </c>
      <c r="BZ127" s="677">
        <f t="shared" si="175"/>
        <v>0.16100178890876565</v>
      </c>
      <c r="CA127" s="677">
        <f t="shared" si="175"/>
        <v>0.17321571772253408</v>
      </c>
      <c r="CB127" s="677">
        <f t="shared" si="176"/>
        <v>0.15430221951961082</v>
      </c>
      <c r="CC127" s="677">
        <f t="shared" si="176"/>
        <v>0.17887862376553043</v>
      </c>
      <c r="CD127" s="677">
        <f>+CD151/CD144</f>
        <v>0.17256637168141592</v>
      </c>
      <c r="CE127" s="677">
        <f>+CE151/CE144</f>
        <v>0.1808968058968059</v>
      </c>
      <c r="CF127" s="677">
        <f t="shared" si="175"/>
        <v>0.1704022988505747</v>
      </c>
      <c r="CG127" s="677">
        <f>+CG151/CG144</f>
        <v>0.18193353883606764</v>
      </c>
      <c r="CH127" s="677">
        <f>+CH151/CH144</f>
        <v>0.18193876639263701</v>
      </c>
      <c r="CI127" s="677">
        <f ca="1">+CI151/CI144</f>
        <v>0.187069815376492</v>
      </c>
      <c r="CJ127" s="677">
        <f ca="1">+CJ151/CJ144</f>
        <v>0.18124818286766875</v>
      </c>
      <c r="CO127" s="271"/>
      <c r="DK127" s="229"/>
      <c r="DL127" s="231"/>
      <c r="DM127" s="231"/>
      <c r="DN127" s="231"/>
      <c r="DO127" s="231"/>
      <c r="DP127" s="231"/>
      <c r="DQ127" s="231"/>
      <c r="DR127" s="231"/>
      <c r="DS127" s="231"/>
      <c r="DT127" s="231"/>
      <c r="DU127" s="231"/>
      <c r="DV127" s="231"/>
      <c r="DW127" s="231"/>
      <c r="DX127" s="231"/>
      <c r="DY127" s="231"/>
      <c r="DZ127" s="231"/>
      <c r="EA127"/>
      <c r="EB127"/>
      <c r="EC127"/>
      <c r="ED127"/>
      <c r="EE127"/>
      <c r="EF127"/>
    </row>
    <row r="128" spans="1:256">
      <c r="A128" s="93"/>
      <c r="B128" s="212"/>
      <c r="C128" s="212"/>
      <c r="D128" s="212"/>
      <c r="E128" s="212"/>
      <c r="F128" s="212"/>
      <c r="G128" s="212"/>
      <c r="H128" s="212"/>
      <c r="I128" s="212"/>
      <c r="J128" s="212"/>
      <c r="K128" s="212"/>
      <c r="L128" s="212"/>
      <c r="M128" s="212"/>
      <c r="N128" s="212"/>
      <c r="O128" s="212"/>
      <c r="P128" s="212"/>
      <c r="Q128" s="212"/>
      <c r="R128" s="152"/>
      <c r="S128" s="702"/>
      <c r="T128" s="702"/>
      <c r="U128" s="702"/>
      <c r="V128" s="702"/>
      <c r="W128" s="702">
        <f ca="1">+W127-W135</f>
        <v>-1.0538376639659952E-2</v>
      </c>
      <c r="X128" s="702">
        <f ca="1">+X127-X135</f>
        <v>-1.0326060329658659E-2</v>
      </c>
      <c r="Y128" s="702">
        <f ca="1">+Y127-Y135</f>
        <v>-1.003143548778504E-2</v>
      </c>
      <c r="Z128" s="702">
        <f ca="1">+Z127-Z135</f>
        <v>-9.7265838587048126E-3</v>
      </c>
      <c r="AA128" s="702">
        <f ca="1">+AA127-AA135</f>
        <v>-9.4925267171571404E-3</v>
      </c>
      <c r="AB128" s="42"/>
      <c r="AC128" s="212"/>
      <c r="AD128" s="212"/>
      <c r="AE128" s="212"/>
      <c r="AF128" s="212"/>
      <c r="AG128" s="212"/>
      <c r="AH128" s="212"/>
      <c r="AI128" s="212"/>
      <c r="AJ128" s="212"/>
      <c r="AK128" s="212"/>
      <c r="AL128" s="212"/>
      <c r="AM128" s="212"/>
      <c r="AN128" s="212"/>
      <c r="AO128" s="212"/>
      <c r="AP128" s="212"/>
      <c r="AQ128" s="212"/>
      <c r="AR128" s="212"/>
      <c r="AS128" s="212"/>
      <c r="AT128" s="212"/>
      <c r="AU128" s="212"/>
      <c r="AV128" s="212"/>
      <c r="AW128" s="212"/>
      <c r="AX128" s="212"/>
      <c r="AY128" s="212"/>
      <c r="AZ128" s="212"/>
      <c r="BA128" s="212"/>
      <c r="BB128" s="212"/>
      <c r="BC128" s="212"/>
      <c r="BD128" s="212"/>
      <c r="BE128" s="212"/>
      <c r="BF128" s="212"/>
      <c r="BG128" s="212"/>
      <c r="BH128" s="212"/>
      <c r="BI128" s="212"/>
      <c r="BJ128" s="212"/>
      <c r="BK128" s="212"/>
      <c r="BL128" s="212"/>
      <c r="BM128" s="212"/>
      <c r="BN128" s="212"/>
      <c r="BO128" s="212"/>
      <c r="BP128" s="212"/>
      <c r="BQ128" s="212"/>
      <c r="BR128" s="212"/>
      <c r="BS128" s="212"/>
      <c r="BT128" s="212"/>
      <c r="BU128" s="212"/>
      <c r="BV128" s="212"/>
      <c r="BW128" s="212"/>
      <c r="BX128" s="212"/>
      <c r="BY128" s="212"/>
      <c r="BZ128" s="212"/>
      <c r="CA128" s="212"/>
      <c r="CB128" s="212"/>
      <c r="CC128" s="212"/>
      <c r="CD128" s="212"/>
      <c r="CE128" s="212"/>
      <c r="CF128" s="212"/>
      <c r="CG128" s="212"/>
      <c r="CH128" s="212"/>
      <c r="CI128" s="212"/>
      <c r="CJ128" s="212"/>
      <c r="CO128" s="220"/>
      <c r="DK128" s="50"/>
      <c r="DL128" s="37"/>
      <c r="DM128" s="37"/>
      <c r="DN128" s="37"/>
      <c r="DO128" s="37"/>
      <c r="DP128" s="37"/>
      <c r="DQ128" s="37"/>
      <c r="DR128" s="37"/>
      <c r="DS128" s="37"/>
      <c r="DT128" s="37"/>
      <c r="DU128" s="37"/>
      <c r="DV128" s="37"/>
      <c r="DW128" s="37"/>
      <c r="DX128" s="37"/>
      <c r="DY128" s="37"/>
      <c r="DZ128" s="37"/>
    </row>
    <row r="129" spans="1:136" hidden="1" outlineLevel="1">
      <c r="A129" s="228" t="s">
        <v>568</v>
      </c>
      <c r="B129" s="119"/>
      <c r="C129" s="119"/>
      <c r="D129" s="119"/>
      <c r="E129" s="119"/>
      <c r="F129" s="119"/>
      <c r="G129" s="119"/>
      <c r="H129" s="119"/>
      <c r="I129" s="119"/>
      <c r="J129" s="119"/>
      <c r="K129" s="119"/>
      <c r="L129" s="119"/>
      <c r="M129" s="119"/>
      <c r="N129" s="119"/>
      <c r="O129" s="119"/>
      <c r="P129" s="119"/>
      <c r="Q129" s="119"/>
      <c r="R129" s="119"/>
      <c r="S129" s="119"/>
      <c r="T129" s="119"/>
      <c r="U129" s="119"/>
      <c r="V129" s="119"/>
      <c r="W129" s="119"/>
      <c r="X129" s="119"/>
      <c r="Y129" s="119"/>
      <c r="Z129" s="119"/>
      <c r="AA129" s="119"/>
      <c r="AB129" s="228"/>
      <c r="AC129" s="119"/>
      <c r="AD129" s="119"/>
      <c r="AE129" s="119"/>
      <c r="AF129" s="119"/>
      <c r="AG129" s="119"/>
      <c r="AH129" s="119"/>
      <c r="AI129" s="119"/>
      <c r="AJ129" s="119"/>
      <c r="AK129" s="119"/>
      <c r="AL129" s="119"/>
      <c r="AM129" s="119"/>
      <c r="AN129" s="119"/>
      <c r="AO129" s="119"/>
      <c r="AP129" s="119"/>
      <c r="AQ129" s="119"/>
      <c r="AR129" s="119"/>
      <c r="AS129" s="119"/>
      <c r="AT129" s="119"/>
      <c r="AU129" s="119"/>
      <c r="AV129" s="119"/>
      <c r="AW129" s="119"/>
      <c r="AX129" s="119"/>
      <c r="AY129" s="119"/>
      <c r="AZ129" s="119"/>
      <c r="BA129" s="119"/>
      <c r="BB129" s="119"/>
      <c r="BC129" s="119"/>
      <c r="BD129" s="119"/>
      <c r="BE129" s="119"/>
      <c r="BF129" s="119"/>
      <c r="BG129" s="119"/>
      <c r="BH129" s="119"/>
      <c r="BI129" s="6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O129" s="229"/>
      <c r="DK129" s="229"/>
      <c r="DL129" s="230"/>
      <c r="DM129" s="71"/>
      <c r="DN129" s="231"/>
      <c r="DO129" s="231"/>
      <c r="DP129" s="231"/>
      <c r="DQ129" s="231"/>
      <c r="DR129" s="231"/>
      <c r="DS129" s="231"/>
      <c r="DT129" s="231"/>
      <c r="DU129" s="231"/>
      <c r="DV129" s="231"/>
      <c r="DW129" s="231"/>
      <c r="DX129" s="231"/>
      <c r="DY129" s="231"/>
      <c r="DZ129" s="231"/>
    </row>
    <row r="130" spans="1:136" hidden="1" outlineLevel="1">
      <c r="A130" s="42" t="s">
        <v>54</v>
      </c>
      <c r="B130" s="38"/>
      <c r="C130" s="38"/>
      <c r="D130" s="38"/>
      <c r="E130" s="38"/>
      <c r="F130" s="38"/>
      <c r="G130" s="38"/>
      <c r="H130" s="38"/>
      <c r="I130" s="38"/>
      <c r="J130" s="38"/>
      <c r="K130" s="38"/>
      <c r="L130" s="38">
        <f t="shared" ref="L130:Q135" si="187">L162/L154</f>
        <v>0.12354107024884387</v>
      </c>
      <c r="M130" s="38">
        <f t="shared" si="187"/>
        <v>0.15250786600037017</v>
      </c>
      <c r="N130" s="38">
        <f t="shared" si="187"/>
        <v>0.1508524833209785</v>
      </c>
      <c r="O130" s="38">
        <f t="shared" si="187"/>
        <v>0.12597547380156077</v>
      </c>
      <c r="P130" s="38">
        <f t="shared" si="187"/>
        <v>0.13058340929808568</v>
      </c>
      <c r="Q130" s="38">
        <f t="shared" si="187"/>
        <v>0.10739856801909307</v>
      </c>
      <c r="R130" s="232">
        <f t="shared" ref="R130:AA130" si="188">Q130+R105/10000</f>
        <v>0.11739856801909307</v>
      </c>
      <c r="S130" s="232">
        <f t="shared" si="188"/>
        <v>0.12639856801909308</v>
      </c>
      <c r="T130" s="232">
        <f t="shared" si="188"/>
        <v>0.13539856801909309</v>
      </c>
      <c r="U130" s="232">
        <f t="shared" si="188"/>
        <v>0.14289856801909309</v>
      </c>
      <c r="V130" s="232">
        <f t="shared" si="188"/>
        <v>0.1478985680190931</v>
      </c>
      <c r="W130" s="232">
        <f t="shared" si="188"/>
        <v>0.1513985680190931</v>
      </c>
      <c r="X130" s="232">
        <f t="shared" si="188"/>
        <v>0.1538985680190931</v>
      </c>
      <c r="Y130" s="232">
        <f t="shared" si="188"/>
        <v>0.1553985680190931</v>
      </c>
      <c r="Z130" s="232">
        <f t="shared" si="188"/>
        <v>0.1568985680190931</v>
      </c>
      <c r="AA130" s="232">
        <f t="shared" si="188"/>
        <v>0.15839856801909311</v>
      </c>
      <c r="AB130" s="42"/>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f t="shared" ref="BE130:BX135" si="189">BE162/BE154</f>
        <v>0.13614649681528662</v>
      </c>
      <c r="BF130" s="38">
        <f t="shared" si="189"/>
        <v>0.16466431095406361</v>
      </c>
      <c r="BG130" s="38">
        <f t="shared" si="189"/>
        <v>0.15373459028281364</v>
      </c>
      <c r="BH130" s="38">
        <f t="shared" si="189"/>
        <v>0.15373244641537326</v>
      </c>
      <c r="BI130" s="38">
        <f t="shared" si="189"/>
        <v>0.12554744525547445</v>
      </c>
      <c r="BJ130" s="38">
        <f t="shared" si="189"/>
        <v>0.16194029850746269</v>
      </c>
      <c r="BK130" s="38">
        <f t="shared" si="189"/>
        <v>0.15552099533437014</v>
      </c>
      <c r="BL130" s="38">
        <f t="shared" si="189"/>
        <v>0.16071428571428573</v>
      </c>
      <c r="BM130" s="38">
        <f t="shared" si="189"/>
        <v>0.1072961373390558</v>
      </c>
      <c r="BN130" s="38">
        <f t="shared" si="189"/>
        <v>0.12397311426437641</v>
      </c>
      <c r="BO130" s="38">
        <f t="shared" si="189"/>
        <v>0.13761467889908258</v>
      </c>
      <c r="BP130" s="38">
        <f t="shared" si="189"/>
        <v>0.13612565445026178</v>
      </c>
      <c r="BQ130" s="38">
        <f t="shared" si="189"/>
        <v>0.1073345259391771</v>
      </c>
      <c r="BR130" s="38">
        <f t="shared" si="189"/>
        <v>0.11233885819521179</v>
      </c>
      <c r="BS130" s="38">
        <f t="shared" si="189"/>
        <v>0.11130899376669635</v>
      </c>
      <c r="BT130" s="38">
        <f t="shared" si="189"/>
        <v>0.19415645617342131</v>
      </c>
      <c r="BU130" s="38">
        <f t="shared" si="189"/>
        <v>0.13089509143407121</v>
      </c>
      <c r="BV130" s="38">
        <f t="shared" si="189"/>
        <v>0.11075612353567625</v>
      </c>
      <c r="BW130" s="38">
        <f t="shared" si="189"/>
        <v>0.10021786492374728</v>
      </c>
      <c r="BX130" s="38">
        <f t="shared" si="189"/>
        <v>8.3428571428571435E-2</v>
      </c>
      <c r="BY130" s="38">
        <f t="shared" ref="BY130:BZ135" si="190">BY162/BY154</f>
        <v>0.10526315789473684</v>
      </c>
      <c r="BZ130" s="38">
        <f t="shared" si="190"/>
        <v>9.0154211150652433E-2</v>
      </c>
      <c r="CA130" s="38">
        <f t="shared" ref="CA130:CA135" si="191">CA162/CA154</f>
        <v>0.15437788018433179</v>
      </c>
      <c r="CB130" s="38">
        <f t="shared" ref="CB130:CB135" si="192">CB162/CB154</f>
        <v>0.11831396515959224</v>
      </c>
      <c r="CC130" s="232">
        <f t="shared" ref="CC130:CE134" ca="1" si="193">BY130+CC105/10000</f>
        <v>0.11426315789473683</v>
      </c>
      <c r="CD130" s="232">
        <f t="shared" si="193"/>
        <v>9.9154211150652427E-2</v>
      </c>
      <c r="CE130" s="232">
        <f t="shared" si="193"/>
        <v>0.1633778801843318</v>
      </c>
      <c r="CF130" s="38">
        <f t="shared" ref="CF130:CF135" ca="1" si="194">CF162/CF154</f>
        <v>0.12703103734305424</v>
      </c>
      <c r="CG130" s="232">
        <f t="shared" ref="CG130:CI134" ca="1" si="195">CC130+CG105/10000</f>
        <v>0.11426315789473683</v>
      </c>
      <c r="CH130" s="232">
        <f t="shared" si="195"/>
        <v>9.9154211150652427E-2</v>
      </c>
      <c r="CI130" s="232">
        <f t="shared" si="195"/>
        <v>0.1633778801843318</v>
      </c>
      <c r="CJ130" s="38">
        <f t="shared" ref="CJ130:CJ135" ca="1" si="196">CJ162/CJ154</f>
        <v>0.16409578882554346</v>
      </c>
      <c r="CO130" s="229"/>
      <c r="DK130" s="229"/>
      <c r="DL130" s="233"/>
      <c r="DM130" s="71"/>
      <c r="DN130" s="231"/>
      <c r="DO130" s="232"/>
      <c r="DP130" s="231"/>
      <c r="DQ130" s="231"/>
      <c r="DR130" s="231"/>
      <c r="DS130" s="231"/>
      <c r="DT130" s="231"/>
      <c r="DU130" s="231"/>
      <c r="DV130" s="231"/>
      <c r="DW130" s="231"/>
      <c r="DX130" s="231"/>
      <c r="DY130" s="231"/>
      <c r="DZ130" s="231"/>
    </row>
    <row r="131" spans="1:136" hidden="1" outlineLevel="1">
      <c r="A131" s="42" t="s">
        <v>55</v>
      </c>
      <c r="B131" s="38"/>
      <c r="C131" s="38"/>
      <c r="D131" s="38"/>
      <c r="E131" s="38"/>
      <c r="F131" s="38"/>
      <c r="G131" s="38"/>
      <c r="H131" s="38"/>
      <c r="I131" s="38"/>
      <c r="J131" s="38"/>
      <c r="K131" s="38"/>
      <c r="L131" s="38">
        <f t="shared" si="187"/>
        <v>0.15982187036120732</v>
      </c>
      <c r="M131" s="38">
        <f t="shared" si="187"/>
        <v>0.15028782894736842</v>
      </c>
      <c r="N131" s="38">
        <f t="shared" si="187"/>
        <v>0.13865220759101471</v>
      </c>
      <c r="O131" s="38">
        <f t="shared" si="187"/>
        <v>0.11207592891760905</v>
      </c>
      <c r="P131" s="38">
        <f t="shared" si="187"/>
        <v>8.1497797356828189E-2</v>
      </c>
      <c r="Q131" s="38">
        <f t="shared" si="187"/>
        <v>9.5909406055003463E-2</v>
      </c>
      <c r="R131" s="232">
        <f t="shared" ref="R131:AA131" si="197">Q131+R106/10000</f>
        <v>0.13090940605500345</v>
      </c>
      <c r="S131" s="232">
        <f t="shared" si="197"/>
        <v>0.13990940605500346</v>
      </c>
      <c r="T131" s="232">
        <f t="shared" si="197"/>
        <v>0.14890940605500347</v>
      </c>
      <c r="U131" s="232">
        <f t="shared" si="197"/>
        <v>0.15640940605500347</v>
      </c>
      <c r="V131" s="232">
        <f t="shared" si="197"/>
        <v>0.16140940605500348</v>
      </c>
      <c r="W131" s="232">
        <f t="shared" si="197"/>
        <v>0.16490940605500348</v>
      </c>
      <c r="X131" s="232">
        <f t="shared" si="197"/>
        <v>0.16740940605500348</v>
      </c>
      <c r="Y131" s="232">
        <f t="shared" si="197"/>
        <v>0.16890940605500349</v>
      </c>
      <c r="Z131" s="232">
        <f t="shared" si="197"/>
        <v>0.17040940605500349</v>
      </c>
      <c r="AA131" s="232">
        <f t="shared" si="197"/>
        <v>0.17190940605500349</v>
      </c>
      <c r="AB131" s="42"/>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f t="shared" si="189"/>
        <v>0.15546218487394958</v>
      </c>
      <c r="BF131" s="38">
        <f t="shared" si="189"/>
        <v>0.1552901023890785</v>
      </c>
      <c r="BG131" s="38">
        <f t="shared" si="189"/>
        <v>0.15372297838270615</v>
      </c>
      <c r="BH131" s="38">
        <f t="shared" si="189"/>
        <v>0.13727055067837191</v>
      </c>
      <c r="BI131" s="38">
        <f t="shared" si="189"/>
        <v>0.14166666666666666</v>
      </c>
      <c r="BJ131" s="38">
        <f t="shared" si="189"/>
        <v>0.13011456628477905</v>
      </c>
      <c r="BK131" s="38">
        <f t="shared" si="189"/>
        <v>0.17996742671009772</v>
      </c>
      <c r="BL131" s="38">
        <f t="shared" si="189"/>
        <v>0.10688665710186514</v>
      </c>
      <c r="BM131" s="38">
        <f t="shared" si="189"/>
        <v>0.14118507681053402</v>
      </c>
      <c r="BN131" s="38">
        <f t="shared" si="189"/>
        <v>0.11048387096774194</v>
      </c>
      <c r="BO131" s="38">
        <f t="shared" si="189"/>
        <v>8.0105633802816906E-2</v>
      </c>
      <c r="BP131" s="38">
        <f t="shared" si="189"/>
        <v>0.11083540115798181</v>
      </c>
      <c r="BQ131" s="38">
        <f t="shared" si="189"/>
        <v>0.13068651778329199</v>
      </c>
      <c r="BR131" s="38">
        <f t="shared" si="189"/>
        <v>7.1895424836601302E-2</v>
      </c>
      <c r="BS131" s="38">
        <f t="shared" si="189"/>
        <v>6.156552330694811E-2</v>
      </c>
      <c r="BT131" s="38">
        <f t="shared" si="189"/>
        <v>5.7880676758682102E-2</v>
      </c>
      <c r="BU131" s="38">
        <f t="shared" si="189"/>
        <v>0.12951541850220263</v>
      </c>
      <c r="BV131" s="38">
        <f t="shared" si="189"/>
        <v>9.9108027750247768E-2</v>
      </c>
      <c r="BW131" s="38">
        <f t="shared" si="189"/>
        <v>9.9909173478655772E-2</v>
      </c>
      <c r="BX131" s="38">
        <f t="shared" si="189"/>
        <v>5.3604436229205174E-2</v>
      </c>
      <c r="BY131" s="38">
        <f t="shared" si="190"/>
        <v>0.16060337178349601</v>
      </c>
      <c r="BZ131" s="38">
        <f t="shared" si="190"/>
        <v>0.11827956989247312</v>
      </c>
      <c r="CA131" s="38">
        <f t="shared" si="191"/>
        <v>0.13386524822695037</v>
      </c>
      <c r="CB131" s="38">
        <f t="shared" si="192"/>
        <v>0.10805539575714318</v>
      </c>
      <c r="CC131" s="232">
        <f t="shared" ca="1" si="193"/>
        <v>0.16960337178349602</v>
      </c>
      <c r="CD131" s="232">
        <f t="shared" si="193"/>
        <v>0.12727956989247313</v>
      </c>
      <c r="CE131" s="232">
        <f t="shared" si="193"/>
        <v>0.14286524822695038</v>
      </c>
      <c r="CF131" s="38">
        <f t="shared" ca="1" si="194"/>
        <v>0.13990940605500346</v>
      </c>
      <c r="CG131" s="232">
        <f t="shared" ca="1" si="195"/>
        <v>0.16960337178349602</v>
      </c>
      <c r="CH131" s="232">
        <f t="shared" si="195"/>
        <v>0.12727956989247313</v>
      </c>
      <c r="CI131" s="232">
        <f t="shared" si="195"/>
        <v>0.14286524822695038</v>
      </c>
      <c r="CJ131" s="38">
        <f t="shared" ca="1" si="196"/>
        <v>0.14890940605500347</v>
      </c>
      <c r="CO131" s="229"/>
      <c r="DK131" s="229"/>
      <c r="DL131" s="233"/>
      <c r="DM131" s="71"/>
      <c r="DN131" s="231"/>
      <c r="DO131" s="232"/>
      <c r="DP131" s="231"/>
      <c r="DQ131" s="231"/>
      <c r="DR131" s="231"/>
      <c r="DS131" s="231"/>
      <c r="DT131" s="231"/>
      <c r="DU131" s="231"/>
      <c r="DV131" s="231"/>
      <c r="DW131" s="231"/>
      <c r="DX131" s="231"/>
      <c r="DY131" s="231"/>
      <c r="DZ131" s="231"/>
    </row>
    <row r="132" spans="1:136" hidden="1" outlineLevel="1">
      <c r="A132" s="42" t="s">
        <v>56</v>
      </c>
      <c r="B132" s="38"/>
      <c r="C132" s="38"/>
      <c r="D132" s="38"/>
      <c r="E132" s="38"/>
      <c r="F132" s="38"/>
      <c r="G132" s="38"/>
      <c r="H132" s="38"/>
      <c r="I132" s="38"/>
      <c r="J132" s="38"/>
      <c r="K132" s="38"/>
      <c r="L132" s="38">
        <f t="shared" si="187"/>
        <v>0.11776982707215265</v>
      </c>
      <c r="M132" s="38">
        <f t="shared" si="187"/>
        <v>0.12408759124087591</v>
      </c>
      <c r="N132" s="38">
        <f t="shared" si="187"/>
        <v>0.13868808567603749</v>
      </c>
      <c r="O132" s="38">
        <f t="shared" si="187"/>
        <v>0.11647509578544062</v>
      </c>
      <c r="P132" s="38">
        <f t="shared" si="187"/>
        <v>8.6270560590802278E-2</v>
      </c>
      <c r="Q132" s="38">
        <f t="shared" si="187"/>
        <v>9.6456692913385822E-2</v>
      </c>
      <c r="R132" s="232">
        <f t="shared" ref="R132:AA132" si="198">Q132+R107/10000</f>
        <v>0.11645669291338583</v>
      </c>
      <c r="S132" s="232">
        <f t="shared" si="198"/>
        <v>0.12545669291338582</v>
      </c>
      <c r="T132" s="232">
        <f t="shared" si="198"/>
        <v>0.13445669291338583</v>
      </c>
      <c r="U132" s="232">
        <f t="shared" si="198"/>
        <v>0.14195669291338583</v>
      </c>
      <c r="V132" s="232">
        <f t="shared" si="198"/>
        <v>0.14695669291338584</v>
      </c>
      <c r="W132" s="232">
        <f t="shared" si="198"/>
        <v>0.15045669291338584</v>
      </c>
      <c r="X132" s="232">
        <f t="shared" si="198"/>
        <v>0.15295669291338584</v>
      </c>
      <c r="Y132" s="232">
        <f t="shared" si="198"/>
        <v>0.15445669291338585</v>
      </c>
      <c r="Z132" s="232">
        <f t="shared" si="198"/>
        <v>0.15595669291338585</v>
      </c>
      <c r="AA132" s="232">
        <f t="shared" si="198"/>
        <v>0.15745669291338585</v>
      </c>
      <c r="AB132" s="42"/>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f t="shared" si="189"/>
        <v>4.2713567839195977E-2</v>
      </c>
      <c r="BF132" s="38">
        <f t="shared" si="189"/>
        <v>0.11921182266009853</v>
      </c>
      <c r="BG132" s="38">
        <f t="shared" si="189"/>
        <v>0.16058394160583941</v>
      </c>
      <c r="BH132" s="38">
        <f t="shared" si="189"/>
        <v>0.15666041275797374</v>
      </c>
      <c r="BI132" s="38">
        <f t="shared" si="189"/>
        <v>0.16489988221436985</v>
      </c>
      <c r="BJ132" s="38">
        <f t="shared" si="189"/>
        <v>0.14818652849740932</v>
      </c>
      <c r="BK132" s="38">
        <f t="shared" si="189"/>
        <v>0.12189616252821671</v>
      </c>
      <c r="BL132" s="38">
        <f t="shared" si="189"/>
        <v>0.12270531400966184</v>
      </c>
      <c r="BM132" s="38">
        <f t="shared" si="189"/>
        <v>8.3429895712630361E-2</v>
      </c>
      <c r="BN132" s="38">
        <f t="shared" si="189"/>
        <v>0.13763233878729547</v>
      </c>
      <c r="BO132" s="38">
        <f t="shared" si="189"/>
        <v>0.12341772151898735</v>
      </c>
      <c r="BP132" s="38">
        <f t="shared" si="189"/>
        <v>0.11643192488262911</v>
      </c>
      <c r="BQ132" s="38">
        <f t="shared" si="189"/>
        <v>5.0073637702503684E-2</v>
      </c>
      <c r="BR132" s="38">
        <f t="shared" si="189"/>
        <v>0.14166666666666666</v>
      </c>
      <c r="BS132" s="38">
        <f t="shared" si="189"/>
        <v>8.827586206896551E-2</v>
      </c>
      <c r="BT132" s="38">
        <f t="shared" si="189"/>
        <v>5.4421768707482991E-2</v>
      </c>
      <c r="BU132" s="38">
        <f t="shared" si="189"/>
        <v>3.7996545768566495E-2</v>
      </c>
      <c r="BV132" s="38">
        <f t="shared" si="189"/>
        <v>0.13667117726657646</v>
      </c>
      <c r="BW132" s="38">
        <f t="shared" si="189"/>
        <v>0.10921501706484642</v>
      </c>
      <c r="BX132" s="38">
        <f t="shared" si="189"/>
        <v>9.1194968553459113E-2</v>
      </c>
      <c r="BY132" s="38">
        <f t="shared" si="190"/>
        <v>0.11517367458866545</v>
      </c>
      <c r="BZ132" s="38">
        <f t="shared" si="190"/>
        <v>0.13734567901234568</v>
      </c>
      <c r="CA132" s="38">
        <f t="shared" si="191"/>
        <v>9.9447513812154692E-2</v>
      </c>
      <c r="CB132" s="38">
        <f t="shared" si="192"/>
        <v>0.11078119178320374</v>
      </c>
      <c r="CC132" s="232">
        <f t="shared" ca="1" si="193"/>
        <v>0.12417367458866545</v>
      </c>
      <c r="CD132" s="232">
        <f t="shared" si="193"/>
        <v>0.14634567901234569</v>
      </c>
      <c r="CE132" s="232">
        <f t="shared" si="193"/>
        <v>0.10844751381215469</v>
      </c>
      <c r="CF132" s="38">
        <f t="shared" ca="1" si="194"/>
        <v>0.12545669291338582</v>
      </c>
      <c r="CG132" s="232">
        <f t="shared" ca="1" si="195"/>
        <v>0.12417367458866545</v>
      </c>
      <c r="CH132" s="232">
        <f t="shared" si="195"/>
        <v>0.14634567901234569</v>
      </c>
      <c r="CI132" s="232">
        <f t="shared" si="195"/>
        <v>0.10844751381215469</v>
      </c>
      <c r="CJ132" s="38">
        <f t="shared" ca="1" si="196"/>
        <v>0.13445669291338583</v>
      </c>
      <c r="CO132" s="229"/>
      <c r="DK132" s="229"/>
      <c r="DL132" s="233"/>
      <c r="DM132" s="125"/>
      <c r="DN132" s="231"/>
      <c r="DO132" s="232"/>
      <c r="DP132" s="231"/>
      <c r="DQ132" s="231"/>
      <c r="DR132" s="231"/>
      <c r="DS132" s="231"/>
      <c r="DT132" s="231"/>
      <c r="DU132" s="231"/>
      <c r="DV132" s="231"/>
      <c r="DW132" s="231"/>
      <c r="DX132" s="231"/>
      <c r="DY132" s="231"/>
      <c r="DZ132" s="231"/>
    </row>
    <row r="133" spans="1:136" hidden="1" outlineLevel="1">
      <c r="A133" s="42" t="s">
        <v>57</v>
      </c>
      <c r="B133" s="38"/>
      <c r="C133" s="38"/>
      <c r="D133" s="38"/>
      <c r="E133" s="38"/>
      <c r="F133" s="38"/>
      <c r="G133" s="38"/>
      <c r="H133" s="38"/>
      <c r="I133" s="38"/>
      <c r="J133" s="38"/>
      <c r="K133" s="38"/>
      <c r="L133" s="38">
        <f t="shared" si="187"/>
        <v>0.11845015635725727</v>
      </c>
      <c r="M133" s="38">
        <f t="shared" si="187"/>
        <v>0.12061315046389673</v>
      </c>
      <c r="N133" s="38">
        <f t="shared" si="187"/>
        <v>0.1277411883911124</v>
      </c>
      <c r="O133" s="38">
        <f t="shared" si="187"/>
        <v>0.13635393697987055</v>
      </c>
      <c r="P133" s="38">
        <f t="shared" si="187"/>
        <v>0.15039116428900137</v>
      </c>
      <c r="Q133" s="38">
        <f t="shared" si="187"/>
        <v>0.16895424836601308</v>
      </c>
      <c r="R133" s="232">
        <f t="shared" ref="R133:AA133" si="199">Q133+R108/10000</f>
        <v>0.19395424836601308</v>
      </c>
      <c r="S133" s="232">
        <f t="shared" si="199"/>
        <v>0.20645424836601309</v>
      </c>
      <c r="T133" s="232">
        <f t="shared" si="199"/>
        <v>0.2189542483660131</v>
      </c>
      <c r="U133" s="232">
        <f t="shared" si="199"/>
        <v>0.22895424836601311</v>
      </c>
      <c r="V133" s="232">
        <f t="shared" si="199"/>
        <v>0.23645424836601311</v>
      </c>
      <c r="W133" s="232">
        <f t="shared" si="199"/>
        <v>0.24145424836601312</v>
      </c>
      <c r="X133" s="232">
        <f t="shared" si="199"/>
        <v>0.24495424836601312</v>
      </c>
      <c r="Y133" s="232">
        <f t="shared" si="199"/>
        <v>0.24745424836601312</v>
      </c>
      <c r="Z133" s="232">
        <f t="shared" si="199"/>
        <v>0.24995424836601313</v>
      </c>
      <c r="AA133" s="232">
        <f t="shared" si="199"/>
        <v>0.2524542483660131</v>
      </c>
      <c r="AB133" s="42"/>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f t="shared" si="189"/>
        <v>0.11805140466228332</v>
      </c>
      <c r="BF133" s="38">
        <f t="shared" si="189"/>
        <v>0.12445693841042678</v>
      </c>
      <c r="BG133" s="38">
        <f t="shared" si="189"/>
        <v>0.12094907407407407</v>
      </c>
      <c r="BH133" s="38">
        <f t="shared" si="189"/>
        <v>0.11877855253666747</v>
      </c>
      <c r="BI133" s="38">
        <f t="shared" si="189"/>
        <v>0.12421293646250715</v>
      </c>
      <c r="BJ133" s="38">
        <f t="shared" si="189"/>
        <v>0.13092006033182504</v>
      </c>
      <c r="BK133" s="38">
        <f t="shared" si="189"/>
        <v>0.1272957568081064</v>
      </c>
      <c r="BL133" s="38">
        <f t="shared" si="189"/>
        <v>0.12857142857142856</v>
      </c>
      <c r="BM133" s="38">
        <f t="shared" si="189"/>
        <v>0.12579525737420474</v>
      </c>
      <c r="BN133" s="38">
        <f t="shared" si="189"/>
        <v>0.12251756798044608</v>
      </c>
      <c r="BO133" s="38">
        <f t="shared" si="189"/>
        <v>0.13717754172989377</v>
      </c>
      <c r="BP133" s="38">
        <f t="shared" si="189"/>
        <v>0.15596330275229359</v>
      </c>
      <c r="BQ133" s="38">
        <f t="shared" si="189"/>
        <v>0.13251318101933215</v>
      </c>
      <c r="BR133" s="38">
        <f t="shared" si="189"/>
        <v>0.14831981460023175</v>
      </c>
      <c r="BS133" s="38">
        <f t="shared" si="189"/>
        <v>0.14656188605108056</v>
      </c>
      <c r="BT133" s="38">
        <f t="shared" si="189"/>
        <v>0.17325017325017325</v>
      </c>
      <c r="BU133" s="38">
        <f t="shared" si="189"/>
        <v>0.15782774713619008</v>
      </c>
      <c r="BV133" s="38">
        <f t="shared" si="189"/>
        <v>0.1448441247002398</v>
      </c>
      <c r="BW133" s="38">
        <f t="shared" si="189"/>
        <v>0.17441325356649792</v>
      </c>
      <c r="BX133" s="38">
        <f t="shared" si="189"/>
        <v>0.19415204678362574</v>
      </c>
      <c r="BY133" s="38">
        <f t="shared" si="190"/>
        <v>0.19659239842726081</v>
      </c>
      <c r="BZ133" s="38">
        <f t="shared" si="190"/>
        <v>0.18036750483558994</v>
      </c>
      <c r="CA133" s="38">
        <f t="shared" si="191"/>
        <v>0.19724334600760457</v>
      </c>
      <c r="CB133" s="38">
        <f t="shared" si="192"/>
        <v>0.20009103067075662</v>
      </c>
      <c r="CC133" s="232">
        <f t="shared" ca="1" si="193"/>
        <v>0.20909239842726082</v>
      </c>
      <c r="CD133" s="232">
        <f t="shared" si="193"/>
        <v>0.19286750483558995</v>
      </c>
      <c r="CE133" s="232">
        <f t="shared" si="193"/>
        <v>0.20974334600760458</v>
      </c>
      <c r="CF133" s="38">
        <f t="shared" ca="1" si="194"/>
        <v>0.21221068631424073</v>
      </c>
      <c r="CG133" s="232">
        <f t="shared" ca="1" si="195"/>
        <v>0.20909239842726082</v>
      </c>
      <c r="CH133" s="232">
        <f t="shared" si="195"/>
        <v>0.19286750483558995</v>
      </c>
      <c r="CI133" s="232">
        <f t="shared" si="195"/>
        <v>0.20974334600760458</v>
      </c>
      <c r="CJ133" s="38">
        <f t="shared" ca="1" si="196"/>
        <v>0.25062565162767569</v>
      </c>
      <c r="CO133" s="229"/>
      <c r="DK133" s="229"/>
      <c r="DL133" s="233"/>
      <c r="DM133" s="234"/>
      <c r="DN133" s="231"/>
      <c r="DO133" s="232"/>
      <c r="DP133" s="231"/>
      <c r="DQ133" s="231"/>
      <c r="DR133" s="231"/>
      <c r="DS133" s="231"/>
      <c r="DT133" s="231"/>
      <c r="DU133" s="231"/>
      <c r="DV133" s="231"/>
      <c r="DW133" s="231"/>
      <c r="DX133" s="231"/>
      <c r="DY133" s="231"/>
      <c r="DZ133" s="231"/>
    </row>
    <row r="134" spans="1:136" hidden="1" outlineLevel="1">
      <c r="A134" s="42" t="s">
        <v>58</v>
      </c>
      <c r="B134" s="38"/>
      <c r="C134" s="38"/>
      <c r="D134" s="38"/>
      <c r="E134" s="38"/>
      <c r="F134" s="38"/>
      <c r="G134" s="38"/>
      <c r="H134" s="38"/>
      <c r="I134" s="38"/>
      <c r="J134" s="38"/>
      <c r="K134" s="38"/>
      <c r="L134" s="38">
        <f t="shared" si="187"/>
        <v>0.1398851110076075</v>
      </c>
      <c r="M134" s="38">
        <f t="shared" si="187"/>
        <v>0.13712864042148398</v>
      </c>
      <c r="N134" s="38">
        <f t="shared" si="187"/>
        <v>0.1383456468202231</v>
      </c>
      <c r="O134" s="38">
        <f t="shared" si="187"/>
        <v>0.14947790015734516</v>
      </c>
      <c r="P134" s="38">
        <f t="shared" si="187"/>
        <v>0.16147635524798154</v>
      </c>
      <c r="Q134" s="38">
        <f t="shared" si="187"/>
        <v>0.18382563808431315</v>
      </c>
      <c r="R134" s="232">
        <f t="shared" ref="R134:AA134" si="200">Q134+R109/10000</f>
        <v>0.20982563808431315</v>
      </c>
      <c r="S134" s="232">
        <f t="shared" si="200"/>
        <v>0.22232563808431316</v>
      </c>
      <c r="T134" s="232">
        <f t="shared" si="200"/>
        <v>0.23482563808431317</v>
      </c>
      <c r="U134" s="232">
        <f t="shared" si="200"/>
        <v>0.24482563808431318</v>
      </c>
      <c r="V134" s="232">
        <f t="shared" si="200"/>
        <v>0.25232563808431319</v>
      </c>
      <c r="W134" s="232">
        <f t="shared" si="200"/>
        <v>0.25732563808431319</v>
      </c>
      <c r="X134" s="232">
        <f t="shared" si="200"/>
        <v>0.26082563808431319</v>
      </c>
      <c r="Y134" s="232">
        <f t="shared" si="200"/>
        <v>0.2633256380843132</v>
      </c>
      <c r="Z134" s="232">
        <f t="shared" si="200"/>
        <v>0.2658256380843132</v>
      </c>
      <c r="AA134" s="232">
        <f t="shared" si="200"/>
        <v>0.2683256380843132</v>
      </c>
      <c r="AB134" s="42"/>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f t="shared" si="189"/>
        <v>0.13295880149812733</v>
      </c>
      <c r="BF134" s="38">
        <f t="shared" si="189"/>
        <v>0.13410194174757281</v>
      </c>
      <c r="BG134" s="38">
        <f t="shared" si="189"/>
        <v>0.14063400576368876</v>
      </c>
      <c r="BH134" s="38">
        <f t="shared" si="189"/>
        <v>0.14015151515151514</v>
      </c>
      <c r="BI134" s="38">
        <f t="shared" si="189"/>
        <v>0.11872705018359853</v>
      </c>
      <c r="BJ134" s="38">
        <f t="shared" si="189"/>
        <v>0.13353115727002968</v>
      </c>
      <c r="BK134" s="38">
        <f t="shared" si="189"/>
        <v>0.15384615384615385</v>
      </c>
      <c r="BL134" s="38">
        <f t="shared" si="189"/>
        <v>0.14537444933920704</v>
      </c>
      <c r="BM134" s="38">
        <f t="shared" si="189"/>
        <v>0.11338962605548854</v>
      </c>
      <c r="BN134" s="38">
        <f t="shared" si="189"/>
        <v>0.13262910798122066</v>
      </c>
      <c r="BO134" s="38">
        <f t="shared" si="189"/>
        <v>0.16862745098039217</v>
      </c>
      <c r="BP134" s="38">
        <f t="shared" si="189"/>
        <v>0.17895878524945771</v>
      </c>
      <c r="BQ134" s="38">
        <f t="shared" si="189"/>
        <v>0.13737252549490103</v>
      </c>
      <c r="BR134" s="38">
        <f t="shared" si="189"/>
        <v>0.16715031921067905</v>
      </c>
      <c r="BS134" s="38">
        <f t="shared" si="189"/>
        <v>0.17670454545454545</v>
      </c>
      <c r="BT134" s="38">
        <f t="shared" si="189"/>
        <v>0.16349384098544234</v>
      </c>
      <c r="BU134" s="38">
        <f t="shared" si="189"/>
        <v>0.17657550535077288</v>
      </c>
      <c r="BV134" s="38">
        <f t="shared" si="189"/>
        <v>0.16987740805604204</v>
      </c>
      <c r="BW134" s="38">
        <f t="shared" si="189"/>
        <v>0.18963553530751709</v>
      </c>
      <c r="BX134" s="38">
        <f t="shared" si="189"/>
        <v>0.19802523313219966</v>
      </c>
      <c r="BY134" s="38">
        <f t="shared" si="190"/>
        <v>0.20298507462686566</v>
      </c>
      <c r="BZ134" s="38">
        <f t="shared" si="190"/>
        <v>0.21686046511627907</v>
      </c>
      <c r="CA134" s="38">
        <f t="shared" si="191"/>
        <v>0.21220764403879064</v>
      </c>
      <c r="CB134" s="38">
        <f t="shared" si="192"/>
        <v>0.20714769748289236</v>
      </c>
      <c r="CC134" s="232">
        <f t="shared" ca="1" si="193"/>
        <v>0.21548507462686567</v>
      </c>
      <c r="CD134" s="232">
        <f t="shared" si="193"/>
        <v>0.22936046511627908</v>
      </c>
      <c r="CE134" s="232">
        <f t="shared" si="193"/>
        <v>0.22470764403879065</v>
      </c>
      <c r="CF134" s="38">
        <f t="shared" ca="1" si="194"/>
        <v>0.22009321447931238</v>
      </c>
      <c r="CG134" s="232">
        <f t="shared" ca="1" si="195"/>
        <v>0.21548507462686567</v>
      </c>
      <c r="CH134" s="232">
        <f t="shared" si="195"/>
        <v>0.22936046511627908</v>
      </c>
      <c r="CI134" s="232">
        <f t="shared" si="195"/>
        <v>0.22470764403879065</v>
      </c>
      <c r="CJ134" s="38">
        <f t="shared" ca="1" si="196"/>
        <v>0.26713458554983593</v>
      </c>
      <c r="CO134" s="229"/>
      <c r="DK134" s="229"/>
      <c r="DL134" s="233"/>
      <c r="DM134" s="234"/>
      <c r="DN134" s="231"/>
      <c r="DO134" s="232"/>
      <c r="DP134" s="231"/>
      <c r="DQ134" s="231"/>
      <c r="DR134" s="231"/>
      <c r="DS134" s="231"/>
      <c r="DT134" s="231"/>
      <c r="DU134" s="231"/>
      <c r="DV134" s="231"/>
      <c r="DW134" s="231"/>
      <c r="DX134" s="231"/>
      <c r="DY134" s="231"/>
      <c r="DZ134" s="231"/>
    </row>
    <row r="135" spans="1:136" s="24" customFormat="1" hidden="1" outlineLevel="1">
      <c r="A135" s="228" t="s">
        <v>199</v>
      </c>
      <c r="B135" s="119"/>
      <c r="C135" s="119"/>
      <c r="D135" s="119"/>
      <c r="E135" s="119"/>
      <c r="F135" s="119"/>
      <c r="G135" s="119"/>
      <c r="H135" s="119"/>
      <c r="I135" s="119"/>
      <c r="J135" s="119"/>
      <c r="K135" s="119"/>
      <c r="L135" s="119">
        <f t="shared" si="187"/>
        <v>0.12880688494394868</v>
      </c>
      <c r="M135" s="119">
        <f t="shared" si="187"/>
        <v>0.13297961463278413</v>
      </c>
      <c r="N135" s="119">
        <f t="shared" si="187"/>
        <v>0.13617021276595745</v>
      </c>
      <c r="O135" s="119">
        <f t="shared" si="187"/>
        <v>0.13176010651859826</v>
      </c>
      <c r="P135" s="119">
        <f t="shared" si="187"/>
        <v>0.13309546250168305</v>
      </c>
      <c r="Q135" s="119">
        <f t="shared" si="187"/>
        <v>0.14549119140041802</v>
      </c>
      <c r="R135" s="119">
        <f t="shared" ref="R135:AA135" si="201">R167/R159</f>
        <v>0.17063719288165968</v>
      </c>
      <c r="S135" s="119">
        <f t="shared" si="201"/>
        <v>0.18095315292479244</v>
      </c>
      <c r="T135" s="119">
        <f t="shared" si="201"/>
        <v>0.19173310703064758</v>
      </c>
      <c r="U135" s="119">
        <f t="shared" si="201"/>
        <v>0.19993321142514348</v>
      </c>
      <c r="V135" s="119">
        <f t="shared" si="201"/>
        <v>0.20557955132576364</v>
      </c>
      <c r="W135" s="119">
        <f t="shared" si="201"/>
        <v>0.20907285053053767</v>
      </c>
      <c r="X135" s="119">
        <f t="shared" si="201"/>
        <v>0.21125855093666709</v>
      </c>
      <c r="Y135" s="119">
        <f t="shared" si="201"/>
        <v>0.21242619809525745</v>
      </c>
      <c r="Z135" s="119">
        <f t="shared" si="201"/>
        <v>0.21357584034361995</v>
      </c>
      <c r="AA135" s="119">
        <f t="shared" si="201"/>
        <v>0.21470756416459397</v>
      </c>
      <c r="AB135" s="228"/>
      <c r="AC135" s="119"/>
      <c r="AD135" s="119"/>
      <c r="AE135" s="119"/>
      <c r="AF135" s="119"/>
      <c r="AG135" s="119"/>
      <c r="AH135" s="119"/>
      <c r="AI135" s="119"/>
      <c r="AJ135" s="119"/>
      <c r="AK135" s="119"/>
      <c r="AL135" s="119"/>
      <c r="AM135" s="119"/>
      <c r="AN135" s="119"/>
      <c r="AO135" s="119"/>
      <c r="AP135" s="119"/>
      <c r="AQ135" s="119"/>
      <c r="AR135" s="119"/>
      <c r="AS135" s="119"/>
      <c r="AT135" s="119"/>
      <c r="AU135" s="119"/>
      <c r="AV135" s="119"/>
      <c r="AW135" s="119"/>
      <c r="AX135" s="119"/>
      <c r="AY135" s="119"/>
      <c r="AZ135" s="119"/>
      <c r="BA135" s="119"/>
      <c r="BB135" s="119"/>
      <c r="BC135" s="119"/>
      <c r="BD135" s="119"/>
      <c r="BE135" s="119">
        <f t="shared" si="189"/>
        <v>0.12185592185592185</v>
      </c>
      <c r="BF135" s="119">
        <f t="shared" si="189"/>
        <v>0.13576339626759795</v>
      </c>
      <c r="BG135" s="119">
        <f t="shared" si="189"/>
        <v>0.13898382319434952</v>
      </c>
      <c r="BH135" s="119">
        <f t="shared" si="189"/>
        <v>0.13431139580535179</v>
      </c>
      <c r="BI135" s="119">
        <f t="shared" si="189"/>
        <v>0.13003346025152879</v>
      </c>
      <c r="BJ135" s="119">
        <f t="shared" si="189"/>
        <v>0.13814940776357454</v>
      </c>
      <c r="BK135" s="119">
        <f t="shared" si="189"/>
        <v>0.14448714869084794</v>
      </c>
      <c r="BL135" s="119">
        <f t="shared" si="189"/>
        <v>0.13270142180094788</v>
      </c>
      <c r="BM135" s="119">
        <f t="shared" si="189"/>
        <v>0.1187099725526075</v>
      </c>
      <c r="BN135" s="119">
        <f t="shared" si="189"/>
        <v>0.12484002326934264</v>
      </c>
      <c r="BO135" s="119">
        <f t="shared" si="189"/>
        <v>0.13467894239848915</v>
      </c>
      <c r="BP135" s="119">
        <f t="shared" si="189"/>
        <v>0.14744940978077573</v>
      </c>
      <c r="BQ135" s="119">
        <f t="shared" si="189"/>
        <v>0.12210694333599362</v>
      </c>
      <c r="BR135" s="119">
        <f t="shared" si="189"/>
        <v>0.13544944588863045</v>
      </c>
      <c r="BS135" s="119">
        <f t="shared" si="189"/>
        <v>0.12935528120713305</v>
      </c>
      <c r="BT135" s="119">
        <f>BT167/BT159</f>
        <v>0.14530364905809512</v>
      </c>
      <c r="BU135" s="119">
        <f t="shared" si="189"/>
        <v>0.1434040047114252</v>
      </c>
      <c r="BV135" s="119">
        <f t="shared" si="189"/>
        <v>0.13847340015420201</v>
      </c>
      <c r="BW135" s="119">
        <f t="shared" si="189"/>
        <v>0.14967860422405876</v>
      </c>
      <c r="BX135" s="119">
        <f t="shared" si="189"/>
        <v>0.15012175906030656</v>
      </c>
      <c r="BY135" s="119">
        <f t="shared" si="190"/>
        <v>0.17350890782339271</v>
      </c>
      <c r="BZ135" s="119">
        <f t="shared" si="190"/>
        <v>0.16375753728974929</v>
      </c>
      <c r="CA135" s="119">
        <f t="shared" si="191"/>
        <v>0.1760475297060663</v>
      </c>
      <c r="CB135" s="119">
        <f t="shared" si="192"/>
        <v>0.16919824153922411</v>
      </c>
      <c r="CC135" s="119">
        <f ca="1">CC167/CC159</f>
        <v>0.19319952949762481</v>
      </c>
      <c r="CD135" s="119">
        <f>CD167/CD159</f>
        <v>0.18784799899080976</v>
      </c>
      <c r="CE135" s="119">
        <f>CE167/CE159</f>
        <v>0.20646136434949028</v>
      </c>
      <c r="CF135" s="119">
        <f t="shared" ca="1" si="194"/>
        <v>0.16333626997319869</v>
      </c>
      <c r="CG135" s="119">
        <f ca="1">CG167/CG159</f>
        <v>0.19301420868064931</v>
      </c>
      <c r="CH135" s="119">
        <f>CH167/CH159</f>
        <v>0.18791337161150024</v>
      </c>
      <c r="CI135" s="119">
        <f>CI167/CI159</f>
        <v>0.20648522159813631</v>
      </c>
      <c r="CJ135" s="119">
        <f t="shared" ca="1" si="196"/>
        <v>0.18707332285938813</v>
      </c>
      <c r="CO135" s="229"/>
      <c r="DK135" s="229"/>
      <c r="DL135" s="235"/>
      <c r="DM135" s="234"/>
      <c r="DN135" s="231"/>
      <c r="DO135" s="119"/>
      <c r="DP135" s="231"/>
      <c r="DQ135" s="231"/>
      <c r="DR135" s="231"/>
      <c r="DS135" s="231"/>
      <c r="DT135" s="231"/>
      <c r="DU135" s="231"/>
      <c r="DV135" s="231"/>
      <c r="DW135" s="231"/>
      <c r="DX135" s="231"/>
      <c r="DY135" s="231"/>
      <c r="DZ135" s="231"/>
      <c r="EA135"/>
      <c r="EB135"/>
      <c r="EC135"/>
      <c r="ED135"/>
      <c r="EE135"/>
      <c r="EF135"/>
    </row>
    <row r="136" spans="1:136" hidden="1" outlineLevel="1">
      <c r="A136" s="42" t="s">
        <v>200</v>
      </c>
      <c r="B136" s="212">
        <f t="shared" ref="B136:AA136" si="202">+B117</f>
        <v>0.14881855260053259</v>
      </c>
      <c r="C136" s="212">
        <f t="shared" si="202"/>
        <v>0.16880758639069629</v>
      </c>
      <c r="D136" s="212">
        <f t="shared" si="202"/>
        <v>0.21101503885879622</v>
      </c>
      <c r="E136" s="212">
        <f t="shared" si="202"/>
        <v>0.19251854240567559</v>
      </c>
      <c r="F136" s="212">
        <f t="shared" si="202"/>
        <v>0.16908107435961203</v>
      </c>
      <c r="G136" s="212">
        <f t="shared" si="202"/>
        <v>0.1525518130917832</v>
      </c>
      <c r="H136" s="212">
        <f t="shared" si="202"/>
        <v>0.1523460239841658</v>
      </c>
      <c r="I136" s="212">
        <f t="shared" si="202"/>
        <v>0.13469060274796912</v>
      </c>
      <c r="J136" s="212">
        <f t="shared" si="202"/>
        <v>0.12198645970937913</v>
      </c>
      <c r="K136" s="212">
        <f t="shared" si="202"/>
        <v>0.11030811840055392</v>
      </c>
      <c r="L136" s="212">
        <f t="shared" si="202"/>
        <v>0.1112134396138334</v>
      </c>
      <c r="M136" s="212">
        <f t="shared" si="202"/>
        <v>0.11440938285395141</v>
      </c>
      <c r="N136" s="212">
        <f t="shared" si="202"/>
        <v>0.12091960588319292</v>
      </c>
      <c r="O136" s="212">
        <f t="shared" si="202"/>
        <v>0.12096659962038585</v>
      </c>
      <c r="P136" s="212">
        <f t="shared" si="202"/>
        <v>0.1172411471657466</v>
      </c>
      <c r="Q136" s="212">
        <f t="shared" si="202"/>
        <v>0.12807599862653085</v>
      </c>
      <c r="R136" s="212">
        <f t="shared" si="202"/>
        <v>0.14930747922437673</v>
      </c>
      <c r="S136" s="212">
        <f t="shared" si="202"/>
        <v>0.16073519082182158</v>
      </c>
      <c r="T136" s="212">
        <f t="shared" ca="1" si="202"/>
        <v>0.16952856429514954</v>
      </c>
      <c r="U136" s="212">
        <f t="shared" ca="1" si="202"/>
        <v>0.17589871243913383</v>
      </c>
      <c r="V136" s="212">
        <f t="shared" ca="1" si="202"/>
        <v>0.18151580938528875</v>
      </c>
      <c r="W136" s="212">
        <f t="shared" ca="1" si="202"/>
        <v>0.18555452290984581</v>
      </c>
      <c r="X136" s="212">
        <f t="shared" ca="1" si="202"/>
        <v>0.18813293038783535</v>
      </c>
      <c r="Y136" s="212">
        <f t="shared" ca="1" si="202"/>
        <v>0.18976526565591784</v>
      </c>
      <c r="Z136" s="212">
        <f t="shared" ca="1" si="202"/>
        <v>0.19138066549112268</v>
      </c>
      <c r="AA136" s="212">
        <f t="shared" ca="1" si="202"/>
        <v>0.19289920762930504</v>
      </c>
      <c r="AB136" s="42"/>
      <c r="AC136" s="212"/>
      <c r="AD136" s="212"/>
      <c r="AE136" s="212"/>
      <c r="AF136" s="212"/>
      <c r="AG136" s="212"/>
      <c r="AH136" s="212"/>
      <c r="AI136" s="212"/>
      <c r="AJ136" s="212"/>
      <c r="AK136" s="212"/>
      <c r="AL136" s="212"/>
      <c r="AM136" s="212"/>
      <c r="AN136" s="212"/>
      <c r="AO136" s="212"/>
      <c r="AP136" s="212"/>
      <c r="AQ136" s="212"/>
      <c r="AR136" s="212"/>
      <c r="AS136" s="212"/>
      <c r="AT136" s="212"/>
      <c r="AU136" s="212"/>
      <c r="AV136" s="212"/>
      <c r="AW136" s="212"/>
      <c r="AX136" s="212"/>
      <c r="AY136" s="212"/>
      <c r="AZ136" s="212"/>
      <c r="BA136" s="212"/>
      <c r="BB136" s="212"/>
      <c r="BC136" s="212"/>
      <c r="BD136" s="212"/>
      <c r="BE136" s="212"/>
      <c r="BF136" s="212"/>
      <c r="BG136" s="212"/>
      <c r="BH136" s="212"/>
      <c r="BI136" s="212"/>
      <c r="BJ136" s="212"/>
      <c r="BK136" s="212"/>
      <c r="BL136" s="212"/>
      <c r="BM136" s="212">
        <f t="shared" ref="BM136:CJ136" si="203">+BM117</f>
        <v>0.10784537968892956</v>
      </c>
      <c r="BN136" s="212">
        <f t="shared" si="203"/>
        <v>0.11425247236765561</v>
      </c>
      <c r="BO136" s="212">
        <f t="shared" si="203"/>
        <v>0.12181303116147309</v>
      </c>
      <c r="BP136" s="212">
        <f t="shared" si="203"/>
        <v>0.13838532883642496</v>
      </c>
      <c r="BQ136" s="212">
        <f t="shared" si="203"/>
        <v>0.10654429369513169</v>
      </c>
      <c r="BR136" s="212">
        <f t="shared" si="203"/>
        <v>0.11656861403748803</v>
      </c>
      <c r="BS136" s="212">
        <f t="shared" si="203"/>
        <v>0.12098765432098765</v>
      </c>
      <c r="BT136" s="212">
        <f t="shared" si="203"/>
        <v>0.12488473191937821</v>
      </c>
      <c r="BU136" s="212">
        <f t="shared" si="203"/>
        <v>0.1274229902329076</v>
      </c>
      <c r="BV136" s="212">
        <f t="shared" si="203"/>
        <v>0.1208635360857233</v>
      </c>
      <c r="BW136" s="212">
        <f t="shared" si="203"/>
        <v>0.13414634146341464</v>
      </c>
      <c r="BX136" s="212">
        <f t="shared" si="203"/>
        <v>0.12973290284707953</v>
      </c>
      <c r="BY136" s="212">
        <f t="shared" si="203"/>
        <v>0.15615091946734305</v>
      </c>
      <c r="BZ136" s="212">
        <f t="shared" si="203"/>
        <v>0.14669051878354203</v>
      </c>
      <c r="CA136" s="212">
        <f t="shared" si="203"/>
        <v>0.15461106655974338</v>
      </c>
      <c r="CB136" s="212">
        <f t="shared" si="203"/>
        <v>0.14016418364244451</v>
      </c>
      <c r="CC136" s="212">
        <f t="shared" si="203"/>
        <v>0.16454284804077732</v>
      </c>
      <c r="CD136" s="212">
        <f t="shared" si="203"/>
        <v>0.15418652144315861</v>
      </c>
      <c r="CE136" s="212">
        <f t="shared" si="203"/>
        <v>0.16722972972972974</v>
      </c>
      <c r="CF136" s="212">
        <f t="shared" si="203"/>
        <v>0.1567528735632184</v>
      </c>
      <c r="CG136" s="212">
        <f t="shared" ca="1" si="203"/>
        <v>0.16839151635606173</v>
      </c>
      <c r="CH136" s="212">
        <f t="shared" ca="1" si="203"/>
        <v>0.16757195181183074</v>
      </c>
      <c r="CI136" s="212">
        <f t="shared" ca="1" si="203"/>
        <v>0.17351101411272038</v>
      </c>
      <c r="CJ136" s="212">
        <f t="shared" ca="1" si="203"/>
        <v>0.16859797964783219</v>
      </c>
      <c r="CO136" s="212"/>
      <c r="DK136" s="212"/>
      <c r="DL136" s="236"/>
      <c r="DM136" s="237"/>
      <c r="DN136" s="37"/>
      <c r="DO136" s="212"/>
      <c r="DP136" s="37"/>
      <c r="DQ136" s="37"/>
      <c r="DR136" s="37"/>
      <c r="DS136" s="37"/>
      <c r="DT136" s="37"/>
      <c r="DU136" s="37"/>
      <c r="DV136" s="37"/>
      <c r="DW136" s="37"/>
      <c r="DX136" s="37"/>
      <c r="DY136" s="37"/>
      <c r="DZ136" s="37"/>
    </row>
    <row r="137" spans="1:136" hidden="1" outlineLevel="1">
      <c r="A137" s="69"/>
      <c r="B137" s="69"/>
      <c r="C137" s="69"/>
      <c r="D137" s="69"/>
      <c r="E137" s="69"/>
      <c r="F137" s="69"/>
      <c r="G137" s="69"/>
      <c r="H137" s="69"/>
      <c r="I137" s="69"/>
      <c r="J137" s="69"/>
      <c r="K137" s="69"/>
      <c r="L137" s="69"/>
      <c r="M137" s="69"/>
      <c r="N137" s="69"/>
      <c r="O137" s="69"/>
      <c r="P137" s="69"/>
      <c r="Q137" s="69"/>
      <c r="R137" s="69"/>
      <c r="S137" s="69"/>
      <c r="T137" s="69"/>
      <c r="U137" s="69"/>
      <c r="V137" s="69"/>
      <c r="W137" s="69"/>
      <c r="X137" s="69"/>
      <c r="Y137" s="69"/>
      <c r="Z137" s="69"/>
      <c r="AA137" s="69"/>
      <c r="AC137" s="69"/>
      <c r="AD137" s="69"/>
      <c r="AE137" s="69"/>
      <c r="AF137" s="69"/>
      <c r="AG137" s="69"/>
      <c r="AH137" s="69"/>
      <c r="AI137" s="69"/>
      <c r="AJ137" s="69"/>
      <c r="AK137" s="69"/>
      <c r="AL137" s="69"/>
      <c r="AM137" s="69"/>
      <c r="AN137" s="69"/>
      <c r="AO137" s="69"/>
      <c r="AP137" s="69"/>
      <c r="AQ137" s="69"/>
      <c r="AR137" s="69"/>
      <c r="AS137" s="69"/>
      <c r="AT137" s="69"/>
      <c r="AU137" s="69"/>
      <c r="AV137" s="69"/>
      <c r="AW137" s="69"/>
      <c r="AX137" s="69"/>
      <c r="AY137" s="69"/>
      <c r="AZ137" s="69"/>
      <c r="BA137" s="69"/>
      <c r="BB137" s="69"/>
      <c r="BC137" s="69"/>
      <c r="BD137" s="69"/>
      <c r="BE137" s="69"/>
      <c r="BF137" s="69"/>
      <c r="BG137" s="69"/>
      <c r="BH137" s="69"/>
      <c r="BI137" s="69"/>
      <c r="BJ137" s="69"/>
      <c r="BK137" s="69"/>
      <c r="BL137" s="69"/>
      <c r="BM137" s="69"/>
      <c r="BN137" s="69"/>
      <c r="BO137" s="69"/>
      <c r="BP137" s="69"/>
      <c r="BQ137" s="69"/>
      <c r="BR137" s="69"/>
      <c r="BS137" s="69"/>
      <c r="BT137" s="69"/>
      <c r="BU137" s="69"/>
      <c r="BV137" s="69"/>
      <c r="BW137" s="69"/>
      <c r="BX137" s="69"/>
      <c r="BY137" s="69"/>
    </row>
    <row r="138" spans="1:136" s="218" customFormat="1" collapsed="1">
      <c r="A138" s="215" t="s">
        <v>201</v>
      </c>
      <c r="B138" s="215"/>
      <c r="C138" s="215"/>
      <c r="D138" s="215"/>
      <c r="E138" s="215"/>
      <c r="F138" s="215"/>
      <c r="G138" s="215"/>
      <c r="H138" s="215"/>
      <c r="I138" s="215"/>
      <c r="J138" s="215"/>
      <c r="K138" s="215"/>
      <c r="L138" s="215"/>
      <c r="M138" s="215"/>
      <c r="N138" s="215"/>
      <c r="O138" s="215"/>
      <c r="P138" s="215"/>
      <c r="Q138" s="215"/>
      <c r="R138" s="215"/>
      <c r="S138" s="215"/>
      <c r="T138" s="215"/>
      <c r="U138" s="215"/>
      <c r="V138" s="215"/>
      <c r="W138" s="215"/>
      <c r="X138" s="215"/>
      <c r="Y138" s="215"/>
      <c r="Z138" s="215"/>
      <c r="AA138" s="215"/>
      <c r="AB138" s="216"/>
      <c r="AC138" s="215"/>
      <c r="AD138" s="215"/>
      <c r="AE138" s="215"/>
      <c r="AF138" s="215"/>
      <c r="AG138" s="215"/>
      <c r="AH138" s="215"/>
      <c r="AI138" s="215"/>
      <c r="AJ138" s="215"/>
      <c r="AK138" s="215"/>
      <c r="AL138" s="215"/>
      <c r="AM138" s="215"/>
      <c r="AN138" s="215"/>
      <c r="AO138" s="215"/>
      <c r="AP138" s="215"/>
      <c r="AQ138" s="215"/>
      <c r="AR138" s="215"/>
      <c r="AS138" s="215"/>
      <c r="AT138" s="215"/>
      <c r="AU138" s="215"/>
      <c r="AV138" s="215"/>
      <c r="AW138" s="215"/>
      <c r="AX138" s="215"/>
      <c r="AY138" s="215"/>
      <c r="AZ138" s="215"/>
      <c r="BA138" s="215"/>
      <c r="BB138" s="215"/>
      <c r="BC138" s="215"/>
      <c r="BD138" s="215"/>
      <c r="BE138" s="215"/>
      <c r="BF138" s="215"/>
      <c r="BG138" s="215"/>
      <c r="BH138" s="215"/>
      <c r="BI138" s="215"/>
      <c r="BJ138" s="215"/>
      <c r="BK138" s="215"/>
      <c r="BL138" s="215"/>
      <c r="BM138" s="215"/>
      <c r="BN138" s="215"/>
      <c r="BO138" s="215"/>
      <c r="BP138" s="215"/>
      <c r="BQ138" s="215"/>
      <c r="BR138" s="215"/>
      <c r="BS138" s="215"/>
      <c r="BT138" s="215"/>
      <c r="BU138" s="215"/>
      <c r="BV138" s="215"/>
      <c r="BW138" s="240"/>
      <c r="BX138" s="215"/>
      <c r="BY138" s="215"/>
      <c r="BZ138" s="215"/>
      <c r="CA138" s="215"/>
      <c r="CB138" s="215"/>
      <c r="CC138" s="215"/>
      <c r="CD138" s="215"/>
      <c r="CE138" s="215"/>
      <c r="CF138" s="215"/>
      <c r="CG138" s="215"/>
      <c r="CH138" s="215"/>
      <c r="CI138" s="215"/>
      <c r="CJ138" s="215"/>
      <c r="CO138" s="220"/>
      <c r="DK138" s="43"/>
      <c r="DL138" s="211"/>
      <c r="DM138" s="211"/>
      <c r="DN138" s="211"/>
      <c r="DO138" s="211"/>
      <c r="DP138" s="211"/>
      <c r="DQ138" s="211"/>
      <c r="DR138" s="211"/>
      <c r="DS138" s="211"/>
      <c r="DT138" s="211"/>
      <c r="DU138" s="211"/>
      <c r="DV138" s="211"/>
      <c r="DW138" s="211"/>
      <c r="DX138" s="211"/>
      <c r="DY138" s="211"/>
      <c r="DZ138" s="211"/>
      <c r="EA138"/>
      <c r="EB138"/>
      <c r="EC138"/>
      <c r="ED138"/>
      <c r="EE138"/>
      <c r="EF138"/>
    </row>
    <row r="139" spans="1:136" s="90" customFormat="1">
      <c r="A139" s="93" t="s">
        <v>176</v>
      </c>
      <c r="B139" s="241"/>
      <c r="C139" s="241"/>
      <c r="D139" s="241"/>
      <c r="E139" s="241"/>
      <c r="F139" s="241"/>
      <c r="G139" s="241"/>
      <c r="H139" s="241"/>
      <c r="I139" s="241"/>
      <c r="J139" s="241"/>
      <c r="K139" s="241"/>
      <c r="L139" s="241"/>
      <c r="M139" s="241"/>
      <c r="N139" s="241"/>
      <c r="O139" s="241"/>
      <c r="P139" s="241"/>
      <c r="Q139" s="241"/>
      <c r="R139" s="241"/>
      <c r="S139" s="241">
        <f>+S140+S141</f>
        <v>9172</v>
      </c>
      <c r="T139" s="241">
        <f ca="1">+T140+T141/T144</f>
        <v>3552.5322929334875</v>
      </c>
      <c r="U139" s="241"/>
      <c r="V139" s="241"/>
      <c r="W139" s="241"/>
      <c r="X139" s="241"/>
      <c r="Y139" s="241"/>
      <c r="Z139" s="241"/>
      <c r="AA139" s="241"/>
      <c r="AB139" s="93"/>
      <c r="AC139" s="87"/>
      <c r="AD139" s="87"/>
      <c r="AE139" s="87"/>
      <c r="AF139" s="87"/>
      <c r="AG139" s="87"/>
      <c r="AH139" s="87"/>
      <c r="AI139" s="87"/>
      <c r="AJ139" s="87"/>
      <c r="AK139" s="87"/>
      <c r="AL139" s="87"/>
      <c r="AM139" s="87"/>
      <c r="AN139" s="87"/>
      <c r="AO139" s="87"/>
      <c r="AP139" s="87"/>
      <c r="AQ139" s="87"/>
      <c r="AR139" s="87"/>
      <c r="AS139" s="87" t="s">
        <v>202</v>
      </c>
      <c r="AT139" s="87"/>
      <c r="AU139" s="87"/>
      <c r="AV139" s="87"/>
      <c r="AW139" s="87" t="s">
        <v>202</v>
      </c>
      <c r="AX139" s="87"/>
      <c r="AY139" s="87"/>
      <c r="AZ139" s="87"/>
      <c r="BA139" s="87"/>
      <c r="BB139" s="87"/>
      <c r="BC139" s="87"/>
      <c r="BD139" s="87"/>
      <c r="BE139" s="87"/>
      <c r="BF139" s="87"/>
      <c r="BG139" s="87"/>
      <c r="BH139" s="87"/>
      <c r="BI139" s="87"/>
      <c r="BJ139" s="87"/>
      <c r="BK139" s="87"/>
      <c r="BL139" s="87"/>
      <c r="BM139" s="87"/>
      <c r="BN139" s="87"/>
      <c r="BO139" s="87"/>
      <c r="BP139" s="87"/>
      <c r="BQ139" s="158"/>
      <c r="BR139" s="158"/>
      <c r="BS139" s="691" t="s">
        <v>573</v>
      </c>
      <c r="BT139" s="692" t="s">
        <v>572</v>
      </c>
      <c r="BU139" s="158"/>
      <c r="BV139" s="158"/>
      <c r="BW139" s="700"/>
      <c r="BX139" s="158"/>
      <c r="BY139" s="158"/>
      <c r="BZ139" s="158"/>
      <c r="CA139" s="158"/>
      <c r="CB139" s="158"/>
      <c r="CC139" s="158"/>
      <c r="CD139" s="158"/>
      <c r="CE139" s="87"/>
      <c r="CF139" s="120"/>
      <c r="CG139" s="87"/>
      <c r="CH139" s="87"/>
      <c r="CI139" s="87"/>
      <c r="CJ139" s="87"/>
      <c r="CO139" s="39"/>
      <c r="DK139" s="39"/>
      <c r="DL139" s="39"/>
      <c r="DM139" s="39"/>
      <c r="DN139" s="39"/>
      <c r="DO139" s="39"/>
      <c r="DP139" s="39"/>
      <c r="DQ139" s="39"/>
      <c r="DR139" s="39"/>
      <c r="DS139" s="39"/>
      <c r="DT139" s="39"/>
      <c r="DU139" s="39"/>
      <c r="DV139" s="39"/>
      <c r="DW139" s="39"/>
      <c r="DX139" s="39"/>
      <c r="DY139" s="39"/>
      <c r="DZ139" s="39"/>
      <c r="EA139"/>
      <c r="EB139"/>
      <c r="EC139"/>
      <c r="ED139"/>
      <c r="EE139"/>
      <c r="EF139"/>
    </row>
    <row r="140" spans="1:136" s="90" customFormat="1">
      <c r="A140" s="87" t="s">
        <v>54</v>
      </c>
      <c r="B140" s="241"/>
      <c r="C140" s="241"/>
      <c r="D140" s="241"/>
      <c r="E140" s="241"/>
      <c r="F140" s="241"/>
      <c r="G140" s="241"/>
      <c r="H140" s="241"/>
      <c r="I140" s="241"/>
      <c r="J140" s="241"/>
      <c r="K140" s="120"/>
      <c r="L140" s="120">
        <f>+L154</f>
        <v>4541</v>
      </c>
      <c r="M140" s="120">
        <f>+M154</f>
        <v>5403</v>
      </c>
      <c r="N140" s="120">
        <f>+N154</f>
        <v>5396</v>
      </c>
      <c r="O140" s="120">
        <f>+O154</f>
        <v>5382</v>
      </c>
      <c r="P140" s="675">
        <v>4388</v>
      </c>
      <c r="Q140" s="241">
        <f>+SUM(BU140:BX140)</f>
        <v>3762</v>
      </c>
      <c r="R140" s="241">
        <f>+SUM(BY140:CB140)</f>
        <v>3384</v>
      </c>
      <c r="S140" s="241">
        <f>+SUM(CC140:CF140)</f>
        <v>3566</v>
      </c>
      <c r="T140" s="241">
        <f>+Sales!T153</f>
        <v>3552.31</v>
      </c>
      <c r="U140" s="241">
        <f>+Sales!U153</f>
        <v>3729.9254999999998</v>
      </c>
      <c r="V140" s="241">
        <f>+Sales!V153</f>
        <v>3953.7210299999997</v>
      </c>
      <c r="W140" s="241">
        <f>+Sales!W153</f>
        <v>4204.7823154049993</v>
      </c>
      <c r="X140" s="241">
        <f>+Sales!X153</f>
        <v>4466.1095363074201</v>
      </c>
      <c r="Y140" s="241">
        <f>+Sales!Y153</f>
        <v>4738.251920902313</v>
      </c>
      <c r="Z140" s="241">
        <f>+Sales!Z153</f>
        <v>5021.7960232269888</v>
      </c>
      <c r="AA140" s="241">
        <f>+Sales!AA153</f>
        <v>5317.3656293946678</v>
      </c>
      <c r="AB140" s="93"/>
      <c r="AC140" s="87"/>
      <c r="AD140" s="87"/>
      <c r="AE140" s="87"/>
      <c r="AF140" s="87"/>
      <c r="AG140" s="87"/>
      <c r="AH140" s="87"/>
      <c r="AI140" s="87"/>
      <c r="AJ140" s="87"/>
      <c r="AK140" s="87"/>
      <c r="AL140" s="87"/>
      <c r="AM140" s="87"/>
      <c r="AN140" s="87"/>
      <c r="AO140" s="87"/>
      <c r="AP140" s="87"/>
      <c r="AQ140" s="87"/>
      <c r="AR140" s="87"/>
      <c r="AS140" s="87"/>
      <c r="AT140" s="87"/>
      <c r="AU140" s="87"/>
      <c r="AV140" s="87"/>
      <c r="AW140" s="87"/>
      <c r="AX140" s="87"/>
      <c r="AY140" s="87"/>
      <c r="AZ140" s="87"/>
      <c r="BA140" s="87"/>
      <c r="BB140" s="87"/>
      <c r="BC140" s="87"/>
      <c r="BD140" s="87"/>
      <c r="BE140" s="175">
        <f t="shared" ref="BE140:BS140" si="204">+BE154</f>
        <v>1256</v>
      </c>
      <c r="BF140" s="175">
        <f t="shared" si="204"/>
        <v>1415</v>
      </c>
      <c r="BG140" s="175">
        <f t="shared" si="204"/>
        <v>1379</v>
      </c>
      <c r="BH140" s="175">
        <f t="shared" si="204"/>
        <v>1353</v>
      </c>
      <c r="BI140" s="175">
        <f t="shared" si="204"/>
        <v>1370</v>
      </c>
      <c r="BJ140" s="175">
        <f t="shared" si="204"/>
        <v>1340</v>
      </c>
      <c r="BK140" s="175">
        <f t="shared" si="204"/>
        <v>1286</v>
      </c>
      <c r="BL140" s="175">
        <f t="shared" si="204"/>
        <v>1400</v>
      </c>
      <c r="BM140" s="175">
        <f t="shared" si="204"/>
        <v>1398</v>
      </c>
      <c r="BN140" s="175">
        <f t="shared" si="204"/>
        <v>1339</v>
      </c>
      <c r="BO140" s="175">
        <f t="shared" si="204"/>
        <v>1308</v>
      </c>
      <c r="BP140" s="175">
        <f t="shared" si="204"/>
        <v>1337</v>
      </c>
      <c r="BQ140" s="175">
        <f t="shared" si="204"/>
        <v>1118</v>
      </c>
      <c r="BR140" s="175">
        <f t="shared" si="204"/>
        <v>1086</v>
      </c>
      <c r="BS140" s="175">
        <f t="shared" si="204"/>
        <v>1123</v>
      </c>
      <c r="BT140" s="175">
        <f>+BT154</f>
        <v>1061</v>
      </c>
      <c r="BU140" s="175">
        <v>1037</v>
      </c>
      <c r="BV140" s="175">
        <v>937</v>
      </c>
      <c r="BW140" s="175">
        <v>916</v>
      </c>
      <c r="BX140" s="175">
        <v>872</v>
      </c>
      <c r="BY140" s="175">
        <v>815</v>
      </c>
      <c r="BZ140" s="175">
        <v>841</v>
      </c>
      <c r="CA140" s="175">
        <v>866</v>
      </c>
      <c r="CB140" s="175">
        <v>862</v>
      </c>
      <c r="CC140" s="161">
        <v>910</v>
      </c>
      <c r="CD140" s="161">
        <v>848</v>
      </c>
      <c r="CE140" s="161">
        <v>908</v>
      </c>
      <c r="CF140" s="161">
        <v>900</v>
      </c>
      <c r="CG140" s="87">
        <f>+Sales!CG153</f>
        <v>905.45</v>
      </c>
      <c r="CH140" s="87">
        <f>+Sales!CH153</f>
        <v>864.96</v>
      </c>
      <c r="CI140" s="87">
        <f>+Sales!CI153</f>
        <v>903.46</v>
      </c>
      <c r="CJ140" s="87">
        <f>+Sales!CJ153</f>
        <v>878.43999999999994</v>
      </c>
      <c r="CK140" s="715"/>
      <c r="CL140" s="57"/>
      <c r="CO140" s="39"/>
      <c r="DK140" s="39"/>
      <c r="DL140" s="39"/>
      <c r="DM140" s="39"/>
      <c r="DN140" s="39"/>
      <c r="DO140" s="39"/>
      <c r="DP140" s="39"/>
      <c r="DQ140" s="39"/>
      <c r="DR140" s="39"/>
      <c r="DS140" s="39"/>
      <c r="DT140" s="39"/>
      <c r="DU140" s="39"/>
      <c r="DV140" s="39"/>
      <c r="DW140" s="39"/>
      <c r="DX140" s="39"/>
      <c r="DY140" s="39"/>
      <c r="DZ140" s="39"/>
      <c r="EA140"/>
      <c r="EB140"/>
      <c r="EC140"/>
      <c r="ED140"/>
      <c r="EE140"/>
      <c r="EF140"/>
    </row>
    <row r="141" spans="1:136" s="90" customFormat="1">
      <c r="A141" s="87" t="s">
        <v>564</v>
      </c>
      <c r="B141" s="241"/>
      <c r="C141" s="241"/>
      <c r="D141" s="241"/>
      <c r="E141" s="241"/>
      <c r="F141" s="241"/>
      <c r="G141" s="241"/>
      <c r="H141" s="241"/>
      <c r="I141" s="241"/>
      <c r="J141" s="241"/>
      <c r="K141" s="120"/>
      <c r="L141" s="704">
        <f>+L155+(SUM($P$141:$Q$141)-SUM($P$155:$Q$155))/SUM($P$156:$Q$156)*L156</f>
        <v>5914.3815908679107</v>
      </c>
      <c r="M141" s="704">
        <f>+SUM(BE141:BH141)</f>
        <v>7242.32</v>
      </c>
      <c r="N141" s="704">
        <f>+SUM(BI141:BL141)</f>
        <v>7479.7</v>
      </c>
      <c r="O141" s="704">
        <f>+SUM(BM141:BP141)</f>
        <v>7379.3</v>
      </c>
      <c r="P141" s="675">
        <v>6252</v>
      </c>
      <c r="Q141" s="241">
        <f>+SUM(BU141:BX141)</f>
        <v>5696</v>
      </c>
      <c r="R141" s="241">
        <f>+SUM(BY141:CB141)</f>
        <v>5555</v>
      </c>
      <c r="S141" s="241">
        <f>+SUM(CC141:CF141)</f>
        <v>5606</v>
      </c>
      <c r="T141" s="696">
        <f>+Sales!T166</f>
        <v>5982.9522440273622</v>
      </c>
      <c r="U141" s="696">
        <f>+Sales!U166</f>
        <v>6192.35557256832</v>
      </c>
      <c r="V141" s="696">
        <f>+Sales!V166</f>
        <v>6471.0115733338944</v>
      </c>
      <c r="W141" s="696">
        <f>+Sales!W166</f>
        <v>6749.2650709872523</v>
      </c>
      <c r="X141" s="696">
        <f>+Sales!X166</f>
        <v>7027.3347919119269</v>
      </c>
      <c r="Y141" s="696">
        <f>+Sales!Y166</f>
        <v>7305.4767029758013</v>
      </c>
      <c r="Z141" s="696">
        <f>+Sales!Z166</f>
        <v>7583.9760858466452</v>
      </c>
      <c r="AA141" s="696">
        <f>+Sales!AA166</f>
        <v>7863.1407287714428</v>
      </c>
      <c r="AB141" s="93"/>
      <c r="AC141" s="87"/>
      <c r="AD141" s="87"/>
      <c r="AE141" s="87"/>
      <c r="AF141" s="87"/>
      <c r="AG141" s="87"/>
      <c r="AH141" s="87"/>
      <c r="AI141" s="87"/>
      <c r="AJ141" s="87"/>
      <c r="AK141" s="87"/>
      <c r="AL141" s="87"/>
      <c r="AM141" s="87"/>
      <c r="AN141" s="87"/>
      <c r="AO141" s="87"/>
      <c r="AP141" s="87"/>
      <c r="AQ141" s="87"/>
      <c r="AR141" s="87"/>
      <c r="AS141" s="87"/>
      <c r="AT141" s="87"/>
      <c r="AU141" s="87"/>
      <c r="AV141" s="87"/>
      <c r="AW141" s="87"/>
      <c r="AX141" s="87"/>
      <c r="AY141" s="87"/>
      <c r="AZ141" s="87"/>
      <c r="BA141" s="87"/>
      <c r="BB141" s="87"/>
      <c r="BC141" s="87"/>
      <c r="BD141" s="87"/>
      <c r="BE141" s="87">
        <f t="shared" ref="BE141:BO141" si="205">+BE155+0.62*BE156</f>
        <v>1683.52</v>
      </c>
      <c r="BF141" s="87">
        <f t="shared" si="205"/>
        <v>1801.3</v>
      </c>
      <c r="BG141" s="87">
        <f t="shared" si="205"/>
        <v>1843.58</v>
      </c>
      <c r="BH141" s="87">
        <f t="shared" si="205"/>
        <v>1913.92</v>
      </c>
      <c r="BI141" s="87">
        <f t="shared" si="205"/>
        <v>1846.38</v>
      </c>
      <c r="BJ141" s="87">
        <f t="shared" si="205"/>
        <v>1820.3</v>
      </c>
      <c r="BK141" s="87">
        <f t="shared" si="205"/>
        <v>1777.3200000000002</v>
      </c>
      <c r="BL141" s="87">
        <f t="shared" si="205"/>
        <v>2035.7</v>
      </c>
      <c r="BM141" s="87">
        <f t="shared" si="205"/>
        <v>1902.06</v>
      </c>
      <c r="BN141" s="87">
        <f t="shared" si="205"/>
        <v>1884.1799999999998</v>
      </c>
      <c r="BO141" s="87">
        <f t="shared" si="205"/>
        <v>1723.76</v>
      </c>
      <c r="BP141" s="87">
        <f>+BP155+0.62*BP156</f>
        <v>1869.3</v>
      </c>
      <c r="BQ141" s="87">
        <f>+BQ155+($P$141-$P$155)*BQ156/$P$156</f>
        <v>1599.2141658274588</v>
      </c>
      <c r="BR141" s="87">
        <f>+BR155+($P$141-$P$155)*BR156/$P$156</f>
        <v>1553.7391742195368</v>
      </c>
      <c r="BS141" s="87">
        <f>+BS155+($P$141-$P$155)*BS156/$P$156</f>
        <v>1553.6498825109097</v>
      </c>
      <c r="BT141" s="87">
        <f>+BT155+($P$141-$P$155)*BT156/$P$156</f>
        <v>1545.3967774420946</v>
      </c>
      <c r="BU141" s="175">
        <f>1522-64</f>
        <v>1458</v>
      </c>
      <c r="BV141" s="175">
        <f>1491-63</f>
        <v>1428</v>
      </c>
      <c r="BW141" s="175">
        <f>1455-1-58</f>
        <v>1396</v>
      </c>
      <c r="BX141" s="175">
        <f>1468+3-57</f>
        <v>1414</v>
      </c>
      <c r="BY141" s="175">
        <f>1515-62</f>
        <v>1453</v>
      </c>
      <c r="BZ141" s="175">
        <f>1446-66</f>
        <v>1380</v>
      </c>
      <c r="CA141" s="175">
        <f>1443-65</f>
        <v>1378</v>
      </c>
      <c r="CB141" s="175">
        <v>1344</v>
      </c>
      <c r="CC141" s="161">
        <f>1491-59</f>
        <v>1432</v>
      </c>
      <c r="CD141" s="161">
        <f>1394-66</f>
        <v>1328</v>
      </c>
      <c r="CE141" s="161">
        <v>1401</v>
      </c>
      <c r="CF141" s="161">
        <v>1445</v>
      </c>
      <c r="CG141" s="87">
        <f>+Sales!CG166</f>
        <v>1550.8362440273618</v>
      </c>
      <c r="CH141" s="87">
        <f>+Sales!CH166</f>
        <v>1434.24</v>
      </c>
      <c r="CI141" s="87">
        <f>+Sales!CI166</f>
        <v>1479.4559999999999</v>
      </c>
      <c r="CJ141" s="87">
        <f>+Sales!CJ166</f>
        <v>1518.42</v>
      </c>
      <c r="CK141" s="715"/>
      <c r="CL141" s="57"/>
      <c r="CO141" s="39"/>
      <c r="DK141" s="39"/>
      <c r="DL141" s="39"/>
      <c r="DM141" s="39"/>
      <c r="DN141" s="39"/>
      <c r="DO141" s="39"/>
      <c r="DP141" s="39"/>
      <c r="DQ141" s="39"/>
      <c r="DR141" s="39"/>
      <c r="DS141" s="39"/>
      <c r="DT141" s="39"/>
      <c r="DU141" s="39"/>
      <c r="DV141" s="39"/>
      <c r="DW141" s="39"/>
      <c r="DX141" s="39"/>
      <c r="DY141" s="39"/>
      <c r="DZ141" s="39"/>
      <c r="EA141"/>
      <c r="EB141"/>
      <c r="EC141"/>
      <c r="ED141"/>
      <c r="EE141"/>
      <c r="EF141"/>
    </row>
    <row r="142" spans="1:136" s="90" customFormat="1">
      <c r="A142" s="87" t="s">
        <v>57</v>
      </c>
      <c r="B142" s="241"/>
      <c r="C142" s="241"/>
      <c r="D142" s="241"/>
      <c r="E142" s="241"/>
      <c r="F142" s="241"/>
      <c r="G142" s="241"/>
      <c r="H142" s="241"/>
      <c r="I142" s="241"/>
      <c r="J142" s="241"/>
      <c r="K142" s="120"/>
      <c r="L142" s="704">
        <f>+L144-L143-L141-L140</f>
        <v>14592.61840913209</v>
      </c>
      <c r="M142" s="704">
        <f>+SUM(BE142:BH142)</f>
        <v>16331.679999999998</v>
      </c>
      <c r="N142" s="704">
        <f>+SUM(BI142:BL142)</f>
        <v>15236.3</v>
      </c>
      <c r="O142" s="704">
        <f>+SUM(BM142:BP142)</f>
        <v>15546.7</v>
      </c>
      <c r="P142" s="675">
        <v>12132</v>
      </c>
      <c r="Q142" s="241">
        <f>+SUM(BU142:BX142)</f>
        <v>9793</v>
      </c>
      <c r="R142" s="241">
        <f>+SUM(BY142:CB142)</f>
        <v>9384</v>
      </c>
      <c r="S142" s="241">
        <f>+SUM(CC142:CF142)</f>
        <v>9657</v>
      </c>
      <c r="T142" s="241">
        <f ca="1">+Sales!T205</f>
        <v>10499.6</v>
      </c>
      <c r="U142" s="241">
        <f ca="1">+Sales!U205</f>
        <v>10657.094000000001</v>
      </c>
      <c r="V142" s="241">
        <f ca="1">+Sales!V205</f>
        <v>10806.293316000001</v>
      </c>
      <c r="W142" s="241">
        <f ca="1">+Sales!W205</f>
        <v>11055.918691599602</v>
      </c>
      <c r="X142" s="241">
        <f ca="1">+Sales!X205</f>
        <v>11302.355119235357</v>
      </c>
      <c r="Y142" s="241">
        <f ca="1">+Sales!Y205</f>
        <v>11546.04519796119</v>
      </c>
      <c r="Z142" s="241">
        <f ca="1">+Sales!Z205</f>
        <v>11787.414118220049</v>
      </c>
      <c r="AA142" s="241">
        <f ca="1">+Sales!AA205</f>
        <v>12026.868481457359</v>
      </c>
      <c r="AB142" s="93"/>
      <c r="AC142" s="87"/>
      <c r="AD142" s="87"/>
      <c r="AE142" s="87"/>
      <c r="AF142" s="87"/>
      <c r="AG142" s="87"/>
      <c r="AH142" s="87"/>
      <c r="AI142" s="87"/>
      <c r="AJ142" s="87"/>
      <c r="AK142" s="87"/>
      <c r="AL142" s="87"/>
      <c r="AM142" s="87"/>
      <c r="AN142" s="87"/>
      <c r="AO142" s="87"/>
      <c r="AP142" s="87"/>
      <c r="AQ142" s="87"/>
      <c r="AR142" s="87"/>
      <c r="AS142" s="87"/>
      <c r="AT142" s="87"/>
      <c r="AU142" s="87"/>
      <c r="AV142" s="87"/>
      <c r="AW142" s="87"/>
      <c r="AX142" s="87"/>
      <c r="AY142" s="87"/>
      <c r="AZ142" s="87"/>
      <c r="BA142" s="87"/>
      <c r="BB142" s="87"/>
      <c r="BC142" s="87"/>
      <c r="BD142" s="87"/>
      <c r="BE142" s="158">
        <f t="shared" ref="BE142:BO142" si="206">+BE144-BE140-BE141-BE143</f>
        <v>3648.4799999999996</v>
      </c>
      <c r="BF142" s="158">
        <f t="shared" si="206"/>
        <v>4298.7</v>
      </c>
      <c r="BG142" s="158">
        <f t="shared" si="206"/>
        <v>3820.42</v>
      </c>
      <c r="BH142" s="158">
        <f t="shared" si="206"/>
        <v>4564.08</v>
      </c>
      <c r="BI142" s="158">
        <f t="shared" si="206"/>
        <v>3816.62</v>
      </c>
      <c r="BJ142" s="158">
        <f t="shared" si="206"/>
        <v>3681.7</v>
      </c>
      <c r="BK142" s="158">
        <f t="shared" si="206"/>
        <v>3494.6800000000003</v>
      </c>
      <c r="BL142" s="158">
        <f t="shared" si="206"/>
        <v>4243.3</v>
      </c>
      <c r="BM142" s="158">
        <f t="shared" si="206"/>
        <v>3785.9400000000005</v>
      </c>
      <c r="BN142" s="158">
        <f t="shared" si="206"/>
        <v>3667.8199999999997</v>
      </c>
      <c r="BO142" s="158">
        <f t="shared" si="206"/>
        <v>3655.24</v>
      </c>
      <c r="BP142" s="158">
        <f>+BP144-BP140-BP141-BP143</f>
        <v>4437.7</v>
      </c>
      <c r="BQ142" s="158">
        <f>+BQ144-BQ140-BQ141-BQ143</f>
        <v>3133.7858341725414</v>
      </c>
      <c r="BR142" s="158">
        <f>+BR144-BR140-BR141-BR143</f>
        <v>2946.2608257804632</v>
      </c>
      <c r="BS142" s="158">
        <f>+BS144-BS140-BS141-BS143</f>
        <v>2853.3501174890898</v>
      </c>
      <c r="BT142" s="158">
        <f>+BT144-BT140-BT141-BT143</f>
        <v>3198.6032225579056</v>
      </c>
      <c r="BU142" s="175">
        <f>2549-69</f>
        <v>2480</v>
      </c>
      <c r="BV142" s="175">
        <f>2342-74</f>
        <v>2268</v>
      </c>
      <c r="BW142" s="175">
        <f>2405-74</f>
        <v>2331</v>
      </c>
      <c r="BX142" s="175">
        <f>2815-100-1</f>
        <v>2714</v>
      </c>
      <c r="BY142" s="175">
        <f>2448-83</f>
        <v>2365</v>
      </c>
      <c r="BZ142" s="175">
        <f>2293-85</f>
        <v>2208</v>
      </c>
      <c r="CA142" s="175">
        <f>2332-89</f>
        <v>2243</v>
      </c>
      <c r="CB142" s="175">
        <v>2568</v>
      </c>
      <c r="CC142" s="161">
        <f>2365-77</f>
        <v>2288</v>
      </c>
      <c r="CD142" s="161">
        <f>2171-44</f>
        <v>2127</v>
      </c>
      <c r="CE142" s="161">
        <v>2428</v>
      </c>
      <c r="CF142" s="161">
        <v>2814</v>
      </c>
      <c r="CG142" s="87">
        <f>+Sales!CG205</f>
        <v>2601.4560000000001</v>
      </c>
      <c r="CH142" s="87">
        <f>+Sales!CH205</f>
        <v>2397.1289999999999</v>
      </c>
      <c r="CI142" s="87">
        <f ca="1">+Sales!CI205</f>
        <v>2537.2600000000002</v>
      </c>
      <c r="CJ142" s="87">
        <f>+Sales!CJ205</f>
        <v>2963.7550000000001</v>
      </c>
      <c r="CK142" s="715"/>
      <c r="CL142" s="57"/>
      <c r="CO142" s="39"/>
      <c r="DK142" s="39"/>
      <c r="DL142" s="39"/>
      <c r="DM142" s="39"/>
      <c r="DN142" s="39"/>
      <c r="DO142" s="39"/>
      <c r="DP142" s="39"/>
      <c r="DQ142" s="39"/>
      <c r="DR142" s="39"/>
      <c r="DS142" s="39"/>
      <c r="DT142" s="39"/>
      <c r="DU142" s="39"/>
      <c r="DV142" s="39"/>
      <c r="DW142" s="39"/>
      <c r="DX142" s="39"/>
      <c r="DY142" s="39"/>
      <c r="DZ142" s="39"/>
      <c r="EA142"/>
      <c r="EB142"/>
      <c r="EC142"/>
      <c r="ED142"/>
      <c r="EE142"/>
      <c r="EF142"/>
    </row>
    <row r="143" spans="1:136" s="90" customFormat="1">
      <c r="A143" s="98" t="s">
        <v>58</v>
      </c>
      <c r="B143" s="241"/>
      <c r="C143" s="241"/>
      <c r="D143" s="241"/>
      <c r="E143" s="241"/>
      <c r="F143" s="241"/>
      <c r="G143" s="241"/>
      <c r="H143" s="241"/>
      <c r="I143" s="241"/>
      <c r="J143" s="241"/>
      <c r="K143" s="120"/>
      <c r="L143" s="124">
        <f t="shared" ref="L143:O144" si="207">+L158</f>
        <v>6441</v>
      </c>
      <c r="M143" s="124">
        <f t="shared" si="207"/>
        <v>6833</v>
      </c>
      <c r="N143" s="124">
        <f t="shared" si="207"/>
        <v>6903</v>
      </c>
      <c r="O143" s="124">
        <f t="shared" si="207"/>
        <v>6991</v>
      </c>
      <c r="P143" s="676">
        <v>6936</v>
      </c>
      <c r="Q143" s="101">
        <f>+SUM(BU143:BX143)</f>
        <v>6960</v>
      </c>
      <c r="R143" s="101">
        <f>+SUM(BY143:CB143)</f>
        <v>6947</v>
      </c>
      <c r="S143" s="101">
        <f>+SUM(CC143:CF143)</f>
        <v>6797</v>
      </c>
      <c r="T143" s="101">
        <f>+Sales!T232</f>
        <v>6879.8585712314652</v>
      </c>
      <c r="U143" s="101">
        <f>+Sales!U232</f>
        <v>6983.0564497999376</v>
      </c>
      <c r="V143" s="101">
        <f>+Sales!V232</f>
        <v>7122.7175787959368</v>
      </c>
      <c r="W143" s="101">
        <f>+Sales!W232</f>
        <v>7254.4878540036616</v>
      </c>
      <c r="X143" s="101">
        <f>+Sales!X232</f>
        <v>7378.9023206998245</v>
      </c>
      <c r="Y143" s="101">
        <f>+Sales!Y232</f>
        <v>7496.485129180176</v>
      </c>
      <c r="Z143" s="101">
        <f>+Sales!Z232</f>
        <v>7607.7442132249034</v>
      </c>
      <c r="AA143" s="101">
        <f>+Sales!AA232</f>
        <v>7713.1673874980352</v>
      </c>
      <c r="AB143" s="671"/>
      <c r="AC143" s="87"/>
      <c r="AD143" s="87"/>
      <c r="AE143" s="87"/>
      <c r="AF143" s="87"/>
      <c r="AG143" s="87"/>
      <c r="AH143" s="87"/>
      <c r="AI143" s="87"/>
      <c r="AJ143" s="87"/>
      <c r="AK143" s="87"/>
      <c r="AL143" s="87"/>
      <c r="AM143" s="87"/>
      <c r="AN143" s="87"/>
      <c r="AO143" s="87"/>
      <c r="AP143" s="87"/>
      <c r="AQ143" s="87"/>
      <c r="AR143" s="87"/>
      <c r="AS143" s="87"/>
      <c r="AT143" s="87"/>
      <c r="AU143" s="87"/>
      <c r="AV143" s="87"/>
      <c r="AW143" s="87"/>
      <c r="AX143" s="87"/>
      <c r="AY143" s="87"/>
      <c r="AZ143" s="87"/>
      <c r="BA143" s="87"/>
      <c r="BB143" s="87"/>
      <c r="BC143" s="87"/>
      <c r="BD143" s="87"/>
      <c r="BE143" s="243">
        <f t="shared" ref="BE143:BP144" si="208">+BE158</f>
        <v>1602</v>
      </c>
      <c r="BF143" s="243">
        <f t="shared" si="208"/>
        <v>1648</v>
      </c>
      <c r="BG143" s="243">
        <f t="shared" si="208"/>
        <v>1735</v>
      </c>
      <c r="BH143" s="243">
        <f t="shared" si="208"/>
        <v>1848</v>
      </c>
      <c r="BI143" s="243">
        <f t="shared" si="208"/>
        <v>1634</v>
      </c>
      <c r="BJ143" s="243">
        <f t="shared" si="208"/>
        <v>1685</v>
      </c>
      <c r="BK143" s="243">
        <f t="shared" si="208"/>
        <v>1768</v>
      </c>
      <c r="BL143" s="243">
        <f t="shared" si="208"/>
        <v>1816</v>
      </c>
      <c r="BM143" s="243">
        <f t="shared" si="208"/>
        <v>1658</v>
      </c>
      <c r="BN143" s="243">
        <f t="shared" si="208"/>
        <v>1704</v>
      </c>
      <c r="BO143" s="243">
        <f t="shared" si="208"/>
        <v>1785</v>
      </c>
      <c r="BP143" s="243">
        <f>+BP158</f>
        <v>1844</v>
      </c>
      <c r="BQ143" s="243">
        <f>+BQ158</f>
        <v>1667</v>
      </c>
      <c r="BR143" s="243">
        <f>+BR158</f>
        <v>1723</v>
      </c>
      <c r="BS143" s="243">
        <f>+BS158</f>
        <v>1760</v>
      </c>
      <c r="BT143" s="243">
        <f>+BT158</f>
        <v>1786</v>
      </c>
      <c r="BU143" s="243">
        <f>1682-2</f>
        <v>1680</v>
      </c>
      <c r="BV143" s="243">
        <v>1713</v>
      </c>
      <c r="BW143" s="243">
        <f>1756-3</f>
        <v>1753</v>
      </c>
      <c r="BX143" s="243">
        <f>1823-9</f>
        <v>1814</v>
      </c>
      <c r="BY143" s="243">
        <v>1675</v>
      </c>
      <c r="BZ143" s="243">
        <f>1720</f>
        <v>1720</v>
      </c>
      <c r="CA143" s="243">
        <f>1753-5</f>
        <v>1748</v>
      </c>
      <c r="CB143" s="243">
        <v>1804</v>
      </c>
      <c r="CC143" s="100">
        <v>1648</v>
      </c>
      <c r="CD143" s="100">
        <v>1573</v>
      </c>
      <c r="CE143" s="100">
        <v>1775</v>
      </c>
      <c r="CF143" s="100">
        <v>1801</v>
      </c>
      <c r="CG143" s="98">
        <f>+Sales!CG232</f>
        <v>1651.0607845335085</v>
      </c>
      <c r="CH143" s="98">
        <f>+Sales!CH232</f>
        <v>1627.3247866979573</v>
      </c>
      <c r="CI143" s="98">
        <f>+Sales!CI232</f>
        <v>1780.325</v>
      </c>
      <c r="CJ143" s="98">
        <f>+Sales!CJ232</f>
        <v>1821.1479999999999</v>
      </c>
      <c r="CK143" s="715"/>
      <c r="CL143" s="57"/>
      <c r="CO143" s="39"/>
      <c r="DK143" s="39"/>
      <c r="DL143" s="39"/>
      <c r="DM143" s="39"/>
      <c r="DN143" s="39"/>
      <c r="DO143" s="39"/>
      <c r="DP143" s="39"/>
      <c r="DQ143" s="39"/>
      <c r="DR143" s="39"/>
      <c r="DS143" s="39"/>
      <c r="DT143" s="39"/>
      <c r="DU143" s="39"/>
      <c r="DV143" s="39"/>
      <c r="DW143" s="39"/>
      <c r="DX143" s="39"/>
      <c r="DY143" s="39"/>
      <c r="DZ143" s="39"/>
      <c r="EA143"/>
      <c r="EB143"/>
      <c r="EC143"/>
      <c r="ED143"/>
      <c r="EE143"/>
      <c r="EF143"/>
    </row>
    <row r="144" spans="1:136" s="171" customFormat="1">
      <c r="A144" s="93" t="s">
        <v>189</v>
      </c>
      <c r="B144" s="157"/>
      <c r="C144" s="157"/>
      <c r="D144" s="157"/>
      <c r="E144" s="157"/>
      <c r="F144" s="157"/>
      <c r="G144" s="157"/>
      <c r="H144" s="157"/>
      <c r="I144" s="157"/>
      <c r="J144" s="157"/>
      <c r="K144" s="107"/>
      <c r="L144" s="107">
        <f t="shared" si="207"/>
        <v>31489</v>
      </c>
      <c r="M144" s="107">
        <f t="shared" si="207"/>
        <v>35810</v>
      </c>
      <c r="N144" s="107">
        <f t="shared" si="207"/>
        <v>35015</v>
      </c>
      <c r="O144" s="107">
        <f t="shared" si="207"/>
        <v>35299</v>
      </c>
      <c r="P144" s="93">
        <f t="shared" ref="P144:AA144" si="209">+SUM(P140:P143)</f>
        <v>29708</v>
      </c>
      <c r="Q144" s="93">
        <f t="shared" si="209"/>
        <v>26211</v>
      </c>
      <c r="R144" s="93">
        <f t="shared" si="209"/>
        <v>25270</v>
      </c>
      <c r="S144" s="93">
        <f t="shared" si="209"/>
        <v>25626</v>
      </c>
      <c r="T144" s="93">
        <f t="shared" ca="1" si="209"/>
        <v>26914.720815258828</v>
      </c>
      <c r="U144" s="93">
        <f t="shared" ca="1" si="209"/>
        <v>27562.431522368257</v>
      </c>
      <c r="V144" s="93">
        <f t="shared" ca="1" si="209"/>
        <v>28353.743498129828</v>
      </c>
      <c r="W144" s="93">
        <f t="shared" ca="1" si="209"/>
        <v>29264.453931995518</v>
      </c>
      <c r="X144" s="93">
        <f t="shared" ca="1" si="209"/>
        <v>30174.701768154526</v>
      </c>
      <c r="Y144" s="93">
        <f t="shared" ca="1" si="209"/>
        <v>31086.258951019481</v>
      </c>
      <c r="Z144" s="93">
        <f t="shared" ca="1" si="209"/>
        <v>32000.93044051859</v>
      </c>
      <c r="AA144" s="93">
        <f t="shared" ca="1" si="209"/>
        <v>32920.542227121507</v>
      </c>
      <c r="AB144" s="93"/>
      <c r="AC144" s="93"/>
      <c r="AD144" s="93"/>
      <c r="AE144" s="93"/>
      <c r="AF144" s="93"/>
      <c r="AG144" s="93"/>
      <c r="AH144" s="93"/>
      <c r="AI144" s="93"/>
      <c r="AJ144" s="93"/>
      <c r="AK144" s="93"/>
      <c r="AL144" s="93"/>
      <c r="AM144" s="93"/>
      <c r="AN144" s="93"/>
      <c r="AO144" s="93"/>
      <c r="AP144" s="93"/>
      <c r="AQ144" s="93"/>
      <c r="AR144" s="93"/>
      <c r="AS144" s="93"/>
      <c r="AT144" s="93"/>
      <c r="AU144" s="93"/>
      <c r="AV144" s="93"/>
      <c r="AW144" s="93"/>
      <c r="AX144" s="93"/>
      <c r="AY144" s="93"/>
      <c r="AZ144" s="93"/>
      <c r="BA144" s="93"/>
      <c r="BB144" s="93"/>
      <c r="BC144" s="93"/>
      <c r="BD144" s="93"/>
      <c r="BE144" s="93">
        <f t="shared" si="208"/>
        <v>8190</v>
      </c>
      <c r="BF144" s="93">
        <f t="shared" si="208"/>
        <v>9163</v>
      </c>
      <c r="BG144" s="93">
        <f t="shared" si="208"/>
        <v>8778</v>
      </c>
      <c r="BH144" s="93">
        <f t="shared" si="208"/>
        <v>9679</v>
      </c>
      <c r="BI144" s="93">
        <f t="shared" si="208"/>
        <v>8667</v>
      </c>
      <c r="BJ144" s="93">
        <f t="shared" si="208"/>
        <v>8527</v>
      </c>
      <c r="BK144" s="93">
        <f t="shared" si="208"/>
        <v>8326</v>
      </c>
      <c r="BL144" s="93">
        <f t="shared" si="208"/>
        <v>9495</v>
      </c>
      <c r="BM144" s="93">
        <f t="shared" si="208"/>
        <v>8744</v>
      </c>
      <c r="BN144" s="93">
        <f t="shared" si="208"/>
        <v>8595</v>
      </c>
      <c r="BO144" s="93">
        <f t="shared" si="208"/>
        <v>8472</v>
      </c>
      <c r="BP144" s="93">
        <f t="shared" si="208"/>
        <v>9488</v>
      </c>
      <c r="BQ144" s="93">
        <f>+BQ159</f>
        <v>7518</v>
      </c>
      <c r="BR144" s="93">
        <f>+BR159</f>
        <v>7309</v>
      </c>
      <c r="BS144" s="93">
        <f>+BS159</f>
        <v>7290</v>
      </c>
      <c r="BT144" s="93">
        <f>+BT159</f>
        <v>7591</v>
      </c>
      <c r="BU144" s="93">
        <f t="shared" ref="BU144:CF144" si="210">+SUM(BU140:BU143)</f>
        <v>6655</v>
      </c>
      <c r="BV144" s="93">
        <f t="shared" si="210"/>
        <v>6346</v>
      </c>
      <c r="BW144" s="93">
        <f t="shared" si="210"/>
        <v>6396</v>
      </c>
      <c r="BX144" s="93">
        <f t="shared" si="210"/>
        <v>6814</v>
      </c>
      <c r="BY144" s="93">
        <f t="shared" si="210"/>
        <v>6308</v>
      </c>
      <c r="BZ144" s="93">
        <f t="shared" si="210"/>
        <v>6149</v>
      </c>
      <c r="CA144" s="93">
        <f t="shared" si="210"/>
        <v>6235</v>
      </c>
      <c r="CB144" s="93">
        <f t="shared" si="210"/>
        <v>6578</v>
      </c>
      <c r="CC144" s="107">
        <f t="shared" si="210"/>
        <v>6278</v>
      </c>
      <c r="CD144" s="107">
        <f t="shared" si="210"/>
        <v>5876</v>
      </c>
      <c r="CE144" s="107">
        <f t="shared" si="210"/>
        <v>6512</v>
      </c>
      <c r="CF144" s="107">
        <f t="shared" si="210"/>
        <v>6960</v>
      </c>
      <c r="CG144" s="93">
        <f>+SUM(CG140:CG143)</f>
        <v>6708.8030285608711</v>
      </c>
      <c r="CH144" s="93">
        <f>+SUM(CH140:CH143)</f>
        <v>6323.653786697957</v>
      </c>
      <c r="CI144" s="93">
        <f ca="1">+SUM(CI140:CI143)</f>
        <v>6700.5010000000002</v>
      </c>
      <c r="CJ144" s="93">
        <f>+SUM(CJ140:CJ143)</f>
        <v>7181.7629999999999</v>
      </c>
      <c r="CO144" s="94"/>
      <c r="DK144" s="94"/>
      <c r="DL144" s="94"/>
      <c r="DM144" s="94"/>
      <c r="DN144" s="94"/>
      <c r="DO144" s="94"/>
      <c r="DP144" s="94"/>
      <c r="DQ144" s="94"/>
      <c r="DR144" s="94"/>
      <c r="DS144" s="94"/>
      <c r="DT144" s="94"/>
      <c r="DU144" s="94"/>
      <c r="DV144" s="94"/>
      <c r="DW144" s="94"/>
      <c r="DX144" s="94"/>
      <c r="DY144" s="94"/>
      <c r="DZ144" s="94"/>
      <c r="EA144"/>
      <c r="EB144"/>
      <c r="EC144"/>
      <c r="ED144"/>
      <c r="EE144"/>
      <c r="EF144"/>
    </row>
    <row r="145" spans="1:136" s="90" customFormat="1">
      <c r="B145" s="241"/>
      <c r="C145" s="241"/>
      <c r="D145" s="241"/>
      <c r="E145" s="241"/>
      <c r="F145" s="241"/>
      <c r="G145" s="241"/>
      <c r="H145" s="241"/>
      <c r="I145" s="241"/>
      <c r="J145" s="241"/>
      <c r="K145" s="120"/>
      <c r="L145" s="120"/>
      <c r="M145" s="120"/>
      <c r="N145" s="120"/>
      <c r="O145" s="120"/>
      <c r="P145" s="241"/>
      <c r="Q145" s="241"/>
      <c r="R145" s="241"/>
      <c r="S145" s="670">
        <f>+S139/S144</f>
        <v>0.35791773979552016</v>
      </c>
      <c r="T145" s="241"/>
      <c r="U145" s="241"/>
      <c r="V145" s="241"/>
      <c r="W145" s="241"/>
      <c r="X145" s="241"/>
      <c r="Y145" s="241"/>
      <c r="Z145" s="241"/>
      <c r="AA145" s="241"/>
      <c r="AB145" s="93"/>
      <c r="AC145" s="87"/>
      <c r="AD145" s="87"/>
      <c r="AE145" s="87"/>
      <c r="AF145" s="87"/>
      <c r="AG145" s="87"/>
      <c r="AH145" s="87"/>
      <c r="AI145" s="87"/>
      <c r="AJ145" s="87"/>
      <c r="AK145" s="87"/>
      <c r="AL145" s="87"/>
      <c r="AM145" s="87"/>
      <c r="AN145" s="87"/>
      <c r="AO145" s="87"/>
      <c r="AP145" s="87"/>
      <c r="AQ145" s="87"/>
      <c r="AR145" s="87"/>
      <c r="AS145" s="87"/>
      <c r="AT145" s="87"/>
      <c r="AU145" s="87"/>
      <c r="AV145" s="87"/>
      <c r="AW145" s="87"/>
      <c r="AX145" s="87"/>
      <c r="AY145" s="87"/>
      <c r="AZ145" s="87"/>
      <c r="BA145" s="87"/>
      <c r="BB145" s="87"/>
      <c r="BC145" s="87"/>
      <c r="BD145" s="87"/>
      <c r="BE145" s="158"/>
      <c r="BF145" s="158"/>
      <c r="BG145" s="158"/>
      <c r="BH145" s="158"/>
      <c r="BI145" s="158"/>
      <c r="BJ145" s="158"/>
      <c r="BK145" s="158"/>
      <c r="BL145" s="158"/>
      <c r="BM145" s="158"/>
      <c r="BN145" s="158"/>
      <c r="BO145" s="158"/>
      <c r="BP145" s="158"/>
      <c r="BQ145" s="158"/>
      <c r="BR145" s="158"/>
      <c r="BS145" s="158"/>
      <c r="BT145" s="158"/>
      <c r="BU145" s="158"/>
      <c r="BV145" s="158"/>
      <c r="BW145" s="158"/>
      <c r="BX145" s="158"/>
      <c r="BY145" s="158"/>
      <c r="BZ145" s="158"/>
      <c r="CA145" s="158"/>
      <c r="CB145" s="158"/>
      <c r="CC145" s="120"/>
      <c r="CD145" s="120"/>
      <c r="CE145" s="120"/>
      <c r="CF145" s="120"/>
      <c r="CG145" s="87"/>
      <c r="CH145" s="87"/>
      <c r="CI145" s="87"/>
      <c r="CJ145" s="87"/>
      <c r="CO145" s="39"/>
      <c r="DK145" s="39"/>
      <c r="DL145" s="39"/>
      <c r="DM145" s="39"/>
      <c r="DN145" s="39"/>
      <c r="DO145" s="39"/>
      <c r="DP145" s="39"/>
      <c r="DQ145" s="39"/>
      <c r="DR145" s="39"/>
      <c r="DS145" s="39"/>
      <c r="DT145" s="39"/>
      <c r="DU145" s="39"/>
      <c r="DV145" s="39"/>
      <c r="DW145" s="39"/>
      <c r="DX145" s="39"/>
      <c r="DY145" s="39"/>
      <c r="DZ145" s="39"/>
      <c r="EA145"/>
      <c r="EB145"/>
      <c r="EC145"/>
      <c r="ED145"/>
      <c r="EE145"/>
      <c r="EF145"/>
    </row>
    <row r="146" spans="1:136" s="90" customFormat="1">
      <c r="A146" s="93" t="s">
        <v>567</v>
      </c>
      <c r="B146" s="241"/>
      <c r="C146" s="241"/>
      <c r="D146" s="241"/>
      <c r="E146" s="241"/>
      <c r="F146" s="241"/>
      <c r="G146" s="241"/>
      <c r="H146" s="241"/>
      <c r="I146" s="241"/>
      <c r="J146" s="241"/>
      <c r="K146" s="120"/>
      <c r="L146" s="120"/>
      <c r="M146" s="120"/>
      <c r="N146" s="120"/>
      <c r="O146" s="120"/>
      <c r="P146" s="722"/>
      <c r="Q146" s="722"/>
      <c r="R146" s="722"/>
      <c r="S146" s="722"/>
      <c r="T146" s="722"/>
      <c r="U146" s="722"/>
      <c r="V146" s="722"/>
      <c r="W146" s="722"/>
      <c r="X146" s="722"/>
      <c r="Y146" s="722"/>
      <c r="Z146" s="722"/>
      <c r="AA146" s="722"/>
      <c r="AB146" s="155"/>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c r="AX146" s="158"/>
      <c r="AY146" s="158"/>
      <c r="AZ146" s="158"/>
      <c r="BA146" s="158"/>
      <c r="BB146" s="158"/>
      <c r="BC146" s="158"/>
      <c r="BD146" s="158"/>
      <c r="BE146" s="691"/>
      <c r="BF146" s="691"/>
      <c r="BG146" s="691"/>
      <c r="BH146" s="691"/>
      <c r="BI146" s="691"/>
      <c r="BJ146" s="691"/>
      <c r="BK146" s="691"/>
      <c r="BL146" s="691"/>
      <c r="BM146" s="691"/>
      <c r="BN146" s="691"/>
      <c r="BO146" s="691"/>
      <c r="BP146" s="691"/>
      <c r="BQ146" s="691"/>
      <c r="BR146" s="691"/>
      <c r="BS146" s="691" t="s">
        <v>573</v>
      </c>
      <c r="BT146" s="691" t="s">
        <v>572</v>
      </c>
      <c r="BU146" s="691"/>
      <c r="BV146" s="691"/>
      <c r="BW146" s="691"/>
      <c r="BX146" s="691"/>
      <c r="BY146" s="691"/>
      <c r="BZ146" s="691"/>
      <c r="CA146" s="691"/>
      <c r="CB146" s="691"/>
      <c r="CC146" s="700"/>
      <c r="CD146" s="700"/>
      <c r="CE146" s="700"/>
      <c r="CF146" s="120"/>
      <c r="CG146" s="87"/>
      <c r="CH146" s="87"/>
      <c r="CI146" s="87"/>
      <c r="CJ146" s="87"/>
      <c r="CO146" s="39"/>
      <c r="DK146" s="39"/>
      <c r="DL146" s="39"/>
      <c r="DM146" s="39"/>
      <c r="DN146" s="39"/>
      <c r="DO146" s="39"/>
      <c r="DP146" s="39"/>
      <c r="DQ146" s="39"/>
      <c r="DR146" s="39"/>
      <c r="DS146" s="39"/>
      <c r="DT146" s="39"/>
      <c r="DU146" s="39"/>
      <c r="DV146" s="39"/>
      <c r="DW146" s="39"/>
      <c r="DX146" s="39"/>
      <c r="DY146" s="39"/>
      <c r="DZ146" s="39"/>
      <c r="EA146"/>
      <c r="EB146"/>
      <c r="EC146"/>
      <c r="ED146"/>
      <c r="EE146"/>
      <c r="EF146"/>
    </row>
    <row r="147" spans="1:136" s="90" customFormat="1">
      <c r="A147" s="87" t="s">
        <v>54</v>
      </c>
      <c r="B147" s="241"/>
      <c r="C147" s="241"/>
      <c r="D147" s="241"/>
      <c r="E147" s="241"/>
      <c r="F147" s="241"/>
      <c r="G147" s="241"/>
      <c r="H147" s="241"/>
      <c r="I147" s="241"/>
      <c r="J147" s="241"/>
      <c r="K147" s="120"/>
      <c r="L147" s="120">
        <f>+L162</f>
        <v>561</v>
      </c>
      <c r="M147" s="120">
        <f>+M162</f>
        <v>824</v>
      </c>
      <c r="N147" s="120">
        <f>+N162</f>
        <v>814</v>
      </c>
      <c r="O147" s="120">
        <f>+O162</f>
        <v>678</v>
      </c>
      <c r="P147" s="675">
        <v>573</v>
      </c>
      <c r="Q147" s="675">
        <f>+SUM(BU147:BX147)</f>
        <v>402</v>
      </c>
      <c r="R147" s="241">
        <f>+SUM(BY147:CB147)</f>
        <v>437</v>
      </c>
      <c r="S147" s="241">
        <f>+SUM(CC147:CF147)</f>
        <v>553</v>
      </c>
      <c r="T147" s="241">
        <f t="shared" ref="T147:AA147" si="211">+T140*T123</f>
        <v>573.96702846045991</v>
      </c>
      <c r="U147" s="241">
        <f t="shared" si="211"/>
        <v>626.90989563348285</v>
      </c>
      <c r="V147" s="241">
        <f t="shared" si="211"/>
        <v>686.26995503649187</v>
      </c>
      <c r="W147" s="241">
        <f t="shared" si="211"/>
        <v>740.36005296982148</v>
      </c>
      <c r="X147" s="241">
        <f t="shared" si="211"/>
        <v>795.3056493345108</v>
      </c>
      <c r="Y147" s="241">
        <f t="shared" si="211"/>
        <v>850.8749769580628</v>
      </c>
      <c r="Z147" s="241">
        <f t="shared" si="211"/>
        <v>909.32530592653916</v>
      </c>
      <c r="AA147" s="241">
        <f t="shared" si="211"/>
        <v>968.1631493507092</v>
      </c>
      <c r="AB147" s="93"/>
      <c r="AC147" s="87"/>
      <c r="AD147" s="87"/>
      <c r="AE147" s="87"/>
      <c r="AF147" s="87"/>
      <c r="AG147" s="87"/>
      <c r="AH147" s="87"/>
      <c r="AI147" s="87"/>
      <c r="AJ147" s="87"/>
      <c r="AK147" s="87"/>
      <c r="AL147" s="87"/>
      <c r="AM147" s="87"/>
      <c r="AN147" s="87"/>
      <c r="AO147" s="87"/>
      <c r="AP147" s="87"/>
      <c r="AQ147" s="87"/>
      <c r="AR147" s="87"/>
      <c r="AS147" s="87"/>
      <c r="AT147" s="87"/>
      <c r="AU147" s="87"/>
      <c r="AV147" s="87"/>
      <c r="AW147" s="87"/>
      <c r="AX147" s="87"/>
      <c r="AY147" s="87"/>
      <c r="AZ147" s="87"/>
      <c r="BA147" s="87"/>
      <c r="BB147" s="87"/>
      <c r="BC147" s="87"/>
      <c r="BD147" s="87"/>
      <c r="BE147" s="158">
        <f t="shared" ref="BE147:BS147" si="212">+BE162</f>
        <v>171</v>
      </c>
      <c r="BF147" s="158">
        <f t="shared" si="212"/>
        <v>233</v>
      </c>
      <c r="BG147" s="158">
        <f t="shared" si="212"/>
        <v>212</v>
      </c>
      <c r="BH147" s="158">
        <f t="shared" si="212"/>
        <v>208</v>
      </c>
      <c r="BI147" s="158">
        <f t="shared" si="212"/>
        <v>172</v>
      </c>
      <c r="BJ147" s="158">
        <f t="shared" si="212"/>
        <v>217</v>
      </c>
      <c r="BK147" s="158">
        <f t="shared" si="212"/>
        <v>200</v>
      </c>
      <c r="BL147" s="158">
        <f t="shared" si="212"/>
        <v>225</v>
      </c>
      <c r="BM147" s="158">
        <f t="shared" si="212"/>
        <v>150</v>
      </c>
      <c r="BN147" s="158">
        <f t="shared" si="212"/>
        <v>166</v>
      </c>
      <c r="BO147" s="158">
        <f t="shared" si="212"/>
        <v>180</v>
      </c>
      <c r="BP147" s="158">
        <f t="shared" si="212"/>
        <v>182</v>
      </c>
      <c r="BQ147" s="158">
        <f t="shared" si="212"/>
        <v>120</v>
      </c>
      <c r="BR147" s="158">
        <f t="shared" si="212"/>
        <v>122</v>
      </c>
      <c r="BS147" s="158">
        <f t="shared" si="212"/>
        <v>125</v>
      </c>
      <c r="BT147" s="158">
        <f>+BT162</f>
        <v>206</v>
      </c>
      <c r="BU147" s="673">
        <v>136</v>
      </c>
      <c r="BV147" s="673">
        <v>103</v>
      </c>
      <c r="BW147" s="673">
        <v>91</v>
      </c>
      <c r="BX147" s="673">
        <v>72</v>
      </c>
      <c r="BY147" s="673">
        <v>85</v>
      </c>
      <c r="BZ147" s="673">
        <v>76</v>
      </c>
      <c r="CA147" s="673">
        <v>133</v>
      </c>
      <c r="CB147" s="673">
        <v>143</v>
      </c>
      <c r="CC147" s="161">
        <v>144</v>
      </c>
      <c r="CD147" s="161">
        <v>120</v>
      </c>
      <c r="CE147" s="161">
        <v>162</v>
      </c>
      <c r="CF147" s="161">
        <v>127</v>
      </c>
      <c r="CG147" s="241">
        <f t="shared" ref="CG147:CI150" si="213">+CG140*CG123</f>
        <v>148.71270000000001</v>
      </c>
      <c r="CH147" s="241">
        <f t="shared" si="213"/>
        <v>139.69919999999999</v>
      </c>
      <c r="CI147" s="241">
        <f t="shared" si="213"/>
        <v>156.67269999999999</v>
      </c>
      <c r="CJ147" s="87">
        <f>+T147-SUM(CG147:CI147)</f>
        <v>128.88242846045989</v>
      </c>
      <c r="CK147" s="715"/>
      <c r="CL147" s="57"/>
      <c r="CO147" s="39"/>
      <c r="DK147" s="39"/>
      <c r="DL147" s="39"/>
      <c r="DM147" s="39"/>
      <c r="DN147" s="39"/>
      <c r="DO147" s="39"/>
      <c r="DP147" s="39"/>
      <c r="DQ147" s="39"/>
      <c r="DR147" s="39"/>
      <c r="DS147" s="39"/>
      <c r="DT147" s="39"/>
      <c r="DU147" s="39"/>
      <c r="DV147" s="39"/>
      <c r="DW147" s="39"/>
      <c r="DX147" s="39"/>
      <c r="DY147" s="39"/>
      <c r="DZ147" s="39"/>
      <c r="EA147"/>
      <c r="EB147"/>
      <c r="EC147"/>
      <c r="ED147"/>
      <c r="EE147"/>
      <c r="EF147"/>
    </row>
    <row r="148" spans="1:136" s="90" customFormat="1">
      <c r="A148" s="87" t="s">
        <v>564</v>
      </c>
      <c r="B148" s="241"/>
      <c r="C148" s="241"/>
      <c r="D148" s="241"/>
      <c r="E148" s="241"/>
      <c r="F148" s="241"/>
      <c r="G148" s="241"/>
      <c r="H148" s="241"/>
      <c r="I148" s="241"/>
      <c r="J148" s="241"/>
      <c r="K148" s="120"/>
      <c r="L148" s="704">
        <f>+SUM(L$163:L$165)*(SUM($P148:$Q148)/SUM($P$148:$Q$149))</f>
        <v>652.07957681692733</v>
      </c>
      <c r="M148" s="704">
        <f>+SUM(BE148:BH148)</f>
        <v>1078.48</v>
      </c>
      <c r="N148" s="704">
        <f>+SUM(BI148:BL148)</f>
        <v>1094.1399999999999</v>
      </c>
      <c r="O148" s="704">
        <f>+SUM(BM148:BP148)</f>
        <v>887.88</v>
      </c>
      <c r="P148" s="675">
        <v>561</v>
      </c>
      <c r="Q148" s="675">
        <f>+SUM(BU148:BX148)</f>
        <v>532</v>
      </c>
      <c r="R148" s="241">
        <f>+SUM(BY148:CB148)</f>
        <v>647</v>
      </c>
      <c r="S148" s="241">
        <f>+SUM(CC148:CF148)</f>
        <v>730</v>
      </c>
      <c r="T148" s="241">
        <f t="shared" ref="T148:AA148" si="214">+T141*T124</f>
        <v>838.91534800930231</v>
      </c>
      <c r="U148" s="241">
        <f t="shared" si="214"/>
        <v>908.52769641132204</v>
      </c>
      <c r="V148" s="241">
        <f t="shared" si="214"/>
        <v>985.00200640316802</v>
      </c>
      <c r="W148" s="241">
        <f t="shared" si="214"/>
        <v>1047.604887891466</v>
      </c>
      <c r="X148" s="241">
        <f t="shared" si="214"/>
        <v>1104.8208788564184</v>
      </c>
      <c r="Y148" s="241">
        <f t="shared" si="214"/>
        <v>1155.8551659445311</v>
      </c>
      <c r="Z148" s="241">
        <f t="shared" si="214"/>
        <v>1207.5026526665154</v>
      </c>
      <c r="AA148" s="241">
        <f t="shared" si="214"/>
        <v>1259.8137245394107</v>
      </c>
      <c r="AB148" s="93"/>
      <c r="AC148" s="87"/>
      <c r="AD148" s="87"/>
      <c r="AE148" s="87"/>
      <c r="AF148" s="87"/>
      <c r="AG148" s="87"/>
      <c r="AH148" s="87"/>
      <c r="AI148" s="87"/>
      <c r="AJ148" s="87"/>
      <c r="AK148" s="87"/>
      <c r="AL148" s="87"/>
      <c r="AM148" s="87"/>
      <c r="AN148" s="87"/>
      <c r="AO148" s="87"/>
      <c r="AP148" s="87"/>
      <c r="AQ148" s="87"/>
      <c r="AR148" s="87"/>
      <c r="AS148" s="87"/>
      <c r="AT148" s="87"/>
      <c r="AU148" s="87"/>
      <c r="AV148" s="87"/>
      <c r="AW148" s="87"/>
      <c r="AX148" s="87"/>
      <c r="AY148" s="87"/>
      <c r="AZ148" s="87"/>
      <c r="BA148" s="87"/>
      <c r="BB148" s="87"/>
      <c r="BC148" s="87"/>
      <c r="BD148" s="87"/>
      <c r="BE148" s="158">
        <f t="shared" ref="BE148:BO148" si="215">+BE163+BE164*0.73</f>
        <v>209.82</v>
      </c>
      <c r="BF148" s="158">
        <f t="shared" si="215"/>
        <v>270.33</v>
      </c>
      <c r="BG148" s="158">
        <f t="shared" si="215"/>
        <v>304.42</v>
      </c>
      <c r="BH148" s="158">
        <f t="shared" si="215"/>
        <v>293.90999999999997</v>
      </c>
      <c r="BI148" s="158">
        <f t="shared" si="215"/>
        <v>289.2</v>
      </c>
      <c r="BJ148" s="158">
        <f t="shared" si="215"/>
        <v>263.39</v>
      </c>
      <c r="BK148" s="158">
        <f t="shared" si="215"/>
        <v>299.84000000000003</v>
      </c>
      <c r="BL148" s="158">
        <f t="shared" si="215"/>
        <v>241.70999999999998</v>
      </c>
      <c r="BM148" s="158">
        <f t="shared" si="215"/>
        <v>245.56</v>
      </c>
      <c r="BN148" s="158">
        <f t="shared" si="215"/>
        <v>241.39</v>
      </c>
      <c r="BO148" s="158">
        <f t="shared" si="215"/>
        <v>176.41</v>
      </c>
      <c r="BP148" s="158">
        <f>+BP163+BP164*0.73</f>
        <v>224.51999999999998</v>
      </c>
      <c r="BQ148" s="87">
        <f>+BQ163+($P$148-$P$163)*BQ164/$P$164</f>
        <v>183.26848249027236</v>
      </c>
      <c r="BR148" s="87">
        <f>+BR163+($P$148-$P$163)*BR164/$P$164</f>
        <v>165.43968871595331</v>
      </c>
      <c r="BS148" s="87">
        <f>+BS163+($P$148-$P$163)*BS164/$P$164</f>
        <v>117.56420233463035</v>
      </c>
      <c r="BT148" s="87">
        <f>+BT163+($P$148-$P$163)*BT164/$P$164</f>
        <v>94.727626459143977</v>
      </c>
      <c r="BU148" s="673">
        <v>150</v>
      </c>
      <c r="BV148" s="673">
        <v>153</v>
      </c>
      <c r="BW148" s="673">
        <v>148</v>
      </c>
      <c r="BX148" s="673">
        <v>81</v>
      </c>
      <c r="BY148" s="673">
        <v>217</v>
      </c>
      <c r="BZ148" s="673">
        <v>183</v>
      </c>
      <c r="CA148" s="673">
        <v>166</v>
      </c>
      <c r="CB148" s="673">
        <v>81</v>
      </c>
      <c r="CC148" s="161">
        <v>208</v>
      </c>
      <c r="CD148" s="161">
        <v>204</v>
      </c>
      <c r="CE148" s="161">
        <v>182</v>
      </c>
      <c r="CF148" s="161">
        <v>136</v>
      </c>
      <c r="CG148" s="241">
        <f t="shared" si="213"/>
        <v>225.26113041738219</v>
      </c>
      <c r="CH148" s="241">
        <f t="shared" si="213"/>
        <v>198.80640000000002</v>
      </c>
      <c r="CI148" s="241">
        <f t="shared" si="213"/>
        <v>206.98656</v>
      </c>
      <c r="CJ148" s="87">
        <f>+T148-SUM(CG148:CI148)</f>
        <v>207.86125759192009</v>
      </c>
      <c r="CK148" s="715"/>
      <c r="CL148" s="57"/>
      <c r="CO148" s="39"/>
      <c r="DK148" s="39"/>
      <c r="DL148" s="39"/>
      <c r="DM148" s="39"/>
      <c r="DN148" s="39"/>
      <c r="DO148" s="39"/>
      <c r="DP148" s="39"/>
      <c r="DQ148" s="39"/>
      <c r="DR148" s="39"/>
      <c r="DS148" s="39"/>
      <c r="DT148" s="39"/>
      <c r="DU148" s="39"/>
      <c r="DV148" s="39"/>
      <c r="DW148" s="39"/>
      <c r="DX148" s="39"/>
      <c r="DY148" s="39"/>
      <c r="DZ148" s="39"/>
      <c r="EA148"/>
      <c r="EB148"/>
      <c r="EC148"/>
      <c r="ED148"/>
      <c r="EE148"/>
      <c r="EF148"/>
    </row>
    <row r="149" spans="1:136" s="90" customFormat="1">
      <c r="A149" s="87" t="s">
        <v>57</v>
      </c>
      <c r="B149" s="241"/>
      <c r="C149" s="241"/>
      <c r="D149" s="241"/>
      <c r="E149" s="241"/>
      <c r="F149" s="241"/>
      <c r="G149" s="241"/>
      <c r="H149" s="241"/>
      <c r="I149" s="241"/>
      <c r="J149" s="241"/>
      <c r="K149" s="120"/>
      <c r="L149" s="704">
        <f>+SUM(L$163:L$165)*(SUM($P149:$Q149)/SUM($P$148:$Q$149))</f>
        <v>1941.9204231830727</v>
      </c>
      <c r="M149" s="704">
        <f>+SUM(BE149:BH149)</f>
        <v>1922.52</v>
      </c>
      <c r="N149" s="704">
        <f>+SUM(BI149:BL149)</f>
        <v>1904.86</v>
      </c>
      <c r="O149" s="704">
        <f>+SUM(BM149:BP149)</f>
        <v>2040.1200000000001</v>
      </c>
      <c r="P149" s="675">
        <v>1700</v>
      </c>
      <c r="Q149" s="675">
        <f>+SUM(BU149:BX149)</f>
        <v>1555</v>
      </c>
      <c r="R149" s="241">
        <f>+SUM(BY149:CB149)</f>
        <v>1632</v>
      </c>
      <c r="S149" s="241">
        <f>+SUM(CC149:CF149)</f>
        <v>1837</v>
      </c>
      <c r="T149" s="241">
        <f t="shared" ref="T149:AA149" ca="1" si="216">+T142*T125</f>
        <v>2070.780538510925</v>
      </c>
      <c r="U149" s="241">
        <f t="shared" ca="1" si="216"/>
        <v>2171.1133575885888</v>
      </c>
      <c r="V149" s="241">
        <f t="shared" ca="1" si="216"/>
        <v>2266.3467044908293</v>
      </c>
      <c r="W149" s="241">
        <f t="shared" ca="1" si="216"/>
        <v>2373.9789068225655</v>
      </c>
      <c r="X149" s="241">
        <f t="shared" ca="1" si="216"/>
        <v>2460.8019620133468</v>
      </c>
      <c r="Y149" s="241">
        <f t="shared" ca="1" si="216"/>
        <v>2536.9514035122388</v>
      </c>
      <c r="Z149" s="241">
        <f t="shared" ca="1" si="216"/>
        <v>2613.560947143962</v>
      </c>
      <c r="AA149" s="241">
        <f t="shared" ca="1" si="216"/>
        <v>2690.7076327471473</v>
      </c>
      <c r="AB149" s="93"/>
      <c r="AC149" s="87"/>
      <c r="AD149" s="87"/>
      <c r="AE149" s="87"/>
      <c r="AF149" s="87"/>
      <c r="AG149" s="87"/>
      <c r="AH149" s="87"/>
      <c r="AI149" s="87"/>
      <c r="AJ149" s="87"/>
      <c r="AK149" s="87"/>
      <c r="AL149" s="87"/>
      <c r="AM149" s="87"/>
      <c r="AN149" s="87"/>
      <c r="AO149" s="87"/>
      <c r="AP149" s="87"/>
      <c r="AQ149" s="87"/>
      <c r="AR149" s="87"/>
      <c r="AS149" s="87"/>
      <c r="AT149" s="87"/>
      <c r="AU149" s="87"/>
      <c r="AV149" s="87"/>
      <c r="AW149" s="87"/>
      <c r="AX149" s="87"/>
      <c r="AY149" s="87"/>
      <c r="AZ149" s="87"/>
      <c r="BA149" s="87"/>
      <c r="BB149" s="87"/>
      <c r="BC149" s="87"/>
      <c r="BD149" s="87"/>
      <c r="BE149" s="158">
        <f t="shared" ref="BE149:BO149" si="217">+BE151-BE147-BE148-BE150</f>
        <v>404.18000000000006</v>
      </c>
      <c r="BF149" s="158">
        <f t="shared" si="217"/>
        <v>519.67000000000007</v>
      </c>
      <c r="BG149" s="158">
        <f t="shared" si="217"/>
        <v>459.57999999999993</v>
      </c>
      <c r="BH149" s="158">
        <f t="shared" si="217"/>
        <v>539.09</v>
      </c>
      <c r="BI149" s="158">
        <f t="shared" si="217"/>
        <v>471.79999999999995</v>
      </c>
      <c r="BJ149" s="158">
        <f t="shared" si="217"/>
        <v>472.61</v>
      </c>
      <c r="BK149" s="158">
        <f t="shared" si="217"/>
        <v>431.15999999999997</v>
      </c>
      <c r="BL149" s="158">
        <f t="shared" si="217"/>
        <v>529.29</v>
      </c>
      <c r="BM149" s="158">
        <f t="shared" si="217"/>
        <v>454.44000000000005</v>
      </c>
      <c r="BN149" s="158">
        <f t="shared" si="217"/>
        <v>439.61</v>
      </c>
      <c r="BO149" s="158">
        <f t="shared" si="217"/>
        <v>483.59000000000003</v>
      </c>
      <c r="BP149" s="158">
        <f>+BP151-BP147-BP148-BP150</f>
        <v>662.48</v>
      </c>
      <c r="BQ149" s="158">
        <f>+BQ151-BQ147-BQ148-BQ150</f>
        <v>385.73151750972761</v>
      </c>
      <c r="BR149" s="158">
        <f>+BR151-BR147-BR148-BR150</f>
        <v>414.56031128404675</v>
      </c>
      <c r="BS149" s="158">
        <f>+BS151-BS147-BS148-BS150</f>
        <v>389.43579766536959</v>
      </c>
      <c r="BT149" s="158">
        <f>+BT151-BT147-BT148-BT150</f>
        <v>510.27237354085605</v>
      </c>
      <c r="BU149" s="673">
        <v>360</v>
      </c>
      <c r="BV149" s="673">
        <v>324</v>
      </c>
      <c r="BW149" s="673">
        <v>374</v>
      </c>
      <c r="BX149" s="673">
        <v>497</v>
      </c>
      <c r="BY149" s="673">
        <v>425</v>
      </c>
      <c r="BZ149" s="673">
        <v>350</v>
      </c>
      <c r="CA149" s="673">
        <v>401</v>
      </c>
      <c r="CB149" s="673">
        <v>456</v>
      </c>
      <c r="CC149" s="161">
        <v>428</v>
      </c>
      <c r="CD149" s="161">
        <v>384</v>
      </c>
      <c r="CE149" s="161">
        <v>453</v>
      </c>
      <c r="CF149" s="161">
        <v>572</v>
      </c>
      <c r="CG149" s="241">
        <f t="shared" si="213"/>
        <v>499.64328</v>
      </c>
      <c r="CH149" s="241">
        <f t="shared" si="213"/>
        <v>475.91632199999992</v>
      </c>
      <c r="CI149" s="241">
        <f t="shared" ca="1" si="213"/>
        <v>498.75760000000008</v>
      </c>
      <c r="CJ149" s="87">
        <f ca="1">+T149-SUM(CG149:CI149)</f>
        <v>596.46333651092505</v>
      </c>
      <c r="CK149" s="715"/>
      <c r="CL149" s="57"/>
      <c r="CO149" s="39"/>
      <c r="DK149" s="39"/>
      <c r="DL149" s="39"/>
      <c r="DM149" s="39"/>
      <c r="DN149" s="39"/>
      <c r="DO149" s="39"/>
      <c r="DP149" s="39"/>
      <c r="DQ149" s="39"/>
      <c r="DR149" s="39"/>
      <c r="DS149" s="39"/>
      <c r="DT149" s="39"/>
      <c r="DU149" s="39"/>
      <c r="DV149" s="39"/>
      <c r="DW149" s="39"/>
      <c r="DX149" s="39"/>
      <c r="DY149" s="39"/>
      <c r="DZ149" s="39"/>
      <c r="EA149"/>
      <c r="EB149"/>
      <c r="EC149"/>
      <c r="ED149"/>
      <c r="EE149"/>
      <c r="EF149"/>
    </row>
    <row r="150" spans="1:136" s="90" customFormat="1">
      <c r="A150" s="98" t="s">
        <v>58</v>
      </c>
      <c r="B150" s="241"/>
      <c r="C150" s="241"/>
      <c r="D150" s="241"/>
      <c r="E150" s="241"/>
      <c r="F150" s="241"/>
      <c r="G150" s="241"/>
      <c r="H150" s="241"/>
      <c r="I150" s="241"/>
      <c r="J150" s="241"/>
      <c r="K150" s="120"/>
      <c r="L150" s="124">
        <f>+L166</f>
        <v>901</v>
      </c>
      <c r="M150" s="124">
        <f>+M166</f>
        <v>937</v>
      </c>
      <c r="N150" s="124">
        <f>+N166</f>
        <v>955</v>
      </c>
      <c r="O150" s="124">
        <f>+O166</f>
        <v>1045</v>
      </c>
      <c r="P150" s="676">
        <v>1120</v>
      </c>
      <c r="Q150" s="676">
        <f>+SUM(BU150:BX150)</f>
        <v>1273</v>
      </c>
      <c r="R150" s="101">
        <f>+SUM(BY150:CB150)</f>
        <v>1446</v>
      </c>
      <c r="S150" s="101">
        <f>+SUM(CC150:CF150)</f>
        <v>1381</v>
      </c>
      <c r="T150" s="101">
        <f t="shared" ref="T150:AA150" si="218">+T143*T126</f>
        <v>1442.5541089417311</v>
      </c>
      <c r="U150" s="101">
        <f t="shared" si="218"/>
        <v>1509.5822874995567</v>
      </c>
      <c r="V150" s="101">
        <f t="shared" si="218"/>
        <v>1582.5102387223235</v>
      </c>
      <c r="W150" s="101">
        <f t="shared" si="218"/>
        <v>1648.0591174087049</v>
      </c>
      <c r="X150" s="101">
        <f t="shared" si="218"/>
        <v>1702.1494893947136</v>
      </c>
      <c r="Y150" s="101">
        <f t="shared" si="218"/>
        <v>1748.0144543311687</v>
      </c>
      <c r="Z150" s="101">
        <f t="shared" si="218"/>
        <v>1792.9769713881872</v>
      </c>
      <c r="AA150" s="101">
        <f t="shared" si="218"/>
        <v>1837.1057992913982</v>
      </c>
      <c r="AB150" s="93"/>
      <c r="AC150" s="87"/>
      <c r="AD150" s="87"/>
      <c r="AE150" s="87"/>
      <c r="AF150" s="87"/>
      <c r="AG150" s="87"/>
      <c r="AH150" s="87"/>
      <c r="AI150" s="87"/>
      <c r="AJ150" s="87"/>
      <c r="AK150" s="87"/>
      <c r="AL150" s="87"/>
      <c r="AM150" s="87"/>
      <c r="AN150" s="87"/>
      <c r="AO150" s="87"/>
      <c r="AP150" s="87"/>
      <c r="AQ150" s="87"/>
      <c r="AR150" s="87"/>
      <c r="AS150" s="87"/>
      <c r="AT150" s="87"/>
      <c r="AU150" s="87"/>
      <c r="AV150" s="87"/>
      <c r="AW150" s="87"/>
      <c r="AX150" s="87"/>
      <c r="AY150" s="87"/>
      <c r="AZ150" s="87"/>
      <c r="BA150" s="87"/>
      <c r="BB150" s="87"/>
      <c r="BC150" s="87"/>
      <c r="BD150" s="87"/>
      <c r="BE150" s="672">
        <f t="shared" ref="BE150:BS150" si="219">+BE166</f>
        <v>213</v>
      </c>
      <c r="BF150" s="672">
        <f t="shared" si="219"/>
        <v>221</v>
      </c>
      <c r="BG150" s="672">
        <f t="shared" si="219"/>
        <v>244</v>
      </c>
      <c r="BH150" s="672">
        <f t="shared" si="219"/>
        <v>259</v>
      </c>
      <c r="BI150" s="672">
        <f t="shared" si="219"/>
        <v>194</v>
      </c>
      <c r="BJ150" s="672">
        <f t="shared" si="219"/>
        <v>225</v>
      </c>
      <c r="BK150" s="672">
        <f t="shared" si="219"/>
        <v>272</v>
      </c>
      <c r="BL150" s="672">
        <f t="shared" si="219"/>
        <v>264</v>
      </c>
      <c r="BM150" s="672">
        <f t="shared" si="219"/>
        <v>188</v>
      </c>
      <c r="BN150" s="672">
        <f t="shared" si="219"/>
        <v>226</v>
      </c>
      <c r="BO150" s="672">
        <f t="shared" si="219"/>
        <v>301</v>
      </c>
      <c r="BP150" s="672">
        <f t="shared" si="219"/>
        <v>330</v>
      </c>
      <c r="BQ150" s="672">
        <f t="shared" si="219"/>
        <v>229</v>
      </c>
      <c r="BR150" s="672">
        <f t="shared" si="219"/>
        <v>288</v>
      </c>
      <c r="BS150" s="672">
        <f t="shared" si="219"/>
        <v>311</v>
      </c>
      <c r="BT150" s="672">
        <f>+BT166</f>
        <v>292</v>
      </c>
      <c r="BU150" s="674">
        <v>295</v>
      </c>
      <c r="BV150" s="674">
        <v>291</v>
      </c>
      <c r="BW150" s="674">
        <v>331</v>
      </c>
      <c r="BX150" s="674">
        <v>356</v>
      </c>
      <c r="BY150" s="674">
        <v>350</v>
      </c>
      <c r="BZ150" s="674">
        <v>381</v>
      </c>
      <c r="CA150" s="674">
        <v>380</v>
      </c>
      <c r="CB150" s="674">
        <v>335</v>
      </c>
      <c r="CC150" s="100">
        <v>343</v>
      </c>
      <c r="CD150" s="100">
        <v>306</v>
      </c>
      <c r="CE150" s="100">
        <v>381</v>
      </c>
      <c r="CF150" s="100">
        <v>351</v>
      </c>
      <c r="CG150" s="101">
        <f t="shared" si="213"/>
        <v>346.93916592282511</v>
      </c>
      <c r="CH150" s="101">
        <f t="shared" si="213"/>
        <v>336.09584704595397</v>
      </c>
      <c r="CI150" s="101">
        <f t="shared" si="213"/>
        <v>391.044625</v>
      </c>
      <c r="CJ150" s="98">
        <f>+T150-SUM(CG150:CI150)</f>
        <v>368.47447097295208</v>
      </c>
      <c r="CK150" s="715"/>
      <c r="CL150" s="57"/>
      <c r="CO150" s="39"/>
      <c r="DK150" s="39"/>
      <c r="DL150" s="39"/>
      <c r="DM150" s="39"/>
      <c r="DN150" s="39"/>
      <c r="DO150" s="39"/>
      <c r="DP150" s="39"/>
      <c r="DQ150" s="39"/>
      <c r="DR150" s="39"/>
      <c r="DS150" s="39"/>
      <c r="DT150" s="39"/>
      <c r="DU150" s="39"/>
      <c r="DV150" s="39"/>
      <c r="DW150" s="39"/>
      <c r="DX150" s="39"/>
      <c r="DY150" s="39"/>
      <c r="DZ150" s="39"/>
      <c r="EA150"/>
      <c r="EB150"/>
      <c r="EC150"/>
      <c r="ED150"/>
      <c r="EE150"/>
      <c r="EF150"/>
    </row>
    <row r="151" spans="1:136" s="171" customFormat="1">
      <c r="A151" s="93" t="s">
        <v>189</v>
      </c>
      <c r="B151" s="157"/>
      <c r="C151" s="157"/>
      <c r="D151" s="157"/>
      <c r="E151" s="157"/>
      <c r="F151" s="157"/>
      <c r="G151" s="157"/>
      <c r="H151" s="157"/>
      <c r="I151" s="157"/>
      <c r="J151" s="157"/>
      <c r="K151" s="107"/>
      <c r="L151" s="107">
        <f t="shared" ref="L151:AA151" si="220">+SUM(L147:L150)</f>
        <v>4056</v>
      </c>
      <c r="M151" s="107">
        <f t="shared" si="220"/>
        <v>4762</v>
      </c>
      <c r="N151" s="107">
        <f t="shared" si="220"/>
        <v>4768</v>
      </c>
      <c r="O151" s="107">
        <f t="shared" si="220"/>
        <v>4651</v>
      </c>
      <c r="P151" s="93">
        <f t="shared" si="220"/>
        <v>3954</v>
      </c>
      <c r="Q151" s="93">
        <f t="shared" si="220"/>
        <v>3762</v>
      </c>
      <c r="R151" s="93">
        <f t="shared" si="220"/>
        <v>4162</v>
      </c>
      <c r="S151" s="93">
        <f>+SUM(S147:S150)</f>
        <v>4501</v>
      </c>
      <c r="T151" s="93">
        <f t="shared" ca="1" si="220"/>
        <v>4926.2170239224179</v>
      </c>
      <c r="U151" s="93">
        <f t="shared" ca="1" si="220"/>
        <v>5216.1332371329499</v>
      </c>
      <c r="V151" s="93">
        <f t="shared" ca="1" si="220"/>
        <v>5520.1289046528127</v>
      </c>
      <c r="W151" s="93">
        <f t="shared" ca="1" si="220"/>
        <v>5810.002965092558</v>
      </c>
      <c r="X151" s="93">
        <f t="shared" ca="1" si="220"/>
        <v>6063.0779795989902</v>
      </c>
      <c r="Y151" s="93">
        <f t="shared" ca="1" si="220"/>
        <v>6291.696000746002</v>
      </c>
      <c r="Z151" s="93">
        <f t="shared" ca="1" si="220"/>
        <v>6523.365877125203</v>
      </c>
      <c r="AA151" s="93">
        <f t="shared" ca="1" si="220"/>
        <v>6755.7903059286655</v>
      </c>
      <c r="AB151" s="93"/>
      <c r="AC151" s="93"/>
      <c r="AD151" s="93"/>
      <c r="AE151" s="93"/>
      <c r="AF151" s="93"/>
      <c r="AG151" s="93"/>
      <c r="AH151" s="93"/>
      <c r="AI151" s="93"/>
      <c r="AJ151" s="93"/>
      <c r="AK151" s="93"/>
      <c r="AL151" s="93"/>
      <c r="AM151" s="93"/>
      <c r="AN151" s="93"/>
      <c r="AO151" s="93"/>
      <c r="AP151" s="93"/>
      <c r="AQ151" s="93"/>
      <c r="AR151" s="93"/>
      <c r="AS151" s="93"/>
      <c r="AT151" s="93"/>
      <c r="AU151" s="93"/>
      <c r="AV151" s="93"/>
      <c r="AW151" s="93"/>
      <c r="AX151" s="93"/>
      <c r="AY151" s="93"/>
      <c r="AZ151" s="93"/>
      <c r="BA151" s="93"/>
      <c r="BB151" s="93"/>
      <c r="BC151" s="93"/>
      <c r="BD151" s="93"/>
      <c r="BE151" s="155">
        <f t="shared" ref="BE151:BS151" si="221">+BE167</f>
        <v>998</v>
      </c>
      <c r="BF151" s="155">
        <f t="shared" si="221"/>
        <v>1244</v>
      </c>
      <c r="BG151" s="155">
        <f t="shared" si="221"/>
        <v>1220</v>
      </c>
      <c r="BH151" s="155">
        <f t="shared" si="221"/>
        <v>1300</v>
      </c>
      <c r="BI151" s="155">
        <f t="shared" si="221"/>
        <v>1127</v>
      </c>
      <c r="BJ151" s="155">
        <f t="shared" si="221"/>
        <v>1178</v>
      </c>
      <c r="BK151" s="155">
        <f t="shared" si="221"/>
        <v>1203</v>
      </c>
      <c r="BL151" s="155">
        <f t="shared" si="221"/>
        <v>1260</v>
      </c>
      <c r="BM151" s="155">
        <f t="shared" si="221"/>
        <v>1038</v>
      </c>
      <c r="BN151" s="155">
        <f t="shared" si="221"/>
        <v>1073</v>
      </c>
      <c r="BO151" s="155">
        <f t="shared" si="221"/>
        <v>1141</v>
      </c>
      <c r="BP151" s="155">
        <f t="shared" si="221"/>
        <v>1399</v>
      </c>
      <c r="BQ151" s="155">
        <f t="shared" si="221"/>
        <v>918</v>
      </c>
      <c r="BR151" s="155">
        <f t="shared" si="221"/>
        <v>990</v>
      </c>
      <c r="BS151" s="155">
        <f t="shared" si="221"/>
        <v>943</v>
      </c>
      <c r="BT151" s="155">
        <f>+BT167</f>
        <v>1103</v>
      </c>
      <c r="BU151" s="93">
        <f t="shared" ref="BU151:BZ151" si="222">+SUM(BU147:BU150)</f>
        <v>941</v>
      </c>
      <c r="BV151" s="93">
        <f t="shared" si="222"/>
        <v>871</v>
      </c>
      <c r="BW151" s="93">
        <f t="shared" si="222"/>
        <v>944</v>
      </c>
      <c r="BX151" s="93">
        <f t="shared" si="222"/>
        <v>1006</v>
      </c>
      <c r="BY151" s="93">
        <f t="shared" si="222"/>
        <v>1077</v>
      </c>
      <c r="BZ151" s="93">
        <f t="shared" si="222"/>
        <v>990</v>
      </c>
      <c r="CA151" s="93">
        <f t="shared" ref="CA151:CF151" si="223">+SUM(CA147:CA150)</f>
        <v>1080</v>
      </c>
      <c r="CB151" s="93">
        <f t="shared" si="223"/>
        <v>1015</v>
      </c>
      <c r="CC151" s="107">
        <f t="shared" si="223"/>
        <v>1123</v>
      </c>
      <c r="CD151" s="107">
        <f t="shared" si="223"/>
        <v>1014</v>
      </c>
      <c r="CE151" s="107">
        <f t="shared" si="223"/>
        <v>1178</v>
      </c>
      <c r="CF151" s="107">
        <f t="shared" si="223"/>
        <v>1186</v>
      </c>
      <c r="CG151" s="93">
        <f>+SUM(CG147:CG150)</f>
        <v>1220.5562763402074</v>
      </c>
      <c r="CH151" s="93">
        <f>+SUM(CH147:CH150)</f>
        <v>1150.5177690459541</v>
      </c>
      <c r="CI151" s="93">
        <f ca="1">+SUM(CI147:CI150)</f>
        <v>1253.461485</v>
      </c>
      <c r="CJ151" s="93">
        <f ca="1">+SUM(CJ147:CJ150)</f>
        <v>1301.6814935362572</v>
      </c>
      <c r="CO151" s="94"/>
      <c r="DK151" s="94"/>
      <c r="DL151" s="94"/>
      <c r="DM151" s="94"/>
      <c r="DN151" s="94"/>
      <c r="DO151" s="94"/>
      <c r="DP151" s="94"/>
      <c r="DQ151" s="94"/>
      <c r="DR151" s="94"/>
      <c r="DS151" s="94"/>
      <c r="DT151" s="94"/>
      <c r="DU151" s="94"/>
      <c r="DV151" s="94"/>
      <c r="DW151" s="94"/>
      <c r="DX151" s="94"/>
      <c r="DY151" s="94"/>
      <c r="DZ151" s="94"/>
      <c r="EA151"/>
      <c r="EB151"/>
      <c r="EC151"/>
      <c r="ED151"/>
      <c r="EE151"/>
      <c r="EF151"/>
    </row>
    <row r="152" spans="1:136" s="90" customFormat="1">
      <c r="A152" s="93"/>
      <c r="B152" s="241"/>
      <c r="C152" s="241"/>
      <c r="D152" s="241"/>
      <c r="E152" s="241"/>
      <c r="F152" s="241"/>
      <c r="G152" s="241"/>
      <c r="H152" s="241"/>
      <c r="I152" s="241"/>
      <c r="J152" s="241"/>
      <c r="K152" s="241"/>
      <c r="L152" s="241"/>
      <c r="M152" s="241"/>
      <c r="N152" s="241"/>
      <c r="O152" s="241"/>
      <c r="P152" s="241"/>
      <c r="Q152" s="241"/>
      <c r="R152" s="241"/>
      <c r="S152" s="241"/>
      <c r="T152" s="241"/>
      <c r="U152" s="241"/>
      <c r="V152" s="241"/>
      <c r="W152" s="241"/>
      <c r="X152" s="241"/>
      <c r="Y152" s="241"/>
      <c r="Z152" s="241"/>
      <c r="AA152" s="241"/>
      <c r="AB152" s="93"/>
      <c r="AC152" s="87"/>
      <c r="AD152" s="87"/>
      <c r="AE152" s="87"/>
      <c r="AF152" s="87"/>
      <c r="AG152" s="87"/>
      <c r="AH152" s="87"/>
      <c r="AI152" s="87"/>
      <c r="AJ152" s="87"/>
      <c r="AK152" s="87"/>
      <c r="AL152" s="87"/>
      <c r="AM152" s="87"/>
      <c r="AN152" s="87"/>
      <c r="AO152" s="87"/>
      <c r="AP152" s="87"/>
      <c r="AQ152" s="87"/>
      <c r="AR152" s="87"/>
      <c r="AS152" s="87"/>
      <c r="AT152" s="87"/>
      <c r="AU152" s="87"/>
      <c r="AV152" s="87"/>
      <c r="AW152" s="87"/>
      <c r="AX152" s="87"/>
      <c r="AY152" s="87"/>
      <c r="AZ152" s="87"/>
      <c r="BA152" s="87"/>
      <c r="BB152" s="87"/>
      <c r="BC152" s="87"/>
      <c r="BD152" s="87"/>
      <c r="BE152" s="578"/>
      <c r="BF152" s="578"/>
      <c r="BG152" s="578"/>
      <c r="BH152" s="578"/>
      <c r="BI152" s="578"/>
      <c r="BJ152" s="578"/>
      <c r="BK152" s="578"/>
      <c r="BL152" s="578"/>
      <c r="BM152" s="578"/>
      <c r="BN152" s="578"/>
      <c r="BO152" s="578"/>
      <c r="BP152" s="578"/>
      <c r="BQ152" s="578"/>
      <c r="BR152" s="578"/>
      <c r="BS152" s="578"/>
      <c r="BT152" s="578"/>
      <c r="BU152" s="578"/>
      <c r="BV152" s="578"/>
      <c r="BW152" s="578"/>
      <c r="BX152" s="578"/>
      <c r="BY152" s="578"/>
      <c r="BZ152" s="578"/>
      <c r="CA152" s="578"/>
      <c r="CB152" s="578"/>
      <c r="CC152" s="87"/>
      <c r="CD152" s="87"/>
      <c r="CE152" s="87"/>
      <c r="CF152" s="120"/>
      <c r="CG152" s="87"/>
      <c r="CH152" s="87"/>
      <c r="CI152" s="87"/>
      <c r="CJ152" s="87"/>
      <c r="CO152" s="39"/>
      <c r="DK152" s="39"/>
      <c r="DL152" s="39"/>
      <c r="DM152" s="39"/>
      <c r="DN152" s="39"/>
      <c r="DO152" s="39"/>
      <c r="DP152" s="39"/>
      <c r="DQ152" s="39"/>
      <c r="DR152" s="39"/>
      <c r="DS152" s="39"/>
      <c r="DT152" s="39"/>
      <c r="DU152" s="39"/>
      <c r="DV152" s="39"/>
      <c r="DW152" s="39"/>
      <c r="DX152" s="39"/>
      <c r="DY152" s="39"/>
      <c r="DZ152" s="39"/>
      <c r="EA152"/>
      <c r="EB152"/>
      <c r="EC152"/>
      <c r="ED152"/>
      <c r="EE152"/>
      <c r="EF152"/>
    </row>
    <row r="153" spans="1:136" s="90" customFormat="1" hidden="1" outlineLevel="1">
      <c r="A153" s="93" t="s">
        <v>565</v>
      </c>
      <c r="B153" s="241"/>
      <c r="C153" s="241"/>
      <c r="D153" s="241"/>
      <c r="E153" s="241"/>
      <c r="F153" s="241"/>
      <c r="G153" s="241"/>
      <c r="H153" s="241"/>
      <c r="I153" s="241"/>
      <c r="J153" s="241"/>
      <c r="K153" s="241"/>
      <c r="L153" s="241"/>
      <c r="M153" s="241"/>
      <c r="N153" s="241"/>
      <c r="O153" s="241"/>
      <c r="P153" s="241"/>
      <c r="Q153" s="241"/>
      <c r="R153" s="241"/>
      <c r="S153" s="241"/>
      <c r="T153" s="241"/>
      <c r="U153" s="241"/>
      <c r="V153" s="241"/>
      <c r="W153" s="241"/>
      <c r="X153" s="241"/>
      <c r="Y153" s="241"/>
      <c r="Z153" s="241"/>
      <c r="AA153" s="241"/>
      <c r="AB153" s="93"/>
      <c r="AC153" s="87"/>
      <c r="AD153" s="87"/>
      <c r="AE153" s="87"/>
      <c r="AF153" s="87"/>
      <c r="AG153" s="87"/>
      <c r="AH153" s="87"/>
      <c r="AI153" s="87"/>
      <c r="AJ153" s="87"/>
      <c r="AK153" s="87"/>
      <c r="AL153" s="87"/>
      <c r="AM153" s="87"/>
      <c r="AN153" s="87"/>
      <c r="AO153" s="87"/>
      <c r="AP153" s="87"/>
      <c r="AQ153" s="87"/>
      <c r="AR153" s="87"/>
      <c r="AS153" s="87"/>
      <c r="AT153" s="87"/>
      <c r="AU153" s="87"/>
      <c r="AV153" s="87"/>
      <c r="AW153" s="87"/>
      <c r="AX153" s="87"/>
      <c r="AY153" s="87"/>
      <c r="AZ153" s="87"/>
      <c r="BA153" s="87"/>
      <c r="BB153" s="87"/>
      <c r="BC153" s="87"/>
      <c r="BD153" s="87"/>
      <c r="BE153" s="691"/>
      <c r="BF153" s="691"/>
      <c r="BG153" s="691"/>
      <c r="BH153" s="691"/>
      <c r="BI153" s="691"/>
      <c r="BJ153" s="691"/>
      <c r="BK153" s="691"/>
      <c r="BL153" s="691"/>
      <c r="BM153" s="691"/>
      <c r="BN153" s="691"/>
      <c r="BO153" s="691"/>
      <c r="BP153" s="691"/>
      <c r="BQ153" s="691"/>
      <c r="BR153" s="691"/>
      <c r="BS153" s="691"/>
      <c r="BT153" s="691"/>
      <c r="BU153" s="691"/>
      <c r="BV153" s="691"/>
      <c r="BW153" s="691"/>
      <c r="BX153" s="691"/>
      <c r="BY153" s="691"/>
      <c r="BZ153" s="691"/>
      <c r="CA153" s="691"/>
      <c r="CB153" s="691"/>
      <c r="CC153" s="87"/>
      <c r="CD153" s="87"/>
      <c r="CE153" s="87"/>
      <c r="CF153" s="87"/>
      <c r="CG153" s="87"/>
      <c r="CH153" s="87"/>
      <c r="CI153" s="87"/>
      <c r="CJ153" s="87"/>
      <c r="CO153" s="39"/>
      <c r="DK153" s="39"/>
      <c r="DL153" s="39"/>
      <c r="DM153" s="39"/>
      <c r="DN153" s="39"/>
      <c r="DO153" s="39"/>
      <c r="DP153" s="39"/>
      <c r="DQ153" s="39"/>
      <c r="DR153" s="39"/>
      <c r="DS153" s="39"/>
      <c r="DT153" s="39"/>
      <c r="DU153" s="39"/>
      <c r="DV153" s="39"/>
      <c r="DW153" s="39"/>
      <c r="DX153" s="39"/>
      <c r="DY153" s="39"/>
      <c r="DZ153" s="39"/>
      <c r="EA153"/>
      <c r="EB153"/>
      <c r="EC153"/>
      <c r="ED153"/>
      <c r="EE153"/>
      <c r="EF153"/>
    </row>
    <row r="154" spans="1:136" s="90" customFormat="1" hidden="1" outlineLevel="1">
      <c r="A154" s="87" t="s">
        <v>54</v>
      </c>
      <c r="B154" s="159"/>
      <c r="C154" s="159"/>
      <c r="D154" s="159"/>
      <c r="E154" s="159"/>
      <c r="F154" s="159"/>
      <c r="G154" s="159"/>
      <c r="H154" s="159"/>
      <c r="I154" s="159"/>
      <c r="J154" s="159"/>
      <c r="K154" s="159"/>
      <c r="L154" s="159">
        <v>4541</v>
      </c>
      <c r="M154" s="87">
        <f t="shared" ref="M154:M159" si="224">+SUM(BE154:BH154)</f>
        <v>5403</v>
      </c>
      <c r="N154" s="87">
        <f t="shared" ref="N154:N159" si="225">+SUM(BI154:BL154)</f>
        <v>5396</v>
      </c>
      <c r="O154" s="87">
        <f>+SUM(BM154:BP154)</f>
        <v>5382</v>
      </c>
      <c r="P154" s="87">
        <f>+SUM(BQ154:BT154)</f>
        <v>4388</v>
      </c>
      <c r="Q154" s="87">
        <f>+SUM(BU154:BX154)</f>
        <v>3771</v>
      </c>
      <c r="R154" s="87">
        <f>+Sales!R153</f>
        <v>3384</v>
      </c>
      <c r="S154" s="87">
        <f>+Sales!S153</f>
        <v>3566</v>
      </c>
      <c r="T154" s="87">
        <f>+Sales!T153</f>
        <v>3552.31</v>
      </c>
      <c r="U154" s="87">
        <f>+Sales!U153</f>
        <v>3729.9254999999998</v>
      </c>
      <c r="V154" s="87">
        <f>+Sales!V153</f>
        <v>3953.7210299999997</v>
      </c>
      <c r="W154" s="87">
        <f>+Sales!W153</f>
        <v>4204.7823154049993</v>
      </c>
      <c r="X154" s="87">
        <f>+Sales!X153</f>
        <v>4466.1095363074201</v>
      </c>
      <c r="Y154" s="87">
        <f>+Sales!Y153</f>
        <v>4738.251920902313</v>
      </c>
      <c r="Z154" s="87">
        <f>+Sales!Z153</f>
        <v>5021.7960232269888</v>
      </c>
      <c r="AA154" s="87">
        <f>+Sales!AA153</f>
        <v>5317.3656293946678</v>
      </c>
      <c r="AB154" s="87"/>
      <c r="AC154" s="159"/>
      <c r="AD154" s="159"/>
      <c r="AE154" s="159"/>
      <c r="AF154" s="159"/>
      <c r="AG154" s="159"/>
      <c r="AH154" s="159"/>
      <c r="AI154" s="159"/>
      <c r="AJ154" s="159"/>
      <c r="AK154" s="159"/>
      <c r="AL154" s="159"/>
      <c r="AM154" s="159"/>
      <c r="AN154" s="159"/>
      <c r="AO154" s="159"/>
      <c r="AP154" s="159"/>
      <c r="AQ154" s="159"/>
      <c r="AR154" s="159"/>
      <c r="AS154" s="159"/>
      <c r="AT154" s="159"/>
      <c r="AU154" s="159"/>
      <c r="AV154" s="159"/>
      <c r="AW154" s="159"/>
      <c r="AX154" s="159"/>
      <c r="AY154" s="159"/>
      <c r="AZ154" s="159"/>
      <c r="BA154" s="159"/>
      <c r="BB154" s="159"/>
      <c r="BC154" s="159"/>
      <c r="BD154" s="159"/>
      <c r="BE154" s="159">
        <v>1256</v>
      </c>
      <c r="BF154" s="159">
        <v>1415</v>
      </c>
      <c r="BG154" s="159">
        <v>1379</v>
      </c>
      <c r="BH154" s="159">
        <v>1353</v>
      </c>
      <c r="BI154" s="159">
        <v>1370</v>
      </c>
      <c r="BJ154" s="159">
        <v>1340</v>
      </c>
      <c r="BK154" s="159">
        <v>1286</v>
      </c>
      <c r="BL154" s="159">
        <v>1400</v>
      </c>
      <c r="BM154" s="159">
        <v>1398</v>
      </c>
      <c r="BN154" s="159">
        <v>1339</v>
      </c>
      <c r="BO154" s="159">
        <v>1308</v>
      </c>
      <c r="BP154" s="160">
        <v>1337</v>
      </c>
      <c r="BQ154" s="160">
        <f>1356-1-237</f>
        <v>1118</v>
      </c>
      <c r="BR154" s="160">
        <f>1242-1-155</f>
        <v>1086</v>
      </c>
      <c r="BS154" s="160">
        <f>1315-192</f>
        <v>1123</v>
      </c>
      <c r="BT154" s="161">
        <f>1240-3-176</f>
        <v>1061</v>
      </c>
      <c r="BU154" s="161">
        <f>1257-218</f>
        <v>1039</v>
      </c>
      <c r="BV154" s="161">
        <f>1240-301</f>
        <v>939</v>
      </c>
      <c r="BW154" s="161">
        <f>1233-315</f>
        <v>918</v>
      </c>
      <c r="BX154" s="161">
        <f>1258-383</f>
        <v>875</v>
      </c>
      <c r="BY154" s="175">
        <v>817</v>
      </c>
      <c r="BZ154" s="175">
        <v>843</v>
      </c>
      <c r="CA154" s="175">
        <v>868</v>
      </c>
      <c r="CB154" s="175">
        <f>R154-SUM(BY154:CA154)</f>
        <v>856</v>
      </c>
      <c r="CC154" s="87">
        <f>+Sales!CC153</f>
        <v>910</v>
      </c>
      <c r="CD154" s="87">
        <f>+Sales!CD153</f>
        <v>848</v>
      </c>
      <c r="CE154" s="87">
        <f>+Sales!CE153</f>
        <v>908</v>
      </c>
      <c r="CF154" s="87">
        <f>S154-SUM(CC154:CE154)</f>
        <v>900</v>
      </c>
      <c r="CG154" s="87">
        <f>+Sales!CG153</f>
        <v>905.45</v>
      </c>
      <c r="CH154" s="87">
        <f>+Sales!CH153</f>
        <v>864.96</v>
      </c>
      <c r="CI154" s="87">
        <f>+Sales!CI153</f>
        <v>903.46</v>
      </c>
      <c r="CJ154" s="87">
        <f>T154-SUM(CG154:CI154)</f>
        <v>878.44</v>
      </c>
      <c r="CO154" s="39"/>
      <c r="DK154" s="39"/>
      <c r="DL154" s="39"/>
      <c r="DM154" s="39"/>
      <c r="DN154" s="39"/>
      <c r="DO154" s="39"/>
      <c r="DP154" s="39"/>
      <c r="DQ154" s="39"/>
      <c r="DR154" s="39"/>
      <c r="DS154" s="39"/>
      <c r="DT154" s="39"/>
      <c r="DU154" s="39"/>
      <c r="DV154" s="39"/>
      <c r="DW154" s="39"/>
      <c r="DX154" s="39"/>
      <c r="DY154" s="39"/>
      <c r="DZ154" s="39"/>
      <c r="EA154"/>
      <c r="EB154"/>
      <c r="EC154"/>
      <c r="ED154"/>
      <c r="EE154"/>
      <c r="EF154"/>
    </row>
    <row r="155" spans="1:136" s="90" customFormat="1" hidden="1" outlineLevel="1">
      <c r="A155" s="87" t="s">
        <v>55</v>
      </c>
      <c r="B155" s="159"/>
      <c r="C155" s="159"/>
      <c r="D155" s="159"/>
      <c r="E155" s="159"/>
      <c r="F155" s="159"/>
      <c r="G155" s="159"/>
      <c r="H155" s="159"/>
      <c r="I155" s="159"/>
      <c r="J155" s="159"/>
      <c r="K155" s="159"/>
      <c r="L155" s="159">
        <v>4042</v>
      </c>
      <c r="M155" s="87">
        <f t="shared" si="224"/>
        <v>4864</v>
      </c>
      <c r="N155" s="87">
        <f t="shared" si="225"/>
        <v>5164</v>
      </c>
      <c r="O155" s="87">
        <f>+SUM(BM155:BP155)</f>
        <v>4952</v>
      </c>
      <c r="P155" s="87">
        <f>+SUM(BQ155:BT155)</f>
        <v>4540</v>
      </c>
      <c r="Q155" s="87">
        <f>+SUM(BU155:BX155)</f>
        <v>4327</v>
      </c>
      <c r="R155" s="87">
        <f>Sales!R179</f>
        <v>4322.848</v>
      </c>
      <c r="S155" s="87">
        <f>Sales!S179</f>
        <v>4401.9192000000003</v>
      </c>
      <c r="T155" s="87">
        <f>Sales!T179</f>
        <v>4600.005564</v>
      </c>
      <c r="U155" s="87">
        <f>Sales!U179</f>
        <v>4830.0058422000002</v>
      </c>
      <c r="V155" s="87">
        <f>Sales!V179</f>
        <v>5061.8461226256004</v>
      </c>
      <c r="W155" s="87">
        <f>Sales!W179</f>
        <v>5295.7034134909027</v>
      </c>
      <c r="X155" s="87">
        <f>Sales!X179</f>
        <v>5531.7858716643268</v>
      </c>
      <c r="Y155" s="87">
        <f>Sales!Y179</f>
        <v>5770.3275420222362</v>
      </c>
      <c r="Z155" s="87">
        <f>Sales!Z179</f>
        <v>6011.5837824886776</v>
      </c>
      <c r="AA155" s="87">
        <f>Sales!AA179</f>
        <v>6255.8273379023294</v>
      </c>
      <c r="AB155" s="87"/>
      <c r="AC155" s="159"/>
      <c r="AD155" s="159"/>
      <c r="AE155" s="159"/>
      <c r="AF155" s="159"/>
      <c r="AG155" s="159"/>
      <c r="AH155" s="159"/>
      <c r="AI155" s="159"/>
      <c r="AJ155" s="159"/>
      <c r="AK155" s="159"/>
      <c r="AL155" s="159"/>
      <c r="AM155" s="159"/>
      <c r="AN155" s="159"/>
      <c r="AO155" s="159"/>
      <c r="AP155" s="159"/>
      <c r="AQ155" s="159"/>
      <c r="AR155" s="159"/>
      <c r="AS155" s="159"/>
      <c r="AT155" s="159"/>
      <c r="AU155" s="159"/>
      <c r="AV155" s="159"/>
      <c r="AW155" s="159"/>
      <c r="AX155" s="159"/>
      <c r="AY155" s="159"/>
      <c r="AZ155" s="159"/>
      <c r="BA155" s="159"/>
      <c r="BB155" s="159"/>
      <c r="BC155" s="159"/>
      <c r="BD155" s="159"/>
      <c r="BE155" s="159">
        <v>1190</v>
      </c>
      <c r="BF155" s="159">
        <v>1172</v>
      </c>
      <c r="BG155" s="159">
        <v>1249</v>
      </c>
      <c r="BH155" s="159">
        <v>1253</v>
      </c>
      <c r="BI155" s="159">
        <v>1320</v>
      </c>
      <c r="BJ155" s="159">
        <v>1222</v>
      </c>
      <c r="BK155" s="159">
        <v>1228</v>
      </c>
      <c r="BL155" s="159">
        <v>1394</v>
      </c>
      <c r="BM155" s="159">
        <v>1367</v>
      </c>
      <c r="BN155" s="159">
        <v>1240</v>
      </c>
      <c r="BO155" s="159">
        <v>1136</v>
      </c>
      <c r="BP155" s="160">
        <v>1209</v>
      </c>
      <c r="BQ155" s="160">
        <f>1223-14</f>
        <v>1209</v>
      </c>
      <c r="BR155" s="160">
        <f>1084-13</f>
        <v>1071</v>
      </c>
      <c r="BS155" s="160">
        <f>1153-16</f>
        <v>1137</v>
      </c>
      <c r="BT155" s="161">
        <f>1145-22</f>
        <v>1123</v>
      </c>
      <c r="BU155" s="161">
        <f>1153-18</f>
        <v>1135</v>
      </c>
      <c r="BV155" s="161">
        <f>1024-15</f>
        <v>1009</v>
      </c>
      <c r="BW155" s="161">
        <v>1101</v>
      </c>
      <c r="BX155" s="161">
        <v>1082</v>
      </c>
      <c r="BY155" s="175">
        <v>1127</v>
      </c>
      <c r="BZ155" s="175">
        <v>1023</v>
      </c>
      <c r="CA155" s="175">
        <v>1128</v>
      </c>
      <c r="CB155" s="175">
        <f>R155-SUM(BY155:CA155)</f>
        <v>1044.848</v>
      </c>
      <c r="CC155" s="87">
        <f>Sales!CC179</f>
        <v>0</v>
      </c>
      <c r="CD155" s="87">
        <f>Sales!CD179</f>
        <v>0</v>
      </c>
      <c r="CE155" s="87">
        <f>Sales!CE179</f>
        <v>0</v>
      </c>
      <c r="CF155" s="87">
        <f>S155-SUM(CC155:CE155)</f>
        <v>4401.9192000000003</v>
      </c>
      <c r="CG155" s="87">
        <f>Sales!CG179</f>
        <v>0</v>
      </c>
      <c r="CH155" s="87">
        <f>Sales!CH179</f>
        <v>0</v>
      </c>
      <c r="CI155" s="87">
        <f>Sales!CI179</f>
        <v>0</v>
      </c>
      <c r="CJ155" s="87">
        <f>T155-SUM(CG155:CI155)</f>
        <v>4600.005564</v>
      </c>
      <c r="CO155" s="39"/>
      <c r="DK155" s="39"/>
      <c r="DL155" s="39"/>
      <c r="DM155" s="39"/>
      <c r="DN155" s="39"/>
      <c r="DO155" s="39"/>
      <c r="DP155" s="39"/>
      <c r="DQ155" s="39"/>
      <c r="DR155" s="39"/>
      <c r="DS155" s="39"/>
      <c r="DT155" s="39"/>
      <c r="DU155" s="39"/>
      <c r="DV155" s="39"/>
      <c r="DW155" s="39"/>
      <c r="DX155" s="39"/>
      <c r="DY155" s="39"/>
      <c r="DZ155" s="39"/>
      <c r="EA155"/>
      <c r="EB155"/>
      <c r="EC155"/>
      <c r="ED155"/>
      <c r="EE155"/>
      <c r="EF155"/>
    </row>
    <row r="156" spans="1:136" s="90" customFormat="1" hidden="1" outlineLevel="1">
      <c r="A156" s="87" t="s">
        <v>56</v>
      </c>
      <c r="B156" s="159"/>
      <c r="C156" s="159"/>
      <c r="D156" s="159"/>
      <c r="E156" s="159"/>
      <c r="F156" s="159"/>
      <c r="G156" s="159"/>
      <c r="H156" s="159"/>
      <c r="I156" s="159"/>
      <c r="J156" s="159"/>
      <c r="K156" s="159"/>
      <c r="L156" s="159">
        <v>3354</v>
      </c>
      <c r="M156" s="87">
        <f t="shared" si="224"/>
        <v>3836</v>
      </c>
      <c r="N156" s="87">
        <f t="shared" si="225"/>
        <v>3735</v>
      </c>
      <c r="O156" s="87">
        <f>+SUM(BM156:BP156)</f>
        <v>3915</v>
      </c>
      <c r="P156" s="87">
        <f>+SUM(BQ156:BT156)</f>
        <v>2979</v>
      </c>
      <c r="Q156" s="87">
        <f>+SUM(BU156:BX156)</f>
        <v>2540</v>
      </c>
      <c r="R156" s="87">
        <f>Sales!R192</f>
        <v>2372</v>
      </c>
      <c r="S156" s="87">
        <f>Sales!S192</f>
        <v>2309.44</v>
      </c>
      <c r="T156" s="87">
        <f>Sales!T192</f>
        <v>2424.9120000000003</v>
      </c>
      <c r="U156" s="87">
        <f>Sales!U192</f>
        <v>2582.5312800000002</v>
      </c>
      <c r="V156" s="87">
        <f>Sales!V192</f>
        <v>2745.2307506400002</v>
      </c>
      <c r="W156" s="87">
        <f>Sales!W192</f>
        <v>2913.2388725791684</v>
      </c>
      <c r="X156" s="87">
        <f>Sales!X192</f>
        <v>3086.8096446074351</v>
      </c>
      <c r="Y156" s="87">
        <f>Sales!Y192</f>
        <v>3266.2211947713085</v>
      </c>
      <c r="Z156" s="87">
        <f>Sales!Z192</f>
        <v>3451.7745676020277</v>
      </c>
      <c r="AA156" s="87">
        <f>Sales!AA192</f>
        <v>3643.7927137037386</v>
      </c>
      <c r="AB156" s="87"/>
      <c r="AC156" s="159"/>
      <c r="AD156" s="159"/>
      <c r="AE156" s="159"/>
      <c r="AF156" s="159"/>
      <c r="AG156" s="159"/>
      <c r="AH156" s="159"/>
      <c r="AI156" s="159"/>
      <c r="AJ156" s="159"/>
      <c r="AK156" s="159"/>
      <c r="AL156" s="159"/>
      <c r="AM156" s="159"/>
      <c r="AN156" s="159"/>
      <c r="AO156" s="159"/>
      <c r="AP156" s="159"/>
      <c r="AQ156" s="159"/>
      <c r="AR156" s="159"/>
      <c r="AS156" s="159"/>
      <c r="AT156" s="159"/>
      <c r="AU156" s="159"/>
      <c r="AV156" s="159"/>
      <c r="AW156" s="159"/>
      <c r="AX156" s="159"/>
      <c r="AY156" s="159"/>
      <c r="AZ156" s="159"/>
      <c r="BA156" s="159"/>
      <c r="BB156" s="159"/>
      <c r="BC156" s="159"/>
      <c r="BD156" s="159"/>
      <c r="BE156" s="159">
        <v>796</v>
      </c>
      <c r="BF156" s="159">
        <v>1015</v>
      </c>
      <c r="BG156" s="159">
        <v>959</v>
      </c>
      <c r="BH156" s="159">
        <v>1066</v>
      </c>
      <c r="BI156" s="159">
        <v>849</v>
      </c>
      <c r="BJ156" s="159">
        <v>965</v>
      </c>
      <c r="BK156" s="159">
        <v>886</v>
      </c>
      <c r="BL156" s="159">
        <v>1035</v>
      </c>
      <c r="BM156" s="159">
        <v>863</v>
      </c>
      <c r="BN156" s="159">
        <v>1039</v>
      </c>
      <c r="BO156" s="159">
        <v>948</v>
      </c>
      <c r="BP156" s="160">
        <v>1065</v>
      </c>
      <c r="BQ156" s="160">
        <f>838-159</f>
        <v>679</v>
      </c>
      <c r="BR156" s="160">
        <f>1008-168</f>
        <v>840</v>
      </c>
      <c r="BS156" s="160">
        <f>894-169</f>
        <v>725</v>
      </c>
      <c r="BT156" s="161">
        <f>898-163</f>
        <v>735</v>
      </c>
      <c r="BU156" s="161">
        <f>695-116</f>
        <v>579</v>
      </c>
      <c r="BV156" s="161">
        <f>869-130</f>
        <v>739</v>
      </c>
      <c r="BW156" s="161">
        <v>586</v>
      </c>
      <c r="BX156" s="161">
        <v>636</v>
      </c>
      <c r="BY156" s="175">
        <v>547</v>
      </c>
      <c r="BZ156" s="175">
        <v>648</v>
      </c>
      <c r="CA156" s="175">
        <v>543</v>
      </c>
      <c r="CB156" s="175">
        <f>R156-SUM(BY156:CA156)</f>
        <v>634</v>
      </c>
      <c r="CC156" s="87">
        <f>Sales!CC192</f>
        <v>0</v>
      </c>
      <c r="CD156" s="87">
        <f>Sales!CD192</f>
        <v>0</v>
      </c>
      <c r="CE156" s="87">
        <f>Sales!CE192</f>
        <v>0</v>
      </c>
      <c r="CF156" s="87">
        <f>S156-SUM(CC156:CE156)</f>
        <v>2309.44</v>
      </c>
      <c r="CG156" s="87">
        <f>Sales!CG192</f>
        <v>0</v>
      </c>
      <c r="CH156" s="87">
        <f>Sales!CH192</f>
        <v>0</v>
      </c>
      <c r="CI156" s="87">
        <f>Sales!CI192</f>
        <v>0</v>
      </c>
      <c r="CJ156" s="87">
        <f>T156-SUM(CG156:CI156)</f>
        <v>2424.9120000000003</v>
      </c>
      <c r="CO156" s="39"/>
      <c r="DK156" s="39"/>
      <c r="DL156" s="39"/>
      <c r="DM156" s="39"/>
      <c r="DN156" s="39"/>
      <c r="DO156" s="39"/>
      <c r="DP156" s="39"/>
      <c r="DQ156" s="39"/>
      <c r="DR156" s="39"/>
      <c r="DS156" s="39"/>
      <c r="DT156" s="39"/>
      <c r="DU156" s="39"/>
      <c r="DV156" s="39"/>
      <c r="DW156" s="39"/>
      <c r="DX156" s="39"/>
      <c r="DY156" s="39"/>
      <c r="DZ156" s="39"/>
      <c r="EA156"/>
      <c r="EB156"/>
      <c r="EC156"/>
      <c r="ED156"/>
      <c r="EE156"/>
      <c r="EF156"/>
    </row>
    <row r="157" spans="1:136" s="90" customFormat="1" hidden="1" outlineLevel="1">
      <c r="A157" s="87" t="s">
        <v>57</v>
      </c>
      <c r="B157" s="159"/>
      <c r="C157" s="159"/>
      <c r="D157" s="159"/>
      <c r="E157" s="159"/>
      <c r="F157" s="159"/>
      <c r="G157" s="159"/>
      <c r="H157" s="159"/>
      <c r="I157" s="159"/>
      <c r="J157" s="159"/>
      <c r="K157" s="159"/>
      <c r="L157" s="159">
        <v>13111</v>
      </c>
      <c r="M157" s="87">
        <f t="shared" si="224"/>
        <v>14874</v>
      </c>
      <c r="N157" s="87">
        <f t="shared" si="225"/>
        <v>13817</v>
      </c>
      <c r="O157" s="87">
        <f>+SUM(BM157:BP157)</f>
        <v>14059</v>
      </c>
      <c r="P157" s="87">
        <f>+SUM(BQ157:BT157)</f>
        <v>10865</v>
      </c>
      <c r="Q157" s="87">
        <f>+SUM(BU157:BX157)</f>
        <v>9180</v>
      </c>
      <c r="R157" s="87">
        <f>Sales!R219</f>
        <v>8927.83</v>
      </c>
      <c r="S157" s="87">
        <f>Sales!S219</f>
        <v>8712.1696654704228</v>
      </c>
      <c r="T157" s="87">
        <f>Sales!T219</f>
        <v>8799.2913621251264</v>
      </c>
      <c r="U157" s="87">
        <f>Sales!U219</f>
        <v>8931.2807325570029</v>
      </c>
      <c r="V157" s="87">
        <f>Sales!V219</f>
        <v>9056.3186628128005</v>
      </c>
      <c r="W157" s="87">
        <f>Sales!W219</f>
        <v>9174.9564372956484</v>
      </c>
      <c r="X157" s="87">
        <f>Sales!X219</f>
        <v>9287.7166519100119</v>
      </c>
      <c r="Y157" s="87">
        <f>Sales!Y219</f>
        <v>9395.0919441227434</v>
      </c>
      <c r="Z157" s="87">
        <f>Sales!Z219</f>
        <v>9497.5444822642075</v>
      </c>
      <c r="AA157" s="87">
        <f>Sales!AA219</f>
        <v>9595.5060500475192</v>
      </c>
      <c r="AB157" s="87"/>
      <c r="AC157" s="159"/>
      <c r="AD157" s="159"/>
      <c r="AE157" s="159"/>
      <c r="AF157" s="159"/>
      <c r="AG157" s="159"/>
      <c r="AH157" s="159"/>
      <c r="AI157" s="159"/>
      <c r="AJ157" s="159"/>
      <c r="AK157" s="159"/>
      <c r="AL157" s="159"/>
      <c r="AM157" s="159"/>
      <c r="AN157" s="159"/>
      <c r="AO157" s="159"/>
      <c r="AP157" s="159"/>
      <c r="AQ157" s="159"/>
      <c r="AR157" s="159"/>
      <c r="AS157" s="159"/>
      <c r="AT157" s="159"/>
      <c r="AU157" s="159"/>
      <c r="AV157" s="159"/>
      <c r="AW157" s="159"/>
      <c r="AX157" s="159"/>
      <c r="AY157" s="159"/>
      <c r="AZ157" s="159"/>
      <c r="BA157" s="159"/>
      <c r="BB157" s="159"/>
      <c r="BC157" s="159"/>
      <c r="BD157" s="159"/>
      <c r="BE157" s="159">
        <v>3346</v>
      </c>
      <c r="BF157" s="159">
        <v>3913</v>
      </c>
      <c r="BG157" s="159">
        <v>3456</v>
      </c>
      <c r="BH157" s="159">
        <v>4159</v>
      </c>
      <c r="BI157" s="159">
        <v>3494</v>
      </c>
      <c r="BJ157" s="159">
        <v>3315</v>
      </c>
      <c r="BK157" s="159">
        <v>3158</v>
      </c>
      <c r="BL157" s="159">
        <v>3850</v>
      </c>
      <c r="BM157" s="159">
        <v>3458</v>
      </c>
      <c r="BN157" s="159">
        <v>3273</v>
      </c>
      <c r="BO157" s="159">
        <v>3295</v>
      </c>
      <c r="BP157" s="160">
        <v>4033</v>
      </c>
      <c r="BQ157" s="160">
        <f>3557-712</f>
        <v>2845</v>
      </c>
      <c r="BR157" s="160">
        <f>3379-790</f>
        <v>2589</v>
      </c>
      <c r="BS157" s="160">
        <f>3215-670</f>
        <v>2545</v>
      </c>
      <c r="BT157" s="161">
        <f>3761-875</f>
        <v>2886</v>
      </c>
      <c r="BU157" s="161">
        <f>2975-618</f>
        <v>2357</v>
      </c>
      <c r="BV157" s="161">
        <f>2815-730</f>
        <v>2085</v>
      </c>
      <c r="BW157" s="161">
        <v>2173</v>
      </c>
      <c r="BX157" s="161">
        <v>2565</v>
      </c>
      <c r="BY157" s="175">
        <v>2289</v>
      </c>
      <c r="BZ157" s="175">
        <v>2068</v>
      </c>
      <c r="CA157" s="175">
        <v>2104</v>
      </c>
      <c r="CB157" s="175">
        <f>R157-SUM(BY157:CA157)</f>
        <v>2466.83</v>
      </c>
      <c r="CC157" s="87">
        <f>Sales!CC219</f>
        <v>2208.8850000000002</v>
      </c>
      <c r="CD157" s="87">
        <f>Sales!CD219</f>
        <v>1974.94</v>
      </c>
      <c r="CE157" s="87">
        <f>Sales!CE219</f>
        <v>2051.4</v>
      </c>
      <c r="CF157" s="87">
        <f>S157-SUM(CC157:CE157)</f>
        <v>2476.9446654704225</v>
      </c>
      <c r="CG157" s="87">
        <f>Sales!CG219</f>
        <v>2127.3771435000003</v>
      </c>
      <c r="CH157" s="87">
        <f>Sales!CH219</f>
        <v>1882.3153139999999</v>
      </c>
      <c r="CI157" s="87">
        <f>Sales!CI219</f>
        <v>1996.2173400000001</v>
      </c>
      <c r="CJ157" s="87">
        <f>T157-SUM(CG157:CI157)</f>
        <v>2793.381564625126</v>
      </c>
      <c r="CO157" s="39"/>
      <c r="DK157" s="39"/>
      <c r="DL157" s="39"/>
      <c r="DM157" s="39"/>
      <c r="DN157" s="39"/>
      <c r="DO157" s="39"/>
      <c r="DP157" s="39"/>
      <c r="DQ157" s="39"/>
      <c r="DR157" s="39"/>
      <c r="DS157" s="39"/>
      <c r="DT157" s="39"/>
      <c r="DU157" s="39"/>
      <c r="DV157" s="39"/>
      <c r="DW157" s="39"/>
      <c r="DX157" s="39"/>
      <c r="DY157" s="39"/>
      <c r="DZ157" s="39"/>
      <c r="EA157"/>
      <c r="EB157"/>
      <c r="EC157"/>
      <c r="ED157"/>
      <c r="EE157"/>
      <c r="EF157"/>
    </row>
    <row r="158" spans="1:136" s="90" customFormat="1" hidden="1" outlineLevel="1">
      <c r="A158" s="98" t="s">
        <v>58</v>
      </c>
      <c r="B158" s="97"/>
      <c r="C158" s="97"/>
      <c r="D158" s="97"/>
      <c r="E158" s="97"/>
      <c r="F158" s="97"/>
      <c r="G158" s="97"/>
      <c r="H158" s="97"/>
      <c r="I158" s="97"/>
      <c r="J158" s="97"/>
      <c r="K158" s="97"/>
      <c r="L158" s="97">
        <v>6441</v>
      </c>
      <c r="M158" s="98">
        <f t="shared" si="224"/>
        <v>6833</v>
      </c>
      <c r="N158" s="98">
        <f t="shared" si="225"/>
        <v>6903</v>
      </c>
      <c r="O158" s="98">
        <f>+SUM(BM158:BP158)</f>
        <v>6991</v>
      </c>
      <c r="P158" s="98">
        <f>+SUM(BQ158:BT158)</f>
        <v>6936</v>
      </c>
      <c r="Q158" s="98">
        <f>+SUM(BU158:BX158)</f>
        <v>6974</v>
      </c>
      <c r="R158" s="98">
        <f>Sales!R232</f>
        <v>6947</v>
      </c>
      <c r="S158" s="98">
        <f>Sales!S232</f>
        <v>6797</v>
      </c>
      <c r="T158" s="98">
        <f>Sales!T232</f>
        <v>6879.8585712314652</v>
      </c>
      <c r="U158" s="98">
        <f>Sales!U232</f>
        <v>6983.0564497999376</v>
      </c>
      <c r="V158" s="98">
        <f>Sales!V232</f>
        <v>7122.7175787959368</v>
      </c>
      <c r="W158" s="98">
        <f>Sales!W232</f>
        <v>7254.4878540036616</v>
      </c>
      <c r="X158" s="98">
        <f>Sales!X232</f>
        <v>7378.9023206998245</v>
      </c>
      <c r="Y158" s="98">
        <f>Sales!Y232</f>
        <v>7496.485129180176</v>
      </c>
      <c r="Z158" s="98">
        <f>Sales!Z232</f>
        <v>7607.7442132249034</v>
      </c>
      <c r="AA158" s="98">
        <f>Sales!AA232</f>
        <v>7713.1673874980352</v>
      </c>
      <c r="AB158" s="98"/>
      <c r="AC158" s="97"/>
      <c r="AD158" s="97"/>
      <c r="AE158" s="97"/>
      <c r="AF158" s="97"/>
      <c r="AG158" s="97"/>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v>1602</v>
      </c>
      <c r="BF158" s="97">
        <v>1648</v>
      </c>
      <c r="BG158" s="97">
        <v>1735</v>
      </c>
      <c r="BH158" s="97">
        <v>1848</v>
      </c>
      <c r="BI158" s="97">
        <v>1634</v>
      </c>
      <c r="BJ158" s="97">
        <v>1685</v>
      </c>
      <c r="BK158" s="97">
        <v>1768</v>
      </c>
      <c r="BL158" s="97">
        <v>1816</v>
      </c>
      <c r="BM158" s="97">
        <v>1658</v>
      </c>
      <c r="BN158" s="97">
        <v>1704</v>
      </c>
      <c r="BO158" s="97">
        <v>1785</v>
      </c>
      <c r="BP158" s="99">
        <v>1844</v>
      </c>
      <c r="BQ158" s="99">
        <v>1667</v>
      </c>
      <c r="BR158" s="99">
        <v>1723</v>
      </c>
      <c r="BS158" s="99">
        <v>1760</v>
      </c>
      <c r="BT158" s="100">
        <v>1786</v>
      </c>
      <c r="BU158" s="100">
        <v>1682</v>
      </c>
      <c r="BV158" s="100">
        <v>1713</v>
      </c>
      <c r="BW158" s="100">
        <v>1756</v>
      </c>
      <c r="BX158" s="100">
        <v>1823</v>
      </c>
      <c r="BY158" s="243">
        <v>1675</v>
      </c>
      <c r="BZ158" s="243">
        <v>1720</v>
      </c>
      <c r="CA158" s="243">
        <v>1753</v>
      </c>
      <c r="CB158" s="243">
        <f>R158-SUM(BY158:CA158)</f>
        <v>1799</v>
      </c>
      <c r="CC158" s="98">
        <f>Sales!CC232</f>
        <v>1648</v>
      </c>
      <c r="CD158" s="98">
        <f>Sales!CD232</f>
        <v>1573</v>
      </c>
      <c r="CE158" s="98">
        <f>Sales!CE232</f>
        <v>1775</v>
      </c>
      <c r="CF158" s="98">
        <f>S158-SUM(CC158:CE158)</f>
        <v>1801</v>
      </c>
      <c r="CG158" s="98">
        <f>Sales!CG232</f>
        <v>1651.0607845335085</v>
      </c>
      <c r="CH158" s="98">
        <f>Sales!CH232</f>
        <v>1627.3247866979573</v>
      </c>
      <c r="CI158" s="98">
        <f>Sales!CI232</f>
        <v>1780.325</v>
      </c>
      <c r="CJ158" s="98">
        <f>T158-SUM(CG158:CI158)</f>
        <v>1821.1479999999992</v>
      </c>
      <c r="CO158" s="39"/>
      <c r="DK158" s="39"/>
      <c r="DL158" s="39"/>
      <c r="DM158" s="39"/>
      <c r="DN158" s="39"/>
      <c r="DO158" s="39"/>
      <c r="DP158" s="39"/>
      <c r="DQ158" s="39"/>
      <c r="DR158" s="39"/>
      <c r="DS158" s="39"/>
      <c r="DT158" s="39"/>
      <c r="DU158" s="39"/>
      <c r="DV158" s="39"/>
      <c r="DW158" s="39"/>
      <c r="DX158" s="39"/>
      <c r="DY158" s="39"/>
      <c r="DZ158" s="39"/>
      <c r="EA158"/>
      <c r="EB158"/>
      <c r="EC158"/>
      <c r="ED158"/>
      <c r="EE158"/>
      <c r="EF158"/>
    </row>
    <row r="159" spans="1:136" s="90" customFormat="1" hidden="1" outlineLevel="1">
      <c r="A159" s="93" t="s">
        <v>189</v>
      </c>
      <c r="B159" s="93"/>
      <c r="C159" s="93"/>
      <c r="D159" s="93"/>
      <c r="E159" s="93"/>
      <c r="F159" s="93"/>
      <c r="G159" s="93"/>
      <c r="H159" s="93"/>
      <c r="I159" s="93"/>
      <c r="J159" s="93"/>
      <c r="K159" s="93"/>
      <c r="L159" s="93">
        <f>SUM(L154:L158)</f>
        <v>31489</v>
      </c>
      <c r="M159" s="93">
        <f t="shared" si="224"/>
        <v>35810</v>
      </c>
      <c r="N159" s="93">
        <f t="shared" si="225"/>
        <v>35015</v>
      </c>
      <c r="O159" s="93">
        <f t="shared" ref="O159:V159" si="226">SUM(O154:O158)</f>
        <v>35299</v>
      </c>
      <c r="P159" s="93">
        <f t="shared" si="226"/>
        <v>29708</v>
      </c>
      <c r="Q159" s="93">
        <f>SUM(Q154:Q158)</f>
        <v>26792</v>
      </c>
      <c r="R159" s="93">
        <f t="shared" si="226"/>
        <v>25953.678</v>
      </c>
      <c r="S159" s="93">
        <f t="shared" si="226"/>
        <v>25786.528865470424</v>
      </c>
      <c r="T159" s="93">
        <f t="shared" si="226"/>
        <v>26256.377497356596</v>
      </c>
      <c r="U159" s="93">
        <f t="shared" si="226"/>
        <v>27056.79980455694</v>
      </c>
      <c r="V159" s="93">
        <f t="shared" si="226"/>
        <v>27939.834144874338</v>
      </c>
      <c r="W159" s="93">
        <f>SUM(W154:W158)</f>
        <v>28843.168892774382</v>
      </c>
      <c r="X159" s="93">
        <f>SUM(X154:X158)</f>
        <v>29751.324025189017</v>
      </c>
      <c r="Y159" s="93">
        <f>SUM(Y154:Y158)</f>
        <v>30666.377730998778</v>
      </c>
      <c r="Z159" s="93">
        <f>SUM(Z154:Z158)</f>
        <v>31590.44306880681</v>
      </c>
      <c r="AA159" s="93">
        <f>SUM(AA154:AA158)</f>
        <v>32525.659118546289</v>
      </c>
      <c r="AB159" s="93"/>
      <c r="AC159" s="93"/>
      <c r="AD159" s="93"/>
      <c r="AE159" s="93"/>
      <c r="AF159" s="93"/>
      <c r="AG159" s="93"/>
      <c r="AH159" s="93"/>
      <c r="AI159" s="93"/>
      <c r="AJ159" s="93"/>
      <c r="AK159" s="93"/>
      <c r="AL159" s="93"/>
      <c r="AM159" s="93"/>
      <c r="AN159" s="93"/>
      <c r="AO159" s="93"/>
      <c r="AP159" s="93"/>
      <c r="AQ159" s="93"/>
      <c r="AR159" s="93"/>
      <c r="AS159" s="93"/>
      <c r="AT159" s="93"/>
      <c r="AU159" s="93"/>
      <c r="AV159" s="93"/>
      <c r="AW159" s="93"/>
      <c r="AX159" s="93"/>
      <c r="AY159" s="93"/>
      <c r="AZ159" s="93"/>
      <c r="BA159" s="93"/>
      <c r="BB159" s="93"/>
      <c r="BC159" s="93"/>
      <c r="BD159" s="93"/>
      <c r="BE159" s="93">
        <f t="shared" ref="BE159:CB159" si="227">SUM(BE154:BE158)</f>
        <v>8190</v>
      </c>
      <c r="BF159" s="93">
        <f t="shared" si="227"/>
        <v>9163</v>
      </c>
      <c r="BG159" s="93">
        <f t="shared" si="227"/>
        <v>8778</v>
      </c>
      <c r="BH159" s="93">
        <f t="shared" si="227"/>
        <v>9679</v>
      </c>
      <c r="BI159" s="93">
        <f t="shared" si="227"/>
        <v>8667</v>
      </c>
      <c r="BJ159" s="93">
        <f t="shared" si="227"/>
        <v>8527</v>
      </c>
      <c r="BK159" s="93">
        <f t="shared" si="227"/>
        <v>8326</v>
      </c>
      <c r="BL159" s="93">
        <f t="shared" si="227"/>
        <v>9495</v>
      </c>
      <c r="BM159" s="93">
        <f t="shared" si="227"/>
        <v>8744</v>
      </c>
      <c r="BN159" s="93">
        <f t="shared" si="227"/>
        <v>8595</v>
      </c>
      <c r="BO159" s="93">
        <f t="shared" si="227"/>
        <v>8472</v>
      </c>
      <c r="BP159" s="93">
        <f t="shared" si="227"/>
        <v>9488</v>
      </c>
      <c r="BQ159" s="107">
        <f t="shared" si="227"/>
        <v>7518</v>
      </c>
      <c r="BR159" s="107">
        <f t="shared" si="227"/>
        <v>7309</v>
      </c>
      <c r="BS159" s="107">
        <f t="shared" si="227"/>
        <v>7290</v>
      </c>
      <c r="BT159" s="107">
        <f t="shared" si="227"/>
        <v>7591</v>
      </c>
      <c r="BU159" s="107">
        <f t="shared" si="227"/>
        <v>6792</v>
      </c>
      <c r="BV159" s="107">
        <f t="shared" si="227"/>
        <v>6485</v>
      </c>
      <c r="BW159" s="107">
        <f t="shared" si="227"/>
        <v>6534</v>
      </c>
      <c r="BX159" s="107">
        <f t="shared" si="227"/>
        <v>6981</v>
      </c>
      <c r="BY159" s="93">
        <f t="shared" si="227"/>
        <v>6455</v>
      </c>
      <c r="BZ159" s="93">
        <f t="shared" si="227"/>
        <v>6302</v>
      </c>
      <c r="CA159" s="93">
        <f t="shared" si="227"/>
        <v>6396</v>
      </c>
      <c r="CB159" s="93">
        <f t="shared" si="227"/>
        <v>6800.6779999999999</v>
      </c>
      <c r="CC159" s="93">
        <f t="shared" ref="CC159:CJ159" si="228">SUM(CC154:CC158)</f>
        <v>4766.8850000000002</v>
      </c>
      <c r="CD159" s="93">
        <f t="shared" si="228"/>
        <v>4395.9400000000005</v>
      </c>
      <c r="CE159" s="93">
        <f t="shared" si="228"/>
        <v>4734.3999999999996</v>
      </c>
      <c r="CF159" s="93">
        <f t="shared" si="228"/>
        <v>11889.303865470423</v>
      </c>
      <c r="CG159" s="93">
        <f t="shared" si="228"/>
        <v>4683.8879280335095</v>
      </c>
      <c r="CH159" s="93">
        <f t="shared" si="228"/>
        <v>4374.6001006979568</v>
      </c>
      <c r="CI159" s="93">
        <f t="shared" si="228"/>
        <v>4680.00234</v>
      </c>
      <c r="CJ159" s="93">
        <f t="shared" si="228"/>
        <v>12517.887128625125</v>
      </c>
      <c r="CO159" s="39"/>
      <c r="DK159" s="39"/>
      <c r="DL159" s="39"/>
      <c r="DM159" s="39"/>
      <c r="DN159" s="39"/>
      <c r="DO159" s="39"/>
      <c r="DP159" s="39"/>
      <c r="DQ159" s="39"/>
      <c r="DR159" s="39"/>
      <c r="DS159" s="39"/>
      <c r="DT159" s="39"/>
      <c r="DU159" s="39"/>
      <c r="DV159" s="39"/>
      <c r="DW159" s="39"/>
      <c r="DX159" s="39"/>
      <c r="DY159" s="39"/>
      <c r="DZ159" s="39"/>
      <c r="EA159"/>
      <c r="EB159"/>
      <c r="EC159"/>
      <c r="ED159"/>
      <c r="EE159"/>
      <c r="EF159"/>
    </row>
    <row r="160" spans="1:136" s="90" customFormat="1" hidden="1" outlineLevel="1">
      <c r="A160" s="93"/>
      <c r="B160" s="241"/>
      <c r="C160" s="241"/>
      <c r="D160" s="241"/>
      <c r="E160" s="241"/>
      <c r="F160" s="241"/>
      <c r="G160" s="241"/>
      <c r="H160" s="241"/>
      <c r="I160" s="241"/>
      <c r="J160" s="241"/>
      <c r="K160" s="241"/>
      <c r="L160" s="241"/>
      <c r="M160" s="241"/>
      <c r="N160" s="241"/>
      <c r="O160" s="241"/>
      <c r="P160" s="670"/>
      <c r="Q160" s="670"/>
      <c r="R160" s="670"/>
      <c r="S160" s="241"/>
      <c r="T160" s="241"/>
      <c r="U160" s="241"/>
      <c r="V160" s="241"/>
      <c r="W160" s="241"/>
      <c r="X160" s="241"/>
      <c r="Y160" s="241"/>
      <c r="Z160" s="241"/>
      <c r="AA160" s="241"/>
      <c r="AB160" s="93"/>
      <c r="AC160" s="87"/>
      <c r="AD160" s="87"/>
      <c r="AE160" s="87"/>
      <c r="AF160" s="87"/>
      <c r="AG160" s="87"/>
      <c r="AH160" s="87"/>
      <c r="AI160" s="87"/>
      <c r="AJ160" s="87"/>
      <c r="AK160" s="87"/>
      <c r="AL160" s="87"/>
      <c r="AM160" s="87"/>
      <c r="AN160" s="87"/>
      <c r="AO160" s="87"/>
      <c r="AP160" s="87"/>
      <c r="AQ160" s="87"/>
      <c r="AR160" s="87"/>
      <c r="AS160" s="87"/>
      <c r="AT160" s="87"/>
      <c r="AU160" s="87"/>
      <c r="AV160" s="87"/>
      <c r="AW160" s="87"/>
      <c r="AX160" s="87"/>
      <c r="AY160" s="87"/>
      <c r="AZ160" s="87"/>
      <c r="BA160" s="87"/>
      <c r="BB160" s="87"/>
      <c r="BC160" s="87"/>
      <c r="BD160" s="87"/>
      <c r="BE160" s="87"/>
      <c r="BF160" s="87"/>
      <c r="BG160" s="87"/>
      <c r="BH160" s="87"/>
      <c r="BI160" s="87"/>
      <c r="BJ160" s="87"/>
      <c r="BK160" s="87"/>
      <c r="BL160" s="87"/>
      <c r="BM160" s="87"/>
      <c r="BN160" s="87"/>
      <c r="BO160" s="87"/>
      <c r="BP160" s="87"/>
      <c r="BQ160" s="120"/>
      <c r="BR160" s="120"/>
      <c r="BS160" s="120"/>
      <c r="BT160" s="120"/>
      <c r="BU160" s="193"/>
      <c r="BV160" s="193"/>
      <c r="BW160" s="193"/>
      <c r="BX160" s="193"/>
      <c r="BY160" s="87"/>
      <c r="BZ160" s="87"/>
      <c r="CA160" s="87"/>
      <c r="CB160" s="87"/>
      <c r="CC160" s="87">
        <f ca="1">+CC162/BY162-1</f>
        <v>0.20906364749082007</v>
      </c>
      <c r="CD160" s="87"/>
      <c r="CE160" s="87"/>
      <c r="CF160" s="87"/>
      <c r="CG160" s="87">
        <f ca="1">+CG162/CC162-1</f>
        <v>-5.0000000000000044E-3</v>
      </c>
      <c r="CH160" s="87"/>
      <c r="CI160" s="87"/>
      <c r="CJ160" s="87"/>
      <c r="CO160" s="39"/>
      <c r="DK160" s="39"/>
      <c r="DL160" s="39"/>
      <c r="DM160" s="39"/>
      <c r="DN160" s="39"/>
      <c r="DO160" s="39"/>
      <c r="DP160" s="39"/>
      <c r="DQ160" s="39"/>
      <c r="DR160" s="39"/>
      <c r="DS160" s="39"/>
      <c r="DT160" s="39"/>
      <c r="DU160" s="39"/>
      <c r="DV160" s="39"/>
      <c r="DW160" s="39"/>
      <c r="DX160" s="39"/>
      <c r="DY160" s="39"/>
      <c r="DZ160" s="39"/>
      <c r="EA160"/>
      <c r="EB160"/>
      <c r="EC160"/>
      <c r="ED160"/>
      <c r="EE160"/>
      <c r="EF160"/>
    </row>
    <row r="161" spans="1:136" s="90" customFormat="1" hidden="1" outlineLevel="1">
      <c r="A161" s="93" t="s">
        <v>566</v>
      </c>
      <c r="B161" s="241"/>
      <c r="C161" s="241"/>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93"/>
      <c r="AC161" s="87"/>
      <c r="AD161" s="87"/>
      <c r="AE161" s="87"/>
      <c r="AF161" s="87"/>
      <c r="AG161" s="87"/>
      <c r="AH161" s="87"/>
      <c r="AI161" s="87"/>
      <c r="AJ161" s="87"/>
      <c r="AK161" s="87"/>
      <c r="AL161" s="87"/>
      <c r="AM161" s="87"/>
      <c r="AN161" s="87"/>
      <c r="AO161" s="87"/>
      <c r="AP161" s="87"/>
      <c r="AQ161" s="87"/>
      <c r="AR161" s="87"/>
      <c r="AS161" s="87"/>
      <c r="AT161" s="87"/>
      <c r="AU161" s="87"/>
      <c r="AV161" s="87"/>
      <c r="AW161" s="87"/>
      <c r="AX161" s="87"/>
      <c r="AY161" s="87"/>
      <c r="AZ161" s="87"/>
      <c r="BA161" s="87"/>
      <c r="BB161" s="87"/>
      <c r="BC161" s="87"/>
      <c r="BD161" s="87"/>
      <c r="BE161" s="87"/>
      <c r="BF161" s="87"/>
      <c r="BG161" s="87"/>
      <c r="BH161" s="87"/>
      <c r="BI161" s="87"/>
      <c r="BJ161" s="87"/>
      <c r="BK161" s="87"/>
      <c r="BL161" s="87"/>
      <c r="BM161" s="87"/>
      <c r="BN161" s="87"/>
      <c r="BO161" s="87"/>
      <c r="BP161" s="87"/>
      <c r="BQ161" s="120"/>
      <c r="BR161" s="120"/>
      <c r="BS161" s="120"/>
      <c r="BT161" s="120"/>
      <c r="BU161" s="120"/>
      <c r="BV161" s="120"/>
      <c r="BW161" s="120"/>
      <c r="BX161" s="242"/>
      <c r="BY161" s="87"/>
      <c r="BZ161" s="87"/>
      <c r="CA161" s="20"/>
      <c r="CB161" s="20"/>
      <c r="CC161" s="87"/>
      <c r="CD161" s="87"/>
      <c r="CE161" s="87"/>
      <c r="CF161" s="87"/>
      <c r="CG161" s="87"/>
      <c r="CH161" s="87"/>
      <c r="CI161" s="87"/>
      <c r="CJ161" s="87"/>
      <c r="CO161" s="39"/>
      <c r="DK161" s="39"/>
      <c r="DL161" s="39"/>
      <c r="DM161" s="39"/>
      <c r="DN161" s="39"/>
      <c r="DO161" s="39"/>
      <c r="DP161" s="39"/>
      <c r="DQ161" s="39"/>
      <c r="DR161" s="39"/>
      <c r="DS161" s="39"/>
      <c r="DT161" s="39"/>
      <c r="DU161" s="39"/>
      <c r="DV161" s="39"/>
      <c r="DW161" s="39"/>
      <c r="DX161" s="39"/>
      <c r="DY161" s="39"/>
      <c r="DZ161" s="39"/>
      <c r="EA161"/>
      <c r="EB161"/>
      <c r="EC161"/>
      <c r="ED161"/>
      <c r="EE161"/>
      <c r="EF161"/>
    </row>
    <row r="162" spans="1:136" s="183" customFormat="1" hidden="1" outlineLevel="1">
      <c r="A162" s="87" t="s">
        <v>54</v>
      </c>
      <c r="B162" s="159"/>
      <c r="C162" s="159"/>
      <c r="D162" s="159"/>
      <c r="E162" s="159"/>
      <c r="F162" s="159"/>
      <c r="G162" s="159"/>
      <c r="H162" s="159"/>
      <c r="I162" s="159"/>
      <c r="J162" s="159"/>
      <c r="K162" s="159"/>
      <c r="L162" s="159">
        <v>561</v>
      </c>
      <c r="M162" s="87">
        <f t="shared" ref="M162:M167" si="229">+SUM(BE162:BH162)</f>
        <v>824</v>
      </c>
      <c r="N162" s="87">
        <f t="shared" ref="N162:N167" si="230">+SUM(BI162:BL162)</f>
        <v>814</v>
      </c>
      <c r="O162" s="87">
        <f t="shared" ref="O162:O167" si="231">+SUM(BM162:BP162)</f>
        <v>678</v>
      </c>
      <c r="P162" s="87">
        <f>+SUM(BQ162:BT162)</f>
        <v>573</v>
      </c>
      <c r="Q162" s="87">
        <f>+SUM(BU162:BX162)</f>
        <v>405</v>
      </c>
      <c r="R162" s="87">
        <f t="shared" ref="R162:AA162" si="232">R130*R154</f>
        <v>397.27675417661095</v>
      </c>
      <c r="S162" s="87">
        <f t="shared" si="232"/>
        <v>450.73729355608589</v>
      </c>
      <c r="T162" s="87">
        <f t="shared" si="232"/>
        <v>480.97768715990458</v>
      </c>
      <c r="U162" s="87">
        <f t="shared" si="232"/>
        <v>533.00101276789974</v>
      </c>
      <c r="V162" s="87">
        <f t="shared" si="232"/>
        <v>584.7496786839738</v>
      </c>
      <c r="W162" s="87">
        <f t="shared" si="232"/>
        <v>636.5980213843236</v>
      </c>
      <c r="X162" s="87">
        <f t="shared" si="232"/>
        <v>687.32786225412781</v>
      </c>
      <c r="Y162" s="87">
        <f t="shared" si="232"/>
        <v>736.3175634219366</v>
      </c>
      <c r="Z162" s="87">
        <f t="shared" si="232"/>
        <v>787.91260492829099</v>
      </c>
      <c r="AA162" s="87">
        <f t="shared" si="232"/>
        <v>842.26310133005916</v>
      </c>
      <c r="AB162" s="87"/>
      <c r="AC162" s="159"/>
      <c r="AD162" s="159"/>
      <c r="AE162" s="159"/>
      <c r="AF162" s="159"/>
      <c r="AG162" s="159"/>
      <c r="AH162" s="159"/>
      <c r="AI162" s="159"/>
      <c r="AJ162" s="159"/>
      <c r="AK162" s="159"/>
      <c r="AL162" s="159"/>
      <c r="AM162" s="159"/>
      <c r="AN162" s="159"/>
      <c r="AO162" s="159"/>
      <c r="AP162" s="159"/>
      <c r="AQ162" s="159"/>
      <c r="AR162" s="159"/>
      <c r="AS162" s="159"/>
      <c r="AT162" s="159"/>
      <c r="AU162" s="159"/>
      <c r="AV162" s="159"/>
      <c r="AW162" s="159"/>
      <c r="AX162" s="159"/>
      <c r="AY162" s="159"/>
      <c r="AZ162" s="159"/>
      <c r="BA162" s="159"/>
      <c r="BB162" s="159"/>
      <c r="BC162" s="159"/>
      <c r="BD162" s="159"/>
      <c r="BE162" s="159">
        <v>171</v>
      </c>
      <c r="BF162" s="159">
        <v>233</v>
      </c>
      <c r="BG162" s="159">
        <v>212</v>
      </c>
      <c r="BH162" s="159">
        <v>208</v>
      </c>
      <c r="BI162" s="159">
        <v>172</v>
      </c>
      <c r="BJ162" s="159">
        <v>217</v>
      </c>
      <c r="BK162" s="159">
        <v>200</v>
      </c>
      <c r="BL162" s="159">
        <v>225</v>
      </c>
      <c r="BM162" s="159">
        <v>150</v>
      </c>
      <c r="BN162" s="159">
        <v>166</v>
      </c>
      <c r="BO162" s="159">
        <v>180</v>
      </c>
      <c r="BP162" s="160">
        <v>182</v>
      </c>
      <c r="BQ162" s="160">
        <v>120</v>
      </c>
      <c r="BR162" s="160">
        <v>122</v>
      </c>
      <c r="BS162" s="160">
        <v>125</v>
      </c>
      <c r="BT162" s="161">
        <v>206</v>
      </c>
      <c r="BU162" s="161">
        <v>136</v>
      </c>
      <c r="BV162" s="161">
        <v>104</v>
      </c>
      <c r="BW162" s="161">
        <v>92</v>
      </c>
      <c r="BX162" s="161">
        <v>73</v>
      </c>
      <c r="BY162" s="175">
        <v>86</v>
      </c>
      <c r="BZ162" s="175">
        <v>76</v>
      </c>
      <c r="CA162" s="175">
        <v>134</v>
      </c>
      <c r="CB162" s="175">
        <f>+R162-SUM(BY162:CA162)</f>
        <v>101.27675417661095</v>
      </c>
      <c r="CC162" s="87">
        <f t="shared" ref="CC162:CE166" ca="1" si="233">CC130*CC154</f>
        <v>103.97947368421052</v>
      </c>
      <c r="CD162" s="87">
        <f t="shared" si="233"/>
        <v>84.082771055753255</v>
      </c>
      <c r="CE162" s="87">
        <f t="shared" si="233"/>
        <v>148.34711520737326</v>
      </c>
      <c r="CF162" s="87">
        <f ca="1">+S162-SUM(CC162:CE162)</f>
        <v>114.32793360874882</v>
      </c>
      <c r="CG162" s="87">
        <f t="shared" ref="CG162:CI166" ca="1" si="234">CG130*CG154</f>
        <v>103.45957631578946</v>
      </c>
      <c r="CH162" s="87">
        <f t="shared" si="234"/>
        <v>85.764426476868323</v>
      </c>
      <c r="CI162" s="87">
        <f t="shared" si="234"/>
        <v>147.6053796313364</v>
      </c>
      <c r="CJ162" s="87">
        <f ca="1">+T162-SUM(CG162:CI162)</f>
        <v>144.14830473591041</v>
      </c>
      <c r="CO162" s="39"/>
      <c r="DK162" s="39"/>
      <c r="DL162" s="141"/>
      <c r="DM162" s="141"/>
      <c r="DN162" s="39"/>
      <c r="DP162" s="39"/>
      <c r="DQ162" s="39"/>
      <c r="DR162" s="39"/>
      <c r="DS162" s="39"/>
      <c r="DT162" s="39"/>
      <c r="DU162" s="39"/>
      <c r="DV162" s="39"/>
      <c r="DW162" s="39"/>
      <c r="DX162" s="39"/>
      <c r="DY162" s="39"/>
      <c r="DZ162" s="39"/>
      <c r="EA162"/>
      <c r="EB162"/>
      <c r="EC162"/>
      <c r="ED162"/>
      <c r="EE162"/>
      <c r="EF162"/>
    </row>
    <row r="163" spans="1:136" s="183" customFormat="1" hidden="1" outlineLevel="1">
      <c r="A163" s="87" t="s">
        <v>55</v>
      </c>
      <c r="B163" s="159"/>
      <c r="C163" s="159"/>
      <c r="D163" s="159"/>
      <c r="E163" s="159"/>
      <c r="F163" s="159"/>
      <c r="G163" s="159"/>
      <c r="H163" s="159"/>
      <c r="I163" s="159"/>
      <c r="J163" s="159"/>
      <c r="K163" s="159"/>
      <c r="L163" s="159">
        <v>646</v>
      </c>
      <c r="M163" s="87">
        <f t="shared" si="229"/>
        <v>731</v>
      </c>
      <c r="N163" s="87">
        <f t="shared" si="230"/>
        <v>716</v>
      </c>
      <c r="O163" s="87">
        <f t="shared" si="231"/>
        <v>555</v>
      </c>
      <c r="P163" s="87">
        <f>+SUM(BQ163:BT163)</f>
        <v>370</v>
      </c>
      <c r="Q163" s="87">
        <f>+SUM(BU163:BX163)</f>
        <v>415</v>
      </c>
      <c r="R163" s="87">
        <f t="shared" ref="R163:AA163" si="235">R131*R155</f>
        <v>565.90146414605954</v>
      </c>
      <c r="S163" s="87">
        <f t="shared" si="235"/>
        <v>615.86990077411599</v>
      </c>
      <c r="T163" s="87">
        <f t="shared" si="235"/>
        <v>684.98409638495127</v>
      </c>
      <c r="U163" s="87">
        <f t="shared" si="235"/>
        <v>755.45834502069886</v>
      </c>
      <c r="V163" s="87">
        <f t="shared" si="235"/>
        <v>817.02957619482049</v>
      </c>
      <c r="W163" s="87">
        <f t="shared" si="235"/>
        <v>873.31130456223923</v>
      </c>
      <c r="X163" s="87">
        <f t="shared" si="235"/>
        <v>926.07298719878463</v>
      </c>
      <c r="Y163" s="87">
        <f t="shared" si="235"/>
        <v>974.66259786580406</v>
      </c>
      <c r="Z163" s="87">
        <f t="shared" si="235"/>
        <v>1024.4304218237869</v>
      </c>
      <c r="AA163" s="87">
        <f t="shared" si="235"/>
        <v>1075.4355620414431</v>
      </c>
      <c r="AB163" s="87"/>
      <c r="AC163" s="159"/>
      <c r="AD163" s="159"/>
      <c r="AE163" s="159"/>
      <c r="AF163" s="159"/>
      <c r="AG163" s="159"/>
      <c r="AH163" s="159"/>
      <c r="AI163" s="159"/>
      <c r="AJ163" s="159"/>
      <c r="AK163" s="159"/>
      <c r="AL163" s="159"/>
      <c r="AM163" s="159"/>
      <c r="AN163" s="159"/>
      <c r="AO163" s="159"/>
      <c r="AP163" s="159"/>
      <c r="AQ163" s="159"/>
      <c r="AR163" s="159"/>
      <c r="AS163" s="159"/>
      <c r="AT163" s="159"/>
      <c r="AU163" s="159"/>
      <c r="AV163" s="159"/>
      <c r="AW163" s="159"/>
      <c r="AX163" s="159"/>
      <c r="AY163" s="159"/>
      <c r="AZ163" s="159"/>
      <c r="BA163" s="159"/>
      <c r="BB163" s="159"/>
      <c r="BC163" s="159"/>
      <c r="BD163" s="159"/>
      <c r="BE163" s="159">
        <v>185</v>
      </c>
      <c r="BF163" s="159">
        <v>182</v>
      </c>
      <c r="BG163" s="159">
        <v>192</v>
      </c>
      <c r="BH163" s="159">
        <v>172</v>
      </c>
      <c r="BI163" s="159">
        <v>187</v>
      </c>
      <c r="BJ163" s="159">
        <v>159</v>
      </c>
      <c r="BK163" s="159">
        <v>221</v>
      </c>
      <c r="BL163" s="159">
        <v>149</v>
      </c>
      <c r="BM163" s="159">
        <v>193</v>
      </c>
      <c r="BN163" s="159">
        <v>137</v>
      </c>
      <c r="BO163" s="159">
        <v>91</v>
      </c>
      <c r="BP163" s="160">
        <v>134</v>
      </c>
      <c r="BQ163" s="160">
        <v>158</v>
      </c>
      <c r="BR163" s="159">
        <v>77</v>
      </c>
      <c r="BS163" s="159">
        <v>70</v>
      </c>
      <c r="BT163" s="175">
        <v>65</v>
      </c>
      <c r="BU163" s="161">
        <v>147</v>
      </c>
      <c r="BV163" s="161">
        <v>100</v>
      </c>
      <c r="BW163" s="161">
        <v>110</v>
      </c>
      <c r="BX163" s="161">
        <v>58</v>
      </c>
      <c r="BY163" s="175">
        <v>181</v>
      </c>
      <c r="BZ163" s="175">
        <v>121</v>
      </c>
      <c r="CA163" s="175">
        <v>151</v>
      </c>
      <c r="CB163" s="175">
        <f>+R163-SUM(BY163:CA163)</f>
        <v>112.90146414605954</v>
      </c>
      <c r="CC163" s="87">
        <f t="shared" ca="1" si="233"/>
        <v>0</v>
      </c>
      <c r="CD163" s="87">
        <f t="shared" si="233"/>
        <v>0</v>
      </c>
      <c r="CE163" s="87">
        <f t="shared" si="233"/>
        <v>0</v>
      </c>
      <c r="CF163" s="87">
        <f ca="1">+S163-SUM(CC163:CE163)</f>
        <v>615.86990077411599</v>
      </c>
      <c r="CG163" s="87">
        <f t="shared" ca="1" si="234"/>
        <v>0</v>
      </c>
      <c r="CH163" s="87">
        <f t="shared" si="234"/>
        <v>0</v>
      </c>
      <c r="CI163" s="87">
        <f t="shared" si="234"/>
        <v>0</v>
      </c>
      <c r="CJ163" s="87">
        <f ca="1">+T163-SUM(CG163:CI163)</f>
        <v>684.98409638495127</v>
      </c>
      <c r="CO163" s="39"/>
      <c r="DK163" s="39"/>
      <c r="DL163" s="141"/>
      <c r="DM163" s="141"/>
      <c r="DN163" s="39"/>
      <c r="DO163" s="39"/>
      <c r="DP163" s="39"/>
      <c r="DQ163" s="39"/>
      <c r="DR163" s="39"/>
      <c r="DS163" s="39"/>
      <c r="DT163" s="39"/>
      <c r="DU163" s="39"/>
      <c r="DV163" s="39"/>
      <c r="DW163" s="39"/>
      <c r="DX163" s="39"/>
      <c r="DY163" s="39"/>
      <c r="DZ163" s="39"/>
      <c r="EA163"/>
      <c r="EB163"/>
      <c r="EC163"/>
      <c r="ED163"/>
      <c r="EE163"/>
      <c r="EF163"/>
    </row>
    <row r="164" spans="1:136" s="183" customFormat="1" hidden="1" outlineLevel="1">
      <c r="A164" s="87" t="s">
        <v>56</v>
      </c>
      <c r="B164" s="159"/>
      <c r="C164" s="159"/>
      <c r="D164" s="159"/>
      <c r="E164" s="159"/>
      <c r="F164" s="159"/>
      <c r="G164" s="159"/>
      <c r="H164" s="159"/>
      <c r="I164" s="159"/>
      <c r="J164" s="159"/>
      <c r="K164" s="159"/>
      <c r="L164" s="159">
        <v>395</v>
      </c>
      <c r="M164" s="87">
        <f t="shared" si="229"/>
        <v>476</v>
      </c>
      <c r="N164" s="87">
        <f t="shared" si="230"/>
        <v>518</v>
      </c>
      <c r="O164" s="87">
        <f t="shared" si="231"/>
        <v>456</v>
      </c>
      <c r="P164" s="87">
        <f>+SUM(BQ164:BT164)</f>
        <v>257</v>
      </c>
      <c r="Q164" s="87">
        <f>+SUM(BU164:BX164)</f>
        <v>245</v>
      </c>
      <c r="R164" s="87">
        <f t="shared" ref="R164:AA164" si="236">R132*R156</f>
        <v>276.23527559055117</v>
      </c>
      <c r="S164" s="87">
        <f t="shared" si="236"/>
        <v>289.73470488188974</v>
      </c>
      <c r="T164" s="87">
        <f t="shared" si="236"/>
        <v>326.04564812598431</v>
      </c>
      <c r="U164" s="87">
        <f t="shared" si="236"/>
        <v>366.60759985417326</v>
      </c>
      <c r="V164" s="87">
        <f t="shared" si="236"/>
        <v>403.4300323981862</v>
      </c>
      <c r="W164" s="87">
        <f t="shared" si="236"/>
        <v>438.31628643498232</v>
      </c>
      <c r="X164" s="87">
        <f t="shared" si="236"/>
        <v>472.14819489229717</v>
      </c>
      <c r="Y164" s="87">
        <f t="shared" si="236"/>
        <v>504.48972406798424</v>
      </c>
      <c r="Z164" s="87">
        <f t="shared" si="236"/>
        <v>538.32734624574459</v>
      </c>
      <c r="AA164" s="87">
        <f t="shared" si="236"/>
        <v>573.7395503616824</v>
      </c>
      <c r="AB164" s="87"/>
      <c r="AC164" s="159"/>
      <c r="AD164" s="159"/>
      <c r="AE164" s="159"/>
      <c r="AF164" s="159"/>
      <c r="AG164" s="159"/>
      <c r="AH164" s="159"/>
      <c r="AI164" s="159"/>
      <c r="AJ164" s="159"/>
      <c r="AK164" s="159"/>
      <c r="AL164" s="159"/>
      <c r="AM164" s="159"/>
      <c r="AN164" s="159"/>
      <c r="AO164" s="159"/>
      <c r="AP164" s="159"/>
      <c r="AQ164" s="159"/>
      <c r="AR164" s="159"/>
      <c r="AS164" s="159"/>
      <c r="AT164" s="159"/>
      <c r="AU164" s="159"/>
      <c r="AV164" s="159"/>
      <c r="AW164" s="159"/>
      <c r="AX164" s="159"/>
      <c r="AY164" s="159"/>
      <c r="AZ164" s="159"/>
      <c r="BA164" s="159"/>
      <c r="BB164" s="159"/>
      <c r="BC164" s="159"/>
      <c r="BD164" s="159"/>
      <c r="BE164" s="159">
        <v>34</v>
      </c>
      <c r="BF164" s="159">
        <v>121</v>
      </c>
      <c r="BG164" s="159">
        <v>154</v>
      </c>
      <c r="BH164" s="159">
        <v>167</v>
      </c>
      <c r="BI164" s="159">
        <v>140</v>
      </c>
      <c r="BJ164" s="159">
        <v>143</v>
      </c>
      <c r="BK164" s="159">
        <v>108</v>
      </c>
      <c r="BL164" s="159">
        <v>127</v>
      </c>
      <c r="BM164" s="159">
        <v>72</v>
      </c>
      <c r="BN164" s="159">
        <v>143</v>
      </c>
      <c r="BO164" s="159">
        <v>117</v>
      </c>
      <c r="BP164" s="160">
        <v>124</v>
      </c>
      <c r="BQ164" s="160">
        <v>34</v>
      </c>
      <c r="BR164" s="159">
        <v>119</v>
      </c>
      <c r="BS164" s="159">
        <v>64</v>
      </c>
      <c r="BT164" s="175">
        <v>40</v>
      </c>
      <c r="BU164" s="161">
        <v>22</v>
      </c>
      <c r="BV164" s="161">
        <v>101</v>
      </c>
      <c r="BW164" s="161">
        <v>64</v>
      </c>
      <c r="BX164" s="161">
        <v>58</v>
      </c>
      <c r="BY164" s="175">
        <v>63</v>
      </c>
      <c r="BZ164" s="175">
        <v>89</v>
      </c>
      <c r="CA164" s="175">
        <v>54</v>
      </c>
      <c r="CB164" s="175">
        <f>+R164-SUM(BY164:CA164)</f>
        <v>70.235275590551169</v>
      </c>
      <c r="CC164" s="87">
        <f t="shared" ca="1" si="233"/>
        <v>0</v>
      </c>
      <c r="CD164" s="87">
        <f t="shared" si="233"/>
        <v>0</v>
      </c>
      <c r="CE164" s="87">
        <f t="shared" si="233"/>
        <v>0</v>
      </c>
      <c r="CF164" s="87">
        <f ca="1">+S164-SUM(CC164:CE164)</f>
        <v>289.73470488188974</v>
      </c>
      <c r="CG164" s="87">
        <f t="shared" ca="1" si="234"/>
        <v>0</v>
      </c>
      <c r="CH164" s="87">
        <f t="shared" si="234"/>
        <v>0</v>
      </c>
      <c r="CI164" s="87">
        <f t="shared" si="234"/>
        <v>0</v>
      </c>
      <c r="CJ164" s="87">
        <f ca="1">+T164-SUM(CG164:CI164)</f>
        <v>326.04564812598431</v>
      </c>
      <c r="CO164" s="39"/>
      <c r="DK164" s="39"/>
      <c r="DL164" s="141"/>
      <c r="DM164" s="141"/>
      <c r="DN164" s="39"/>
      <c r="DO164" s="39"/>
      <c r="DP164" s="39"/>
      <c r="DQ164" s="39"/>
      <c r="DR164" s="39"/>
      <c r="DS164" s="39"/>
      <c r="DT164" s="39"/>
      <c r="DU164" s="39"/>
      <c r="DV164" s="39"/>
      <c r="DW164" s="39"/>
      <c r="DX164" s="39"/>
      <c r="DY164" s="39"/>
      <c r="DZ164" s="39"/>
      <c r="EA164"/>
      <c r="EB164"/>
      <c r="EC164"/>
      <c r="ED164"/>
      <c r="EE164"/>
      <c r="EF164"/>
    </row>
    <row r="165" spans="1:136" s="183" customFormat="1" hidden="1" outlineLevel="1">
      <c r="A165" s="87" t="s">
        <v>57</v>
      </c>
      <c r="B165" s="159"/>
      <c r="C165" s="159"/>
      <c r="D165" s="159"/>
      <c r="E165" s="159"/>
      <c r="F165" s="159"/>
      <c r="G165" s="159"/>
      <c r="H165" s="159"/>
      <c r="I165" s="159"/>
      <c r="J165" s="159"/>
      <c r="K165" s="159"/>
      <c r="L165" s="159">
        <v>1553</v>
      </c>
      <c r="M165" s="87">
        <f t="shared" si="229"/>
        <v>1794</v>
      </c>
      <c r="N165" s="87">
        <f t="shared" si="230"/>
        <v>1765</v>
      </c>
      <c r="O165" s="87">
        <f t="shared" si="231"/>
        <v>1917</v>
      </c>
      <c r="P165" s="87">
        <f>+SUM(BQ165:BT165)</f>
        <v>1634</v>
      </c>
      <c r="Q165" s="87">
        <f>+SUM(BU165:BX165)</f>
        <v>1551</v>
      </c>
      <c r="R165" s="87">
        <f t="shared" ref="R165:AA165" si="237">R133*R157</f>
        <v>1731.5905571895426</v>
      </c>
      <c r="S165" s="87">
        <f t="shared" si="237"/>
        <v>1798.6644399218758</v>
      </c>
      <c r="T165" s="87">
        <f t="shared" si="237"/>
        <v>1926.6422263476586</v>
      </c>
      <c r="U165" s="87">
        <f t="shared" si="237"/>
        <v>2044.8546670684436</v>
      </c>
      <c r="V165" s="87">
        <f t="shared" si="237"/>
        <v>2141.4050223784975</v>
      </c>
      <c r="W165" s="87">
        <f t="shared" si="237"/>
        <v>2215.3322103581345</v>
      </c>
      <c r="X165" s="87">
        <f t="shared" si="237"/>
        <v>2275.065651505121</v>
      </c>
      <c r="Y165" s="87">
        <f t="shared" si="237"/>
        <v>2324.8554153624787</v>
      </c>
      <c r="Z165" s="87">
        <f t="shared" si="237"/>
        <v>2373.9515923871254</v>
      </c>
      <c r="AA165" s="87">
        <f t="shared" si="237"/>
        <v>2422.4262675562777</v>
      </c>
      <c r="AB165" s="87"/>
      <c r="AC165" s="159"/>
      <c r="AD165" s="159"/>
      <c r="AE165" s="159"/>
      <c r="AF165" s="159"/>
      <c r="AG165" s="159"/>
      <c r="AH165" s="159"/>
      <c r="AI165" s="159"/>
      <c r="AJ165" s="159"/>
      <c r="AK165" s="159"/>
      <c r="AL165" s="159"/>
      <c r="AM165" s="159"/>
      <c r="AN165" s="159"/>
      <c r="AO165" s="159"/>
      <c r="AP165" s="159"/>
      <c r="AQ165" s="159"/>
      <c r="AR165" s="159"/>
      <c r="AS165" s="159"/>
      <c r="AT165" s="159"/>
      <c r="AU165" s="159"/>
      <c r="AV165" s="159"/>
      <c r="AW165" s="159"/>
      <c r="AX165" s="159"/>
      <c r="AY165" s="159"/>
      <c r="AZ165" s="159"/>
      <c r="BA165" s="159"/>
      <c r="BB165" s="159"/>
      <c r="BC165" s="159"/>
      <c r="BD165" s="159"/>
      <c r="BE165" s="159">
        <v>395</v>
      </c>
      <c r="BF165" s="159">
        <v>487</v>
      </c>
      <c r="BG165" s="159">
        <v>418</v>
      </c>
      <c r="BH165" s="159">
        <v>494</v>
      </c>
      <c r="BI165" s="159">
        <v>434</v>
      </c>
      <c r="BJ165" s="159">
        <v>434</v>
      </c>
      <c r="BK165" s="159">
        <v>402</v>
      </c>
      <c r="BL165" s="159">
        <v>495</v>
      </c>
      <c r="BM165" s="159">
        <v>435</v>
      </c>
      <c r="BN165" s="159">
        <v>401</v>
      </c>
      <c r="BO165" s="159">
        <v>452</v>
      </c>
      <c r="BP165" s="160">
        <v>629</v>
      </c>
      <c r="BQ165" s="160">
        <v>377</v>
      </c>
      <c r="BR165" s="159">
        <v>384</v>
      </c>
      <c r="BS165" s="159">
        <v>373</v>
      </c>
      <c r="BT165" s="175">
        <v>500</v>
      </c>
      <c r="BU165" s="161">
        <v>372</v>
      </c>
      <c r="BV165" s="161">
        <v>302</v>
      </c>
      <c r="BW165" s="161">
        <v>379</v>
      </c>
      <c r="BX165" s="161">
        <v>498</v>
      </c>
      <c r="BY165" s="175">
        <v>450</v>
      </c>
      <c r="BZ165" s="175">
        <v>373</v>
      </c>
      <c r="CA165" s="175">
        <v>415</v>
      </c>
      <c r="CB165" s="175">
        <f>+R165-SUM(BY165:CA165)</f>
        <v>493.59055718954255</v>
      </c>
      <c r="CC165" s="87">
        <f t="shared" ca="1" si="233"/>
        <v>461.86106250000006</v>
      </c>
      <c r="CD165" s="87">
        <f t="shared" si="233"/>
        <v>380.90175000000005</v>
      </c>
      <c r="CE165" s="87">
        <f t="shared" si="233"/>
        <v>430.26750000000004</v>
      </c>
      <c r="CF165" s="87">
        <f ca="1">+S165-SUM(CC165:CE165)</f>
        <v>525.63412742187575</v>
      </c>
      <c r="CG165" s="87">
        <f t="shared" ca="1" si="234"/>
        <v>444.8183892937501</v>
      </c>
      <c r="CH165" s="87">
        <f t="shared" si="234"/>
        <v>363.03745792500001</v>
      </c>
      <c r="CI165" s="87">
        <f t="shared" si="234"/>
        <v>418.69330425000004</v>
      </c>
      <c r="CJ165" s="87">
        <f ca="1">+T165-SUM(CG165:CI165)</f>
        <v>700.09307487890851</v>
      </c>
      <c r="CO165" s="39"/>
      <c r="DK165" s="39"/>
      <c r="DL165" s="141"/>
      <c r="DM165" s="141"/>
      <c r="DN165" s="39"/>
      <c r="DO165" s="39"/>
      <c r="DP165" s="39"/>
      <c r="DQ165" s="39"/>
      <c r="DR165" s="39"/>
      <c r="DS165" s="39"/>
      <c r="DT165" s="39"/>
      <c r="DU165" s="39"/>
      <c r="DV165" s="39"/>
      <c r="DW165" s="39"/>
      <c r="DX165" s="39"/>
      <c r="DY165" s="39"/>
      <c r="DZ165" s="39"/>
      <c r="EA165"/>
      <c r="EB165"/>
      <c r="EC165"/>
      <c r="ED165"/>
      <c r="EE165"/>
      <c r="EF165"/>
    </row>
    <row r="166" spans="1:136" s="183" customFormat="1" hidden="1" outlineLevel="1">
      <c r="A166" s="87" t="s">
        <v>58</v>
      </c>
      <c r="B166" s="97"/>
      <c r="C166" s="97"/>
      <c r="D166" s="97"/>
      <c r="E166" s="97"/>
      <c r="F166" s="97"/>
      <c r="G166" s="97"/>
      <c r="H166" s="97"/>
      <c r="I166" s="97"/>
      <c r="J166" s="97"/>
      <c r="K166" s="97"/>
      <c r="L166" s="97">
        <v>901</v>
      </c>
      <c r="M166" s="98">
        <f t="shared" si="229"/>
        <v>937</v>
      </c>
      <c r="N166" s="98">
        <f t="shared" si="230"/>
        <v>955</v>
      </c>
      <c r="O166" s="98">
        <f t="shared" si="231"/>
        <v>1045</v>
      </c>
      <c r="P166" s="98">
        <f>+SUM(BQ166:BT166)</f>
        <v>1120</v>
      </c>
      <c r="Q166" s="98">
        <f>+SUM(BU166:BX166)</f>
        <v>1282</v>
      </c>
      <c r="R166" s="98">
        <f t="shared" ref="R166:AA166" si="238">R134*R158</f>
        <v>1457.6587077717234</v>
      </c>
      <c r="S166" s="98">
        <f t="shared" si="238"/>
        <v>1511.1473620590766</v>
      </c>
      <c r="T166" s="98">
        <f t="shared" si="238"/>
        <v>1615.56717891926</v>
      </c>
      <c r="U166" s="98">
        <f t="shared" si="238"/>
        <v>1709.6312511010483</v>
      </c>
      <c r="V166" s="98">
        <f t="shared" si="238"/>
        <v>1797.244257964039</v>
      </c>
      <c r="W166" s="98">
        <f t="shared" si="238"/>
        <v>1866.765716006392</v>
      </c>
      <c r="X166" s="98">
        <f t="shared" si="238"/>
        <v>1924.6069061583512</v>
      </c>
      <c r="Y166" s="98">
        <f t="shared" si="238"/>
        <v>1974.0167300309349</v>
      </c>
      <c r="Z166" s="98">
        <f t="shared" si="238"/>
        <v>2022.3334598627512</v>
      </c>
      <c r="AA166" s="98">
        <f t="shared" si="238"/>
        <v>2069.6405609015255</v>
      </c>
      <c r="AB166" s="87"/>
      <c r="AC166" s="97"/>
      <c r="AD166" s="97"/>
      <c r="AE166" s="97"/>
      <c r="AF166" s="97"/>
      <c r="AG166" s="97"/>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v>213</v>
      </c>
      <c r="BF166" s="97">
        <v>221</v>
      </c>
      <c r="BG166" s="97">
        <v>244</v>
      </c>
      <c r="BH166" s="97">
        <v>259</v>
      </c>
      <c r="BI166" s="97">
        <v>194</v>
      </c>
      <c r="BJ166" s="97">
        <v>225</v>
      </c>
      <c r="BK166" s="97">
        <v>272</v>
      </c>
      <c r="BL166" s="97">
        <v>264</v>
      </c>
      <c r="BM166" s="97">
        <v>188</v>
      </c>
      <c r="BN166" s="97">
        <v>226</v>
      </c>
      <c r="BO166" s="97">
        <v>301</v>
      </c>
      <c r="BP166" s="99">
        <v>330</v>
      </c>
      <c r="BQ166" s="99">
        <v>229</v>
      </c>
      <c r="BR166" s="97">
        <v>288</v>
      </c>
      <c r="BS166" s="97">
        <v>311</v>
      </c>
      <c r="BT166" s="243">
        <v>292</v>
      </c>
      <c r="BU166" s="100">
        <v>297</v>
      </c>
      <c r="BV166" s="100">
        <v>291</v>
      </c>
      <c r="BW166" s="100">
        <v>333</v>
      </c>
      <c r="BX166" s="100">
        <v>361</v>
      </c>
      <c r="BY166" s="243">
        <v>340</v>
      </c>
      <c r="BZ166" s="243">
        <v>373</v>
      </c>
      <c r="CA166" s="243">
        <v>372</v>
      </c>
      <c r="CB166" s="243">
        <f>+R166-SUM(BY166:CA166)</f>
        <v>372.65870777172336</v>
      </c>
      <c r="CC166" s="98">
        <f t="shared" ca="1" si="233"/>
        <v>355.1194029850746</v>
      </c>
      <c r="CD166" s="98">
        <f t="shared" si="233"/>
        <v>360.78401162790698</v>
      </c>
      <c r="CE166" s="98">
        <f t="shared" si="233"/>
        <v>398.85606816885343</v>
      </c>
      <c r="CF166" s="98">
        <f ca="1">+S166-SUM(CC166:CE166)</f>
        <v>396.38787927724161</v>
      </c>
      <c r="CG166" s="98">
        <f t="shared" ca="1" si="234"/>
        <v>355.77895636869442</v>
      </c>
      <c r="CH166" s="98">
        <f t="shared" si="234"/>
        <v>373.24396997229314</v>
      </c>
      <c r="CI166" s="98">
        <f t="shared" si="234"/>
        <v>400.05263637335997</v>
      </c>
      <c r="CJ166" s="98">
        <f ca="1">+T166-SUM(CG166:CI166)</f>
        <v>486.49161620491236</v>
      </c>
      <c r="CO166" s="39"/>
      <c r="DK166" s="39"/>
      <c r="DL166" s="141"/>
      <c r="DM166" s="141"/>
      <c r="DN166" s="39"/>
      <c r="DO166" s="39"/>
      <c r="DP166" s="39"/>
      <c r="DQ166" s="39"/>
      <c r="DR166" s="39"/>
      <c r="DS166" s="39"/>
      <c r="DT166" s="39"/>
      <c r="DU166" s="39"/>
      <c r="DV166" s="39"/>
      <c r="DW166" s="39"/>
      <c r="DX166" s="39"/>
      <c r="DY166" s="39"/>
      <c r="DZ166" s="39"/>
      <c r="EA166"/>
      <c r="EB166"/>
      <c r="EC166"/>
      <c r="ED166"/>
      <c r="EE166"/>
      <c r="EF166"/>
    </row>
    <row r="167" spans="1:136" s="183" customFormat="1" hidden="1" outlineLevel="1">
      <c r="A167" s="93" t="s">
        <v>189</v>
      </c>
      <c r="B167" s="93"/>
      <c r="C167" s="93"/>
      <c r="D167" s="93"/>
      <c r="E167" s="93"/>
      <c r="F167" s="93"/>
      <c r="G167" s="93"/>
      <c r="H167" s="93"/>
      <c r="I167" s="93"/>
      <c r="J167" s="93"/>
      <c r="K167" s="93"/>
      <c r="L167" s="93">
        <f>SUM(L162:L166)</f>
        <v>4056</v>
      </c>
      <c r="M167" s="93">
        <f t="shared" si="229"/>
        <v>4762</v>
      </c>
      <c r="N167" s="93">
        <f t="shared" si="230"/>
        <v>4768</v>
      </c>
      <c r="O167" s="93">
        <f t="shared" si="231"/>
        <v>4651</v>
      </c>
      <c r="P167" s="93">
        <f t="shared" ref="P167:AA167" si="239">SUM(P162:P166)</f>
        <v>3954</v>
      </c>
      <c r="Q167" s="93">
        <f t="shared" si="239"/>
        <v>3898</v>
      </c>
      <c r="R167" s="93">
        <f>SUM(R162:R166)</f>
        <v>4428.6627588744877</v>
      </c>
      <c r="S167" s="93">
        <f t="shared" si="239"/>
        <v>4666.1537011930441</v>
      </c>
      <c r="T167" s="93">
        <f t="shared" si="239"/>
        <v>5034.2168369377587</v>
      </c>
      <c r="U167" s="93">
        <f t="shared" si="239"/>
        <v>5409.5528758122637</v>
      </c>
      <c r="V167" s="93">
        <f t="shared" si="239"/>
        <v>5743.8585676195171</v>
      </c>
      <c r="W167" s="93">
        <f t="shared" si="239"/>
        <v>6030.3235387460718</v>
      </c>
      <c r="X167" s="93">
        <f t="shared" si="239"/>
        <v>6285.2216020086817</v>
      </c>
      <c r="Y167" s="93">
        <f t="shared" si="239"/>
        <v>6514.3420307491378</v>
      </c>
      <c r="Z167" s="93">
        <f t="shared" si="239"/>
        <v>6746.9554252476992</v>
      </c>
      <c r="AA167" s="93">
        <f t="shared" si="239"/>
        <v>6983.5050421909882</v>
      </c>
      <c r="AB167" s="93"/>
      <c r="AC167" s="93"/>
      <c r="AD167" s="93"/>
      <c r="AE167" s="93"/>
      <c r="AF167" s="93"/>
      <c r="AG167" s="93"/>
      <c r="AH167" s="93"/>
      <c r="AI167" s="93"/>
      <c r="AJ167" s="93"/>
      <c r="AK167" s="93"/>
      <c r="AL167" s="93"/>
      <c r="AM167" s="93"/>
      <c r="AN167" s="93"/>
      <c r="AO167" s="93"/>
      <c r="AP167" s="93"/>
      <c r="AQ167" s="93"/>
      <c r="AR167" s="93"/>
      <c r="AS167" s="93"/>
      <c r="AT167" s="93"/>
      <c r="AU167" s="93"/>
      <c r="AV167" s="93"/>
      <c r="AW167" s="93"/>
      <c r="AX167" s="93"/>
      <c r="AY167" s="93"/>
      <c r="AZ167" s="93"/>
      <c r="BA167" s="93"/>
      <c r="BB167" s="93"/>
      <c r="BC167" s="93"/>
      <c r="BD167" s="93"/>
      <c r="BE167" s="93">
        <f t="shared" ref="BE167:CB167" si="240">SUM(BE162:BE166)</f>
        <v>998</v>
      </c>
      <c r="BF167" s="93">
        <f t="shared" si="240"/>
        <v>1244</v>
      </c>
      <c r="BG167" s="93">
        <f t="shared" si="240"/>
        <v>1220</v>
      </c>
      <c r="BH167" s="93">
        <f t="shared" si="240"/>
        <v>1300</v>
      </c>
      <c r="BI167" s="93">
        <f t="shared" si="240"/>
        <v>1127</v>
      </c>
      <c r="BJ167" s="93">
        <f t="shared" si="240"/>
        <v>1178</v>
      </c>
      <c r="BK167" s="93">
        <f t="shared" si="240"/>
        <v>1203</v>
      </c>
      <c r="BL167" s="93">
        <f t="shared" si="240"/>
        <v>1260</v>
      </c>
      <c r="BM167" s="93">
        <f t="shared" si="240"/>
        <v>1038</v>
      </c>
      <c r="BN167" s="93">
        <f t="shared" si="240"/>
        <v>1073</v>
      </c>
      <c r="BO167" s="93">
        <f t="shared" si="240"/>
        <v>1141</v>
      </c>
      <c r="BP167" s="93">
        <f t="shared" si="240"/>
        <v>1399</v>
      </c>
      <c r="BQ167" s="93">
        <f t="shared" si="240"/>
        <v>918</v>
      </c>
      <c r="BR167" s="93">
        <f t="shared" si="240"/>
        <v>990</v>
      </c>
      <c r="BS167" s="93">
        <f t="shared" si="240"/>
        <v>943</v>
      </c>
      <c r="BT167" s="93">
        <f t="shared" si="240"/>
        <v>1103</v>
      </c>
      <c r="BU167" s="93">
        <f t="shared" si="240"/>
        <v>974</v>
      </c>
      <c r="BV167" s="93">
        <f t="shared" si="240"/>
        <v>898</v>
      </c>
      <c r="BW167" s="107">
        <f t="shared" si="240"/>
        <v>978</v>
      </c>
      <c r="BX167" s="107">
        <f t="shared" si="240"/>
        <v>1048</v>
      </c>
      <c r="BY167" s="93">
        <f t="shared" si="240"/>
        <v>1120</v>
      </c>
      <c r="BZ167" s="93">
        <f t="shared" si="240"/>
        <v>1032</v>
      </c>
      <c r="CA167" s="93">
        <f t="shared" si="240"/>
        <v>1126</v>
      </c>
      <c r="CB167" s="93">
        <f t="shared" si="240"/>
        <v>1150.6627588744875</v>
      </c>
      <c r="CC167" s="93">
        <f t="shared" ref="CC167:CJ167" ca="1" si="241">SUM(CC162:CC166)</f>
        <v>920.95993916928524</v>
      </c>
      <c r="CD167" s="93">
        <f t="shared" si="241"/>
        <v>825.76853268366028</v>
      </c>
      <c r="CE167" s="93">
        <f t="shared" si="241"/>
        <v>977.4706833762267</v>
      </c>
      <c r="CF167" s="93">
        <f t="shared" ca="1" si="241"/>
        <v>1941.9545459638719</v>
      </c>
      <c r="CG167" s="93">
        <f t="shared" ca="1" si="241"/>
        <v>904.05692197823396</v>
      </c>
      <c r="CH167" s="93">
        <f t="shared" si="241"/>
        <v>822.04585437416154</v>
      </c>
      <c r="CI167" s="93">
        <f t="shared" si="241"/>
        <v>966.35132025469647</v>
      </c>
      <c r="CJ167" s="93">
        <f t="shared" ca="1" si="241"/>
        <v>2341.7627403306669</v>
      </c>
      <c r="CO167" s="39"/>
      <c r="DK167" s="39"/>
      <c r="DL167" s="39"/>
      <c r="DM167" s="39"/>
      <c r="DN167" s="39"/>
      <c r="DO167" s="39"/>
      <c r="DP167" s="39"/>
      <c r="DQ167" s="39"/>
      <c r="DR167" s="39"/>
      <c r="DS167" s="39"/>
      <c r="DT167" s="39"/>
      <c r="DU167" s="39"/>
      <c r="DV167" s="39"/>
      <c r="DW167" s="39"/>
      <c r="DX167" s="39"/>
      <c r="DY167" s="39"/>
      <c r="DZ167" s="39"/>
      <c r="EA167"/>
      <c r="EB167"/>
      <c r="EC167"/>
      <c r="ED167"/>
      <c r="EE167"/>
      <c r="EF167"/>
    </row>
    <row r="168" spans="1:136" s="218" customFormat="1" collapsed="1">
      <c r="A168" s="215" t="s">
        <v>203</v>
      </c>
      <c r="B168" s="215"/>
      <c r="C168" s="215"/>
      <c r="D168" s="215"/>
      <c r="E168" s="215"/>
      <c r="F168" s="215"/>
      <c r="G168" s="215"/>
      <c r="H168" s="215"/>
      <c r="I168" s="215"/>
      <c r="J168" s="215"/>
      <c r="K168" s="215"/>
      <c r="L168" s="215"/>
      <c r="M168" s="215"/>
      <c r="N168" s="215"/>
      <c r="O168" s="215"/>
      <c r="P168" s="240"/>
      <c r="Q168" s="240"/>
      <c r="R168" s="240"/>
      <c r="S168" s="215"/>
      <c r="T168" s="215"/>
      <c r="U168" s="215"/>
      <c r="V168" s="215"/>
      <c r="W168" s="215"/>
      <c r="X168" s="215"/>
      <c r="Y168" s="215"/>
      <c r="Z168" s="215"/>
      <c r="AA168" s="215"/>
      <c r="AB168" s="216"/>
      <c r="AC168" s="215"/>
      <c r="AD168" s="215"/>
      <c r="AE168" s="215"/>
      <c r="AF168" s="215"/>
      <c r="AG168" s="215"/>
      <c r="AH168" s="215"/>
      <c r="AI168" s="215"/>
      <c r="AJ168" s="215"/>
      <c r="AK168" s="215"/>
      <c r="AL168" s="215"/>
      <c r="AM168" s="215"/>
      <c r="AN168" s="215"/>
      <c r="AO168" s="215"/>
      <c r="AP168" s="215"/>
      <c r="AQ168" s="215"/>
      <c r="AR168" s="215"/>
      <c r="AS168" s="215"/>
      <c r="AT168" s="215"/>
      <c r="AU168" s="215"/>
      <c r="AV168" s="215"/>
      <c r="AW168" s="215"/>
      <c r="AX168" s="215"/>
      <c r="AY168" s="215"/>
      <c r="AZ168" s="215"/>
      <c r="BA168" s="215"/>
      <c r="BB168" s="215"/>
      <c r="BC168" s="215"/>
      <c r="BD168" s="215"/>
      <c r="BE168" s="215"/>
      <c r="BF168" s="215"/>
      <c r="BG168" s="215"/>
      <c r="BH168" s="215"/>
      <c r="BI168" s="215"/>
      <c r="BJ168" s="215"/>
      <c r="BK168" s="215"/>
      <c r="BL168" s="215"/>
      <c r="BM168" s="215"/>
      <c r="BN168" s="215"/>
      <c r="BO168" s="215"/>
      <c r="BP168" s="215"/>
      <c r="BQ168" s="215"/>
      <c r="BR168" s="215"/>
      <c r="BS168" s="215"/>
      <c r="BT168" s="215"/>
      <c r="BU168" s="215"/>
      <c r="BV168" s="240"/>
      <c r="BW168" s="240"/>
      <c r="BX168" s="240"/>
      <c r="BY168" s="240"/>
      <c r="BZ168" s="215"/>
      <c r="CA168" s="215"/>
      <c r="CB168" s="215"/>
      <c r="CC168" s="240"/>
      <c r="CD168" s="240"/>
      <c r="CE168" s="215"/>
      <c r="CF168" s="215"/>
      <c r="CG168" s="240"/>
      <c r="CH168" s="215"/>
      <c r="CI168" s="215"/>
      <c r="CJ168" s="215"/>
      <c r="CO168" s="220"/>
      <c r="DK168" s="43"/>
      <c r="DL168" s="211"/>
      <c r="DM168" s="211"/>
      <c r="DN168" s="211"/>
      <c r="DO168" s="211"/>
      <c r="DP168" s="211"/>
      <c r="DQ168" s="211"/>
      <c r="DR168" s="211"/>
      <c r="DS168" s="211"/>
      <c r="DT168" s="211"/>
      <c r="DU168" s="211"/>
      <c r="DV168" s="211"/>
      <c r="DW168" s="211"/>
      <c r="DX168" s="211"/>
      <c r="DY168" s="211"/>
      <c r="DZ168" s="211"/>
      <c r="EA168"/>
      <c r="EB168"/>
      <c r="EC168"/>
      <c r="ED168"/>
      <c r="EE168"/>
      <c r="EF168"/>
    </row>
    <row r="169" spans="1:136" s="480" customFormat="1">
      <c r="A169" s="478" t="s">
        <v>204</v>
      </c>
      <c r="B169" s="246"/>
      <c r="C169" s="246"/>
      <c r="D169" s="246">
        <f>-CF!C34</f>
        <v>170</v>
      </c>
      <c r="E169" s="246">
        <f>-CF!D34</f>
        <v>372</v>
      </c>
      <c r="F169" s="246">
        <f>-CF!E34</f>
        <v>688</v>
      </c>
      <c r="G169" s="246">
        <f>-CF!F34</f>
        <v>1175</v>
      </c>
      <c r="H169" s="246">
        <f>-CF!G34</f>
        <v>1254</v>
      </c>
      <c r="I169" s="246">
        <f>-CF!H34</f>
        <v>3708</v>
      </c>
      <c r="J169" s="246">
        <f>-CF!I34</f>
        <v>777</v>
      </c>
      <c r="K169" s="246">
        <f>-CF!J34</f>
        <v>0</v>
      </c>
      <c r="L169" s="246">
        <f>13100+5200</f>
        <v>18300</v>
      </c>
      <c r="M169" s="246">
        <f>-CF!L34</f>
        <v>0</v>
      </c>
      <c r="N169" s="246">
        <f>-CF!M34</f>
        <v>0</v>
      </c>
      <c r="O169" s="246">
        <v>2700</v>
      </c>
      <c r="P169" s="246">
        <v>1900</v>
      </c>
      <c r="Q169" s="479">
        <f>+-CF!P34</f>
        <v>3622</v>
      </c>
      <c r="R169" s="478">
        <f>-CF!Q34</f>
        <v>2601</v>
      </c>
      <c r="S169" s="478">
        <v>2200</v>
      </c>
      <c r="T169" s="478">
        <f>-CF!S34</f>
        <v>2000</v>
      </c>
      <c r="U169" s="246">
        <f>-CF!T34</f>
        <v>2000</v>
      </c>
      <c r="V169" s="246">
        <f>-CF!U34</f>
        <v>2000</v>
      </c>
      <c r="W169" s="246">
        <f>-CF!V34</f>
        <v>2100</v>
      </c>
      <c r="X169" s="246">
        <f>-CF!W34</f>
        <v>2205</v>
      </c>
      <c r="Y169" s="246">
        <f>-CF!X34</f>
        <v>2370.375</v>
      </c>
      <c r="Z169" s="246">
        <f>-CF!Y34</f>
        <v>2548.1531249999998</v>
      </c>
      <c r="AA169" s="246">
        <f>-CF!Z34</f>
        <v>2739.2646093749995</v>
      </c>
      <c r="AB169" s="478"/>
      <c r="AC169" s="246">
        <v>163</v>
      </c>
      <c r="AD169" s="246">
        <f>325-AC169</f>
        <v>162</v>
      </c>
      <c r="AE169" s="246">
        <f>487-AD169-AC169</f>
        <v>162</v>
      </c>
      <c r="AF169" s="246">
        <f>F169-SUM(AC169:AE169)</f>
        <v>201</v>
      </c>
      <c r="AG169" s="246">
        <v>175</v>
      </c>
      <c r="AH169" s="246">
        <f>400-AG169</f>
        <v>225</v>
      </c>
      <c r="AI169" s="246">
        <f>800-AH169-AG169</f>
        <v>400</v>
      </c>
      <c r="AJ169" s="246">
        <f>G169-SUM(AG169:AI169)</f>
        <v>375</v>
      </c>
      <c r="AK169" s="246">
        <v>312</v>
      </c>
      <c r="AL169" s="246">
        <f>625-AK169</f>
        <v>313</v>
      </c>
      <c r="AM169" s="246">
        <f>937-AL169-AK169</f>
        <v>312</v>
      </c>
      <c r="AN169" s="246">
        <f>H169-SUM(AK169:AM169)</f>
        <v>317</v>
      </c>
      <c r="AO169" s="246">
        <f>140+46.5</f>
        <v>186.5</v>
      </c>
      <c r="AP169" s="246">
        <f>2187-AO169</f>
        <v>2000.5</v>
      </c>
      <c r="AQ169" s="246">
        <f>3186-AP169-AO169</f>
        <v>999</v>
      </c>
      <c r="AR169" s="246">
        <f>I169-SUM(AO169:AQ169)</f>
        <v>522</v>
      </c>
      <c r="AS169" s="246">
        <v>650</v>
      </c>
      <c r="AT169" s="246">
        <f>650-AS169</f>
        <v>0</v>
      </c>
      <c r="AU169" s="246">
        <f>777-AT169-AS169</f>
        <v>127</v>
      </c>
      <c r="AV169" s="246">
        <f>J169-SUM(AS169:AU169)</f>
        <v>0</v>
      </c>
      <c r="AW169" s="246">
        <v>0</v>
      </c>
      <c r="AX169" s="246">
        <v>0</v>
      </c>
      <c r="AY169" s="246">
        <v>0</v>
      </c>
      <c r="AZ169" s="246">
        <f>K169-SUM(AW169:AY169)</f>
        <v>0</v>
      </c>
      <c r="BA169" s="246">
        <f>13100+5200</f>
        <v>18300</v>
      </c>
      <c r="BB169" s="246">
        <v>0</v>
      </c>
      <c r="BC169" s="246">
        <v>0</v>
      </c>
      <c r="BD169" s="246">
        <f>L169-SUM(BA169:BC169)</f>
        <v>0</v>
      </c>
      <c r="BE169" s="246"/>
      <c r="BF169" s="246"/>
      <c r="BG169" s="246"/>
      <c r="BH169" s="246"/>
      <c r="BI169" s="478"/>
      <c r="BJ169" s="478"/>
      <c r="BK169" s="246">
        <v>0</v>
      </c>
      <c r="BL169" s="478">
        <f>-BL170*BL171</f>
        <v>1.6498358099999999</v>
      </c>
      <c r="BM169" s="478">
        <f>-BM170*BM171</f>
        <v>39.706418400000004</v>
      </c>
      <c r="BN169" s="246">
        <v>97.5</v>
      </c>
      <c r="BO169" s="246">
        <f>853-BN169-BM169</f>
        <v>715.79358160000004</v>
      </c>
      <c r="BP169" s="246">
        <f>+O169-SUM(BM169:BO169)</f>
        <v>1847</v>
      </c>
      <c r="BQ169" s="478">
        <f>-BQ170*BQ171</f>
        <v>530.56189791000008</v>
      </c>
      <c r="BR169" s="478">
        <f>-BR170*BR171</f>
        <v>421.44955868</v>
      </c>
      <c r="BS169" s="478">
        <f>-BS170*BS171</f>
        <v>300.81053830000002</v>
      </c>
      <c r="BT169" s="478">
        <f>-BT170*BT171</f>
        <v>647.17800510999984</v>
      </c>
      <c r="BU169" s="491">
        <f>+BU170*-BU171</f>
        <v>1500.366</v>
      </c>
      <c r="BV169" s="491">
        <f>+BV170*-BV171</f>
        <v>664.96486240000002</v>
      </c>
      <c r="BW169" s="491">
        <f>+BW170*-BW171</f>
        <v>918.19630714000004</v>
      </c>
      <c r="BX169" s="569">
        <f>+Q169-SUM(BU169:BW169)</f>
        <v>538.47283045999984</v>
      </c>
      <c r="BY169" s="491">
        <f>+BY170*-BY171</f>
        <v>1229.71136</v>
      </c>
      <c r="BZ169" s="601">
        <f>1300-BY169</f>
        <v>70.288639999999987</v>
      </c>
      <c r="CA169" s="605">
        <v>475</v>
      </c>
      <c r="CB169" s="605">
        <f>2601-CA169-BZ169-BY169</f>
        <v>826.00000000000023</v>
      </c>
      <c r="CC169" s="717">
        <f>+-CC170*CC171</f>
        <v>473.79599999999999</v>
      </c>
      <c r="CD169" s="717">
        <f>1109-CC169</f>
        <v>635.20399999999995</v>
      </c>
      <c r="CE169" s="569">
        <f>1786-CD169-CC169</f>
        <v>677</v>
      </c>
      <c r="CF169" s="569">
        <f>+S169-SUM(CC169:CE169)</f>
        <v>414</v>
      </c>
      <c r="CG169" s="478">
        <f>T169/4</f>
        <v>500</v>
      </c>
      <c r="CH169" s="478">
        <f>(T169-CG169)/3</f>
        <v>500</v>
      </c>
      <c r="CI169" s="478">
        <f>(T169-CH169-CG169)/2</f>
        <v>500</v>
      </c>
      <c r="CJ169" s="478">
        <f>T169-SUM(CG169:CI169)</f>
        <v>500</v>
      </c>
      <c r="CL169" s="728"/>
      <c r="CO169" s="478"/>
      <c r="DK169" s="478"/>
      <c r="DL169" s="478"/>
      <c r="DM169" s="478"/>
      <c r="DN169" s="478"/>
      <c r="DO169" s="478"/>
      <c r="DP169" s="478"/>
      <c r="DQ169" s="478"/>
      <c r="DR169" s="478"/>
      <c r="DS169" s="478"/>
      <c r="DT169" s="478"/>
      <c r="DU169" s="478"/>
      <c r="DV169" s="478"/>
      <c r="DW169" s="478"/>
      <c r="DX169" s="478"/>
      <c r="DY169" s="478"/>
      <c r="DZ169" s="478"/>
      <c r="EA169"/>
      <c r="EB169"/>
      <c r="EC169"/>
      <c r="ED169"/>
      <c r="EE169"/>
      <c r="EF169"/>
    </row>
    <row r="170" spans="1:136">
      <c r="A170" s="37" t="s">
        <v>205</v>
      </c>
      <c r="B170" s="247"/>
      <c r="C170" s="247"/>
      <c r="D170" s="247">
        <f>-D169/D171</f>
        <v>38.784892143777881</v>
      </c>
      <c r="E170" s="247">
        <f>-E169/E171</f>
        <v>29.738806936624684</v>
      </c>
      <c r="F170" s="247">
        <f>AVERAGE(AC170:AF170)</f>
        <v>22.386118246297542</v>
      </c>
      <c r="G170" s="247">
        <f>AVERAGE(AG170:AJ170)</f>
        <v>22.528294487129035</v>
      </c>
      <c r="H170" s="247">
        <f>AVERAGE(AK170:AM170)</f>
        <v>31.520890937019971</v>
      </c>
      <c r="I170" s="247">
        <f>AVERAGE(AO170:AR170)</f>
        <v>24.111476246511756</v>
      </c>
      <c r="J170" s="247">
        <f>AVERAGE(AS170:AV170)</f>
        <v>15.566607981220656</v>
      </c>
      <c r="K170" s="247">
        <v>0</v>
      </c>
      <c r="L170" s="247">
        <v>29</v>
      </c>
      <c r="M170" s="247">
        <f>+L170*1.08</f>
        <v>31.32</v>
      </c>
      <c r="N170" s="247">
        <v>28</v>
      </c>
      <c r="O170" s="247">
        <v>33.090000000000003</v>
      </c>
      <c r="P170" s="247">
        <v>36.43</v>
      </c>
      <c r="Q170" s="477">
        <v>39.43</v>
      </c>
      <c r="R170" s="714">
        <v>41.97</v>
      </c>
      <c r="S170" s="740">
        <f>+S169/-S171</f>
        <v>42.729284098135686</v>
      </c>
      <c r="T170" s="741">
        <f t="shared" ref="T170:AA170" si="242">+S170*1.08</f>
        <v>46.147626825986542</v>
      </c>
      <c r="U170" s="741">
        <f t="shared" si="242"/>
        <v>49.839436972065471</v>
      </c>
      <c r="V170" s="741">
        <f t="shared" si="242"/>
        <v>53.826591929830713</v>
      </c>
      <c r="W170" s="741">
        <f t="shared" si="242"/>
        <v>58.132719284217174</v>
      </c>
      <c r="X170" s="741">
        <f t="shared" si="242"/>
        <v>62.783336826954553</v>
      </c>
      <c r="Y170" s="741">
        <f t="shared" si="242"/>
        <v>67.806003773110916</v>
      </c>
      <c r="Z170" s="741">
        <f t="shared" si="242"/>
        <v>73.23048407495979</v>
      </c>
      <c r="AA170" s="741">
        <f t="shared" si="242"/>
        <v>79.088922800956581</v>
      </c>
      <c r="AB170" s="742"/>
      <c r="AC170" s="602">
        <f t="shared" ref="AC170:AS170" si="243">AC169/AC171</f>
        <v>33.265306122448976</v>
      </c>
      <c r="AD170" s="602">
        <f t="shared" si="243"/>
        <v>31.153846153846157</v>
      </c>
      <c r="AE170" s="602">
        <f t="shared" si="243"/>
        <v>30.566037735849054</v>
      </c>
      <c r="AF170" s="602">
        <f t="shared" si="243"/>
        <v>-5.4407170269540162</v>
      </c>
      <c r="AG170" s="602">
        <f t="shared" si="243"/>
        <v>33.018867924528301</v>
      </c>
      <c r="AH170" s="602">
        <f t="shared" si="243"/>
        <v>32.142857142857139</v>
      </c>
      <c r="AI170" s="602">
        <f t="shared" si="243"/>
        <v>30.76923076923077</v>
      </c>
      <c r="AJ170" s="602">
        <f t="shared" si="243"/>
        <v>-5.8177778881000846</v>
      </c>
      <c r="AK170" s="602">
        <f t="shared" si="243"/>
        <v>29.714285714285715</v>
      </c>
      <c r="AL170" s="602">
        <f t="shared" si="243"/>
        <v>31.3</v>
      </c>
      <c r="AM170" s="602">
        <f t="shared" si="243"/>
        <v>33.548387096774192</v>
      </c>
      <c r="AN170" s="602">
        <f t="shared" si="243"/>
        <v>-4.6247498404242471</v>
      </c>
      <c r="AO170" s="602">
        <f t="shared" si="243"/>
        <v>32.155172413793096</v>
      </c>
      <c r="AP170" s="602">
        <f t="shared" si="243"/>
        <v>33.735244519392921</v>
      </c>
      <c r="AQ170" s="602">
        <f t="shared" si="243"/>
        <v>33.079470198675494</v>
      </c>
      <c r="AR170" s="602">
        <f t="shared" si="243"/>
        <v>-2.5239821458144815</v>
      </c>
      <c r="AS170" s="602">
        <f t="shared" si="243"/>
        <v>30.516431924882628</v>
      </c>
      <c r="AT170" s="602">
        <f>IF(ISERROR(AT169/AT171),0,AT169/AT171)</f>
        <v>0</v>
      </c>
      <c r="AU170" s="602">
        <f>AU169/AU171</f>
        <v>31.75</v>
      </c>
      <c r="AV170" s="602">
        <f>IF(ISERROR(AV169/AV171),0,AV169/AV171)</f>
        <v>0</v>
      </c>
      <c r="AW170" s="602">
        <f>IF(ISERROR(AW169/AW171),0,AW169/AW171)</f>
        <v>0</v>
      </c>
      <c r="AX170" s="602">
        <f>IF(ISERROR(AX169/AX171),0,AX169/AX171)</f>
        <v>0</v>
      </c>
      <c r="AY170" s="602">
        <f>IF(ISERROR(AY169/AY171),0,AY169/AY171)</f>
        <v>0</v>
      </c>
      <c r="AZ170" s="602">
        <f>IF(ISERROR(AZ169/AZ171),0,AZ169/AZ171)</f>
        <v>0</v>
      </c>
      <c r="BA170" s="602">
        <v>28.36</v>
      </c>
      <c r="BB170" s="602">
        <f>IF(ISERROR(BB169/BB171),0,BB169/BB171)</f>
        <v>0</v>
      </c>
      <c r="BC170" s="602">
        <f>IF(ISERROR(BC169/BC171),0,BC169/BC171)</f>
        <v>0</v>
      </c>
      <c r="BD170" s="602">
        <f>IF(ISERROR(BD169/BD171),0,BD169/BD171)</f>
        <v>0</v>
      </c>
      <c r="BE170" s="602"/>
      <c r="BF170" s="602"/>
      <c r="BG170" s="602"/>
      <c r="BH170" s="602"/>
      <c r="BI170" s="602"/>
      <c r="BJ170" s="602"/>
      <c r="BK170" s="248" t="s">
        <v>161</v>
      </c>
      <c r="BL170" s="248">
        <v>26.97</v>
      </c>
      <c r="BM170" s="248">
        <v>26.96</v>
      </c>
      <c r="BN170" s="248">
        <v>30.21</v>
      </c>
      <c r="BO170" s="248">
        <v>31.25</v>
      </c>
      <c r="BP170" s="248">
        <v>34.08</v>
      </c>
      <c r="BQ170" s="248">
        <v>34.21</v>
      </c>
      <c r="BR170" s="248">
        <v>36.28</v>
      </c>
      <c r="BS170" s="248">
        <v>35.99</v>
      </c>
      <c r="BT170" s="248">
        <v>39.42294380675083</v>
      </c>
      <c r="BU170" s="248">
        <v>35.979999999999997</v>
      </c>
      <c r="BV170" s="601">
        <v>40.159999999999997</v>
      </c>
      <c r="BW170" s="601">
        <v>42.83</v>
      </c>
      <c r="BX170" s="602">
        <f>+-BX169/BX171</f>
        <v>44.12282434903053</v>
      </c>
      <c r="BY170" s="601">
        <v>41</v>
      </c>
      <c r="BZ170" s="602">
        <f>+-BZ169/BZ171</f>
        <v>35.021045918367342</v>
      </c>
      <c r="CA170" s="602">
        <f>+-CA169/CA171</f>
        <v>43.577981651376142</v>
      </c>
      <c r="CB170" s="602">
        <v>43.09</v>
      </c>
      <c r="CC170" s="601">
        <v>43.87</v>
      </c>
      <c r="CD170" s="602">
        <f>+-CD169/CD171</f>
        <v>44.732676056338029</v>
      </c>
      <c r="CE170" s="602">
        <f>+-CE169/CE171</f>
        <v>40.44581202136758</v>
      </c>
      <c r="CF170" s="602">
        <f>+CE170*1.05</f>
        <v>42.468102622435964</v>
      </c>
      <c r="CG170" s="602">
        <f>+CF170*1.02</f>
        <v>43.317464674884683</v>
      </c>
      <c r="CH170" s="602">
        <f>+CG170*1.02</f>
        <v>44.183813968382374</v>
      </c>
      <c r="CI170" s="602">
        <f>+CH170*1.02</f>
        <v>45.067490247750023</v>
      </c>
      <c r="CJ170" s="602">
        <f>+CI170*1.02</f>
        <v>45.968840052705026</v>
      </c>
      <c r="CK170" s="743"/>
      <c r="CL170" s="47"/>
      <c r="CO170" s="56"/>
      <c r="DK170" s="56"/>
      <c r="DL170" s="56"/>
      <c r="DM170" s="56"/>
      <c r="DN170" s="56"/>
      <c r="DO170" s="56"/>
      <c r="DP170" s="56"/>
      <c r="DQ170" s="56"/>
      <c r="DR170" s="56"/>
      <c r="DS170" s="56"/>
      <c r="DT170" s="56"/>
      <c r="DU170" s="56"/>
      <c r="DV170" s="56"/>
      <c r="DW170" s="56"/>
      <c r="DX170" s="56"/>
      <c r="DY170" s="56"/>
      <c r="DZ170" s="56"/>
    </row>
    <row r="171" spans="1:136">
      <c r="A171" s="490" t="s">
        <v>207</v>
      </c>
      <c r="B171" s="249"/>
      <c r="C171" s="249"/>
      <c r="D171" s="249">
        <v>-4.3831499999999997</v>
      </c>
      <c r="E171" s="249">
        <v>-12.508908</v>
      </c>
      <c r="F171" s="249">
        <v>-21.543659999999999</v>
      </c>
      <c r="G171" s="249">
        <v>-39.157600000000002</v>
      </c>
      <c r="H171" s="249">
        <v>-38.744247999999999</v>
      </c>
      <c r="I171" s="249">
        <v>-111.516043</v>
      </c>
      <c r="J171" s="249">
        <v>-25.272255000000001</v>
      </c>
      <c r="K171" s="249">
        <v>0</v>
      </c>
      <c r="L171" s="249">
        <v>0</v>
      </c>
      <c r="M171" s="211">
        <f>+-M169/M170</f>
        <v>0</v>
      </c>
      <c r="N171" s="211">
        <f>+-N169/N170</f>
        <v>0</v>
      </c>
      <c r="O171" s="249">
        <v>-82.8</v>
      </c>
      <c r="P171" s="249">
        <v>-51.9</v>
      </c>
      <c r="Q171" s="211">
        <f>+-Q169/Q170</f>
        <v>-91.858990616282014</v>
      </c>
      <c r="R171" s="211">
        <f>+-R169/R170</f>
        <v>-61.972837741243744</v>
      </c>
      <c r="S171" s="744">
        <f>SUM(CC171:CF171)</f>
        <v>-51.486937973201094</v>
      </c>
      <c r="T171" s="744">
        <f t="shared" ref="T171:AA171" si="244">+-T169/T170</f>
        <v>-43.339173378115397</v>
      </c>
      <c r="U171" s="744">
        <f t="shared" si="244"/>
        <v>-40.128864238995739</v>
      </c>
      <c r="V171" s="744">
        <f t="shared" si="244"/>
        <v>-37.156355776847903</v>
      </c>
      <c r="W171" s="744">
        <f t="shared" si="244"/>
        <v>-36.124234783046568</v>
      </c>
      <c r="X171" s="744">
        <f t="shared" si="244"/>
        <v>-35.120783816850825</v>
      </c>
      <c r="Y171" s="744">
        <f t="shared" si="244"/>
        <v>-34.958187595476517</v>
      </c>
      <c r="Z171" s="744">
        <f t="shared" si="244"/>
        <v>-34.796344134386345</v>
      </c>
      <c r="AA171" s="744">
        <f t="shared" si="244"/>
        <v>-34.635249948578995</v>
      </c>
      <c r="AB171" s="745"/>
      <c r="AC171" s="746">
        <v>4.9000000000000004</v>
      </c>
      <c r="AD171" s="746">
        <f>10.1-AC171</f>
        <v>5.1999999999999993</v>
      </c>
      <c r="AE171" s="746">
        <f>15.4-AD171-AC171</f>
        <v>5.3000000000000007</v>
      </c>
      <c r="AF171" s="746">
        <f>F171-SUM(AC171:AE171)</f>
        <v>-36.943660000000001</v>
      </c>
      <c r="AG171" s="746">
        <v>5.3</v>
      </c>
      <c r="AH171" s="746">
        <f>12.3-AG171</f>
        <v>7.0000000000000009</v>
      </c>
      <c r="AI171" s="746">
        <f>25.3-AH171-AG171</f>
        <v>13</v>
      </c>
      <c r="AJ171" s="746">
        <f>G171-SUM(AG171:AI171)</f>
        <v>-64.457599999999999</v>
      </c>
      <c r="AK171" s="746">
        <v>10.5</v>
      </c>
      <c r="AL171" s="746">
        <f>20.5-AK171</f>
        <v>10</v>
      </c>
      <c r="AM171" s="746">
        <f>29.8-AL171-AK171</f>
        <v>9.3000000000000007</v>
      </c>
      <c r="AN171" s="746">
        <f>H171-SUM(AK171:AM171)</f>
        <v>-68.544247999999996</v>
      </c>
      <c r="AO171" s="746">
        <f>4.4+1.4</f>
        <v>5.8000000000000007</v>
      </c>
      <c r="AP171" s="746">
        <f>65.1-AO171</f>
        <v>59.3</v>
      </c>
      <c r="AQ171" s="746">
        <v>30.2</v>
      </c>
      <c r="AR171" s="746">
        <f>I171-SUM(AO171:AQ171)</f>
        <v>-206.81604299999998</v>
      </c>
      <c r="AS171" s="746">
        <v>21.3</v>
      </c>
      <c r="AT171" s="746">
        <f>21.3-AS171</f>
        <v>0</v>
      </c>
      <c r="AU171" s="746">
        <f>25.3-AT171-AS171</f>
        <v>4</v>
      </c>
      <c r="AV171" s="746">
        <f>J171-SUM(AS171:AU171)</f>
        <v>-50.572254999999998</v>
      </c>
      <c r="AW171" s="746">
        <v>0</v>
      </c>
      <c r="AX171" s="746">
        <v>0</v>
      </c>
      <c r="AY171" s="746">
        <v>0</v>
      </c>
      <c r="AZ171" s="746">
        <f>K171-SUM(AW171:AY171)</f>
        <v>0</v>
      </c>
      <c r="BA171" s="746">
        <v>0</v>
      </c>
      <c r="BB171" s="746">
        <v>0</v>
      </c>
      <c r="BC171" s="746">
        <v>0</v>
      </c>
      <c r="BD171" s="746">
        <f>L171-SUM(BA171:BC171)</f>
        <v>0</v>
      </c>
      <c r="BE171" s="746"/>
      <c r="BF171" s="746"/>
      <c r="BG171" s="746"/>
      <c r="BH171" s="747"/>
      <c r="BI171" s="748"/>
      <c r="BJ171" s="748"/>
      <c r="BK171" s="749">
        <v>0</v>
      </c>
      <c r="BL171" s="749">
        <v>-6.1172999999999998E-2</v>
      </c>
      <c r="BM171" s="746">
        <v>-1.47279</v>
      </c>
      <c r="BN171" s="746">
        <v>-3.2429079999999999</v>
      </c>
      <c r="BO171" s="746">
        <v>-24.191731999999998</v>
      </c>
      <c r="BP171" s="747">
        <f>+O171-SUM(BM171:BO171)</f>
        <v>-53.892569999999999</v>
      </c>
      <c r="BQ171" s="746">
        <v>-15.508971000000001</v>
      </c>
      <c r="BR171" s="603">
        <v>-11.616581</v>
      </c>
      <c r="BS171" s="603">
        <v>-8.3581699999999994</v>
      </c>
      <c r="BT171" s="603">
        <f>-51.9-BS171-BR171-BQ171</f>
        <v>-16.416277999999998</v>
      </c>
      <c r="BU171" s="603">
        <v>-41.7</v>
      </c>
      <c r="BV171" s="603">
        <v>-16.55789</v>
      </c>
      <c r="BW171" s="603">
        <v>-21.438158000000001</v>
      </c>
      <c r="BX171" s="603">
        <f>-91.9-BW171-BV171-BU171</f>
        <v>-12.203952000000001</v>
      </c>
      <c r="BY171" s="603">
        <v>-29.99296</v>
      </c>
      <c r="BZ171" s="603">
        <f>+-32-BY171</f>
        <v>-2.0070399999999999</v>
      </c>
      <c r="CA171" s="603">
        <f>+-42.9-BZ171-BY171</f>
        <v>-10.900000000000002</v>
      </c>
      <c r="CB171" s="747">
        <f t="shared" ref="CB171:CJ171" si="245">+-CB169/CB170</f>
        <v>-19.169180784404737</v>
      </c>
      <c r="CC171" s="603">
        <v>-10.8</v>
      </c>
      <c r="CD171" s="603">
        <f>+-25-CC171</f>
        <v>-14.2</v>
      </c>
      <c r="CE171" s="603">
        <v>-16.738444999999999</v>
      </c>
      <c r="CF171" s="603">
        <f>+-CF169/CF170</f>
        <v>-9.7484929732010954</v>
      </c>
      <c r="CG171" s="747">
        <f t="shared" si="245"/>
        <v>-11.542688468789779</v>
      </c>
      <c r="CH171" s="747">
        <f t="shared" si="245"/>
        <v>-11.316361243911548</v>
      </c>
      <c r="CI171" s="747">
        <f t="shared" si="245"/>
        <v>-11.09447180775642</v>
      </c>
      <c r="CJ171" s="747">
        <f t="shared" si="245"/>
        <v>-10.876933144859233</v>
      </c>
      <c r="CK171" s="743"/>
      <c r="CO171" s="37"/>
      <c r="DK171" s="37"/>
      <c r="DL171" s="37"/>
      <c r="DM171" s="37"/>
      <c r="DN171" s="37"/>
      <c r="DO171" s="37"/>
      <c r="DP171" s="37"/>
      <c r="DQ171" s="37"/>
      <c r="DR171" s="37"/>
      <c r="DS171" s="37"/>
      <c r="DT171" s="37"/>
      <c r="DU171" s="37"/>
      <c r="DV171" s="37"/>
      <c r="DW171" s="37"/>
      <c r="DX171" s="37"/>
      <c r="DY171" s="37"/>
      <c r="DZ171" s="37"/>
    </row>
    <row r="172" spans="1:136">
      <c r="A172" s="490" t="s">
        <v>208</v>
      </c>
      <c r="B172" s="249"/>
      <c r="C172" s="249"/>
      <c r="D172" s="249">
        <v>0</v>
      </c>
      <c r="E172" s="249">
        <f>3.827182</f>
        <v>3.8271820000000001</v>
      </c>
      <c r="F172" s="249">
        <f>4.96161</f>
        <v>4.9616100000000003</v>
      </c>
      <c r="G172" s="249">
        <f>3.683281</f>
        <v>3.683281</v>
      </c>
      <c r="H172" s="249">
        <f>4.836138</f>
        <v>4.836138</v>
      </c>
      <c r="I172" s="249">
        <f>9.321018</f>
        <v>9.3210180000000005</v>
      </c>
      <c r="J172" s="249">
        <f>-46.119899+6.915974</f>
        <v>-39.203924999999998</v>
      </c>
      <c r="K172" s="249">
        <f>8.583463</f>
        <v>8.5834630000000001</v>
      </c>
      <c r="L172" s="249">
        <f>261.537778+8.643868</f>
        <v>270.181646</v>
      </c>
      <c r="M172" s="250">
        <f>M176-M171-M175</f>
        <v>0</v>
      </c>
      <c r="N172" s="250">
        <f>N176-N171-N175</f>
        <v>46.995842000000039</v>
      </c>
      <c r="O172" s="250">
        <f>O176-O171-O175</f>
        <v>9.9277540000000499</v>
      </c>
      <c r="P172" s="250">
        <f>P176-P171-P175</f>
        <v>10.417402999999922</v>
      </c>
      <c r="Q172" s="211">
        <f>+SUM(BU172:BX172)</f>
        <v>8.2921550000000934</v>
      </c>
      <c r="R172" s="211">
        <f>+SUM(BY172:CB172)</f>
        <v>10.401567784404733</v>
      </c>
      <c r="S172" s="744">
        <f>+SUM(CC172:CF172)</f>
        <v>11.257480973200927</v>
      </c>
      <c r="T172" s="750">
        <f t="shared" ref="T172:AA172" si="246">S172</f>
        <v>11.257480973200927</v>
      </c>
      <c r="U172" s="750">
        <f t="shared" si="246"/>
        <v>11.257480973200927</v>
      </c>
      <c r="V172" s="750">
        <f t="shared" si="246"/>
        <v>11.257480973200927</v>
      </c>
      <c r="W172" s="750">
        <f t="shared" si="246"/>
        <v>11.257480973200927</v>
      </c>
      <c r="X172" s="750">
        <f t="shared" si="246"/>
        <v>11.257480973200927</v>
      </c>
      <c r="Y172" s="750">
        <f t="shared" si="246"/>
        <v>11.257480973200927</v>
      </c>
      <c r="Z172" s="750">
        <f t="shared" si="246"/>
        <v>11.257480973200927</v>
      </c>
      <c r="AA172" s="750">
        <f t="shared" si="246"/>
        <v>11.257480973200927</v>
      </c>
      <c r="AB172" s="745"/>
      <c r="AC172" s="751">
        <f>+$F$172/4</f>
        <v>1.2404025000000001</v>
      </c>
      <c r="AD172" s="751">
        <f>+$F$172/4</f>
        <v>1.2404025000000001</v>
      </c>
      <c r="AE172" s="751">
        <f>+$F$172/4</f>
        <v>1.2404025000000001</v>
      </c>
      <c r="AF172" s="751">
        <f>F172-SUM(AC172:AE172)</f>
        <v>1.2404025000000001</v>
      </c>
      <c r="AG172" s="751">
        <f>+$G$172/4</f>
        <v>0.92082025000000001</v>
      </c>
      <c r="AH172" s="751">
        <f>+$G$172/4</f>
        <v>0.92082025000000001</v>
      </c>
      <c r="AI172" s="751">
        <f>+$G$172/4</f>
        <v>0.92082025000000001</v>
      </c>
      <c r="AJ172" s="751">
        <f>G172-SUM(AG172:AI172)</f>
        <v>0.92082025000000023</v>
      </c>
      <c r="AK172" s="751">
        <f>+$H$172/4</f>
        <v>1.2090345</v>
      </c>
      <c r="AL172" s="751">
        <f>+$H$172/4</f>
        <v>1.2090345</v>
      </c>
      <c r="AM172" s="751">
        <f>+$H$172/4</f>
        <v>1.2090345</v>
      </c>
      <c r="AN172" s="751">
        <f>H172-SUM(AK172:AM172)</f>
        <v>1.2090345</v>
      </c>
      <c r="AO172" s="751">
        <f>+$I$172/4</f>
        <v>2.3302545000000001</v>
      </c>
      <c r="AP172" s="751">
        <f>+$I$172/4</f>
        <v>2.3302545000000001</v>
      </c>
      <c r="AQ172" s="751">
        <f>+$I$172/4</f>
        <v>2.3302545000000001</v>
      </c>
      <c r="AR172" s="751">
        <f>I172-SUM(AO172:AQ172)</f>
        <v>2.3302545000000006</v>
      </c>
      <c r="AS172" s="751">
        <v>0</v>
      </c>
      <c r="AT172" s="751">
        <v>0</v>
      </c>
      <c r="AU172" s="751">
        <v>0</v>
      </c>
      <c r="AV172" s="751">
        <f>J172-SUM(AS172:AU172)</f>
        <v>-39.203924999999998</v>
      </c>
      <c r="AW172" s="751">
        <f>+$K$172/4</f>
        <v>2.14586575</v>
      </c>
      <c r="AX172" s="751">
        <f>+$K$172/4</f>
        <v>2.14586575</v>
      </c>
      <c r="AY172" s="751">
        <f>+$K$172/4</f>
        <v>2.14586575</v>
      </c>
      <c r="AZ172" s="751">
        <f>K172-SUM(AW172:AY172)</f>
        <v>2.1458657500000005</v>
      </c>
      <c r="BA172" s="751">
        <f>255.695311+3.796755</f>
        <v>259.49206600000002</v>
      </c>
      <c r="BB172" s="751">
        <f>261.537778+4.387294-BA172</f>
        <v>6.4330059999999776</v>
      </c>
      <c r="BC172" s="751">
        <f>261.537778+6.337532-BB172-BA172</f>
        <v>1.950238000000013</v>
      </c>
      <c r="BD172" s="751">
        <f>L172-SUM(BA172:BC172)</f>
        <v>2.3063359999999875</v>
      </c>
      <c r="BE172" s="751"/>
      <c r="BF172" s="751"/>
      <c r="BG172" s="751"/>
      <c r="BH172" s="747"/>
      <c r="BI172" s="748"/>
      <c r="BJ172" s="748"/>
      <c r="BK172" s="747">
        <f t="shared" ref="BK172:BY172" si="247">BK176-BK171-BK175</f>
        <v>2.4393000000000029</v>
      </c>
      <c r="BL172" s="747">
        <f t="shared" si="247"/>
        <v>0.96886300000005576</v>
      </c>
      <c r="BM172" s="747">
        <f t="shared" si="247"/>
        <v>7.9295839999999771</v>
      </c>
      <c r="BN172" s="747">
        <f t="shared" si="247"/>
        <v>-0.54409800000007635</v>
      </c>
      <c r="BO172" s="747">
        <f t="shared" si="247"/>
        <v>-2.6863659999999072</v>
      </c>
      <c r="BP172" s="747">
        <f t="shared" si="247"/>
        <v>5.2286340000000564</v>
      </c>
      <c r="BQ172" s="747">
        <f t="shared" si="247"/>
        <v>6.121049999999741</v>
      </c>
      <c r="BR172" s="747">
        <f t="shared" si="247"/>
        <v>2.8021590000000742</v>
      </c>
      <c r="BS172" s="747">
        <f t="shared" si="247"/>
        <v>1.1933809999998175</v>
      </c>
      <c r="BT172" s="747">
        <f t="shared" si="247"/>
        <v>0.30081300000006195</v>
      </c>
      <c r="BU172" s="747">
        <f t="shared" si="247"/>
        <v>4.2878499999999349</v>
      </c>
      <c r="BV172" s="747">
        <f t="shared" si="247"/>
        <v>1.7808430000000044</v>
      </c>
      <c r="BW172" s="747">
        <f t="shared" si="247"/>
        <v>1.1773789999999735</v>
      </c>
      <c r="BX172" s="747">
        <f t="shared" si="247"/>
        <v>1.0460830000001806</v>
      </c>
      <c r="BY172" s="747">
        <f t="shared" si="247"/>
        <v>4.5494599999999537</v>
      </c>
      <c r="BZ172" s="747">
        <f t="shared" ref="BZ172:CE172" si="248">BZ176-BZ171-BZ175</f>
        <v>2.4748159999999189</v>
      </c>
      <c r="CA172" s="747">
        <f t="shared" si="248"/>
        <v>1.4386910000000626</v>
      </c>
      <c r="CB172" s="747">
        <f t="shared" si="248"/>
        <v>1.9386007844047981</v>
      </c>
      <c r="CC172" s="747">
        <f t="shared" si="248"/>
        <v>3.3491520000000037</v>
      </c>
      <c r="CD172" s="747">
        <f t="shared" si="248"/>
        <v>4.0842199999999593</v>
      </c>
      <c r="CE172" s="747">
        <f t="shared" si="248"/>
        <v>0.32813000000010106</v>
      </c>
      <c r="CF172" s="747">
        <f>CF176-CF171-CF175</f>
        <v>3.495978973200863</v>
      </c>
      <c r="CG172" s="603">
        <f>+T172/4</f>
        <v>2.8143702433002318</v>
      </c>
      <c r="CH172" s="603">
        <f>+CG172</f>
        <v>2.8143702433002318</v>
      </c>
      <c r="CI172" s="603">
        <f>+CH172</f>
        <v>2.8143702433002318</v>
      </c>
      <c r="CJ172" s="603">
        <f>+CI172</f>
        <v>2.8143702433002318</v>
      </c>
      <c r="CK172" s="743"/>
      <c r="CO172" s="37"/>
      <c r="DK172" s="37"/>
      <c r="DL172" s="37"/>
      <c r="DM172" s="37"/>
      <c r="DN172" s="37"/>
      <c r="DO172" s="37"/>
      <c r="DP172" s="37"/>
      <c r="DQ172" s="37"/>
      <c r="DR172" s="37"/>
      <c r="DS172" s="37"/>
      <c r="DT172" s="37"/>
      <c r="DU172" s="37"/>
      <c r="DV172" s="37"/>
      <c r="DW172" s="37"/>
      <c r="DX172" s="37"/>
      <c r="DY172" s="37"/>
      <c r="DZ172" s="37"/>
    </row>
    <row r="173" spans="1:136" s="474" customFormat="1">
      <c r="A173" s="490" t="s">
        <v>556</v>
      </c>
      <c r="B173" s="211"/>
      <c r="C173" s="211"/>
      <c r="D173" s="211"/>
      <c r="E173" s="211"/>
      <c r="F173" s="211"/>
      <c r="G173" s="211"/>
      <c r="H173" s="211"/>
      <c r="I173" s="211"/>
      <c r="J173" s="211"/>
      <c r="K173" s="211"/>
      <c r="L173" s="211"/>
      <c r="M173" s="250"/>
      <c r="N173" s="250"/>
      <c r="O173" s="250">
        <f>+O172+O171</f>
        <v>-72.872245999999947</v>
      </c>
      <c r="P173" s="250">
        <f t="shared" ref="P173:BY173" si="249">+P172+P171</f>
        <v>-41.482597000000077</v>
      </c>
      <c r="Q173" s="250">
        <f t="shared" si="249"/>
        <v>-83.566835616281921</v>
      </c>
      <c r="R173" s="250">
        <f t="shared" si="249"/>
        <v>-51.571269956839011</v>
      </c>
      <c r="S173" s="250">
        <f t="shared" si="249"/>
        <v>-40.229457000000167</v>
      </c>
      <c r="T173" s="250">
        <f t="shared" si="249"/>
        <v>-32.08169240491447</v>
      </c>
      <c r="U173" s="250">
        <f t="shared" si="249"/>
        <v>-28.871383265794812</v>
      </c>
      <c r="V173" s="250">
        <f t="shared" si="249"/>
        <v>-25.898874803646976</v>
      </c>
      <c r="W173" s="250">
        <f t="shared" si="249"/>
        <v>-24.86675380984564</v>
      </c>
      <c r="X173" s="250">
        <f t="shared" si="249"/>
        <v>-23.863302843649898</v>
      </c>
      <c r="Y173" s="250">
        <f t="shared" si="249"/>
        <v>-23.70070662227559</v>
      </c>
      <c r="Z173" s="250">
        <f t="shared" si="249"/>
        <v>-23.538863161185418</v>
      </c>
      <c r="AA173" s="250">
        <f t="shared" si="249"/>
        <v>-23.377768975378068</v>
      </c>
      <c r="AB173" s="250"/>
      <c r="AC173" s="250">
        <f t="shared" si="249"/>
        <v>6.1404025000000004</v>
      </c>
      <c r="AD173" s="250">
        <f t="shared" si="249"/>
        <v>6.4404024999999994</v>
      </c>
      <c r="AE173" s="250">
        <f t="shared" si="249"/>
        <v>6.5404025000000008</v>
      </c>
      <c r="AF173" s="250">
        <f t="shared" si="249"/>
        <v>-35.703257499999999</v>
      </c>
      <c r="AG173" s="250">
        <f t="shared" si="249"/>
        <v>6.2208202500000001</v>
      </c>
      <c r="AH173" s="250">
        <f t="shared" si="249"/>
        <v>7.9208202500000011</v>
      </c>
      <c r="AI173" s="250">
        <f t="shared" si="249"/>
        <v>13.92082025</v>
      </c>
      <c r="AJ173" s="250">
        <f t="shared" si="249"/>
        <v>-63.536779750000001</v>
      </c>
      <c r="AK173" s="250">
        <f t="shared" si="249"/>
        <v>11.7090345</v>
      </c>
      <c r="AL173" s="250">
        <f t="shared" si="249"/>
        <v>11.2090345</v>
      </c>
      <c r="AM173" s="250">
        <f t="shared" si="249"/>
        <v>10.5090345</v>
      </c>
      <c r="AN173" s="250">
        <f t="shared" si="249"/>
        <v>-67.335213499999995</v>
      </c>
      <c r="AO173" s="250">
        <f t="shared" si="249"/>
        <v>8.1302545000000013</v>
      </c>
      <c r="AP173" s="250">
        <f t="shared" si="249"/>
        <v>61.630254499999999</v>
      </c>
      <c r="AQ173" s="250">
        <f t="shared" si="249"/>
        <v>32.530254499999998</v>
      </c>
      <c r="AR173" s="250">
        <f t="shared" si="249"/>
        <v>-204.48578849999998</v>
      </c>
      <c r="AS173" s="250">
        <f t="shared" si="249"/>
        <v>21.3</v>
      </c>
      <c r="AT173" s="250">
        <f t="shared" si="249"/>
        <v>0</v>
      </c>
      <c r="AU173" s="250">
        <f t="shared" si="249"/>
        <v>4</v>
      </c>
      <c r="AV173" s="250">
        <f t="shared" si="249"/>
        <v>-89.776179999999997</v>
      </c>
      <c r="AW173" s="250">
        <f t="shared" si="249"/>
        <v>2.14586575</v>
      </c>
      <c r="AX173" s="250">
        <f t="shared" si="249"/>
        <v>2.14586575</v>
      </c>
      <c r="AY173" s="250">
        <f t="shared" si="249"/>
        <v>2.14586575</v>
      </c>
      <c r="AZ173" s="250">
        <f t="shared" si="249"/>
        <v>2.1458657500000005</v>
      </c>
      <c r="BA173" s="250">
        <f t="shared" si="249"/>
        <v>259.49206600000002</v>
      </c>
      <c r="BB173" s="250">
        <f t="shared" si="249"/>
        <v>6.4330059999999776</v>
      </c>
      <c r="BC173" s="250">
        <f t="shared" si="249"/>
        <v>1.950238000000013</v>
      </c>
      <c r="BD173" s="250">
        <f t="shared" si="249"/>
        <v>2.3063359999999875</v>
      </c>
      <c r="BE173" s="250">
        <f t="shared" si="249"/>
        <v>0</v>
      </c>
      <c r="BF173" s="250">
        <f t="shared" si="249"/>
        <v>0</v>
      </c>
      <c r="BG173" s="250">
        <f t="shared" si="249"/>
        <v>0</v>
      </c>
      <c r="BH173" s="250">
        <f t="shared" si="249"/>
        <v>0</v>
      </c>
      <c r="BI173" s="250">
        <f t="shared" si="249"/>
        <v>0</v>
      </c>
      <c r="BJ173" s="250">
        <f t="shared" si="249"/>
        <v>0</v>
      </c>
      <c r="BK173" s="250">
        <f t="shared" si="249"/>
        <v>2.4393000000000029</v>
      </c>
      <c r="BL173" s="250">
        <f t="shared" si="249"/>
        <v>0.90769000000005573</v>
      </c>
      <c r="BM173" s="250">
        <f t="shared" si="249"/>
        <v>6.4567939999999773</v>
      </c>
      <c r="BN173" s="250">
        <f t="shared" si="249"/>
        <v>-3.7870060000000763</v>
      </c>
      <c r="BO173" s="250">
        <f t="shared" si="249"/>
        <v>-26.878097999999905</v>
      </c>
      <c r="BP173" s="250">
        <f t="shared" si="249"/>
        <v>-48.663935999999943</v>
      </c>
      <c r="BQ173" s="250">
        <f t="shared" si="249"/>
        <v>-9.3879210000002598</v>
      </c>
      <c r="BR173" s="250">
        <f t="shared" si="249"/>
        <v>-8.8144219999999258</v>
      </c>
      <c r="BS173" s="250">
        <f t="shared" si="249"/>
        <v>-7.1647890000001819</v>
      </c>
      <c r="BT173" s="250">
        <f t="shared" si="249"/>
        <v>-16.115464999999936</v>
      </c>
      <c r="BU173" s="250">
        <f t="shared" si="249"/>
        <v>-37.412150000000068</v>
      </c>
      <c r="BV173" s="250">
        <f t="shared" si="249"/>
        <v>-14.777046999999996</v>
      </c>
      <c r="BW173" s="250">
        <f t="shared" si="249"/>
        <v>-20.260779000000028</v>
      </c>
      <c r="BX173" s="250">
        <f t="shared" si="249"/>
        <v>-11.15786899999982</v>
      </c>
      <c r="BY173" s="250">
        <f t="shared" si="249"/>
        <v>-25.443500000000046</v>
      </c>
      <c r="BZ173" s="250">
        <f>+BZ172+BZ171</f>
        <v>0.46777599999991892</v>
      </c>
      <c r="CA173" s="250">
        <f>+CA172+CA171</f>
        <v>-9.4613089999999396</v>
      </c>
      <c r="CB173" s="250">
        <f>+CB172+CB171</f>
        <v>-17.230579999999939</v>
      </c>
      <c r="CC173" s="250">
        <f>+CC172+CC171</f>
        <v>-7.450847999999997</v>
      </c>
      <c r="CD173" s="250">
        <f>+CD172+CD171</f>
        <v>-10.11578000000004</v>
      </c>
      <c r="CE173" s="250">
        <f t="shared" ref="CE173:CJ173" si="250">+CE172+CE171</f>
        <v>-16.410314999999898</v>
      </c>
      <c r="CF173" s="250">
        <f t="shared" si="250"/>
        <v>-6.2525140000002324</v>
      </c>
      <c r="CG173" s="250">
        <f t="shared" si="250"/>
        <v>-8.7283182254895468</v>
      </c>
      <c r="CH173" s="250">
        <f t="shared" si="250"/>
        <v>-8.5019910006113157</v>
      </c>
      <c r="CI173" s="250">
        <f t="shared" si="250"/>
        <v>-8.2801015644561886</v>
      </c>
      <c r="CJ173" s="250">
        <f t="shared" si="250"/>
        <v>-8.0625629015590015</v>
      </c>
      <c r="CO173" s="37"/>
      <c r="DK173" s="37"/>
      <c r="DL173" s="37"/>
      <c r="DM173" s="37"/>
      <c r="DN173" s="37"/>
      <c r="DO173" s="37"/>
      <c r="DP173" s="37"/>
      <c r="DQ173" s="37"/>
      <c r="DR173" s="37"/>
      <c r="DS173" s="37"/>
      <c r="DT173" s="37"/>
      <c r="DU173" s="37"/>
      <c r="DV173" s="37"/>
      <c r="DW173" s="37"/>
      <c r="DX173" s="37"/>
      <c r="DY173" s="37"/>
      <c r="DZ173" s="37"/>
      <c r="EA173"/>
      <c r="EB173"/>
      <c r="EC173"/>
      <c r="ED173"/>
      <c r="EE173"/>
      <c r="EF173"/>
    </row>
    <row r="174" spans="1:136">
      <c r="BU174" s="69"/>
      <c r="BV174" s="570"/>
      <c r="BW174" s="69"/>
      <c r="BX174" s="69"/>
      <c r="BY174" s="69"/>
      <c r="CE174" s="69"/>
      <c r="CF174" s="69"/>
    </row>
    <row r="175" spans="1:136">
      <c r="A175" s="5" t="s">
        <v>206</v>
      </c>
      <c r="B175" s="245"/>
      <c r="C175" s="245"/>
      <c r="D175" s="245">
        <f t="shared" ref="D175:L175" si="251">C59</f>
        <v>1735</v>
      </c>
      <c r="E175" s="245">
        <f t="shared" si="251"/>
        <v>1731</v>
      </c>
      <c r="F175" s="245">
        <f t="shared" si="251"/>
        <v>1722</v>
      </c>
      <c r="G175" s="245">
        <f t="shared" si="251"/>
        <v>1705</v>
      </c>
      <c r="H175" s="245">
        <f t="shared" si="251"/>
        <v>1670.7574167978084</v>
      </c>
      <c r="I175" s="245">
        <f t="shared" si="251"/>
        <v>1625.9717025120942</v>
      </c>
      <c r="J175" s="245">
        <f t="shared" si="251"/>
        <v>1533.7776200000001</v>
      </c>
      <c r="K175" s="245">
        <f t="shared" si="251"/>
        <v>1469.3014400000002</v>
      </c>
      <c r="L175" s="245">
        <f t="shared" si="251"/>
        <v>1477.8849030000001</v>
      </c>
      <c r="M175" s="245">
        <f t="shared" ref="M175:AA175" si="252">L176</f>
        <v>1731</v>
      </c>
      <c r="N175" s="245">
        <f t="shared" si="252"/>
        <v>1731</v>
      </c>
      <c r="O175" s="245">
        <f t="shared" si="252"/>
        <v>1777.995842</v>
      </c>
      <c r="P175" s="245">
        <f t="shared" si="252"/>
        <v>1705.1235960000001</v>
      </c>
      <c r="Q175" s="245">
        <f t="shared" si="252"/>
        <v>1663.640999</v>
      </c>
      <c r="R175" s="245">
        <f t="shared" si="252"/>
        <v>1580.033154</v>
      </c>
      <c r="S175" s="245">
        <f t="shared" si="252"/>
        <v>1528.3655409999999</v>
      </c>
      <c r="T175" s="245">
        <f t="shared" si="252"/>
        <v>1488.1360839999998</v>
      </c>
      <c r="U175" s="245">
        <f t="shared" si="252"/>
        <v>1456.0543915950852</v>
      </c>
      <c r="V175" s="245">
        <f t="shared" si="252"/>
        <v>1427.1830083292905</v>
      </c>
      <c r="W175" s="245">
        <f t="shared" si="252"/>
        <v>1401.2841335256435</v>
      </c>
      <c r="X175" s="245">
        <f t="shared" si="252"/>
        <v>1376.4173797157978</v>
      </c>
      <c r="Y175" s="245">
        <f t="shared" si="252"/>
        <v>1352.5540768721478</v>
      </c>
      <c r="Z175" s="245">
        <f t="shared" si="252"/>
        <v>1328.8533702498721</v>
      </c>
      <c r="AA175" s="245">
        <f t="shared" si="252"/>
        <v>1305.3145070886867</v>
      </c>
      <c r="AB175" s="5"/>
      <c r="AC175" s="245"/>
      <c r="AD175" s="245"/>
      <c r="AE175" s="245"/>
      <c r="AF175" s="245"/>
      <c r="AG175" s="245"/>
      <c r="AH175" s="245"/>
      <c r="AI175" s="245"/>
      <c r="AJ175" s="245"/>
      <c r="AK175" s="245"/>
      <c r="AL175" s="245"/>
      <c r="AM175" s="245"/>
      <c r="AN175" s="245"/>
      <c r="AO175" s="245"/>
      <c r="AP175" s="245"/>
      <c r="AQ175" s="245"/>
      <c r="AR175" s="245"/>
      <c r="AS175" s="245"/>
      <c r="AT175" s="245"/>
      <c r="AU175" s="245"/>
      <c r="AV175" s="245"/>
      <c r="AW175" s="245"/>
      <c r="AX175" s="245"/>
      <c r="AY175" s="245"/>
      <c r="AZ175" s="245"/>
      <c r="BA175" s="245"/>
      <c r="BB175" s="245"/>
      <c r="BC175" s="245"/>
      <c r="BD175" s="245"/>
      <c r="BE175" s="245"/>
      <c r="BF175" s="245"/>
      <c r="BG175" s="245"/>
      <c r="BH175" s="245"/>
      <c r="BI175" s="245"/>
      <c r="BJ175" s="245"/>
      <c r="BK175" s="245">
        <f t="shared" ref="BK175:CF175" si="253">+BJ176</f>
        <v>1774.648852</v>
      </c>
      <c r="BL175" s="245">
        <f t="shared" si="253"/>
        <v>1777.088152</v>
      </c>
      <c r="BM175" s="245">
        <f t="shared" si="253"/>
        <v>1777.995842</v>
      </c>
      <c r="BN175" s="245">
        <f t="shared" si="253"/>
        <v>1784.452636</v>
      </c>
      <c r="BO175" s="245">
        <f t="shared" si="253"/>
        <v>1780.66563</v>
      </c>
      <c r="BP175" s="245">
        <f t="shared" si="253"/>
        <v>1753.7875320000001</v>
      </c>
      <c r="BQ175" s="245">
        <f t="shared" si="253"/>
        <v>1705.1235960000001</v>
      </c>
      <c r="BR175" s="245">
        <f t="shared" si="253"/>
        <v>1695.7356749999999</v>
      </c>
      <c r="BS175" s="245">
        <f t="shared" si="253"/>
        <v>1686.921253</v>
      </c>
      <c r="BT175" s="245">
        <f t="shared" si="253"/>
        <v>1679.7564639999998</v>
      </c>
      <c r="BU175" s="245">
        <f t="shared" si="253"/>
        <v>1663.640999</v>
      </c>
      <c r="BV175" s="245">
        <f t="shared" si="253"/>
        <v>1626.2288489999999</v>
      </c>
      <c r="BW175" s="245">
        <f t="shared" si="253"/>
        <v>1611.4518019999998</v>
      </c>
      <c r="BX175" s="245">
        <f t="shared" si="253"/>
        <v>1591.1910229999999</v>
      </c>
      <c r="BY175" s="245">
        <f t="shared" si="253"/>
        <v>1580.033154</v>
      </c>
      <c r="BZ175" s="245">
        <f t="shared" si="253"/>
        <v>1554.5896539999999</v>
      </c>
      <c r="CA175" s="245">
        <f t="shared" si="253"/>
        <v>1555.0574299999998</v>
      </c>
      <c r="CB175" s="245">
        <f t="shared" si="253"/>
        <v>1545.5961209999998</v>
      </c>
      <c r="CC175" s="245">
        <f t="shared" si="253"/>
        <v>1528.3655409999999</v>
      </c>
      <c r="CD175" s="245">
        <f t="shared" si="253"/>
        <v>1520.9146929999999</v>
      </c>
      <c r="CE175" s="245">
        <f t="shared" si="253"/>
        <v>1510.7989129999999</v>
      </c>
      <c r="CF175" s="245">
        <f t="shared" si="253"/>
        <v>1494.388598</v>
      </c>
      <c r="CG175" s="245">
        <f>+CF176</f>
        <v>1488.1360839999998</v>
      </c>
      <c r="CH175" s="245">
        <f>+CG176</f>
        <v>1479.4077657745102</v>
      </c>
      <c r="CI175" s="245">
        <f>+CH176</f>
        <v>1470.9057747738989</v>
      </c>
      <c r="CJ175" s="245">
        <f>+CI176</f>
        <v>1462.6256732094425</v>
      </c>
      <c r="CO175" s="245"/>
      <c r="DK175" s="37"/>
      <c r="DL175" s="37"/>
      <c r="DM175" s="37"/>
      <c r="DN175" s="37"/>
      <c r="DO175" s="37"/>
      <c r="DP175" s="37"/>
      <c r="DQ175" s="37"/>
      <c r="DR175" s="37"/>
      <c r="DS175" s="37"/>
      <c r="DT175" s="37"/>
      <c r="DU175" s="37"/>
      <c r="DV175" s="37"/>
      <c r="DW175" s="37"/>
      <c r="DX175" s="37"/>
      <c r="DY175" s="37"/>
      <c r="DZ175" s="37"/>
    </row>
    <row r="176" spans="1:136">
      <c r="A176" s="5" t="s">
        <v>209</v>
      </c>
      <c r="B176" s="245"/>
      <c r="C176" s="245"/>
      <c r="D176" s="245">
        <f t="shared" ref="D176:K176" si="254">D59</f>
        <v>1731</v>
      </c>
      <c r="E176" s="245">
        <f t="shared" si="254"/>
        <v>1722</v>
      </c>
      <c r="F176" s="245">
        <f t="shared" si="254"/>
        <v>1705</v>
      </c>
      <c r="G176" s="245">
        <f t="shared" si="254"/>
        <v>1670.7574167978084</v>
      </c>
      <c r="H176" s="245">
        <f t="shared" si="254"/>
        <v>1625.9717025120942</v>
      </c>
      <c r="I176" s="245">
        <f t="shared" si="254"/>
        <v>1533.7776200000001</v>
      </c>
      <c r="J176" s="245">
        <f t="shared" si="254"/>
        <v>1469.3014400000002</v>
      </c>
      <c r="K176" s="245">
        <f t="shared" si="254"/>
        <v>1477.8849030000001</v>
      </c>
      <c r="L176" s="245">
        <v>1731</v>
      </c>
      <c r="M176" s="244">
        <v>1731</v>
      </c>
      <c r="N176" s="245">
        <f>+BL176</f>
        <v>1777.995842</v>
      </c>
      <c r="O176" s="245">
        <f>BP176</f>
        <v>1705.1235960000001</v>
      </c>
      <c r="P176" s="245">
        <f>+BT176</f>
        <v>1663.640999</v>
      </c>
      <c r="Q176" s="245">
        <f>+BX176</f>
        <v>1580.033154</v>
      </c>
      <c r="R176" s="245">
        <f>+CB176</f>
        <v>1528.3655409999999</v>
      </c>
      <c r="S176" s="245">
        <f>+CF176</f>
        <v>1488.1360839999998</v>
      </c>
      <c r="T176" s="245">
        <f t="shared" ref="T176:AA176" si="255">T175+T171+T172</f>
        <v>1456.0543915950852</v>
      </c>
      <c r="U176" s="245">
        <f t="shared" si="255"/>
        <v>1427.1830083292905</v>
      </c>
      <c r="V176" s="245">
        <f t="shared" si="255"/>
        <v>1401.2841335256435</v>
      </c>
      <c r="W176" s="245">
        <f t="shared" si="255"/>
        <v>1376.4173797157978</v>
      </c>
      <c r="X176" s="245">
        <f t="shared" si="255"/>
        <v>1352.5540768721478</v>
      </c>
      <c r="Y176" s="245">
        <f t="shared" si="255"/>
        <v>1328.8533702498721</v>
      </c>
      <c r="Z176" s="245">
        <f t="shared" si="255"/>
        <v>1305.3145070886867</v>
      </c>
      <c r="AA176" s="245">
        <f t="shared" si="255"/>
        <v>1281.9367381133086</v>
      </c>
      <c r="AB176" s="5"/>
      <c r="AC176" s="245"/>
      <c r="AD176" s="245"/>
      <c r="AE176" s="245"/>
      <c r="AF176" s="245"/>
      <c r="AG176" s="245"/>
      <c r="AH176" s="245"/>
      <c r="AI176" s="245"/>
      <c r="AJ176" s="245"/>
      <c r="AK176" s="245"/>
      <c r="AL176" s="245"/>
      <c r="AM176" s="245"/>
      <c r="AN176" s="245"/>
      <c r="AO176" s="245"/>
      <c r="AP176" s="245"/>
      <c r="AQ176" s="245"/>
      <c r="AR176" s="245"/>
      <c r="AS176" s="245"/>
      <c r="AT176" s="245"/>
      <c r="AU176" s="245"/>
      <c r="AV176" s="245"/>
      <c r="AW176" s="245"/>
      <c r="AX176" s="245"/>
      <c r="AY176" s="245"/>
      <c r="AZ176" s="245"/>
      <c r="BA176" s="245"/>
      <c r="BB176" s="245"/>
      <c r="BC176" s="245"/>
      <c r="BD176" s="245"/>
      <c r="BE176" s="245"/>
      <c r="BF176" s="245"/>
      <c r="BG176" s="245"/>
      <c r="BH176" s="245"/>
      <c r="BI176" s="245"/>
      <c r="BJ176" s="244">
        <v>1774.648852</v>
      </c>
      <c r="BK176" s="244">
        <v>1777.088152</v>
      </c>
      <c r="BL176" s="244">
        <v>1777.995842</v>
      </c>
      <c r="BM176" s="244">
        <v>1784.452636</v>
      </c>
      <c r="BN176" s="244">
        <v>1780.66563</v>
      </c>
      <c r="BO176" s="244">
        <v>1753.7875320000001</v>
      </c>
      <c r="BP176" s="251">
        <f>1996.53778-291.414184</f>
        <v>1705.1235960000001</v>
      </c>
      <c r="BQ176" s="244">
        <f>1996.537778-300.802103</f>
        <v>1695.7356749999999</v>
      </c>
      <c r="BR176" s="252">
        <f>1996.537778-309.616525</f>
        <v>1686.921253</v>
      </c>
      <c r="BS176" s="244">
        <f>1996.537778-316.781314</f>
        <v>1679.7564639999998</v>
      </c>
      <c r="BT176" s="244">
        <f>1996.537778-332.896779</f>
        <v>1663.640999</v>
      </c>
      <c r="BU176" s="395">
        <f>1996.537778-370.308929</f>
        <v>1626.2288489999999</v>
      </c>
      <c r="BV176" s="395">
        <f>1996.537778-385.085976</f>
        <v>1611.4518019999998</v>
      </c>
      <c r="BW176" s="395">
        <f>1996.537778-405.346755</f>
        <v>1591.1910229999999</v>
      </c>
      <c r="BX176" s="395">
        <f>1996.537778-416.504624</f>
        <v>1580.033154</v>
      </c>
      <c r="BY176" s="395">
        <f>1996.537778-441.948124</f>
        <v>1554.5896539999999</v>
      </c>
      <c r="BZ176" s="600">
        <f>1996.537778-441.480348</f>
        <v>1555.0574299999998</v>
      </c>
      <c r="CA176" s="600">
        <f>1996.537778-450.941657</f>
        <v>1545.5961209999998</v>
      </c>
      <c r="CB176" s="600">
        <f>1996.537778-468.172237</f>
        <v>1528.3655409999999</v>
      </c>
      <c r="CC176" s="600">
        <f>1996.537778-475.623085</f>
        <v>1520.9146929999999</v>
      </c>
      <c r="CD176" s="600">
        <f>1996.537778-485.738865</f>
        <v>1510.7989129999999</v>
      </c>
      <c r="CE176" s="395">
        <v>1494.388598</v>
      </c>
      <c r="CF176" s="600">
        <f>1996.537778-508.401694</f>
        <v>1488.1360839999998</v>
      </c>
      <c r="CG176" s="245">
        <f>CG175+CG171+CG172</f>
        <v>1479.4077657745102</v>
      </c>
      <c r="CH176" s="245">
        <f>CH175+CH171+CH172</f>
        <v>1470.9057747738989</v>
      </c>
      <c r="CI176" s="245">
        <f>CI175+CI171+CI172</f>
        <v>1462.6256732094425</v>
      </c>
      <c r="CJ176" s="245">
        <f>CJ175+CJ171+CJ172</f>
        <v>1454.5631103078836</v>
      </c>
      <c r="CO176" s="245"/>
      <c r="DK176" s="37"/>
      <c r="DL176" s="37"/>
      <c r="DM176" s="37"/>
      <c r="DN176" s="37"/>
      <c r="DO176" s="37"/>
      <c r="DP176" s="37"/>
      <c r="DQ176" s="37"/>
      <c r="DR176" s="37"/>
      <c r="DS176" s="37"/>
      <c r="DT176" s="37"/>
      <c r="DU176" s="37"/>
      <c r="DV176" s="37"/>
      <c r="DW176" s="37"/>
      <c r="DX176" s="37"/>
      <c r="DY176" s="37"/>
      <c r="DZ176" s="37"/>
    </row>
    <row r="177" spans="1:136" ht="12.75" customHeight="1">
      <c r="A177" s="37"/>
      <c r="B177" s="244"/>
      <c r="C177" s="244"/>
      <c r="D177" s="244"/>
      <c r="E177" s="244"/>
      <c r="F177" s="244"/>
      <c r="G177" s="244"/>
      <c r="H177" s="244"/>
      <c r="I177" s="244"/>
      <c r="J177" s="244"/>
      <c r="K177" s="244"/>
      <c r="L177" s="244"/>
      <c r="M177" s="245"/>
      <c r="N177" s="245"/>
      <c r="O177" s="245"/>
      <c r="P177" s="245"/>
      <c r="Q177" s="211"/>
      <c r="R177" s="211"/>
      <c r="S177" s="211"/>
      <c r="T177" s="211"/>
      <c r="U177" s="211"/>
      <c r="V177" s="211"/>
      <c r="W177" s="211"/>
      <c r="X177" s="211"/>
      <c r="Y177" s="211"/>
      <c r="Z177" s="211"/>
      <c r="AA177" s="211"/>
      <c r="AB177" s="37"/>
      <c r="AC177" s="245"/>
      <c r="AD177" s="245"/>
      <c r="AE177" s="245"/>
      <c r="AF177" s="245"/>
      <c r="AG177" s="245"/>
      <c r="AH177" s="245"/>
      <c r="AI177" s="245"/>
      <c r="AJ177" s="245"/>
      <c r="AK177" s="245"/>
      <c r="AL177" s="245"/>
      <c r="AM177" s="245"/>
      <c r="AN177" s="245"/>
      <c r="AO177" s="245"/>
      <c r="AP177" s="245"/>
      <c r="AQ177" s="245"/>
      <c r="AR177" s="245"/>
      <c r="AS177" s="245"/>
      <c r="AT177" s="245"/>
      <c r="AU177" s="245"/>
      <c r="AV177" s="245"/>
      <c r="AW177" s="245"/>
      <c r="AX177" s="245"/>
      <c r="AY177" s="245"/>
      <c r="AZ177" s="245"/>
      <c r="BA177" s="245"/>
      <c r="BB177" s="245"/>
      <c r="BC177" s="245"/>
      <c r="BD177" s="245"/>
      <c r="BE177" s="245"/>
      <c r="BF177" s="245"/>
      <c r="BG177" s="245"/>
      <c r="BH177" s="245"/>
      <c r="BI177" s="245"/>
      <c r="BJ177" s="245"/>
      <c r="BK177" s="245"/>
      <c r="BL177" s="245"/>
      <c r="BM177" s="245"/>
      <c r="BN177" s="245"/>
      <c r="BO177" s="253"/>
      <c r="BP177" s="245"/>
      <c r="BQ177" s="245"/>
      <c r="BR177" s="245"/>
      <c r="BS177" s="245"/>
      <c r="BT177" s="245"/>
      <c r="BU177" s="245"/>
      <c r="BV177" s="245"/>
      <c r="BW177" s="245"/>
      <c r="BX177" s="245"/>
      <c r="BY177" s="245"/>
      <c r="BZ177" s="245"/>
      <c r="CA177" s="245"/>
      <c r="CB177" s="245"/>
      <c r="CC177" s="245"/>
      <c r="CD177" s="245"/>
      <c r="CE177" s="245"/>
      <c r="CF177" s="245"/>
      <c r="CG177" s="245"/>
      <c r="CH177" s="245"/>
      <c r="CI177" s="245"/>
      <c r="CJ177" s="245"/>
      <c r="CO177" s="245"/>
      <c r="DK177" s="37"/>
      <c r="DL177" s="37"/>
      <c r="DM177" s="37"/>
      <c r="DN177" s="37"/>
      <c r="DO177" s="37"/>
      <c r="DP177" s="37"/>
      <c r="DQ177" s="37"/>
      <c r="DR177" s="37"/>
      <c r="DS177" s="37"/>
      <c r="DT177" s="37"/>
      <c r="DU177" s="37"/>
      <c r="DV177" s="37"/>
      <c r="DW177" s="37"/>
      <c r="DX177" s="37"/>
      <c r="DY177" s="37"/>
      <c r="DZ177" s="37"/>
    </row>
    <row r="178" spans="1:136">
      <c r="A178" s="5" t="s">
        <v>210</v>
      </c>
      <c r="B178" s="245"/>
      <c r="C178" s="245">
        <f t="shared" ref="C178:Q178" si="256">C60</f>
        <v>1735</v>
      </c>
      <c r="D178" s="245">
        <f t="shared" si="256"/>
        <v>1734</v>
      </c>
      <c r="E178" s="245">
        <f t="shared" si="256"/>
        <v>1727</v>
      </c>
      <c r="F178" s="245">
        <f t="shared" si="256"/>
        <v>1709</v>
      </c>
      <c r="G178" s="245">
        <f t="shared" si="256"/>
        <v>1684</v>
      </c>
      <c r="H178" s="245">
        <f t="shared" si="256"/>
        <v>1643</v>
      </c>
      <c r="I178" s="245">
        <f t="shared" si="256"/>
        <v>1591</v>
      </c>
      <c r="J178" s="245">
        <f t="shared" si="256"/>
        <v>1505</v>
      </c>
      <c r="K178" s="245">
        <f t="shared" si="256"/>
        <v>1478</v>
      </c>
      <c r="L178" s="245">
        <f t="shared" si="256"/>
        <v>1715</v>
      </c>
      <c r="M178" s="245">
        <f t="shared" si="256"/>
        <v>1765</v>
      </c>
      <c r="N178" s="245">
        <f t="shared" si="256"/>
        <v>1778.9775910364147</v>
      </c>
      <c r="O178" s="245">
        <f t="shared" si="256"/>
        <v>1774</v>
      </c>
      <c r="P178" s="245">
        <f t="shared" si="256"/>
        <v>1691</v>
      </c>
      <c r="Q178" s="245">
        <f t="shared" si="256"/>
        <v>1624.8923701299977</v>
      </c>
      <c r="R178" s="245">
        <f>R60</f>
        <v>1558.1902824948399</v>
      </c>
      <c r="S178" s="245">
        <f t="shared" ref="S178:AA178" si="257">AVERAGE(S176,S175)</f>
        <v>1508.2508124999999</v>
      </c>
      <c r="T178" s="245">
        <f t="shared" si="257"/>
        <v>1472.0952377975425</v>
      </c>
      <c r="U178" s="245">
        <f t="shared" si="257"/>
        <v>1441.6186999621877</v>
      </c>
      <c r="V178" s="245">
        <f t="shared" si="257"/>
        <v>1414.2335709274671</v>
      </c>
      <c r="W178" s="245">
        <f t="shared" si="257"/>
        <v>1388.8507566207206</v>
      </c>
      <c r="X178" s="245">
        <f t="shared" si="257"/>
        <v>1364.4857282939729</v>
      </c>
      <c r="Y178" s="245">
        <f t="shared" si="257"/>
        <v>1340.7037235610101</v>
      </c>
      <c r="Z178" s="245">
        <f t="shared" si="257"/>
        <v>1317.0839386692794</v>
      </c>
      <c r="AA178" s="245">
        <f t="shared" si="257"/>
        <v>1293.6256226009978</v>
      </c>
      <c r="AB178" s="5"/>
      <c r="AC178" s="245">
        <f>+IS!AC60</f>
        <v>1717</v>
      </c>
      <c r="AD178" s="245">
        <f>+IS!AD60</f>
        <v>1712</v>
      </c>
      <c r="AE178" s="245">
        <f>+IS!AE60</f>
        <v>1712</v>
      </c>
      <c r="AF178" s="245">
        <f>+IS!AF60</f>
        <v>1702</v>
      </c>
      <c r="AG178" s="245">
        <f>+IS!AG60</f>
        <v>1696</v>
      </c>
      <c r="AH178" s="245">
        <f>+IS!AH60</f>
        <v>1691</v>
      </c>
      <c r="AI178" s="245">
        <f>+IS!AI60</f>
        <v>1681</v>
      </c>
      <c r="AJ178" s="245">
        <f>+IS!AJ60</f>
        <v>1668</v>
      </c>
      <c r="AK178" s="245">
        <f>+IS!AK60</f>
        <v>1657</v>
      </c>
      <c r="AL178" s="245">
        <f>+IS!AL60</f>
        <v>1647</v>
      </c>
      <c r="AM178" s="245">
        <f>+IS!AM60</f>
        <v>1638</v>
      </c>
      <c r="AN178" s="245">
        <f>+IS!AN60</f>
        <v>1630</v>
      </c>
      <c r="AO178" s="245">
        <f>+IS!AO60</f>
        <v>1643</v>
      </c>
      <c r="AP178" s="245">
        <f>+IS!AP60</f>
        <v>1603</v>
      </c>
      <c r="AQ178" s="245">
        <f>+IS!AQ60</f>
        <v>1573</v>
      </c>
      <c r="AR178" s="245">
        <f>+IS!AR60</f>
        <v>1548</v>
      </c>
      <c r="AS178" s="245">
        <f>+IS!AS60</f>
        <v>1532</v>
      </c>
      <c r="AT178" s="245">
        <f>+IS!AT60</f>
        <v>1522</v>
      </c>
      <c r="AU178" s="245">
        <f>+IS!AU60</f>
        <v>1493</v>
      </c>
      <c r="AV178" s="245">
        <f>+IS!AV60</f>
        <v>1474</v>
      </c>
      <c r="AW178" s="245">
        <f>+IS!AW60</f>
        <v>1475</v>
      </c>
      <c r="AX178" s="245">
        <f>+IS!AX60</f>
        <v>1478</v>
      </c>
      <c r="AY178" s="245">
        <f>+IS!AY60</f>
        <v>1479</v>
      </c>
      <c r="AZ178" s="245">
        <f>+IS!AZ60</f>
        <v>1480</v>
      </c>
      <c r="BA178" s="245">
        <f>+IS!BA60</f>
        <v>1614</v>
      </c>
      <c r="BB178" s="245">
        <f>+IS!BB60</f>
        <v>1747</v>
      </c>
      <c r="BC178" s="245">
        <f>+IS!BC60</f>
        <v>1748</v>
      </c>
      <c r="BD178" s="245">
        <f>+IS!BD60</f>
        <v>1751</v>
      </c>
      <c r="BE178" s="245"/>
      <c r="BF178" s="245"/>
      <c r="BG178" s="245"/>
      <c r="BH178" s="245"/>
      <c r="BI178" s="245">
        <f t="shared" ref="BI178:CA178" si="258">BI60</f>
        <v>1773</v>
      </c>
      <c r="BJ178" s="245">
        <f t="shared" si="258"/>
        <v>1777</v>
      </c>
      <c r="BK178" s="245">
        <f t="shared" si="258"/>
        <v>1779.984882418813</v>
      </c>
      <c r="BL178" s="245">
        <f t="shared" si="258"/>
        <v>1777.995842</v>
      </c>
      <c r="BM178" s="245">
        <f t="shared" si="258"/>
        <v>1784</v>
      </c>
      <c r="BN178" s="245">
        <f t="shared" si="258"/>
        <v>1788</v>
      </c>
      <c r="BO178" s="245">
        <f t="shared" si="258"/>
        <v>1779</v>
      </c>
      <c r="BP178" s="245">
        <f t="shared" si="258"/>
        <v>1743</v>
      </c>
      <c r="BQ178" s="245">
        <f t="shared" si="258"/>
        <v>1704</v>
      </c>
      <c r="BR178" s="245">
        <f t="shared" si="258"/>
        <v>1694</v>
      </c>
      <c r="BS178" s="245">
        <f t="shared" si="258"/>
        <v>1688</v>
      </c>
      <c r="BT178" s="245">
        <f t="shared" si="258"/>
        <v>1677</v>
      </c>
      <c r="BU178" s="245">
        <f t="shared" si="258"/>
        <v>1648</v>
      </c>
      <c r="BV178" s="245">
        <f t="shared" si="258"/>
        <v>1636.35736061028</v>
      </c>
      <c r="BW178" s="245">
        <f t="shared" si="258"/>
        <v>1605.9635341203702</v>
      </c>
      <c r="BX178" s="245">
        <f t="shared" si="258"/>
        <v>1588.6673821299973</v>
      </c>
      <c r="BY178" s="245">
        <f t="shared" si="258"/>
        <v>1569</v>
      </c>
      <c r="BZ178" s="245">
        <f t="shared" si="258"/>
        <v>1557</v>
      </c>
      <c r="CA178" s="245">
        <f t="shared" si="258"/>
        <v>1557</v>
      </c>
      <c r="CB178" s="245">
        <f>CB60</f>
        <v>1540</v>
      </c>
      <c r="CC178" s="245">
        <f>CC60</f>
        <v>1529</v>
      </c>
      <c r="CD178" s="245">
        <f>CD60</f>
        <v>1519</v>
      </c>
      <c r="CE178" s="245">
        <f>CE60</f>
        <v>1507</v>
      </c>
      <c r="CF178" s="245">
        <f>CF60</f>
        <v>1497</v>
      </c>
      <c r="CG178" s="245">
        <f>AVERAGE(CG176,CG175)</f>
        <v>1483.771924887255</v>
      </c>
      <c r="CH178" s="245">
        <f>AVERAGE(CH176,CH175)</f>
        <v>1475.1567702742045</v>
      </c>
      <c r="CI178" s="245">
        <f>AVERAGE(CI176,CI175)</f>
        <v>1466.7657239916707</v>
      </c>
      <c r="CJ178" s="245">
        <f>AVERAGE(CJ176,CJ175)</f>
        <v>1458.5943917586631</v>
      </c>
      <c r="CO178" s="245"/>
      <c r="DK178" s="37"/>
      <c r="DL178" s="37"/>
      <c r="DM178" s="37"/>
      <c r="DN178" s="37"/>
      <c r="DO178" s="37"/>
      <c r="DP178" s="37"/>
      <c r="DQ178" s="37"/>
      <c r="DR178" s="37"/>
      <c r="DS178" s="37"/>
      <c r="DT178" s="37"/>
      <c r="DU178" s="37"/>
      <c r="DV178" s="37"/>
      <c r="DW178" s="37"/>
      <c r="DX178" s="37"/>
      <c r="DY178" s="37"/>
      <c r="DZ178" s="37"/>
    </row>
    <row r="179" spans="1:136">
      <c r="A179" s="254" t="s">
        <v>211</v>
      </c>
      <c r="B179" s="245"/>
      <c r="C179" s="245">
        <f t="shared" ref="C179:O179" si="259">C180-C178</f>
        <v>0.5</v>
      </c>
      <c r="D179" s="245">
        <f t="shared" si="259"/>
        <v>2</v>
      </c>
      <c r="E179" s="245">
        <f t="shared" si="259"/>
        <v>1</v>
      </c>
      <c r="F179" s="245">
        <f t="shared" si="259"/>
        <v>5</v>
      </c>
      <c r="G179" s="245">
        <f t="shared" si="259"/>
        <v>9</v>
      </c>
      <c r="H179" s="245">
        <f t="shared" si="259"/>
        <v>12</v>
      </c>
      <c r="I179" s="245">
        <f t="shared" si="259"/>
        <v>9</v>
      </c>
      <c r="J179" s="245">
        <f t="shared" si="259"/>
        <v>10</v>
      </c>
      <c r="K179" s="245">
        <f t="shared" si="259"/>
        <v>8</v>
      </c>
      <c r="L179" s="245">
        <f t="shared" si="259"/>
        <v>5</v>
      </c>
      <c r="M179" s="245">
        <f t="shared" si="259"/>
        <v>7</v>
      </c>
      <c r="N179" s="245">
        <f t="shared" si="259"/>
        <v>10.022408963585349</v>
      </c>
      <c r="O179" s="245">
        <f t="shared" si="259"/>
        <v>15</v>
      </c>
      <c r="P179" s="245">
        <f>P180-P178</f>
        <v>18</v>
      </c>
      <c r="Q179" s="245">
        <f>Q180-Q178</f>
        <v>11.857629870002256</v>
      </c>
      <c r="R179" s="245">
        <f>R180-R178</f>
        <v>14.809717505160052</v>
      </c>
      <c r="S179" s="245">
        <f>AVERAGE(CC179:CF179)</f>
        <v>18.5</v>
      </c>
      <c r="T179" s="245">
        <f t="shared" ref="T179:AA179" si="260">S179</f>
        <v>18.5</v>
      </c>
      <c r="U179" s="245">
        <f t="shared" si="260"/>
        <v>18.5</v>
      </c>
      <c r="V179" s="245">
        <f t="shared" si="260"/>
        <v>18.5</v>
      </c>
      <c r="W179" s="245">
        <f t="shared" si="260"/>
        <v>18.5</v>
      </c>
      <c r="X179" s="245">
        <f t="shared" si="260"/>
        <v>18.5</v>
      </c>
      <c r="Y179" s="245">
        <f t="shared" si="260"/>
        <v>18.5</v>
      </c>
      <c r="Z179" s="245">
        <f t="shared" si="260"/>
        <v>18.5</v>
      </c>
      <c r="AA179" s="245">
        <f t="shared" si="260"/>
        <v>18.5</v>
      </c>
      <c r="AB179" s="254"/>
      <c r="AC179" s="245">
        <f t="shared" ref="AC179:BD179" si="261">AC180-AC178</f>
        <v>3</v>
      </c>
      <c r="AD179" s="245">
        <f t="shared" si="261"/>
        <v>3</v>
      </c>
      <c r="AE179" s="245">
        <f t="shared" si="261"/>
        <v>-2</v>
      </c>
      <c r="AF179" s="245">
        <f t="shared" si="261"/>
        <v>5</v>
      </c>
      <c r="AG179" s="245">
        <f t="shared" si="261"/>
        <v>7</v>
      </c>
      <c r="AH179" s="245">
        <f t="shared" si="261"/>
        <v>7</v>
      </c>
      <c r="AI179" s="245">
        <f t="shared" si="261"/>
        <v>8</v>
      </c>
      <c r="AJ179" s="245">
        <f t="shared" si="261"/>
        <v>8</v>
      </c>
      <c r="AK179" s="245">
        <f t="shared" si="261"/>
        <v>5</v>
      </c>
      <c r="AL179" s="245">
        <f t="shared" si="261"/>
        <v>9</v>
      </c>
      <c r="AM179" s="245">
        <f t="shared" si="261"/>
        <v>10</v>
      </c>
      <c r="AN179" s="245">
        <f t="shared" si="261"/>
        <v>12</v>
      </c>
      <c r="AO179" s="245">
        <f t="shared" si="261"/>
        <v>-1</v>
      </c>
      <c r="AP179" s="245">
        <f t="shared" si="261"/>
        <v>9</v>
      </c>
      <c r="AQ179" s="245">
        <f t="shared" si="261"/>
        <v>9</v>
      </c>
      <c r="AR179" s="245">
        <f t="shared" si="261"/>
        <v>10</v>
      </c>
      <c r="AS179" s="245">
        <f t="shared" si="261"/>
        <v>10</v>
      </c>
      <c r="AT179" s="245">
        <f t="shared" si="261"/>
        <v>10</v>
      </c>
      <c r="AU179" s="245">
        <f t="shared" si="261"/>
        <v>10</v>
      </c>
      <c r="AV179" s="245">
        <f t="shared" si="261"/>
        <v>7</v>
      </c>
      <c r="AW179" s="245">
        <f t="shared" si="261"/>
        <v>8</v>
      </c>
      <c r="AX179" s="245">
        <f t="shared" si="261"/>
        <v>6</v>
      </c>
      <c r="AY179" s="245">
        <f t="shared" si="261"/>
        <v>8</v>
      </c>
      <c r="AZ179" s="245">
        <f t="shared" si="261"/>
        <v>7</v>
      </c>
      <c r="BA179" s="245">
        <f t="shared" si="261"/>
        <v>6</v>
      </c>
      <c r="BB179" s="245">
        <f t="shared" si="261"/>
        <v>5</v>
      </c>
      <c r="BC179" s="245">
        <f t="shared" si="261"/>
        <v>6</v>
      </c>
      <c r="BD179" s="245">
        <f t="shared" si="261"/>
        <v>6</v>
      </c>
      <c r="BE179" s="245"/>
      <c r="BF179" s="245"/>
      <c r="BG179" s="245"/>
      <c r="BH179" s="245"/>
      <c r="BI179" s="245">
        <f t="shared" ref="BI179:BW179" si="262">+BI180-BI178</f>
        <v>10</v>
      </c>
      <c r="BJ179" s="245">
        <f t="shared" si="262"/>
        <v>9</v>
      </c>
      <c r="BK179" s="245">
        <f t="shared" si="262"/>
        <v>9.0151175811870417</v>
      </c>
      <c r="BL179" s="245">
        <f t="shared" si="262"/>
        <v>15.004157999999961</v>
      </c>
      <c r="BM179" s="245">
        <f t="shared" si="262"/>
        <v>14</v>
      </c>
      <c r="BN179" s="245">
        <f t="shared" si="262"/>
        <v>15</v>
      </c>
      <c r="BO179" s="245">
        <f t="shared" si="262"/>
        <v>15</v>
      </c>
      <c r="BP179" s="245">
        <f t="shared" si="262"/>
        <v>18</v>
      </c>
      <c r="BQ179" s="245">
        <f t="shared" si="262"/>
        <v>18</v>
      </c>
      <c r="BR179" s="245">
        <f t="shared" si="262"/>
        <v>18</v>
      </c>
      <c r="BS179" s="245">
        <f t="shared" si="262"/>
        <v>17</v>
      </c>
      <c r="BT179" s="245">
        <f t="shared" si="262"/>
        <v>18</v>
      </c>
      <c r="BU179" s="245">
        <f t="shared" si="262"/>
        <v>17</v>
      </c>
      <c r="BV179" s="245">
        <f t="shared" si="262"/>
        <v>6.6426393897199887</v>
      </c>
      <c r="BW179" s="245">
        <f t="shared" si="262"/>
        <v>23.036465879629759</v>
      </c>
      <c r="BX179" s="245">
        <f t="shared" ref="BX179:CC179" si="263">+BX180-BX178</f>
        <v>21.33261787000265</v>
      </c>
      <c r="BY179" s="245">
        <f t="shared" si="263"/>
        <v>18</v>
      </c>
      <c r="BZ179" s="245">
        <f t="shared" si="263"/>
        <v>19</v>
      </c>
      <c r="CA179" s="245">
        <f t="shared" si="263"/>
        <v>19</v>
      </c>
      <c r="CB179" s="245">
        <f t="shared" si="263"/>
        <v>19</v>
      </c>
      <c r="CC179" s="245">
        <f t="shared" si="263"/>
        <v>21</v>
      </c>
      <c r="CD179" s="245">
        <f>+CD180-CD178</f>
        <v>20</v>
      </c>
      <c r="CE179" s="245">
        <f>+CE180-CE178</f>
        <v>17</v>
      </c>
      <c r="CF179" s="245">
        <f>+CF180-CF178</f>
        <v>16</v>
      </c>
      <c r="CG179" s="244">
        <v>20</v>
      </c>
      <c r="CH179" s="244">
        <v>20</v>
      </c>
      <c r="CI179" s="244">
        <v>20</v>
      </c>
      <c r="CJ179" s="244">
        <v>20</v>
      </c>
      <c r="CO179" s="245"/>
      <c r="DK179" s="37"/>
      <c r="DL179" s="37"/>
      <c r="DM179" s="37"/>
      <c r="DN179" s="37"/>
      <c r="DO179" s="37"/>
      <c r="DP179" s="37"/>
      <c r="DQ179" s="37"/>
      <c r="DR179" s="37"/>
      <c r="DS179" s="37"/>
      <c r="DT179" s="37"/>
      <c r="DU179" s="37"/>
      <c r="DV179" s="37"/>
      <c r="DW179" s="37"/>
      <c r="DX179" s="37"/>
      <c r="DY179" s="37"/>
      <c r="DZ179" s="37"/>
    </row>
    <row r="180" spans="1:136">
      <c r="A180" s="5" t="s">
        <v>212</v>
      </c>
      <c r="B180" s="245"/>
      <c r="C180" s="245">
        <f t="shared" ref="C180:Q180" si="264">+C61</f>
        <v>1735.5</v>
      </c>
      <c r="D180" s="245">
        <f t="shared" si="264"/>
        <v>1736</v>
      </c>
      <c r="E180" s="245">
        <f t="shared" si="264"/>
        <v>1728</v>
      </c>
      <c r="F180" s="245">
        <f t="shared" si="264"/>
        <v>1714</v>
      </c>
      <c r="G180" s="245">
        <f t="shared" si="264"/>
        <v>1693</v>
      </c>
      <c r="H180" s="245">
        <f t="shared" si="264"/>
        <v>1655</v>
      </c>
      <c r="I180" s="245">
        <f t="shared" si="264"/>
        <v>1600</v>
      </c>
      <c r="J180" s="245">
        <f t="shared" si="264"/>
        <v>1515</v>
      </c>
      <c r="K180" s="245">
        <f t="shared" si="264"/>
        <v>1486</v>
      </c>
      <c r="L180" s="245">
        <f t="shared" si="264"/>
        <v>1720</v>
      </c>
      <c r="M180" s="245">
        <f t="shared" si="264"/>
        <v>1772</v>
      </c>
      <c r="N180" s="245">
        <f t="shared" si="264"/>
        <v>1789</v>
      </c>
      <c r="O180" s="245">
        <f t="shared" si="264"/>
        <v>1789</v>
      </c>
      <c r="P180" s="245">
        <f t="shared" si="264"/>
        <v>1709</v>
      </c>
      <c r="Q180" s="245">
        <f t="shared" si="264"/>
        <v>1636.75</v>
      </c>
      <c r="R180" s="245">
        <f>+R61</f>
        <v>1573</v>
      </c>
      <c r="S180" s="245">
        <f t="shared" ref="S180:AA180" si="265">+S178+S179</f>
        <v>1526.7508124999999</v>
      </c>
      <c r="T180" s="245">
        <f t="shared" si="265"/>
        <v>1490.5952377975425</v>
      </c>
      <c r="U180" s="245">
        <f t="shared" si="265"/>
        <v>1460.1186999621877</v>
      </c>
      <c r="V180" s="245">
        <f t="shared" si="265"/>
        <v>1432.7335709274671</v>
      </c>
      <c r="W180" s="245">
        <f t="shared" si="265"/>
        <v>1407.3507566207206</v>
      </c>
      <c r="X180" s="245">
        <f t="shared" si="265"/>
        <v>1382.9857282939729</v>
      </c>
      <c r="Y180" s="245">
        <f t="shared" si="265"/>
        <v>1359.2037235610101</v>
      </c>
      <c r="Z180" s="245">
        <f t="shared" si="265"/>
        <v>1335.5839386692794</v>
      </c>
      <c r="AA180" s="245">
        <f t="shared" si="265"/>
        <v>1312.1256226009978</v>
      </c>
      <c r="AB180" s="5"/>
      <c r="AC180" s="245">
        <f>+IS!AC61</f>
        <v>1720</v>
      </c>
      <c r="AD180" s="245">
        <f>+IS!AD61</f>
        <v>1715</v>
      </c>
      <c r="AE180" s="245">
        <f>+IS!AE61</f>
        <v>1710</v>
      </c>
      <c r="AF180" s="245">
        <f>+IS!AF61</f>
        <v>1707</v>
      </c>
      <c r="AG180" s="245">
        <f>+IS!AG61</f>
        <v>1703</v>
      </c>
      <c r="AH180" s="245">
        <f>+IS!AH61</f>
        <v>1698</v>
      </c>
      <c r="AI180" s="245">
        <f>+IS!AI61</f>
        <v>1689</v>
      </c>
      <c r="AJ180" s="245">
        <f>+IS!AJ61</f>
        <v>1676</v>
      </c>
      <c r="AK180" s="245">
        <f>+IS!AK61</f>
        <v>1662</v>
      </c>
      <c r="AL180" s="245">
        <f>+IS!AL61</f>
        <v>1656</v>
      </c>
      <c r="AM180" s="245">
        <f>+IS!AM61</f>
        <v>1648</v>
      </c>
      <c r="AN180" s="245">
        <f>+IS!AN61</f>
        <v>1642</v>
      </c>
      <c r="AO180" s="245">
        <f>+IS!AO61</f>
        <v>1642</v>
      </c>
      <c r="AP180" s="245">
        <f>+IS!AP61</f>
        <v>1612</v>
      </c>
      <c r="AQ180" s="245">
        <f>+IS!AQ61</f>
        <v>1582</v>
      </c>
      <c r="AR180" s="245">
        <f>+IS!AR61</f>
        <v>1558</v>
      </c>
      <c r="AS180" s="245">
        <f>+IS!AS61</f>
        <v>1542</v>
      </c>
      <c r="AT180" s="245">
        <f>+IS!AT61</f>
        <v>1532</v>
      </c>
      <c r="AU180" s="245">
        <f>+IS!AU61</f>
        <v>1503</v>
      </c>
      <c r="AV180" s="245">
        <f>+IS!AV61</f>
        <v>1481</v>
      </c>
      <c r="AW180" s="245">
        <f>+IS!AW61</f>
        <v>1483</v>
      </c>
      <c r="AX180" s="245">
        <f>+IS!AX61</f>
        <v>1484</v>
      </c>
      <c r="AY180" s="245">
        <f>+IS!AY61</f>
        <v>1487</v>
      </c>
      <c r="AZ180" s="245">
        <f>+IS!AZ61</f>
        <v>1487</v>
      </c>
      <c r="BA180" s="245">
        <f>+IS!BA61</f>
        <v>1620</v>
      </c>
      <c r="BB180" s="245">
        <f>+IS!BB61</f>
        <v>1752</v>
      </c>
      <c r="BC180" s="245">
        <f>+IS!BC61</f>
        <v>1754</v>
      </c>
      <c r="BD180" s="245">
        <f>+IS!BD61</f>
        <v>1757</v>
      </c>
      <c r="BE180" s="245"/>
      <c r="BF180" s="245"/>
      <c r="BG180" s="245"/>
      <c r="BH180" s="245"/>
      <c r="BI180" s="245">
        <f t="shared" ref="BI180:CA180" si="266">+BI61</f>
        <v>1783</v>
      </c>
      <c r="BJ180" s="245">
        <f t="shared" si="266"/>
        <v>1786</v>
      </c>
      <c r="BK180" s="245">
        <f t="shared" si="266"/>
        <v>1789</v>
      </c>
      <c r="BL180" s="245">
        <f t="shared" si="266"/>
        <v>1793</v>
      </c>
      <c r="BM180" s="245">
        <f t="shared" si="266"/>
        <v>1798</v>
      </c>
      <c r="BN180" s="245">
        <f t="shared" si="266"/>
        <v>1803</v>
      </c>
      <c r="BO180" s="245">
        <f t="shared" si="266"/>
        <v>1794</v>
      </c>
      <c r="BP180" s="245">
        <f t="shared" si="266"/>
        <v>1761</v>
      </c>
      <c r="BQ180" s="245">
        <f t="shared" si="266"/>
        <v>1722</v>
      </c>
      <c r="BR180" s="245">
        <f t="shared" si="266"/>
        <v>1712</v>
      </c>
      <c r="BS180" s="245">
        <f t="shared" si="266"/>
        <v>1705</v>
      </c>
      <c r="BT180" s="245">
        <f t="shared" si="266"/>
        <v>1695</v>
      </c>
      <c r="BU180" s="245">
        <f t="shared" si="266"/>
        <v>1665</v>
      </c>
      <c r="BV180" s="245">
        <f t="shared" si="266"/>
        <v>1643</v>
      </c>
      <c r="BW180" s="245">
        <f t="shared" si="266"/>
        <v>1629</v>
      </c>
      <c r="BX180" s="245">
        <f t="shared" si="266"/>
        <v>1610</v>
      </c>
      <c r="BY180" s="245">
        <f t="shared" si="266"/>
        <v>1587</v>
      </c>
      <c r="BZ180" s="245">
        <f t="shared" si="266"/>
        <v>1576</v>
      </c>
      <c r="CA180" s="245">
        <f t="shared" si="266"/>
        <v>1576</v>
      </c>
      <c r="CB180" s="245">
        <f>+CB61</f>
        <v>1559</v>
      </c>
      <c r="CC180" s="245">
        <f>+CC61</f>
        <v>1550</v>
      </c>
      <c r="CD180" s="245">
        <f>+CD61</f>
        <v>1539</v>
      </c>
      <c r="CE180" s="245">
        <f>+CE61</f>
        <v>1524</v>
      </c>
      <c r="CF180" s="245">
        <f>+CF61</f>
        <v>1513</v>
      </c>
      <c r="CG180" s="245">
        <f>+CG178+CG179</f>
        <v>1503.771924887255</v>
      </c>
      <c r="CH180" s="245">
        <f>+CH178+CH179</f>
        <v>1495.1567702742045</v>
      </c>
      <c r="CI180" s="245">
        <f>+CI178+CI179</f>
        <v>1486.7657239916707</v>
      </c>
      <c r="CJ180" s="245">
        <f>+CJ178+CJ179</f>
        <v>1478.5943917586631</v>
      </c>
      <c r="CO180" s="245"/>
      <c r="DK180" s="37"/>
      <c r="DL180" s="37"/>
      <c r="DM180" s="37"/>
      <c r="DN180" s="37"/>
      <c r="DO180" s="37"/>
      <c r="DP180" s="37"/>
      <c r="DQ180" s="37"/>
      <c r="DR180" s="37"/>
      <c r="DS180" s="37"/>
      <c r="DT180" s="37"/>
      <c r="DU180" s="37"/>
      <c r="DV180" s="37"/>
      <c r="DW180" s="37"/>
      <c r="DX180" s="37"/>
      <c r="DY180" s="37"/>
      <c r="DZ180" s="37"/>
    </row>
    <row r="181" spans="1:136">
      <c r="A181" s="37"/>
      <c r="B181" s="50"/>
      <c r="C181" s="50"/>
      <c r="D181" s="50"/>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37"/>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O181" s="50"/>
      <c r="DK181" s="50"/>
      <c r="DL181" s="37"/>
      <c r="DM181" s="37"/>
      <c r="DN181" s="37"/>
      <c r="DO181" s="37"/>
      <c r="DP181" s="37"/>
      <c r="DQ181" s="37"/>
      <c r="DR181" s="37"/>
      <c r="DS181" s="37"/>
      <c r="DT181" s="37"/>
      <c r="DU181" s="37"/>
      <c r="DV181" s="37"/>
      <c r="DW181" s="37"/>
      <c r="DX181" s="37"/>
      <c r="DY181" s="37"/>
      <c r="DZ181" s="37"/>
    </row>
    <row r="182" spans="1:136" s="218" customFormat="1">
      <c r="A182" s="215" t="s">
        <v>213</v>
      </c>
      <c r="B182" s="215"/>
      <c r="C182" s="215"/>
      <c r="D182" s="215"/>
      <c r="E182" s="215"/>
      <c r="F182" s="215"/>
      <c r="G182" s="215"/>
      <c r="H182" s="215"/>
      <c r="I182" s="215"/>
      <c r="J182" s="215"/>
      <c r="K182" s="215"/>
      <c r="L182" s="215"/>
      <c r="M182" s="215"/>
      <c r="N182" s="215"/>
      <c r="O182" s="215"/>
      <c r="P182" s="215"/>
      <c r="Q182" s="215"/>
      <c r="R182" s="215"/>
      <c r="S182" s="215"/>
      <c r="T182" s="215"/>
      <c r="U182" s="215"/>
      <c r="V182" s="215"/>
      <c r="W182" s="215"/>
      <c r="X182" s="215"/>
      <c r="Y182" s="215"/>
      <c r="Z182" s="215"/>
      <c r="AA182" s="215"/>
      <c r="AB182" s="216"/>
      <c r="AC182" s="215"/>
      <c r="AD182" s="215"/>
      <c r="AE182" s="215"/>
      <c r="AF182" s="215"/>
      <c r="AG182" s="215"/>
      <c r="AH182" s="215"/>
      <c r="AI182" s="215"/>
      <c r="AJ182" s="215"/>
      <c r="AK182" s="215"/>
      <c r="AL182" s="215"/>
      <c r="AM182" s="215"/>
      <c r="AN182" s="215"/>
      <c r="AO182" s="215"/>
      <c r="AP182" s="215"/>
      <c r="AQ182" s="215"/>
      <c r="AR182" s="215"/>
      <c r="AS182" s="215"/>
      <c r="AT182" s="215"/>
      <c r="AU182" s="215"/>
      <c r="AV182" s="215"/>
      <c r="AW182" s="215"/>
      <c r="AX182" s="215"/>
      <c r="AY182" s="215"/>
      <c r="AZ182" s="215"/>
      <c r="BA182" s="215"/>
      <c r="BB182" s="215"/>
      <c r="BC182" s="215"/>
      <c r="BD182" s="215"/>
      <c r="BE182" s="215"/>
      <c r="BF182" s="215"/>
      <c r="BG182" s="215"/>
      <c r="BH182" s="215"/>
      <c r="BI182" s="215"/>
      <c r="BJ182" s="215"/>
      <c r="BK182" s="215"/>
      <c r="BL182" s="215"/>
      <c r="BM182" s="215"/>
      <c r="BN182" s="215"/>
      <c r="BO182" s="215"/>
      <c r="BP182" s="215"/>
      <c r="BQ182" s="215"/>
      <c r="BR182" s="215"/>
      <c r="BS182" s="215"/>
      <c r="BT182" s="215"/>
      <c r="BU182" s="215"/>
      <c r="BV182" s="215"/>
      <c r="BW182" s="215"/>
      <c r="BX182" s="215"/>
      <c r="BY182" s="215"/>
      <c r="BZ182" s="215"/>
      <c r="CA182" s="215"/>
      <c r="CB182" s="215"/>
      <c r="CC182" s="215"/>
      <c r="CD182" s="215"/>
      <c r="CE182" s="215"/>
      <c r="CF182" s="215"/>
      <c r="CG182" s="215"/>
      <c r="CH182" s="215"/>
      <c r="CI182" s="215"/>
      <c r="CJ182" s="215"/>
      <c r="CO182" s="220"/>
      <c r="DK182" s="50"/>
      <c r="DL182" s="37"/>
      <c r="DM182" s="37"/>
      <c r="DN182" s="37"/>
      <c r="DO182" s="37"/>
      <c r="DP182" s="37"/>
      <c r="DQ182" s="37"/>
      <c r="DR182" s="37"/>
      <c r="DS182" s="37"/>
      <c r="DT182" s="37"/>
      <c r="DU182" s="37"/>
      <c r="DV182" s="37"/>
      <c r="DW182" s="37"/>
      <c r="DX182" s="37"/>
      <c r="DY182" s="37"/>
      <c r="DZ182" s="37"/>
      <c r="EA182"/>
      <c r="EB182"/>
      <c r="EC182"/>
      <c r="ED182"/>
      <c r="EE182"/>
      <c r="EF182"/>
    </row>
    <row r="183" spans="1:136">
      <c r="A183" s="594"/>
      <c r="B183" s="50"/>
      <c r="C183" s="50"/>
      <c r="D183" s="50"/>
      <c r="E183" s="50"/>
      <c r="F183" s="50"/>
      <c r="G183" s="50"/>
      <c r="H183" s="50"/>
      <c r="I183" s="50"/>
      <c r="J183" s="50"/>
      <c r="K183" s="50"/>
      <c r="L183" s="50"/>
      <c r="M183" s="50"/>
      <c r="N183" s="50"/>
      <c r="O183" s="50"/>
      <c r="P183" s="50"/>
      <c r="Q183" s="152"/>
      <c r="R183" s="152"/>
      <c r="S183" s="152"/>
      <c r="T183" s="152"/>
      <c r="U183" s="152"/>
      <c r="V183" s="152"/>
      <c r="W183" s="152"/>
      <c r="X183" s="152"/>
      <c r="Y183" s="152"/>
      <c r="Z183" s="152"/>
      <c r="AA183" s="152"/>
      <c r="AB183" s="255"/>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c r="CC183" s="50"/>
      <c r="CD183" s="50"/>
      <c r="CE183" s="50"/>
      <c r="CF183" s="50"/>
      <c r="CG183" s="50"/>
      <c r="CH183" s="50"/>
      <c r="CI183" s="50"/>
      <c r="CJ183" s="50"/>
      <c r="CO183" s="50"/>
      <c r="DK183" s="50"/>
      <c r="DL183" s="37"/>
      <c r="DM183" s="37"/>
      <c r="DN183" s="37"/>
      <c r="DO183" s="37"/>
      <c r="DP183" s="37"/>
      <c r="DQ183" s="37"/>
      <c r="DR183" s="37"/>
      <c r="DS183" s="37"/>
      <c r="DT183" s="37"/>
      <c r="DU183" s="37"/>
      <c r="DV183" s="37"/>
      <c r="DW183" s="37"/>
      <c r="DX183" s="37"/>
      <c r="DY183" s="37"/>
      <c r="DZ183" s="37"/>
    </row>
    <row r="184" spans="1:136" s="378" customFormat="1">
      <c r="A184" s="595" t="s">
        <v>214</v>
      </c>
      <c r="B184" s="573"/>
      <c r="C184" s="573"/>
      <c r="D184" s="573"/>
      <c r="E184" s="573"/>
      <c r="F184" s="573"/>
      <c r="G184" s="573"/>
      <c r="H184" s="573"/>
      <c r="I184" s="573"/>
      <c r="J184" s="573"/>
      <c r="K184" s="573"/>
      <c r="L184" s="573">
        <v>1729</v>
      </c>
      <c r="M184" s="573">
        <v>1860</v>
      </c>
      <c r="N184" s="573">
        <v>1815</v>
      </c>
      <c r="O184" s="573">
        <v>1721</v>
      </c>
      <c r="P184" s="574">
        <v>1552</v>
      </c>
      <c r="Q184" s="574">
        <v>1542</v>
      </c>
      <c r="R184" s="574">
        <v>1396</v>
      </c>
      <c r="S184" s="574">
        <v>1248</v>
      </c>
      <c r="T184" s="575">
        <f t="shared" ref="T184:AA184" ca="1" si="267">T185*T10</f>
        <v>1345.7360407629415</v>
      </c>
      <c r="U184" s="575">
        <f t="shared" ca="1" si="267"/>
        <v>1378.121576118413</v>
      </c>
      <c r="V184" s="575">
        <f t="shared" ca="1" si="267"/>
        <v>1417.6871749064915</v>
      </c>
      <c r="W184" s="575">
        <f t="shared" ca="1" si="267"/>
        <v>1463.2226965997761</v>
      </c>
      <c r="X184" s="575">
        <f t="shared" ca="1" si="267"/>
        <v>1508.7350884077264</v>
      </c>
      <c r="Y184" s="575">
        <f t="shared" ca="1" si="267"/>
        <v>1554.3129475509741</v>
      </c>
      <c r="Z184" s="575">
        <f t="shared" ca="1" si="267"/>
        <v>1600.0465220259296</v>
      </c>
      <c r="AA184" s="575">
        <f t="shared" ca="1" si="267"/>
        <v>1646.0271113560755</v>
      </c>
      <c r="AB184" s="576"/>
      <c r="AC184" s="577"/>
      <c r="AD184" s="577"/>
      <c r="AE184" s="577"/>
      <c r="AF184" s="577"/>
      <c r="AG184" s="577"/>
      <c r="AH184" s="577"/>
      <c r="AI184" s="577"/>
      <c r="AJ184" s="577"/>
      <c r="AK184" s="577"/>
      <c r="AL184" s="577"/>
      <c r="AM184" s="577"/>
      <c r="AN184" s="577"/>
      <c r="AO184" s="577"/>
      <c r="AP184" s="577"/>
      <c r="AQ184" s="577"/>
      <c r="AR184" s="577"/>
      <c r="AS184" s="577"/>
      <c r="AT184" s="577"/>
      <c r="AU184" s="577"/>
      <c r="AV184" s="577"/>
      <c r="AW184" s="577"/>
      <c r="AX184" s="577"/>
      <c r="AY184" s="577"/>
      <c r="AZ184" s="577"/>
      <c r="BA184" s="577"/>
      <c r="BB184" s="577"/>
      <c r="BC184" s="577"/>
      <c r="BD184" s="577"/>
      <c r="BE184" s="577"/>
      <c r="BF184" s="577"/>
      <c r="BG184" s="577"/>
      <c r="BH184" s="577"/>
      <c r="BI184" s="577"/>
      <c r="BJ184" s="577"/>
      <c r="BK184" s="577"/>
      <c r="BL184" s="577"/>
      <c r="BM184" s="577"/>
      <c r="BN184" s="577"/>
      <c r="BO184" s="577"/>
      <c r="BP184" s="578"/>
      <c r="BQ184" s="578"/>
      <c r="BR184" s="577"/>
      <c r="BS184" s="577"/>
      <c r="BT184" s="577"/>
      <c r="BU184" s="577"/>
      <c r="BV184" s="579">
        <f>+BV185*BV10</f>
        <v>583.83199999999999</v>
      </c>
      <c r="BW184" s="579"/>
      <c r="BX184" s="577"/>
      <c r="BY184" s="579">
        <f>+BY185*BY10</f>
        <v>567.72</v>
      </c>
      <c r="BZ184" s="577"/>
      <c r="CA184" s="577"/>
      <c r="CB184" s="577"/>
      <c r="CC184" s="577"/>
      <c r="CD184" s="577"/>
      <c r="CE184" s="577"/>
      <c r="CF184" s="577"/>
      <c r="CG184" s="577"/>
      <c r="CH184" s="577"/>
      <c r="CI184" s="577"/>
      <c r="CJ184" s="577"/>
      <c r="CO184" s="260"/>
      <c r="DK184" s="260"/>
      <c r="DL184" s="580"/>
      <c r="DM184" s="580"/>
      <c r="DN184" s="580"/>
      <c r="DO184" s="580"/>
      <c r="DP184" s="580"/>
      <c r="DQ184" s="580"/>
      <c r="DR184" s="580"/>
      <c r="DS184" s="580"/>
      <c r="DT184" s="580"/>
      <c r="DU184" s="580"/>
      <c r="DV184" s="580"/>
      <c r="DW184" s="580"/>
      <c r="DX184" s="580"/>
      <c r="DY184" s="580"/>
      <c r="DZ184" s="580"/>
      <c r="EA184"/>
      <c r="EB184"/>
      <c r="EC184"/>
      <c r="ED184"/>
      <c r="EE184"/>
      <c r="EF184"/>
    </row>
    <row r="185" spans="1:136" s="378" customFormat="1">
      <c r="A185" s="258" t="s">
        <v>215</v>
      </c>
      <c r="B185" s="260"/>
      <c r="C185" s="260"/>
      <c r="D185" s="260"/>
      <c r="E185" s="260"/>
      <c r="F185" s="260"/>
      <c r="G185" s="260"/>
      <c r="H185" s="260"/>
      <c r="I185" s="260"/>
      <c r="J185" s="260"/>
      <c r="K185" s="260"/>
      <c r="L185" s="260">
        <f t="shared" ref="L185:R185" si="268">L184/L10</f>
        <v>5.490806313315761E-2</v>
      </c>
      <c r="M185" s="260">
        <f t="shared" si="268"/>
        <v>5.1940798659592294E-2</v>
      </c>
      <c r="N185" s="260">
        <f t="shared" si="268"/>
        <v>5.1834927888047978E-2</v>
      </c>
      <c r="O185" s="260">
        <f t="shared" si="268"/>
        <v>4.8754922235757385E-2</v>
      </c>
      <c r="P185" s="260">
        <f t="shared" si="268"/>
        <v>5.2241820385081461E-2</v>
      </c>
      <c r="Q185" s="260">
        <f t="shared" si="268"/>
        <v>5.883026210369692E-2</v>
      </c>
      <c r="R185" s="260">
        <f t="shared" si="268"/>
        <v>5.5243371586861892E-2</v>
      </c>
      <c r="S185" s="260">
        <f>S184/S10</f>
        <v>4.8700538515570123E-2</v>
      </c>
      <c r="T185" s="488">
        <v>0.05</v>
      </c>
      <c r="U185" s="488">
        <v>0.05</v>
      </c>
      <c r="V185" s="488">
        <v>0.05</v>
      </c>
      <c r="W185" s="488">
        <v>0.05</v>
      </c>
      <c r="X185" s="488">
        <v>0.05</v>
      </c>
      <c r="Y185" s="488">
        <v>0.05</v>
      </c>
      <c r="Z185" s="488">
        <v>0.05</v>
      </c>
      <c r="AA185" s="488">
        <v>0.05</v>
      </c>
      <c r="AB185" s="581"/>
      <c r="AC185" s="577"/>
      <c r="AD185" s="577"/>
      <c r="AE185" s="577"/>
      <c r="AF185" s="577"/>
      <c r="AG185" s="577"/>
      <c r="AH185" s="577"/>
      <c r="AI185" s="577"/>
      <c r="AJ185" s="577"/>
      <c r="AK185" s="577"/>
      <c r="AL185" s="577"/>
      <c r="AM185" s="577"/>
      <c r="AN185" s="577"/>
      <c r="AO185" s="577"/>
      <c r="AP185" s="577"/>
      <c r="AQ185" s="577"/>
      <c r="AR185" s="577"/>
      <c r="AS185" s="577"/>
      <c r="AT185" s="577"/>
      <c r="AU185" s="577"/>
      <c r="AV185" s="577"/>
      <c r="AW185" s="577"/>
      <c r="AX185" s="577"/>
      <c r="AY185" s="577"/>
      <c r="AZ185" s="577"/>
      <c r="BA185" s="577"/>
      <c r="BB185" s="577"/>
      <c r="BC185" s="577"/>
      <c r="BD185" s="577"/>
      <c r="BE185" s="577"/>
      <c r="BF185" s="577"/>
      <c r="BG185" s="577"/>
      <c r="BH185" s="577"/>
      <c r="BI185" s="577"/>
      <c r="BJ185" s="577"/>
      <c r="BK185" s="577"/>
      <c r="BL185" s="577"/>
      <c r="BM185" s="577"/>
      <c r="BN185" s="577"/>
      <c r="BO185" s="577"/>
      <c r="BP185" s="577"/>
      <c r="BQ185" s="577"/>
      <c r="BR185" s="577"/>
      <c r="BS185" s="577"/>
      <c r="BT185" s="577"/>
      <c r="BU185" s="577"/>
      <c r="BV185" s="577">
        <v>9.1999999999999998E-2</v>
      </c>
      <c r="BW185" s="577"/>
      <c r="BX185" s="577"/>
      <c r="BY185" s="488">
        <v>0.09</v>
      </c>
      <c r="BZ185" s="488" t="s">
        <v>562</v>
      </c>
      <c r="CA185" s="577"/>
      <c r="CB185" s="577"/>
      <c r="CC185" s="577"/>
      <c r="CD185" s="577"/>
      <c r="CE185" s="577"/>
      <c r="CF185" s="577"/>
      <c r="CG185" s="577"/>
      <c r="CH185" s="577"/>
      <c r="CI185" s="577"/>
      <c r="CJ185" s="577"/>
      <c r="CO185" s="260"/>
      <c r="DK185" s="260"/>
      <c r="DL185" s="580"/>
      <c r="DM185" s="580"/>
      <c r="DN185" s="580"/>
      <c r="DO185" s="580"/>
      <c r="DP185" s="580"/>
      <c r="DQ185" s="580"/>
      <c r="DR185" s="580"/>
      <c r="DS185" s="580"/>
      <c r="DT185" s="580"/>
      <c r="DU185" s="580"/>
      <c r="DV185" s="580"/>
      <c r="DW185" s="580"/>
      <c r="DX185" s="580"/>
      <c r="DY185" s="580"/>
      <c r="DZ185" s="580"/>
      <c r="EA185"/>
      <c r="EB185"/>
      <c r="EC185"/>
      <c r="ED185"/>
      <c r="EE185"/>
      <c r="EF185"/>
    </row>
    <row r="186" spans="1:136" s="378" customFormat="1">
      <c r="A186" s="258" t="s">
        <v>216</v>
      </c>
      <c r="B186" s="577"/>
      <c r="C186" s="577"/>
      <c r="D186" s="577"/>
      <c r="E186" s="577"/>
      <c r="F186" s="577"/>
      <c r="G186" s="577"/>
      <c r="H186" s="577"/>
      <c r="I186" s="577"/>
      <c r="J186" s="577"/>
      <c r="K186" s="577"/>
      <c r="L186" s="577"/>
      <c r="M186" s="577">
        <f>M184/L184-1</f>
        <v>7.5766338924233567E-2</v>
      </c>
      <c r="N186" s="577">
        <f>N184/M184-1</f>
        <v>-2.4193548387096753E-2</v>
      </c>
      <c r="O186" s="577">
        <f>O184/N184-1</f>
        <v>-5.1790633608815417E-2</v>
      </c>
      <c r="P186" s="577">
        <f>P184/O184-1</f>
        <v>-9.8198721673445677E-2</v>
      </c>
      <c r="Q186" s="577">
        <f t="shared" ref="Q186:V186" si="269">Q184/P184-1</f>
        <v>-6.4432989690721421E-3</v>
      </c>
      <c r="R186" s="577">
        <f t="shared" si="269"/>
        <v>-9.4682230869001294E-2</v>
      </c>
      <c r="S186" s="577">
        <f t="shared" si="269"/>
        <v>-0.10601719197707737</v>
      </c>
      <c r="T186" s="577">
        <f t="shared" ca="1" si="269"/>
        <v>7.831413522671582E-2</v>
      </c>
      <c r="U186" s="577">
        <f t="shared" ca="1" si="269"/>
        <v>2.4065295403035369E-2</v>
      </c>
      <c r="V186" s="577">
        <f t="shared" ca="1" si="269"/>
        <v>2.8709802874952395E-2</v>
      </c>
      <c r="W186" s="577">
        <f ca="1">W184/V184-1</f>
        <v>3.2119583571945665E-2</v>
      </c>
      <c r="X186" s="577">
        <f ca="1">X184/W184-1</f>
        <v>3.1104213947549919E-2</v>
      </c>
      <c r="Y186" s="577">
        <f ca="1">Y184/X184-1</f>
        <v>3.0209318715685995E-2</v>
      </c>
      <c r="Z186" s="577">
        <f ca="1">Z184/Y184-1</f>
        <v>2.9423659210337849E-2</v>
      </c>
      <c r="AA186" s="577">
        <f ca="1">AA184/Z184-1</f>
        <v>2.8737032765726589E-2</v>
      </c>
      <c r="AB186" s="581"/>
      <c r="AC186" s="577"/>
      <c r="AD186" s="577"/>
      <c r="AE186" s="577"/>
      <c r="AF186" s="577"/>
      <c r="AG186" s="577"/>
      <c r="AH186" s="577"/>
      <c r="AI186" s="577"/>
      <c r="AJ186" s="577"/>
      <c r="AK186" s="577"/>
      <c r="AL186" s="577"/>
      <c r="AM186" s="577"/>
      <c r="AN186" s="577"/>
      <c r="AO186" s="577"/>
      <c r="AP186" s="577"/>
      <c r="AQ186" s="577"/>
      <c r="AR186" s="577"/>
      <c r="AS186" s="577"/>
      <c r="AT186" s="577"/>
      <c r="AU186" s="577"/>
      <c r="AV186" s="577"/>
      <c r="AW186" s="577"/>
      <c r="AX186" s="577"/>
      <c r="AY186" s="577"/>
      <c r="AZ186" s="577"/>
      <c r="BA186" s="577"/>
      <c r="BB186" s="577"/>
      <c r="BC186" s="577"/>
      <c r="BD186" s="577"/>
      <c r="BE186" s="577"/>
      <c r="BF186" s="577"/>
      <c r="BG186" s="577"/>
      <c r="BH186" s="577"/>
      <c r="BI186" s="577"/>
      <c r="BJ186" s="577"/>
      <c r="BK186" s="577"/>
      <c r="BL186" s="577"/>
      <c r="BM186" s="577"/>
      <c r="BN186" s="577"/>
      <c r="BO186" s="577"/>
      <c r="BP186" s="577"/>
      <c r="BQ186" s="577"/>
      <c r="BR186" s="577"/>
      <c r="BS186" s="577"/>
      <c r="BT186" s="577"/>
      <c r="BU186" s="577"/>
      <c r="BV186" s="577"/>
      <c r="BW186" s="577"/>
      <c r="BX186" s="577"/>
      <c r="BY186" s="577"/>
      <c r="BZ186" s="577"/>
      <c r="CA186" s="577"/>
      <c r="CB186" s="577"/>
      <c r="CC186" s="577"/>
      <c r="CD186" s="577"/>
      <c r="CE186" s="577"/>
      <c r="CF186" s="577"/>
      <c r="CG186" s="577"/>
      <c r="CH186" s="577"/>
      <c r="CI186" s="577"/>
      <c r="CJ186" s="577"/>
      <c r="CO186" s="260"/>
      <c r="DK186" s="260"/>
      <c r="DL186" s="580"/>
      <c r="DM186" s="580"/>
      <c r="DN186" s="580"/>
      <c r="DO186" s="580"/>
      <c r="DP186" s="580"/>
      <c r="DQ186" s="580"/>
      <c r="DR186" s="580"/>
      <c r="DS186" s="580"/>
      <c r="DT186" s="580"/>
      <c r="DU186" s="580"/>
      <c r="DV186" s="580"/>
      <c r="DW186" s="580"/>
      <c r="DX186" s="580"/>
      <c r="DY186" s="580"/>
      <c r="DZ186" s="580"/>
      <c r="EA186"/>
      <c r="EB186"/>
      <c r="EC186"/>
      <c r="ED186"/>
      <c r="EE186"/>
      <c r="EF186"/>
    </row>
    <row r="187" spans="1:136" s="378" customFormat="1" ht="12.75" hidden="1" customHeight="1" outlineLevel="1">
      <c r="A187" s="258"/>
      <c r="B187" s="260"/>
      <c r="C187" s="260"/>
      <c r="D187" s="260"/>
      <c r="E187" s="260"/>
      <c r="F187" s="260"/>
      <c r="G187" s="260"/>
      <c r="H187" s="260"/>
      <c r="I187" s="260"/>
      <c r="J187" s="260"/>
      <c r="K187" s="260"/>
      <c r="L187" s="260"/>
      <c r="M187" s="260"/>
      <c r="N187" s="488"/>
      <c r="O187" s="488"/>
      <c r="P187" s="488"/>
      <c r="Q187" s="488"/>
      <c r="R187" s="488"/>
      <c r="S187" s="488"/>
      <c r="T187" s="488"/>
      <c r="U187" s="488"/>
      <c r="V187" s="488"/>
      <c r="W187" s="488"/>
      <c r="X187" s="488"/>
      <c r="Y187" s="488"/>
      <c r="Z187" s="488"/>
      <c r="AA187" s="488"/>
      <c r="AB187" s="581"/>
      <c r="AC187" s="577"/>
      <c r="AD187" s="577"/>
      <c r="AE187" s="577"/>
      <c r="AF187" s="577"/>
      <c r="AG187" s="577"/>
      <c r="AH187" s="577"/>
      <c r="AI187" s="577"/>
      <c r="AJ187" s="577"/>
      <c r="AK187" s="577"/>
      <c r="AL187" s="577"/>
      <c r="AM187" s="577"/>
      <c r="AN187" s="577"/>
      <c r="AO187" s="577"/>
      <c r="AP187" s="577"/>
      <c r="AQ187" s="577"/>
      <c r="AR187" s="577"/>
      <c r="AS187" s="577"/>
      <c r="AT187" s="577"/>
      <c r="AU187" s="577"/>
      <c r="AV187" s="577"/>
      <c r="AW187" s="577"/>
      <c r="AX187" s="577"/>
      <c r="AY187" s="577"/>
      <c r="AZ187" s="577"/>
      <c r="BA187" s="577"/>
      <c r="BB187" s="577"/>
      <c r="BC187" s="577"/>
      <c r="BD187" s="577"/>
      <c r="BE187" s="577"/>
      <c r="BF187" s="577"/>
      <c r="BG187" s="577"/>
      <c r="BH187" s="577"/>
      <c r="BI187" s="577"/>
      <c r="BJ187" s="577"/>
      <c r="BK187" s="577"/>
      <c r="BL187" s="577"/>
      <c r="BM187" s="577"/>
      <c r="BN187" s="577"/>
      <c r="BO187" s="577"/>
      <c r="BP187" s="577"/>
      <c r="BQ187" s="577"/>
      <c r="BR187" s="577"/>
      <c r="BS187" s="577"/>
      <c r="BT187" s="577"/>
      <c r="BU187" s="577"/>
      <c r="BV187" s="577"/>
      <c r="BW187" s="577"/>
      <c r="BX187" s="577"/>
      <c r="BY187" s="577"/>
      <c r="BZ187" s="577"/>
      <c r="CA187" s="577"/>
      <c r="CB187" s="577"/>
      <c r="CC187" s="577"/>
      <c r="CD187" s="577"/>
      <c r="CE187" s="577"/>
      <c r="CF187" s="577"/>
      <c r="CG187" s="577"/>
      <c r="CH187" s="577"/>
      <c r="CI187" s="577"/>
      <c r="CJ187" s="577"/>
      <c r="CO187" s="260"/>
      <c r="DK187" s="260"/>
      <c r="DL187" s="580"/>
      <c r="DM187" s="580"/>
      <c r="DN187" s="580"/>
      <c r="DO187" s="580"/>
      <c r="DP187" s="580"/>
      <c r="DQ187" s="580"/>
      <c r="DR187" s="580"/>
      <c r="DS187" s="580"/>
      <c r="DT187" s="580"/>
      <c r="DU187" s="580"/>
      <c r="DV187" s="580"/>
      <c r="DW187" s="580"/>
      <c r="DX187" s="580"/>
      <c r="DY187" s="580"/>
      <c r="DZ187" s="580"/>
      <c r="EA187"/>
      <c r="EB187"/>
      <c r="EC187"/>
      <c r="ED187"/>
      <c r="EE187"/>
      <c r="EF187"/>
    </row>
    <row r="188" spans="1:136" s="378" customFormat="1" ht="12.75" hidden="1" customHeight="1" outlineLevel="1">
      <c r="A188" s="595" t="s">
        <v>217</v>
      </c>
      <c r="B188" s="260"/>
      <c r="C188" s="260"/>
      <c r="D188" s="260"/>
      <c r="E188" s="260"/>
      <c r="F188" s="260"/>
      <c r="G188" s="260"/>
      <c r="H188" s="260"/>
      <c r="I188" s="260"/>
      <c r="J188" s="260"/>
      <c r="K188" s="260"/>
      <c r="L188" s="260">
        <v>8.1000000000000003E-2</v>
      </c>
      <c r="M188" s="260"/>
      <c r="N188" s="488"/>
      <c r="O188" s="488"/>
      <c r="P188" s="488"/>
      <c r="Q188" s="488"/>
      <c r="R188" s="488"/>
      <c r="S188" s="488"/>
      <c r="T188" s="488"/>
      <c r="U188" s="488"/>
      <c r="V188" s="488"/>
      <c r="W188" s="488"/>
      <c r="X188" s="488"/>
      <c r="Y188" s="488"/>
      <c r="Z188" s="488"/>
      <c r="AA188" s="488"/>
      <c r="AB188" s="576"/>
      <c r="AC188" s="577"/>
      <c r="AD188" s="577"/>
      <c r="AE188" s="577"/>
      <c r="AF188" s="577"/>
      <c r="AG188" s="577"/>
      <c r="AH188" s="577"/>
      <c r="AI188" s="577"/>
      <c r="AJ188" s="577"/>
      <c r="AK188" s="577"/>
      <c r="AL188" s="577"/>
      <c r="AM188" s="577"/>
      <c r="AN188" s="577"/>
      <c r="AO188" s="577"/>
      <c r="AP188" s="577"/>
      <c r="AQ188" s="577"/>
      <c r="AR188" s="577"/>
      <c r="AS188" s="577"/>
      <c r="AT188" s="577"/>
      <c r="AU188" s="577"/>
      <c r="AV188" s="577"/>
      <c r="AW188" s="577"/>
      <c r="AX188" s="577"/>
      <c r="AY188" s="577"/>
      <c r="AZ188" s="577"/>
      <c r="BA188" s="577"/>
      <c r="BB188" s="577"/>
      <c r="BC188" s="577"/>
      <c r="BD188" s="577"/>
      <c r="BE188" s="577"/>
      <c r="BF188" s="577"/>
      <c r="BG188" s="577"/>
      <c r="BH188" s="577"/>
      <c r="BI188" s="577"/>
      <c r="BJ188" s="577"/>
      <c r="BK188" s="577"/>
      <c r="BL188" s="577"/>
      <c r="BM188" s="577"/>
      <c r="BN188" s="577"/>
      <c r="BO188" s="577"/>
      <c r="BP188" s="577"/>
      <c r="BQ188" s="577"/>
      <c r="BR188" s="577"/>
      <c r="BS188" s="577"/>
      <c r="BT188" s="577"/>
      <c r="BU188" s="577"/>
      <c r="BV188" s="577"/>
      <c r="BW188" s="577"/>
      <c r="BX188" s="577"/>
      <c r="BY188" s="577"/>
      <c r="BZ188" s="577"/>
      <c r="CA188" s="577"/>
      <c r="CB188" s="577"/>
      <c r="CC188" s="577"/>
      <c r="CD188" s="577"/>
      <c r="CE188" s="577"/>
      <c r="CF188" s="577"/>
      <c r="CG188" s="577"/>
      <c r="CH188" s="577"/>
      <c r="CI188" s="577"/>
      <c r="CJ188" s="577"/>
      <c r="CO188" s="260"/>
      <c r="DK188" s="260"/>
      <c r="DL188" s="580"/>
      <c r="DM188" s="580"/>
      <c r="DN188" s="580"/>
      <c r="DO188" s="580"/>
      <c r="DP188" s="580"/>
      <c r="DQ188" s="580"/>
      <c r="DR188" s="580"/>
      <c r="DS188" s="580"/>
      <c r="DT188" s="580"/>
      <c r="DU188" s="580"/>
      <c r="DV188" s="580"/>
      <c r="DW188" s="580"/>
      <c r="DX188" s="580"/>
      <c r="DY188" s="580"/>
      <c r="DZ188" s="580"/>
      <c r="EA188"/>
      <c r="EB188"/>
      <c r="EC188"/>
      <c r="ED188"/>
      <c r="EE188"/>
      <c r="EF188"/>
    </row>
    <row r="189" spans="1:136" s="378" customFormat="1" ht="12.75" hidden="1" customHeight="1" outlineLevel="1">
      <c r="A189" s="259" t="s">
        <v>218</v>
      </c>
      <c r="B189" s="582"/>
      <c r="C189" s="582"/>
      <c r="D189" s="582"/>
      <c r="E189" s="582"/>
      <c r="F189" s="582"/>
      <c r="G189" s="582"/>
      <c r="H189" s="582"/>
      <c r="I189" s="582"/>
      <c r="J189" s="582"/>
      <c r="K189" s="582"/>
      <c r="L189" s="582">
        <v>6.5000000000000002E-2</v>
      </c>
      <c r="M189" s="582"/>
      <c r="N189" s="488"/>
      <c r="O189" s="488"/>
      <c r="P189" s="488"/>
      <c r="Q189" s="488"/>
      <c r="R189" s="488"/>
      <c r="S189" s="488"/>
      <c r="T189" s="488"/>
      <c r="U189" s="488"/>
      <c r="V189" s="488"/>
      <c r="W189" s="488"/>
      <c r="X189" s="488"/>
      <c r="Y189" s="488"/>
      <c r="Z189" s="488"/>
      <c r="AA189" s="488"/>
      <c r="AB189" s="583"/>
      <c r="AC189" s="577"/>
      <c r="AD189" s="577"/>
      <c r="AE189" s="577"/>
      <c r="AF189" s="577"/>
      <c r="AG189" s="577"/>
      <c r="AH189" s="577"/>
      <c r="AI189" s="577"/>
      <c r="AJ189" s="577"/>
      <c r="AK189" s="577"/>
      <c r="AL189" s="577"/>
      <c r="AM189" s="577"/>
      <c r="AN189" s="577"/>
      <c r="AO189" s="577"/>
      <c r="AP189" s="577"/>
      <c r="AQ189" s="577"/>
      <c r="AR189" s="577"/>
      <c r="AS189" s="577"/>
      <c r="AT189" s="577"/>
      <c r="AU189" s="577"/>
      <c r="AV189" s="577"/>
      <c r="AW189" s="577"/>
      <c r="AX189" s="577"/>
      <c r="AY189" s="577"/>
      <c r="AZ189" s="577"/>
      <c r="BA189" s="577"/>
      <c r="BB189" s="577"/>
      <c r="BC189" s="577"/>
      <c r="BD189" s="577"/>
      <c r="BE189" s="577"/>
      <c r="BF189" s="577"/>
      <c r="BG189" s="577"/>
      <c r="BH189" s="577"/>
      <c r="BI189" s="577"/>
      <c r="BJ189" s="577"/>
      <c r="BK189" s="577"/>
      <c r="BL189" s="577"/>
      <c r="BM189" s="577"/>
      <c r="BN189" s="577"/>
      <c r="BO189" s="577"/>
      <c r="BP189" s="577"/>
      <c r="BQ189" s="577"/>
      <c r="BR189" s="577"/>
      <c r="BS189" s="577"/>
      <c r="BT189" s="577"/>
      <c r="BU189" s="577"/>
      <c r="BV189" s="577"/>
      <c r="BW189" s="577"/>
      <c r="BX189" s="577"/>
      <c r="BY189" s="577"/>
      <c r="BZ189" s="577"/>
      <c r="CA189" s="577"/>
      <c r="CB189" s="577"/>
      <c r="CC189" s="577"/>
      <c r="CD189" s="577"/>
      <c r="CE189" s="577"/>
      <c r="CF189" s="577"/>
      <c r="CG189" s="577"/>
      <c r="CH189" s="577"/>
      <c r="CI189" s="577"/>
      <c r="CJ189" s="577"/>
      <c r="CO189" s="260"/>
      <c r="DK189" s="260"/>
      <c r="DL189" s="580"/>
      <c r="DM189" s="580"/>
      <c r="DN189" s="580"/>
      <c r="DO189" s="580"/>
      <c r="DP189" s="580"/>
      <c r="DQ189" s="580"/>
      <c r="DR189" s="580"/>
      <c r="DS189" s="580"/>
      <c r="DT189" s="580"/>
      <c r="DU189" s="580"/>
      <c r="DV189" s="580"/>
      <c r="DW189" s="580"/>
      <c r="DX189" s="580"/>
      <c r="DY189" s="580"/>
      <c r="DZ189" s="580"/>
      <c r="EA189"/>
      <c r="EB189"/>
      <c r="EC189"/>
      <c r="ED189"/>
      <c r="EE189"/>
      <c r="EF189"/>
    </row>
    <row r="190" spans="1:136" s="378" customFormat="1" ht="12.75" hidden="1" customHeight="1" outlineLevel="1">
      <c r="A190" s="259" t="s">
        <v>219</v>
      </c>
      <c r="B190" s="260"/>
      <c r="C190" s="260"/>
      <c r="D190" s="260"/>
      <c r="E190" s="260"/>
      <c r="F190" s="260"/>
      <c r="G190" s="260"/>
      <c r="H190" s="260"/>
      <c r="I190" s="260"/>
      <c r="J190" s="260"/>
      <c r="K190" s="260"/>
      <c r="L190" s="260" t="s">
        <v>220</v>
      </c>
      <c r="M190" s="582"/>
      <c r="N190" s="488"/>
      <c r="O190" s="488"/>
      <c r="P190" s="488"/>
      <c r="Q190" s="488"/>
      <c r="R190" s="488"/>
      <c r="S190" s="488"/>
      <c r="T190" s="488"/>
      <c r="U190" s="488"/>
      <c r="V190" s="488"/>
      <c r="W190" s="488"/>
      <c r="X190" s="488"/>
      <c r="Y190" s="488"/>
      <c r="Z190" s="488"/>
      <c r="AA190" s="488"/>
      <c r="AB190" s="583"/>
      <c r="AC190" s="577"/>
      <c r="AD190" s="577"/>
      <c r="AE190" s="577"/>
      <c r="AF190" s="577"/>
      <c r="AG190" s="577"/>
      <c r="AH190" s="577"/>
      <c r="AI190" s="577"/>
      <c r="AJ190" s="577"/>
      <c r="AK190" s="577"/>
      <c r="AL190" s="577"/>
      <c r="AM190" s="577"/>
      <c r="AN190" s="577"/>
      <c r="AO190" s="577"/>
      <c r="AP190" s="577"/>
      <c r="AQ190" s="577"/>
      <c r="AR190" s="577"/>
      <c r="AS190" s="577"/>
      <c r="AT190" s="577"/>
      <c r="AU190" s="577"/>
      <c r="AV190" s="577"/>
      <c r="AW190" s="577"/>
      <c r="AX190" s="577"/>
      <c r="AY190" s="577"/>
      <c r="AZ190" s="577"/>
      <c r="BA190" s="577"/>
      <c r="BB190" s="577"/>
      <c r="BC190" s="577"/>
      <c r="BD190" s="577"/>
      <c r="BE190" s="577"/>
      <c r="BF190" s="577"/>
      <c r="BG190" s="577"/>
      <c r="BH190" s="577"/>
      <c r="BI190" s="577"/>
      <c r="BJ190" s="577"/>
      <c r="BK190" s="577"/>
      <c r="BL190" s="577"/>
      <c r="BM190" s="577"/>
      <c r="BN190" s="577"/>
      <c r="BO190" s="577"/>
      <c r="BP190" s="577"/>
      <c r="BQ190" s="577"/>
      <c r="BR190" s="577"/>
      <c r="BS190" s="577"/>
      <c r="BT190" s="577"/>
      <c r="BU190" s="577"/>
      <c r="BV190" s="577"/>
      <c r="BW190" s="577"/>
      <c r="BX190" s="577"/>
      <c r="BY190" s="577"/>
      <c r="BZ190" s="577"/>
      <c r="CA190" s="577"/>
      <c r="CB190" s="577"/>
      <c r="CC190" s="577"/>
      <c r="CD190" s="577"/>
      <c r="CE190" s="577"/>
      <c r="CF190" s="577"/>
      <c r="CG190" s="577"/>
      <c r="CH190" s="577"/>
      <c r="CI190" s="577"/>
      <c r="CJ190" s="577"/>
      <c r="CO190" s="260"/>
      <c r="DK190" s="260"/>
      <c r="DL190" s="580"/>
      <c r="DM190" s="580"/>
      <c r="DN190" s="580"/>
      <c r="DO190" s="580"/>
      <c r="DP190" s="580"/>
      <c r="DQ190" s="580"/>
      <c r="DR190" s="580"/>
      <c r="DS190" s="580"/>
      <c r="DT190" s="580"/>
      <c r="DU190" s="580"/>
      <c r="DV190" s="580"/>
      <c r="DW190" s="580"/>
      <c r="DX190" s="580"/>
      <c r="DY190" s="580"/>
      <c r="DZ190" s="580"/>
      <c r="EA190"/>
      <c r="EB190"/>
      <c r="EC190"/>
      <c r="ED190"/>
      <c r="EE190"/>
      <c r="EF190"/>
    </row>
    <row r="191" spans="1:136" s="378" customFormat="1" ht="12.75" hidden="1" customHeight="1" outlineLevel="1">
      <c r="A191" s="259" t="s">
        <v>221</v>
      </c>
      <c r="B191" s="582"/>
      <c r="C191" s="582"/>
      <c r="D191" s="582"/>
      <c r="E191" s="582"/>
      <c r="F191" s="582"/>
      <c r="G191" s="582"/>
      <c r="H191" s="582"/>
      <c r="I191" s="582"/>
      <c r="J191" s="582"/>
      <c r="K191" s="582"/>
      <c r="L191" s="582">
        <v>0.1</v>
      </c>
      <c r="M191" s="582"/>
      <c r="N191" s="488"/>
      <c r="O191" s="488"/>
      <c r="P191" s="488"/>
      <c r="Q191" s="488"/>
      <c r="R191" s="488"/>
      <c r="S191" s="488"/>
      <c r="T191" s="488"/>
      <c r="U191" s="488"/>
      <c r="V191" s="488"/>
      <c r="W191" s="488"/>
      <c r="X191" s="488"/>
      <c r="Y191" s="488"/>
      <c r="Z191" s="488"/>
      <c r="AA191" s="488"/>
      <c r="AB191" s="583"/>
      <c r="AC191" s="577"/>
      <c r="AD191" s="577"/>
      <c r="AE191" s="577"/>
      <c r="AF191" s="577"/>
      <c r="AG191" s="577"/>
      <c r="AH191" s="577"/>
      <c r="AI191" s="577"/>
      <c r="AJ191" s="577"/>
      <c r="AK191" s="577"/>
      <c r="AL191" s="577"/>
      <c r="AM191" s="577"/>
      <c r="AN191" s="577"/>
      <c r="AO191" s="577"/>
      <c r="AP191" s="577"/>
      <c r="AQ191" s="577"/>
      <c r="AR191" s="577"/>
      <c r="AS191" s="577"/>
      <c r="AT191" s="577"/>
      <c r="AU191" s="577"/>
      <c r="AV191" s="577"/>
      <c r="AW191" s="577"/>
      <c r="AX191" s="577"/>
      <c r="AY191" s="577"/>
      <c r="AZ191" s="577"/>
      <c r="BA191" s="577"/>
      <c r="BB191" s="577"/>
      <c r="BC191" s="577"/>
      <c r="BD191" s="577"/>
      <c r="BE191" s="577"/>
      <c r="BF191" s="577"/>
      <c r="BG191" s="577"/>
      <c r="BH191" s="577"/>
      <c r="BI191" s="577"/>
      <c r="BJ191" s="577"/>
      <c r="BK191" s="577"/>
      <c r="BL191" s="577"/>
      <c r="BM191" s="577"/>
      <c r="BN191" s="577"/>
      <c r="BO191" s="577"/>
      <c r="BP191" s="577"/>
      <c r="BQ191" s="577"/>
      <c r="BR191" s="577"/>
      <c r="BS191" s="577"/>
      <c r="BT191" s="577"/>
      <c r="BU191" s="577"/>
      <c r="BV191" s="577"/>
      <c r="BW191" s="577"/>
      <c r="BX191" s="577"/>
      <c r="BY191" s="577"/>
      <c r="BZ191" s="577"/>
      <c r="CA191" s="577"/>
      <c r="CB191" s="577"/>
      <c r="CC191" s="577"/>
      <c r="CD191" s="577"/>
      <c r="CE191" s="577"/>
      <c r="CF191" s="577"/>
      <c r="CG191" s="577"/>
      <c r="CH191" s="577"/>
      <c r="CI191" s="577"/>
      <c r="CJ191" s="577"/>
      <c r="CO191" s="260"/>
      <c r="DK191" s="260"/>
      <c r="DL191" s="580"/>
      <c r="DM191" s="580"/>
      <c r="DN191" s="580"/>
      <c r="DO191" s="580"/>
      <c r="DP191" s="580"/>
      <c r="DQ191" s="580"/>
      <c r="DR191" s="580"/>
      <c r="DS191" s="580"/>
      <c r="DT191" s="580"/>
      <c r="DU191" s="580"/>
      <c r="DV191" s="580"/>
      <c r="DW191" s="580"/>
      <c r="DX191" s="580"/>
      <c r="DY191" s="580"/>
      <c r="DZ191" s="580"/>
      <c r="EA191"/>
      <c r="EB191"/>
      <c r="EC191"/>
      <c r="ED191"/>
      <c r="EE191"/>
      <c r="EF191"/>
    </row>
    <row r="192" spans="1:136" s="378" customFormat="1" collapsed="1">
      <c r="A192" s="46"/>
      <c r="B192" s="577"/>
      <c r="C192" s="577"/>
      <c r="D192" s="577"/>
      <c r="E192" s="577"/>
      <c r="F192" s="577"/>
      <c r="G192" s="577"/>
      <c r="H192" s="577"/>
      <c r="I192" s="577"/>
      <c r="J192" s="577"/>
      <c r="K192" s="577"/>
      <c r="L192" s="577"/>
      <c r="M192" s="577"/>
      <c r="N192" s="577"/>
      <c r="O192" s="577"/>
      <c r="P192" s="577"/>
      <c r="Q192" s="577"/>
      <c r="R192" s="577"/>
      <c r="S192" s="577"/>
      <c r="T192" s="577"/>
      <c r="U192" s="577"/>
      <c r="V192" s="577"/>
      <c r="W192" s="577"/>
      <c r="X192" s="577"/>
      <c r="Y192" s="577"/>
      <c r="Z192" s="577"/>
      <c r="AA192" s="577"/>
      <c r="AB192" s="584"/>
      <c r="AC192" s="577"/>
      <c r="AD192" s="577"/>
      <c r="AE192" s="577"/>
      <c r="AF192" s="577"/>
      <c r="AG192" s="577"/>
      <c r="AH192" s="577"/>
      <c r="AI192" s="577"/>
      <c r="AJ192" s="577"/>
      <c r="AK192" s="577"/>
      <c r="AL192" s="577"/>
      <c r="AM192" s="577"/>
      <c r="AN192" s="577"/>
      <c r="AO192" s="577"/>
      <c r="AP192" s="577"/>
      <c r="AQ192" s="577"/>
      <c r="AR192" s="577"/>
      <c r="AS192" s="577"/>
      <c r="AT192" s="577"/>
      <c r="AU192" s="577"/>
      <c r="AV192" s="577"/>
      <c r="AW192" s="577"/>
      <c r="AX192" s="577"/>
      <c r="AY192" s="577"/>
      <c r="AZ192" s="577"/>
      <c r="BA192" s="577"/>
      <c r="BB192" s="577"/>
      <c r="BC192" s="577"/>
      <c r="BD192" s="577"/>
      <c r="BE192" s="577"/>
      <c r="BF192" s="577"/>
      <c r="BG192" s="577"/>
      <c r="BH192" s="577"/>
      <c r="BI192" s="577"/>
      <c r="BJ192" s="577"/>
      <c r="BK192" s="577"/>
      <c r="BL192" s="577"/>
      <c r="BM192" s="577"/>
      <c r="BN192" s="577"/>
      <c r="BO192" s="577"/>
      <c r="BP192" s="577"/>
      <c r="BQ192" s="577"/>
      <c r="BR192" s="577"/>
      <c r="BS192" s="577"/>
      <c r="BT192" s="577"/>
      <c r="BU192" s="577"/>
      <c r="BV192" s="577"/>
      <c r="BW192" s="577"/>
      <c r="BX192" s="577"/>
      <c r="BY192" s="577"/>
      <c r="BZ192" s="577"/>
      <c r="CA192" s="577"/>
      <c r="CB192" s="577"/>
      <c r="CC192" s="577"/>
      <c r="CD192" s="577"/>
      <c r="CE192" s="577"/>
      <c r="CF192" s="577"/>
      <c r="CG192" s="577"/>
      <c r="CH192" s="577"/>
      <c r="CI192" s="577"/>
      <c r="CJ192" s="577"/>
      <c r="CO192" s="260"/>
      <c r="DK192" s="260"/>
      <c r="DL192" s="580"/>
      <c r="DM192" s="580"/>
      <c r="DN192" s="580"/>
      <c r="DO192" s="580"/>
      <c r="DP192" s="580"/>
      <c r="DQ192" s="580"/>
      <c r="DR192" s="580"/>
      <c r="DS192" s="580"/>
      <c r="DT192" s="580"/>
      <c r="DU192" s="580"/>
      <c r="DV192" s="580"/>
      <c r="DW192" s="580"/>
      <c r="DX192" s="580"/>
      <c r="DY192" s="580"/>
      <c r="DZ192" s="580"/>
      <c r="EA192"/>
      <c r="EB192"/>
      <c r="EC192"/>
      <c r="ED192"/>
      <c r="EE192"/>
      <c r="EF192"/>
    </row>
    <row r="193" spans="1:136" s="378" customFormat="1" ht="11.25" customHeight="1">
      <c r="A193" s="595" t="s">
        <v>222</v>
      </c>
      <c r="B193" s="573"/>
      <c r="C193" s="573"/>
      <c r="D193" s="573"/>
      <c r="E193" s="573"/>
      <c r="F193" s="573"/>
      <c r="G193" s="573"/>
      <c r="H193" s="573"/>
      <c r="I193" s="573"/>
      <c r="J193" s="573"/>
      <c r="K193" s="573"/>
      <c r="L193" s="573">
        <v>404</v>
      </c>
      <c r="M193" s="573">
        <v>511</v>
      </c>
      <c r="N193" s="573">
        <v>462</v>
      </c>
      <c r="O193" s="573">
        <v>471</v>
      </c>
      <c r="P193" s="574">
        <v>455</v>
      </c>
      <c r="Q193" s="574">
        <v>409</v>
      </c>
      <c r="R193" s="574">
        <v>376</v>
      </c>
      <c r="S193" s="736">
        <v>366</v>
      </c>
      <c r="T193" s="575">
        <f t="shared" ref="T193:AA193" ca="1" si="270">T194*T10</f>
        <v>384.40598682528412</v>
      </c>
      <c r="U193" s="575">
        <f t="shared" ca="1" si="270"/>
        <v>393.65683045292991</v>
      </c>
      <c r="V193" s="575">
        <f t="shared" ca="1" si="270"/>
        <v>404.95864045561217</v>
      </c>
      <c r="W193" s="575">
        <f t="shared" ca="1" si="270"/>
        <v>417.96574335090764</v>
      </c>
      <c r="X193" s="575">
        <f t="shared" ca="1" si="270"/>
        <v>430.96623925484101</v>
      </c>
      <c r="Y193" s="575">
        <f t="shared" ca="1" si="270"/>
        <v>443.98543573219115</v>
      </c>
      <c r="Z193" s="575">
        <f t="shared" ca="1" si="270"/>
        <v>457.04911188752845</v>
      </c>
      <c r="AA193" s="575">
        <f t="shared" ca="1" si="270"/>
        <v>470.18334719138653</v>
      </c>
      <c r="AB193" s="576"/>
      <c r="AC193" s="577"/>
      <c r="AD193" s="577"/>
      <c r="AE193" s="577"/>
      <c r="AF193" s="577"/>
      <c r="AG193" s="577"/>
      <c r="AH193" s="577"/>
      <c r="AI193" s="577"/>
      <c r="AJ193" s="577"/>
      <c r="AK193" s="577"/>
      <c r="AL193" s="577"/>
      <c r="AM193" s="577"/>
      <c r="AN193" s="577"/>
      <c r="AO193" s="577"/>
      <c r="AP193" s="577"/>
      <c r="AQ193" s="577"/>
      <c r="AR193" s="577"/>
      <c r="AS193" s="577"/>
      <c r="AT193" s="577"/>
      <c r="AU193" s="577"/>
      <c r="AV193" s="577"/>
      <c r="AW193" s="577"/>
      <c r="AX193" s="577"/>
      <c r="AY193" s="577"/>
      <c r="AZ193" s="577"/>
      <c r="BA193" s="577"/>
      <c r="BB193" s="577"/>
      <c r="BC193" s="577"/>
      <c r="BD193" s="577"/>
      <c r="BE193" s="577"/>
      <c r="BF193" s="577"/>
      <c r="BG193" s="577"/>
      <c r="BH193" s="577"/>
      <c r="BI193" s="577"/>
      <c r="BJ193" s="577"/>
      <c r="BK193" s="577"/>
      <c r="BL193" s="577"/>
      <c r="BM193" s="577"/>
      <c r="BN193" s="577"/>
      <c r="BO193" s="577"/>
      <c r="BP193" s="577"/>
      <c r="BQ193" s="577"/>
      <c r="BR193" s="577"/>
      <c r="BS193" s="577"/>
      <c r="BT193" s="577"/>
      <c r="BU193" s="577"/>
      <c r="BV193" s="577"/>
      <c r="BW193" s="577"/>
      <c r="BX193" s="577"/>
      <c r="BY193" s="577"/>
      <c r="BZ193" s="577"/>
      <c r="CA193" s="577"/>
      <c r="CB193" s="577"/>
      <c r="CC193" s="577"/>
      <c r="CD193" s="577"/>
      <c r="CE193" s="577"/>
      <c r="CF193" s="577"/>
      <c r="CG193" s="577"/>
      <c r="CH193" s="577"/>
      <c r="CI193" s="577"/>
      <c r="CJ193" s="577"/>
      <c r="CO193" s="260"/>
      <c r="DK193" s="260"/>
      <c r="DL193" s="580"/>
      <c r="DM193" s="580"/>
      <c r="DN193" s="580"/>
      <c r="DO193" s="580"/>
      <c r="DP193" s="580"/>
      <c r="DQ193" s="580"/>
      <c r="DR193" s="580"/>
      <c r="DS193" s="580"/>
      <c r="DT193" s="580"/>
      <c r="DU193" s="580"/>
      <c r="DV193" s="580"/>
      <c r="DW193" s="580"/>
      <c r="DX193" s="580"/>
      <c r="DY193" s="580"/>
      <c r="DZ193" s="580"/>
      <c r="EA193"/>
      <c r="EB193"/>
      <c r="EC193"/>
      <c r="ED193"/>
      <c r="EE193"/>
      <c r="EF193"/>
    </row>
    <row r="194" spans="1:136" s="378" customFormat="1" ht="11.25" customHeight="1">
      <c r="A194" s="258" t="s">
        <v>215</v>
      </c>
      <c r="B194" s="260"/>
      <c r="C194" s="260"/>
      <c r="D194" s="260"/>
      <c r="E194" s="260"/>
      <c r="F194" s="260"/>
      <c r="G194" s="260"/>
      <c r="H194" s="260"/>
      <c r="I194" s="260"/>
      <c r="J194" s="260"/>
      <c r="K194" s="260"/>
      <c r="L194" s="260">
        <f t="shared" ref="L194:R194" si="271">L193/L10</f>
        <v>1.2829877099939661E-2</v>
      </c>
      <c r="M194" s="260">
        <f t="shared" si="271"/>
        <v>1.4269757051103045E-2</v>
      </c>
      <c r="N194" s="260">
        <f t="shared" si="271"/>
        <v>1.319434528059403E-2</v>
      </c>
      <c r="O194" s="260">
        <f t="shared" si="271"/>
        <v>1.3343154197002749E-2</v>
      </c>
      <c r="P194" s="260">
        <f t="shared" si="271"/>
        <v>1.5315739868049011E-2</v>
      </c>
      <c r="Q194" s="260">
        <f t="shared" si="271"/>
        <v>1.5604135668230896E-2</v>
      </c>
      <c r="R194" s="260">
        <f t="shared" si="271"/>
        <v>1.4879303521962801E-2</v>
      </c>
      <c r="S194" s="260">
        <f>S193/S10</f>
        <v>1.4282369468508546E-2</v>
      </c>
      <c r="T194" s="260">
        <f t="shared" ref="T194:AA194" si="272">S194</f>
        <v>1.4282369468508546E-2</v>
      </c>
      <c r="U194" s="260">
        <f t="shared" si="272"/>
        <v>1.4282369468508546E-2</v>
      </c>
      <c r="V194" s="260">
        <f t="shared" si="272"/>
        <v>1.4282369468508546E-2</v>
      </c>
      <c r="W194" s="260">
        <f t="shared" si="272"/>
        <v>1.4282369468508546E-2</v>
      </c>
      <c r="X194" s="260">
        <f t="shared" si="272"/>
        <v>1.4282369468508546E-2</v>
      </c>
      <c r="Y194" s="260">
        <f t="shared" si="272"/>
        <v>1.4282369468508546E-2</v>
      </c>
      <c r="Z194" s="260">
        <f t="shared" si="272"/>
        <v>1.4282369468508546E-2</v>
      </c>
      <c r="AA194" s="260">
        <f t="shared" si="272"/>
        <v>1.4282369468508546E-2</v>
      </c>
      <c r="AB194" s="581"/>
      <c r="AC194" s="577"/>
      <c r="AD194" s="577"/>
      <c r="AE194" s="577"/>
      <c r="AF194" s="577"/>
      <c r="AG194" s="577"/>
      <c r="AH194" s="577"/>
      <c r="AI194" s="577"/>
      <c r="AJ194" s="577"/>
      <c r="AK194" s="577"/>
      <c r="AL194" s="577"/>
      <c r="AM194" s="577"/>
      <c r="AN194" s="577"/>
      <c r="AO194" s="577"/>
      <c r="AP194" s="577"/>
      <c r="AQ194" s="577"/>
      <c r="AR194" s="577"/>
      <c r="AS194" s="577"/>
      <c r="AT194" s="577"/>
      <c r="AU194" s="577"/>
      <c r="AV194" s="577"/>
      <c r="AW194" s="577"/>
      <c r="AX194" s="577"/>
      <c r="AY194" s="577"/>
      <c r="AZ194" s="577"/>
      <c r="BA194" s="577"/>
      <c r="BB194" s="577"/>
      <c r="BC194" s="577"/>
      <c r="BD194" s="577"/>
      <c r="BE194" s="577"/>
      <c r="BF194" s="577"/>
      <c r="BG194" s="577"/>
      <c r="BH194" s="577"/>
      <c r="BI194" s="577"/>
      <c r="BJ194" s="577"/>
      <c r="BK194" s="577"/>
      <c r="BL194" s="577"/>
      <c r="BM194" s="577"/>
      <c r="BN194" s="577"/>
      <c r="BO194" s="577"/>
      <c r="BP194" s="577"/>
      <c r="BQ194" s="577"/>
      <c r="BR194" s="577"/>
      <c r="BS194" s="577"/>
      <c r="BT194" s="577"/>
      <c r="BU194" s="577"/>
      <c r="BV194" s="577"/>
      <c r="BW194" s="577"/>
      <c r="BX194" s="577"/>
      <c r="BY194" s="577"/>
      <c r="BZ194" s="577"/>
      <c r="CA194" s="577"/>
      <c r="CB194" s="577"/>
      <c r="CC194" s="577"/>
      <c r="CD194" s="577"/>
      <c r="CE194" s="577"/>
      <c r="CF194" s="577"/>
      <c r="CG194" s="577"/>
      <c r="CH194" s="577"/>
      <c r="CI194" s="577"/>
      <c r="CJ194" s="577"/>
      <c r="CO194" s="260"/>
      <c r="DK194" s="260"/>
      <c r="DL194" s="580"/>
      <c r="DM194" s="580"/>
      <c r="DN194" s="580"/>
      <c r="DO194" s="580"/>
      <c r="DP194" s="580"/>
      <c r="DQ194" s="580"/>
      <c r="DR194" s="580"/>
      <c r="DS194" s="580"/>
      <c r="DT194" s="580"/>
      <c r="DU194" s="580"/>
      <c r="DV194" s="580"/>
      <c r="DW194" s="580"/>
      <c r="DX194" s="580"/>
      <c r="DY194" s="580"/>
      <c r="DZ194" s="580"/>
      <c r="EA194"/>
      <c r="EB194"/>
      <c r="EC194"/>
      <c r="ED194"/>
      <c r="EE194"/>
      <c r="EF194"/>
    </row>
    <row r="195" spans="1:136" s="378" customFormat="1" ht="11.25" customHeight="1">
      <c r="A195" s="258" t="s">
        <v>216</v>
      </c>
      <c r="B195" s="577"/>
      <c r="C195" s="577"/>
      <c r="D195" s="577"/>
      <c r="E195" s="577"/>
      <c r="F195" s="577"/>
      <c r="G195" s="577"/>
      <c r="H195" s="577"/>
      <c r="I195" s="577"/>
      <c r="J195" s="577"/>
      <c r="K195" s="577"/>
      <c r="L195" s="577"/>
      <c r="M195" s="577">
        <f t="shared" ref="M195:V195" si="273">+M193/L193-1</f>
        <v>0.26485148514851486</v>
      </c>
      <c r="N195" s="577">
        <f t="shared" si="273"/>
        <v>-9.589041095890416E-2</v>
      </c>
      <c r="O195" s="577">
        <f t="shared" si="273"/>
        <v>1.9480519480519431E-2</v>
      </c>
      <c r="P195" s="577">
        <f t="shared" si="273"/>
        <v>-3.3970276008492561E-2</v>
      </c>
      <c r="Q195" s="577">
        <f>+Q193/P193-1</f>
        <v>-0.10109890109890107</v>
      </c>
      <c r="R195" s="577">
        <f>+R193/Q193-1</f>
        <v>-8.0684596577017098E-2</v>
      </c>
      <c r="S195" s="577">
        <f>+S193/R193-1</f>
        <v>-2.6595744680851019E-2</v>
      </c>
      <c r="T195" s="577">
        <f t="shared" ca="1" si="273"/>
        <v>5.0289581489847412E-2</v>
      </c>
      <c r="U195" s="577">
        <f t="shared" ca="1" si="273"/>
        <v>2.4065295403035369E-2</v>
      </c>
      <c r="V195" s="577">
        <f t="shared" ca="1" si="273"/>
        <v>2.8709802874952617E-2</v>
      </c>
      <c r="W195" s="577">
        <f ca="1">+W193/V193-1</f>
        <v>3.2119583571945443E-2</v>
      </c>
      <c r="X195" s="577">
        <f ca="1">+X193/W193-1</f>
        <v>3.1104213947549919E-2</v>
      </c>
      <c r="Y195" s="577">
        <f ca="1">+Y193/X193-1</f>
        <v>3.0209318715686218E-2</v>
      </c>
      <c r="Z195" s="577">
        <f ca="1">+Z193/Y193-1</f>
        <v>2.9423659210337849E-2</v>
      </c>
      <c r="AA195" s="577">
        <f ca="1">+AA193/Z193-1</f>
        <v>2.8737032765726367E-2</v>
      </c>
      <c r="AB195" s="581"/>
      <c r="AC195" s="577"/>
      <c r="AD195" s="577"/>
      <c r="AE195" s="577"/>
      <c r="AF195" s="577"/>
      <c r="AG195" s="577"/>
      <c r="AH195" s="577"/>
      <c r="AI195" s="577"/>
      <c r="AJ195" s="577"/>
      <c r="AK195" s="577"/>
      <c r="AL195" s="577"/>
      <c r="AM195" s="577"/>
      <c r="AN195" s="577"/>
      <c r="AO195" s="577"/>
      <c r="AP195" s="577"/>
      <c r="AQ195" s="577"/>
      <c r="AR195" s="577"/>
      <c r="AS195" s="577"/>
      <c r="AT195" s="577"/>
      <c r="AU195" s="577"/>
      <c r="AV195" s="577"/>
      <c r="AW195" s="577"/>
      <c r="AX195" s="577"/>
      <c r="AY195" s="577"/>
      <c r="AZ195" s="577"/>
      <c r="BA195" s="577"/>
      <c r="BB195" s="577"/>
      <c r="BC195" s="577"/>
      <c r="BD195" s="577"/>
      <c r="BE195" s="577"/>
      <c r="BF195" s="577"/>
      <c r="BG195" s="577"/>
      <c r="BH195" s="577"/>
      <c r="BI195" s="577"/>
      <c r="BJ195" s="577"/>
      <c r="BK195" s="577"/>
      <c r="BL195" s="577"/>
      <c r="BM195" s="577"/>
      <c r="BN195" s="577"/>
      <c r="BO195" s="577"/>
      <c r="BP195" s="577"/>
      <c r="BQ195" s="577"/>
      <c r="BR195" s="577"/>
      <c r="BS195" s="577"/>
      <c r="BT195" s="577"/>
      <c r="BU195" s="577"/>
      <c r="BV195" s="577"/>
      <c r="BW195" s="577"/>
      <c r="BX195" s="577"/>
      <c r="BY195" s="577"/>
      <c r="BZ195" s="577"/>
      <c r="CA195" s="577"/>
      <c r="CB195" s="577"/>
      <c r="CC195" s="577"/>
      <c r="CD195" s="577"/>
      <c r="CE195" s="577"/>
      <c r="CF195" s="577"/>
      <c r="CG195" s="577"/>
      <c r="CH195" s="577"/>
      <c r="CI195" s="577"/>
      <c r="CJ195" s="577"/>
      <c r="CO195" s="260"/>
      <c r="DK195" s="260"/>
      <c r="DL195" s="580"/>
      <c r="DM195" s="580"/>
      <c r="DN195" s="580"/>
      <c r="DO195" s="580"/>
      <c r="DP195" s="580"/>
      <c r="DQ195" s="580"/>
      <c r="DR195" s="580"/>
      <c r="DS195" s="580"/>
      <c r="DT195" s="580"/>
      <c r="DU195" s="580"/>
      <c r="DV195" s="580"/>
      <c r="DW195" s="580"/>
      <c r="DX195" s="580"/>
      <c r="DY195" s="580"/>
      <c r="DZ195" s="580"/>
      <c r="EA195"/>
      <c r="EB195"/>
      <c r="EC195"/>
      <c r="ED195"/>
      <c r="EE195"/>
      <c r="EF195"/>
    </row>
    <row r="196" spans="1:136" s="378" customFormat="1" ht="12.75" hidden="1" customHeight="1" outlineLevel="1">
      <c r="A196" s="46"/>
      <c r="B196" s="577"/>
      <c r="C196" s="577"/>
      <c r="D196" s="577"/>
      <c r="E196" s="577"/>
      <c r="F196" s="577"/>
      <c r="G196" s="577"/>
      <c r="H196" s="577"/>
      <c r="I196" s="577"/>
      <c r="J196" s="577"/>
      <c r="K196" s="577"/>
      <c r="L196" s="577"/>
      <c r="M196" s="577"/>
      <c r="N196" s="577"/>
      <c r="O196" s="577"/>
      <c r="P196" s="577"/>
      <c r="Q196" s="577"/>
      <c r="R196" s="577"/>
      <c r="S196" s="577"/>
      <c r="T196" s="577"/>
      <c r="U196" s="577"/>
      <c r="V196" s="577"/>
      <c r="W196" s="577"/>
      <c r="X196" s="577"/>
      <c r="Y196" s="577"/>
      <c r="Z196" s="577"/>
      <c r="AA196" s="577"/>
      <c r="AB196" s="584"/>
      <c r="AC196" s="577"/>
      <c r="AD196" s="577"/>
      <c r="AE196" s="577"/>
      <c r="AF196" s="577"/>
      <c r="AG196" s="577"/>
      <c r="AH196" s="577"/>
      <c r="AI196" s="577"/>
      <c r="AJ196" s="577"/>
      <c r="AK196" s="577"/>
      <c r="AL196" s="577"/>
      <c r="AM196" s="577"/>
      <c r="AN196" s="577"/>
      <c r="AO196" s="577"/>
      <c r="AP196" s="577"/>
      <c r="AQ196" s="577"/>
      <c r="AR196" s="577"/>
      <c r="AS196" s="577"/>
      <c r="AT196" s="577"/>
      <c r="AU196" s="577"/>
      <c r="AV196" s="577"/>
      <c r="AW196" s="577"/>
      <c r="AX196" s="577"/>
      <c r="AY196" s="577"/>
      <c r="AZ196" s="577"/>
      <c r="BA196" s="577"/>
      <c r="BB196" s="577"/>
      <c r="BC196" s="577"/>
      <c r="BD196" s="577"/>
      <c r="BE196" s="577"/>
      <c r="BF196" s="577"/>
      <c r="BG196" s="577"/>
      <c r="BH196" s="577"/>
      <c r="BI196" s="577"/>
      <c r="BJ196" s="577"/>
      <c r="BK196" s="577"/>
      <c r="BL196" s="577"/>
      <c r="BM196" s="577"/>
      <c r="BN196" s="577"/>
      <c r="BO196" s="577"/>
      <c r="BP196" s="577"/>
      <c r="BQ196" s="577"/>
      <c r="BR196" s="577"/>
      <c r="BS196" s="577"/>
      <c r="BT196" s="577"/>
      <c r="BU196" s="577"/>
      <c r="BV196" s="577"/>
      <c r="BW196" s="577"/>
      <c r="BX196" s="577"/>
      <c r="BY196" s="577"/>
      <c r="BZ196" s="577"/>
      <c r="CA196" s="577"/>
      <c r="CB196" s="577"/>
      <c r="CC196" s="577"/>
      <c r="CD196" s="577"/>
      <c r="CE196" s="577"/>
      <c r="CF196" s="577"/>
      <c r="CG196" s="577"/>
      <c r="CH196" s="577"/>
      <c r="CI196" s="577"/>
      <c r="CJ196" s="577"/>
      <c r="CO196" s="260"/>
      <c r="DK196" s="260"/>
      <c r="DL196" s="580"/>
      <c r="DM196" s="580"/>
      <c r="DN196" s="580"/>
      <c r="DO196" s="580"/>
      <c r="DP196" s="580"/>
      <c r="DQ196" s="580"/>
      <c r="DR196" s="580"/>
      <c r="DS196" s="580"/>
      <c r="DT196" s="580"/>
      <c r="DU196" s="580"/>
      <c r="DV196" s="580"/>
      <c r="DW196" s="580"/>
      <c r="DX196" s="580"/>
      <c r="DY196" s="580"/>
      <c r="DZ196" s="580"/>
      <c r="EA196"/>
      <c r="EB196"/>
      <c r="EC196"/>
      <c r="ED196"/>
      <c r="EE196"/>
      <c r="EF196"/>
    </row>
    <row r="197" spans="1:136" s="378" customFormat="1" ht="12.75" hidden="1" customHeight="1" outlineLevel="1">
      <c r="A197" s="595" t="s">
        <v>223</v>
      </c>
      <c r="B197" s="573"/>
      <c r="C197" s="573"/>
      <c r="D197" s="573"/>
      <c r="E197" s="573"/>
      <c r="F197" s="573"/>
      <c r="G197" s="573"/>
      <c r="H197" s="573"/>
      <c r="I197" s="573"/>
      <c r="J197" s="573"/>
      <c r="K197" s="573">
        <f>K202*K10</f>
        <v>3396.8759999999997</v>
      </c>
      <c r="L197" s="573">
        <v>7102</v>
      </c>
      <c r="M197" s="573">
        <v>7529</v>
      </c>
      <c r="N197" s="575">
        <f>N202*N10</f>
        <v>4639.4875000000002</v>
      </c>
      <c r="O197" s="577"/>
      <c r="P197" s="577"/>
      <c r="Q197" s="577"/>
      <c r="R197" s="577"/>
      <c r="S197" s="577"/>
      <c r="T197" s="577"/>
      <c r="U197" s="577"/>
      <c r="V197" s="577"/>
      <c r="W197" s="577"/>
      <c r="X197" s="577"/>
      <c r="Y197" s="577"/>
      <c r="Z197" s="577"/>
      <c r="AA197" s="577"/>
      <c r="AB197" s="576"/>
      <c r="AC197" s="577"/>
      <c r="AD197" s="577"/>
      <c r="AE197" s="577"/>
      <c r="AF197" s="577"/>
      <c r="AG197" s="577"/>
      <c r="AH197" s="577"/>
      <c r="AI197" s="577"/>
      <c r="AJ197" s="577"/>
      <c r="AK197" s="577"/>
      <c r="AL197" s="577"/>
      <c r="AM197" s="577"/>
      <c r="AN197" s="577"/>
      <c r="AO197" s="577"/>
      <c r="AP197" s="577"/>
      <c r="AQ197" s="577"/>
      <c r="AR197" s="577"/>
      <c r="AS197" s="577"/>
      <c r="AT197" s="577"/>
      <c r="AU197" s="577"/>
      <c r="AV197" s="577"/>
      <c r="AW197" s="577"/>
      <c r="AX197" s="577"/>
      <c r="AY197" s="577"/>
      <c r="AZ197" s="577"/>
      <c r="BA197" s="577"/>
      <c r="BB197" s="577"/>
      <c r="BC197" s="577"/>
      <c r="BD197" s="577"/>
      <c r="BE197" s="577"/>
      <c r="BF197" s="577"/>
      <c r="BG197" s="577"/>
      <c r="BH197" s="577"/>
      <c r="BI197" s="577"/>
      <c r="BJ197" s="577"/>
      <c r="BK197" s="577"/>
      <c r="BL197" s="577"/>
      <c r="BM197" s="577"/>
      <c r="BN197" s="577"/>
      <c r="BO197" s="577"/>
      <c r="BP197" s="577"/>
      <c r="BQ197" s="577"/>
      <c r="BR197" s="577"/>
      <c r="BS197" s="577"/>
      <c r="BT197" s="577"/>
      <c r="BU197" s="577"/>
      <c r="BV197" s="577"/>
      <c r="BW197" s="577"/>
      <c r="BX197" s="577"/>
      <c r="BY197" s="577"/>
      <c r="BZ197" s="577"/>
      <c r="CA197" s="577"/>
      <c r="CB197" s="577"/>
      <c r="CC197" s="577"/>
      <c r="CD197" s="577"/>
      <c r="CE197" s="577"/>
      <c r="CF197" s="577"/>
      <c r="CG197" s="577"/>
      <c r="CH197" s="577"/>
      <c r="CI197" s="577"/>
      <c r="CJ197" s="577"/>
      <c r="CO197" s="260"/>
      <c r="DK197" s="260"/>
      <c r="DL197" s="580"/>
      <c r="DM197" s="580"/>
      <c r="DN197" s="580"/>
      <c r="DO197" s="580"/>
      <c r="DP197" s="580"/>
      <c r="DQ197" s="580"/>
      <c r="DR197" s="580"/>
      <c r="DS197" s="580"/>
      <c r="DT197" s="580"/>
      <c r="DU197" s="580"/>
      <c r="DV197" s="580"/>
      <c r="DW197" s="580"/>
      <c r="DX197" s="580"/>
      <c r="DY197" s="580"/>
      <c r="DZ197" s="580"/>
      <c r="EA197"/>
      <c r="EB197"/>
      <c r="EC197"/>
      <c r="ED197"/>
      <c r="EE197"/>
      <c r="EF197"/>
    </row>
    <row r="198" spans="1:136" s="378" customFormat="1" ht="12.75" hidden="1" customHeight="1" outlineLevel="1">
      <c r="A198" s="259" t="s">
        <v>218</v>
      </c>
      <c r="B198" s="585"/>
      <c r="C198" s="585"/>
      <c r="D198" s="585"/>
      <c r="E198" s="585"/>
      <c r="F198" s="585"/>
      <c r="G198" s="585"/>
      <c r="H198" s="585"/>
      <c r="I198" s="585"/>
      <c r="J198" s="585"/>
      <c r="K198" s="585"/>
      <c r="L198" s="585">
        <v>2882</v>
      </c>
      <c r="M198" s="585">
        <v>2880</v>
      </c>
      <c r="N198" s="577"/>
      <c r="O198" s="577"/>
      <c r="P198" s="577"/>
      <c r="Q198" s="577"/>
      <c r="R198" s="577"/>
      <c r="S198" s="577"/>
      <c r="T198" s="577"/>
      <c r="U198" s="577"/>
      <c r="V198" s="577"/>
      <c r="W198" s="577"/>
      <c r="X198" s="577"/>
      <c r="Y198" s="577"/>
      <c r="Z198" s="577"/>
      <c r="AA198" s="577"/>
      <c r="AB198" s="583"/>
      <c r="AC198" s="577"/>
      <c r="AD198" s="577"/>
      <c r="AE198" s="577"/>
      <c r="AF198" s="577"/>
      <c r="AG198" s="577"/>
      <c r="AH198" s="577"/>
      <c r="AI198" s="577"/>
      <c r="AJ198" s="577"/>
      <c r="AK198" s="577"/>
      <c r="AL198" s="577"/>
      <c r="AM198" s="577"/>
      <c r="AN198" s="577"/>
      <c r="AO198" s="577"/>
      <c r="AP198" s="577"/>
      <c r="AQ198" s="577"/>
      <c r="AR198" s="577"/>
      <c r="AS198" s="577"/>
      <c r="AT198" s="577"/>
      <c r="AU198" s="577"/>
      <c r="AV198" s="577"/>
      <c r="AW198" s="577"/>
      <c r="AX198" s="577"/>
      <c r="AY198" s="577"/>
      <c r="AZ198" s="577"/>
      <c r="BA198" s="577"/>
      <c r="BB198" s="577"/>
      <c r="BC198" s="577"/>
      <c r="BD198" s="577"/>
      <c r="BE198" s="577"/>
      <c r="BF198" s="577"/>
      <c r="BG198" s="577"/>
      <c r="BH198" s="577"/>
      <c r="BI198" s="577"/>
      <c r="BJ198" s="577"/>
      <c r="BK198" s="577"/>
      <c r="BL198" s="577"/>
      <c r="BM198" s="577"/>
      <c r="BN198" s="577"/>
      <c r="BO198" s="577"/>
      <c r="BP198" s="577"/>
      <c r="BQ198" s="577"/>
      <c r="BR198" s="577"/>
      <c r="BS198" s="577"/>
      <c r="BT198" s="577"/>
      <c r="BU198" s="577"/>
      <c r="BV198" s="577"/>
      <c r="BW198" s="577"/>
      <c r="BX198" s="577"/>
      <c r="BY198" s="577"/>
      <c r="BZ198" s="577"/>
      <c r="CA198" s="577"/>
      <c r="CB198" s="577"/>
      <c r="CC198" s="577"/>
      <c r="CD198" s="577"/>
      <c r="CE198" s="577"/>
      <c r="CF198" s="577"/>
      <c r="CG198" s="577"/>
      <c r="CH198" s="577"/>
      <c r="CI198" s="577"/>
      <c r="CJ198" s="577"/>
      <c r="CO198" s="260"/>
      <c r="DK198" s="260"/>
      <c r="DL198" s="580"/>
      <c r="DM198" s="580"/>
      <c r="DN198" s="580"/>
      <c r="DO198" s="580"/>
      <c r="DP198" s="580"/>
      <c r="DQ198" s="580"/>
      <c r="DR198" s="580"/>
      <c r="DS198" s="580"/>
      <c r="DT198" s="580"/>
      <c r="DU198" s="580"/>
      <c r="DV198" s="580"/>
      <c r="DW198" s="580"/>
      <c r="DX198" s="580"/>
      <c r="DY198" s="580"/>
      <c r="DZ198" s="580"/>
      <c r="EA198"/>
      <c r="EB198"/>
      <c r="EC198"/>
      <c r="ED198"/>
      <c r="EE198"/>
      <c r="EF198"/>
    </row>
    <row r="199" spans="1:136" s="378" customFormat="1" ht="12.75" hidden="1" customHeight="1" outlineLevel="1">
      <c r="A199" s="259" t="s">
        <v>219</v>
      </c>
      <c r="B199" s="585"/>
      <c r="C199" s="585"/>
      <c r="D199" s="585"/>
      <c r="E199" s="585"/>
      <c r="F199" s="585"/>
      <c r="G199" s="585"/>
      <c r="H199" s="585"/>
      <c r="I199" s="585"/>
      <c r="J199" s="585"/>
      <c r="K199" s="585">
        <v>1548</v>
      </c>
      <c r="L199" s="585">
        <v>1822</v>
      </c>
      <c r="M199" s="585">
        <v>1902</v>
      </c>
      <c r="N199" s="577"/>
      <c r="O199" s="577"/>
      <c r="P199" s="577"/>
      <c r="Q199" s="577"/>
      <c r="R199" s="577"/>
      <c r="S199" s="577"/>
      <c r="T199" s="577"/>
      <c r="U199" s="577"/>
      <c r="V199" s="577"/>
      <c r="W199" s="577"/>
      <c r="X199" s="577"/>
      <c r="Y199" s="577"/>
      <c r="Z199" s="577"/>
      <c r="AA199" s="577"/>
      <c r="AB199" s="583"/>
      <c r="AC199" s="577"/>
      <c r="AD199" s="577"/>
      <c r="AE199" s="577"/>
      <c r="AF199" s="577"/>
      <c r="AG199" s="577"/>
      <c r="AH199" s="577"/>
      <c r="AI199" s="577"/>
      <c r="AJ199" s="577"/>
      <c r="AK199" s="577"/>
      <c r="AL199" s="577"/>
      <c r="AM199" s="577"/>
      <c r="AN199" s="577"/>
      <c r="AO199" s="577"/>
      <c r="AP199" s="577"/>
      <c r="AQ199" s="577"/>
      <c r="AR199" s="577"/>
      <c r="AS199" s="577"/>
      <c r="AT199" s="577"/>
      <c r="AU199" s="577"/>
      <c r="AV199" s="577"/>
      <c r="AW199" s="577"/>
      <c r="AX199" s="577"/>
      <c r="AY199" s="577"/>
      <c r="AZ199" s="577"/>
      <c r="BA199" s="577"/>
      <c r="BB199" s="577"/>
      <c r="BC199" s="577"/>
      <c r="BD199" s="577"/>
      <c r="BE199" s="577"/>
      <c r="BF199" s="577"/>
      <c r="BG199" s="577"/>
      <c r="BH199" s="577"/>
      <c r="BI199" s="577"/>
      <c r="BJ199" s="577"/>
      <c r="BK199" s="577"/>
      <c r="BL199" s="577"/>
      <c r="BM199" s="577"/>
      <c r="BN199" s="577"/>
      <c r="BO199" s="577"/>
      <c r="BP199" s="577"/>
      <c r="BQ199" s="577"/>
      <c r="BR199" s="577"/>
      <c r="BS199" s="577"/>
      <c r="BT199" s="577"/>
      <c r="BU199" s="577"/>
      <c r="BV199" s="577"/>
      <c r="BW199" s="577"/>
      <c r="BX199" s="577"/>
      <c r="BY199" s="577"/>
      <c r="BZ199" s="577"/>
      <c r="CA199" s="577"/>
      <c r="CB199" s="577"/>
      <c r="CC199" s="577"/>
      <c r="CD199" s="577"/>
      <c r="CE199" s="577"/>
      <c r="CF199" s="577"/>
      <c r="CG199" s="577"/>
      <c r="CH199" s="577"/>
      <c r="CI199" s="577"/>
      <c r="CJ199" s="577"/>
      <c r="CO199" s="260"/>
      <c r="DK199" s="260"/>
      <c r="DL199" s="580"/>
      <c r="DM199" s="580"/>
      <c r="DN199" s="580"/>
      <c r="DO199" s="580"/>
      <c r="DP199" s="580"/>
      <c r="DQ199" s="580"/>
      <c r="DR199" s="580"/>
      <c r="DS199" s="580"/>
      <c r="DT199" s="580"/>
      <c r="DU199" s="580"/>
      <c r="DV199" s="580"/>
      <c r="DW199" s="580"/>
      <c r="DX199" s="580"/>
      <c r="DY199" s="580"/>
      <c r="DZ199" s="580"/>
      <c r="EA199"/>
      <c r="EB199"/>
      <c r="EC199"/>
      <c r="ED199"/>
      <c r="EE199"/>
      <c r="EF199"/>
    </row>
    <row r="200" spans="1:136" s="378" customFormat="1" ht="12.75" hidden="1" customHeight="1" outlineLevel="1">
      <c r="A200" s="259" t="s">
        <v>221</v>
      </c>
      <c r="B200" s="585"/>
      <c r="C200" s="585"/>
      <c r="D200" s="585"/>
      <c r="E200" s="585"/>
      <c r="F200" s="585"/>
      <c r="G200" s="585"/>
      <c r="H200" s="585"/>
      <c r="I200" s="585"/>
      <c r="J200" s="585"/>
      <c r="K200" s="585"/>
      <c r="L200" s="585">
        <v>2029</v>
      </c>
      <c r="M200" s="585">
        <v>2331</v>
      </c>
      <c r="N200" s="577"/>
      <c r="O200" s="577"/>
      <c r="P200" s="577"/>
      <c r="Q200" s="577"/>
      <c r="R200" s="577"/>
      <c r="S200" s="577"/>
      <c r="T200" s="577"/>
      <c r="U200" s="577"/>
      <c r="V200" s="577"/>
      <c r="W200" s="577"/>
      <c r="X200" s="577"/>
      <c r="Y200" s="577"/>
      <c r="Z200" s="577"/>
      <c r="AA200" s="577"/>
      <c r="AB200" s="583"/>
      <c r="AC200" s="577"/>
      <c r="AD200" s="577"/>
      <c r="AE200" s="577"/>
      <c r="AF200" s="577"/>
      <c r="AG200" s="577"/>
      <c r="AH200" s="577"/>
      <c r="AI200" s="577"/>
      <c r="AJ200" s="577"/>
      <c r="AK200" s="577"/>
      <c r="AL200" s="577"/>
      <c r="AM200" s="577"/>
      <c r="AN200" s="577"/>
      <c r="AO200" s="577"/>
      <c r="AP200" s="577"/>
      <c r="AQ200" s="577"/>
      <c r="AR200" s="577"/>
      <c r="AS200" s="577"/>
      <c r="AT200" s="577"/>
      <c r="AU200" s="577"/>
      <c r="AV200" s="577"/>
      <c r="AW200" s="577"/>
      <c r="AX200" s="577"/>
      <c r="AY200" s="577"/>
      <c r="AZ200" s="577"/>
      <c r="BA200" s="577"/>
      <c r="BB200" s="577"/>
      <c r="BC200" s="577"/>
      <c r="BD200" s="577"/>
      <c r="BE200" s="577"/>
      <c r="BF200" s="577"/>
      <c r="BG200" s="577"/>
      <c r="BH200" s="577"/>
      <c r="BI200" s="577"/>
      <c r="BJ200" s="577"/>
      <c r="BK200" s="577"/>
      <c r="BL200" s="577"/>
      <c r="BM200" s="577"/>
      <c r="BN200" s="577"/>
      <c r="BO200" s="577"/>
      <c r="BP200" s="577"/>
      <c r="BQ200" s="577"/>
      <c r="BR200" s="577"/>
      <c r="BS200" s="577"/>
      <c r="BT200" s="577"/>
      <c r="BU200" s="577"/>
      <c r="BV200" s="577"/>
      <c r="BW200" s="577"/>
      <c r="BX200" s="577"/>
      <c r="BY200" s="577"/>
      <c r="BZ200" s="577"/>
      <c r="CA200" s="577"/>
      <c r="CB200" s="577"/>
      <c r="CC200" s="577"/>
      <c r="CD200" s="577"/>
      <c r="CE200" s="577"/>
      <c r="CF200" s="577"/>
      <c r="CG200" s="577"/>
      <c r="CH200" s="577"/>
      <c r="CI200" s="577"/>
      <c r="CJ200" s="577"/>
      <c r="CO200" s="260"/>
      <c r="DK200" s="260"/>
      <c r="DL200" s="580"/>
      <c r="DM200" s="580"/>
      <c r="DN200" s="580"/>
      <c r="DO200" s="580"/>
      <c r="DP200" s="580"/>
      <c r="DQ200" s="580"/>
      <c r="DR200" s="580"/>
      <c r="DS200" s="580"/>
      <c r="DT200" s="580"/>
      <c r="DU200" s="580"/>
      <c r="DV200" s="580"/>
      <c r="DW200" s="580"/>
      <c r="DX200" s="580"/>
      <c r="DY200" s="580"/>
      <c r="DZ200" s="580"/>
      <c r="EA200"/>
      <c r="EB200"/>
      <c r="EC200"/>
      <c r="ED200"/>
      <c r="EE200"/>
      <c r="EF200"/>
    </row>
    <row r="201" spans="1:136" s="378" customFormat="1" ht="6" hidden="1" customHeight="1" outlineLevel="1">
      <c r="A201" s="259"/>
      <c r="B201" s="585"/>
      <c r="C201" s="585"/>
      <c r="D201" s="585"/>
      <c r="E201" s="585"/>
      <c r="F201" s="585"/>
      <c r="G201" s="585"/>
      <c r="H201" s="585"/>
      <c r="I201" s="585"/>
      <c r="J201" s="585"/>
      <c r="K201" s="585"/>
      <c r="L201" s="585"/>
      <c r="M201" s="585"/>
      <c r="N201" s="577"/>
      <c r="O201" s="577"/>
      <c r="P201" s="577"/>
      <c r="Q201" s="577"/>
      <c r="R201" s="577"/>
      <c r="S201" s="577"/>
      <c r="T201" s="577"/>
      <c r="U201" s="577"/>
      <c r="V201" s="577"/>
      <c r="W201" s="577"/>
      <c r="X201" s="577"/>
      <c r="Y201" s="577"/>
      <c r="Z201" s="577"/>
      <c r="AA201" s="577"/>
      <c r="AB201" s="583"/>
      <c r="AC201" s="577"/>
      <c r="AD201" s="577"/>
      <c r="AE201" s="577"/>
      <c r="AF201" s="577"/>
      <c r="AG201" s="577"/>
      <c r="AH201" s="577"/>
      <c r="AI201" s="577"/>
      <c r="AJ201" s="577"/>
      <c r="AK201" s="577"/>
      <c r="AL201" s="577"/>
      <c r="AM201" s="577"/>
      <c r="AN201" s="577"/>
      <c r="AO201" s="577"/>
      <c r="AP201" s="577"/>
      <c r="AQ201" s="577"/>
      <c r="AR201" s="577"/>
      <c r="AS201" s="577"/>
      <c r="AT201" s="577"/>
      <c r="AU201" s="577"/>
      <c r="AV201" s="577"/>
      <c r="AW201" s="577"/>
      <c r="AX201" s="577"/>
      <c r="AY201" s="577"/>
      <c r="AZ201" s="577"/>
      <c r="BA201" s="577"/>
      <c r="BB201" s="577"/>
      <c r="BC201" s="577"/>
      <c r="BD201" s="577"/>
      <c r="BE201" s="577"/>
      <c r="BF201" s="577"/>
      <c r="BG201" s="577"/>
      <c r="BH201" s="577"/>
      <c r="BI201" s="577"/>
      <c r="BJ201" s="577"/>
      <c r="BK201" s="577"/>
      <c r="BL201" s="577"/>
      <c r="BM201" s="577"/>
      <c r="BN201" s="577"/>
      <c r="BO201" s="577"/>
      <c r="BP201" s="577"/>
      <c r="BQ201" s="577"/>
      <c r="BR201" s="577"/>
      <c r="BS201" s="577"/>
      <c r="BT201" s="577"/>
      <c r="BU201" s="577"/>
      <c r="BV201" s="577"/>
      <c r="BW201" s="577"/>
      <c r="BX201" s="577"/>
      <c r="BY201" s="577"/>
      <c r="BZ201" s="577"/>
      <c r="CA201" s="577"/>
      <c r="CB201" s="577"/>
      <c r="CC201" s="577"/>
      <c r="CD201" s="577"/>
      <c r="CE201" s="577"/>
      <c r="CF201" s="577"/>
      <c r="CG201" s="577"/>
      <c r="CH201" s="577"/>
      <c r="CI201" s="577"/>
      <c r="CJ201" s="577"/>
      <c r="CO201" s="260"/>
      <c r="DK201" s="260"/>
      <c r="DL201" s="580"/>
      <c r="DM201" s="580"/>
      <c r="DN201" s="580"/>
      <c r="DO201" s="580"/>
      <c r="DP201" s="580"/>
      <c r="DQ201" s="580"/>
      <c r="DR201" s="580"/>
      <c r="DS201" s="580"/>
      <c r="DT201" s="580"/>
      <c r="DU201" s="580"/>
      <c r="DV201" s="580"/>
      <c r="DW201" s="580"/>
      <c r="DX201" s="580"/>
      <c r="DY201" s="580"/>
      <c r="DZ201" s="580"/>
      <c r="EA201"/>
      <c r="EB201"/>
      <c r="EC201"/>
      <c r="ED201"/>
      <c r="EE201"/>
      <c r="EF201"/>
    </row>
    <row r="202" spans="1:136" s="378" customFormat="1" ht="12.75" hidden="1" customHeight="1" outlineLevel="1">
      <c r="A202" s="596" t="s">
        <v>224</v>
      </c>
      <c r="B202" s="577"/>
      <c r="C202" s="577"/>
      <c r="D202" s="577"/>
      <c r="E202" s="577"/>
      <c r="F202" s="577"/>
      <c r="G202" s="577"/>
      <c r="H202" s="577"/>
      <c r="I202" s="577"/>
      <c r="J202" s="577"/>
      <c r="K202" s="577">
        <v>0.14699999999999999</v>
      </c>
      <c r="L202" s="577"/>
      <c r="M202" s="577">
        <v>0.21024089184403619</v>
      </c>
      <c r="N202" s="577">
        <v>0.13250000000000001</v>
      </c>
      <c r="O202" s="577"/>
      <c r="P202" s="577"/>
      <c r="Q202" s="577"/>
      <c r="R202" s="577"/>
      <c r="S202" s="577"/>
      <c r="T202" s="577"/>
      <c r="U202" s="577"/>
      <c r="V202" s="577"/>
      <c r="W202" s="577"/>
      <c r="X202" s="577"/>
      <c r="Y202" s="577"/>
      <c r="Z202" s="577"/>
      <c r="AA202" s="577"/>
      <c r="AB202" s="586"/>
      <c r="AC202" s="577"/>
      <c r="AD202" s="577"/>
      <c r="AE202" s="577"/>
      <c r="AF202" s="577"/>
      <c r="AG202" s="577"/>
      <c r="AH202" s="577"/>
      <c r="AI202" s="577"/>
      <c r="AJ202" s="577"/>
      <c r="AK202" s="577"/>
      <c r="AL202" s="577"/>
      <c r="AM202" s="577"/>
      <c r="AN202" s="577"/>
      <c r="AO202" s="577"/>
      <c r="AP202" s="577"/>
      <c r="AQ202" s="577"/>
      <c r="AR202" s="577"/>
      <c r="AS202" s="577"/>
      <c r="AT202" s="577"/>
      <c r="AU202" s="577"/>
      <c r="AV202" s="577"/>
      <c r="AW202" s="577"/>
      <c r="AX202" s="577"/>
      <c r="AY202" s="577"/>
      <c r="AZ202" s="577"/>
      <c r="BA202" s="577"/>
      <c r="BB202" s="577"/>
      <c r="BC202" s="577"/>
      <c r="BD202" s="577"/>
      <c r="BE202" s="577"/>
      <c r="BF202" s="577"/>
      <c r="BG202" s="577"/>
      <c r="BH202" s="577"/>
      <c r="BI202" s="577"/>
      <c r="BJ202" s="577"/>
      <c r="BK202" s="577"/>
      <c r="BL202" s="577"/>
      <c r="BM202" s="577"/>
      <c r="BN202" s="577"/>
      <c r="BO202" s="577"/>
      <c r="BP202" s="577"/>
      <c r="BQ202" s="577"/>
      <c r="BR202" s="577"/>
      <c r="BS202" s="577"/>
      <c r="BT202" s="577"/>
      <c r="BU202" s="577"/>
      <c r="BV202" s="577"/>
      <c r="BW202" s="577"/>
      <c r="BX202" s="577"/>
      <c r="BY202" s="577"/>
      <c r="BZ202" s="577"/>
      <c r="CA202" s="577"/>
      <c r="CB202" s="577"/>
      <c r="CC202" s="577"/>
      <c r="CD202" s="577"/>
      <c r="CE202" s="577"/>
      <c r="CF202" s="577"/>
      <c r="CG202" s="577"/>
      <c r="CH202" s="577"/>
      <c r="CI202" s="577"/>
      <c r="CJ202" s="577"/>
      <c r="CO202" s="260"/>
      <c r="DK202" s="260"/>
      <c r="DL202" s="580"/>
      <c r="DM202" s="580"/>
      <c r="DN202" s="580"/>
      <c r="DO202" s="580"/>
      <c r="DP202" s="580"/>
      <c r="DQ202" s="580"/>
      <c r="DR202" s="580"/>
      <c r="DS202" s="580"/>
      <c r="DT202" s="580"/>
      <c r="DU202" s="580"/>
      <c r="DV202" s="580"/>
      <c r="DW202" s="580"/>
      <c r="DX202" s="580"/>
      <c r="DY202" s="580"/>
      <c r="DZ202" s="580"/>
      <c r="EA202"/>
      <c r="EB202"/>
      <c r="EC202"/>
      <c r="ED202"/>
      <c r="EE202"/>
      <c r="EF202"/>
    </row>
    <row r="203" spans="1:136" s="378" customFormat="1" ht="12.75" hidden="1" customHeight="1" outlineLevel="1">
      <c r="A203" s="259" t="s">
        <v>218</v>
      </c>
      <c r="B203" s="577"/>
      <c r="C203" s="577"/>
      <c r="D203" s="577"/>
      <c r="E203" s="577"/>
      <c r="F203" s="577"/>
      <c r="G203" s="577"/>
      <c r="H203" s="577"/>
      <c r="I203" s="577"/>
      <c r="J203" s="577"/>
      <c r="K203" s="577">
        <v>0.126</v>
      </c>
      <c r="L203" s="577"/>
      <c r="M203" s="577"/>
      <c r="N203" s="577"/>
      <c r="O203" s="577"/>
      <c r="P203" s="577"/>
      <c r="Q203" s="577"/>
      <c r="R203" s="577"/>
      <c r="S203" s="577"/>
      <c r="T203" s="577"/>
      <c r="U203" s="577"/>
      <c r="V203" s="577"/>
      <c r="W203" s="577"/>
      <c r="X203" s="577"/>
      <c r="Y203" s="577"/>
      <c r="Z203" s="577"/>
      <c r="AA203" s="577"/>
      <c r="AB203" s="583"/>
      <c r="AC203" s="577"/>
      <c r="AD203" s="577"/>
      <c r="AE203" s="577"/>
      <c r="AF203" s="577"/>
      <c r="AG203" s="577"/>
      <c r="AH203" s="577"/>
      <c r="AI203" s="577"/>
      <c r="AJ203" s="577"/>
      <c r="AK203" s="577"/>
      <c r="AL203" s="577"/>
      <c r="AM203" s="577"/>
      <c r="AN203" s="577"/>
      <c r="AO203" s="577"/>
      <c r="AP203" s="577"/>
      <c r="AQ203" s="577"/>
      <c r="AR203" s="577"/>
      <c r="AS203" s="577"/>
      <c r="AT203" s="577"/>
      <c r="AU203" s="577"/>
      <c r="AV203" s="577"/>
      <c r="AW203" s="577"/>
      <c r="AX203" s="577"/>
      <c r="AY203" s="577"/>
      <c r="AZ203" s="577"/>
      <c r="BA203" s="577"/>
      <c r="BB203" s="577"/>
      <c r="BC203" s="577"/>
      <c r="BD203" s="577"/>
      <c r="BE203" s="577"/>
      <c r="BF203" s="577"/>
      <c r="BG203" s="577"/>
      <c r="BH203" s="577"/>
      <c r="BI203" s="577"/>
      <c r="BJ203" s="577"/>
      <c r="BK203" s="577"/>
      <c r="BL203" s="577"/>
      <c r="BM203" s="577"/>
      <c r="BN203" s="577"/>
      <c r="BO203" s="577"/>
      <c r="BP203" s="577"/>
      <c r="BQ203" s="577"/>
      <c r="BR203" s="577"/>
      <c r="BS203" s="577"/>
      <c r="BT203" s="577"/>
      <c r="BU203" s="577"/>
      <c r="BV203" s="577"/>
      <c r="BW203" s="577"/>
      <c r="BX203" s="577"/>
      <c r="BY203" s="577"/>
      <c r="BZ203" s="577"/>
      <c r="CA203" s="577"/>
      <c r="CB203" s="577"/>
      <c r="CC203" s="577"/>
      <c r="CD203" s="577"/>
      <c r="CE203" s="577"/>
      <c r="CF203" s="577"/>
      <c r="CG203" s="577"/>
      <c r="CH203" s="577"/>
      <c r="CI203" s="577"/>
      <c r="CJ203" s="577"/>
      <c r="CO203" s="260"/>
      <c r="DK203" s="260"/>
      <c r="DL203" s="580"/>
      <c r="DM203" s="580"/>
      <c r="DN203" s="580"/>
      <c r="DO203" s="580"/>
      <c r="DP203" s="580"/>
      <c r="DQ203" s="580"/>
      <c r="DR203" s="580"/>
      <c r="DS203" s="580"/>
      <c r="DT203" s="580"/>
      <c r="DU203" s="580"/>
      <c r="DV203" s="580"/>
      <c r="DW203" s="580"/>
      <c r="DX203" s="580"/>
      <c r="DY203" s="580"/>
      <c r="DZ203" s="580"/>
      <c r="EA203"/>
      <c r="EB203"/>
      <c r="EC203"/>
      <c r="ED203"/>
      <c r="EE203"/>
      <c r="EF203"/>
    </row>
    <row r="204" spans="1:136" s="378" customFormat="1" ht="12.75" hidden="1" customHeight="1" outlineLevel="1">
      <c r="A204" s="259" t="s">
        <v>219</v>
      </c>
      <c r="B204" s="577"/>
      <c r="C204" s="577"/>
      <c r="D204" s="577"/>
      <c r="E204" s="577"/>
      <c r="F204" s="577"/>
      <c r="G204" s="577"/>
      <c r="H204" s="577"/>
      <c r="I204" s="577"/>
      <c r="J204" s="577"/>
      <c r="K204" s="577"/>
      <c r="L204" s="577"/>
      <c r="M204" s="577">
        <v>0.14240790655884997</v>
      </c>
      <c r="N204" s="577"/>
      <c r="O204" s="577"/>
      <c r="P204" s="577"/>
      <c r="Q204" s="577"/>
      <c r="R204" s="577"/>
      <c r="S204" s="577"/>
      <c r="T204" s="577"/>
      <c r="U204" s="577"/>
      <c r="V204" s="577"/>
      <c r="W204" s="577"/>
      <c r="X204" s="577"/>
      <c r="Y204" s="577"/>
      <c r="Z204" s="577"/>
      <c r="AA204" s="577"/>
      <c r="AB204" s="583"/>
      <c r="AC204" s="577"/>
      <c r="AD204" s="577"/>
      <c r="AE204" s="577"/>
      <c r="AF204" s="577"/>
      <c r="AG204" s="577"/>
      <c r="AH204" s="577"/>
      <c r="AI204" s="577"/>
      <c r="AJ204" s="577"/>
      <c r="AK204" s="577"/>
      <c r="AL204" s="577"/>
      <c r="AM204" s="577"/>
      <c r="AN204" s="577"/>
      <c r="AO204" s="577"/>
      <c r="AP204" s="577"/>
      <c r="AQ204" s="577"/>
      <c r="AR204" s="577"/>
      <c r="AS204" s="577"/>
      <c r="AT204" s="577"/>
      <c r="AU204" s="577"/>
      <c r="AV204" s="577"/>
      <c r="AW204" s="577"/>
      <c r="AX204" s="577"/>
      <c r="AY204" s="577"/>
      <c r="AZ204" s="577"/>
      <c r="BA204" s="577"/>
      <c r="BB204" s="577"/>
      <c r="BC204" s="577"/>
      <c r="BD204" s="577"/>
      <c r="BE204" s="577"/>
      <c r="BF204" s="577"/>
      <c r="BG204" s="577"/>
      <c r="BH204" s="577"/>
      <c r="BI204" s="577"/>
      <c r="BJ204" s="577"/>
      <c r="BK204" s="577"/>
      <c r="BL204" s="577"/>
      <c r="BM204" s="577"/>
      <c r="BN204" s="577"/>
      <c r="BO204" s="577"/>
      <c r="BP204" s="577"/>
      <c r="BQ204" s="577"/>
      <c r="BR204" s="577"/>
      <c r="BS204" s="577"/>
      <c r="BT204" s="577"/>
      <c r="BU204" s="577"/>
      <c r="BV204" s="577"/>
      <c r="BW204" s="577"/>
      <c r="BX204" s="577"/>
      <c r="BY204" s="577"/>
      <c r="BZ204" s="577"/>
      <c r="CA204" s="577"/>
      <c r="CB204" s="577"/>
      <c r="CC204" s="577"/>
      <c r="CD204" s="577"/>
      <c r="CE204" s="577"/>
      <c r="CF204" s="577"/>
      <c r="CG204" s="577"/>
      <c r="CH204" s="577"/>
      <c r="CI204" s="577"/>
      <c r="CJ204" s="577"/>
      <c r="CO204" s="260"/>
      <c r="DK204" s="260"/>
      <c r="DL204" s="580"/>
      <c r="DM204" s="580"/>
      <c r="DN204" s="580"/>
      <c r="DO204" s="580"/>
      <c r="DP204" s="580"/>
      <c r="DQ204" s="580"/>
      <c r="DR204" s="580"/>
      <c r="DS204" s="580"/>
      <c r="DT204" s="580"/>
      <c r="DU204" s="580"/>
      <c r="DV204" s="580"/>
      <c r="DW204" s="580"/>
      <c r="DX204" s="580"/>
      <c r="DY204" s="580"/>
      <c r="DZ204" s="580"/>
      <c r="EA204"/>
      <c r="EB204"/>
      <c r="EC204"/>
      <c r="ED204"/>
      <c r="EE204"/>
      <c r="EF204"/>
    </row>
    <row r="205" spans="1:136" s="378" customFormat="1" ht="12.75" hidden="1" customHeight="1" outlineLevel="1">
      <c r="A205" s="259" t="s">
        <v>221</v>
      </c>
      <c r="B205" s="577"/>
      <c r="C205" s="577"/>
      <c r="D205" s="577"/>
      <c r="E205" s="577"/>
      <c r="F205" s="577"/>
      <c r="G205" s="577"/>
      <c r="H205" s="577"/>
      <c r="I205" s="577"/>
      <c r="J205" s="577"/>
      <c r="K205" s="577"/>
      <c r="L205" s="577"/>
      <c r="M205" s="577">
        <v>0.14779355820441289</v>
      </c>
      <c r="N205" s="577"/>
      <c r="O205" s="577"/>
      <c r="P205" s="577"/>
      <c r="Q205" s="577"/>
      <c r="R205" s="577"/>
      <c r="S205" s="577"/>
      <c r="T205" s="577"/>
      <c r="U205" s="577"/>
      <c r="V205" s="577"/>
      <c r="W205" s="577"/>
      <c r="X205" s="577"/>
      <c r="Y205" s="577"/>
      <c r="Z205" s="577"/>
      <c r="AA205" s="577"/>
      <c r="AB205" s="583"/>
      <c r="AC205" s="577"/>
      <c r="AD205" s="577"/>
      <c r="AE205" s="577"/>
      <c r="AF205" s="577"/>
      <c r="AG205" s="577"/>
      <c r="AH205" s="577"/>
      <c r="AI205" s="577"/>
      <c r="AJ205" s="577"/>
      <c r="AK205" s="577"/>
      <c r="AL205" s="577"/>
      <c r="AM205" s="577"/>
      <c r="AN205" s="577"/>
      <c r="AO205" s="577"/>
      <c r="AP205" s="577"/>
      <c r="AQ205" s="577"/>
      <c r="AR205" s="577"/>
      <c r="AS205" s="577"/>
      <c r="AT205" s="577"/>
      <c r="AU205" s="577"/>
      <c r="AV205" s="577"/>
      <c r="AW205" s="577"/>
      <c r="AX205" s="577"/>
      <c r="AY205" s="577"/>
      <c r="AZ205" s="577"/>
      <c r="BA205" s="577"/>
      <c r="BB205" s="577"/>
      <c r="BC205" s="577"/>
      <c r="BD205" s="577"/>
      <c r="BE205" s="577"/>
      <c r="BF205" s="577"/>
      <c r="BG205" s="577"/>
      <c r="BH205" s="577"/>
      <c r="BI205" s="577"/>
      <c r="BJ205" s="577"/>
      <c r="BK205" s="577"/>
      <c r="BL205" s="577"/>
      <c r="BM205" s="577"/>
      <c r="BN205" s="577"/>
      <c r="BO205" s="577"/>
      <c r="BP205" s="577"/>
      <c r="BQ205" s="577"/>
      <c r="BR205" s="577"/>
      <c r="BS205" s="577"/>
      <c r="BT205" s="577"/>
      <c r="BU205" s="577"/>
      <c r="BV205" s="577"/>
      <c r="BW205" s="577"/>
      <c r="BX205" s="577"/>
      <c r="BY205" s="577"/>
      <c r="BZ205" s="577"/>
      <c r="CA205" s="577"/>
      <c r="CB205" s="577"/>
      <c r="CC205" s="577"/>
      <c r="CD205" s="577"/>
      <c r="CE205" s="577"/>
      <c r="CF205" s="577"/>
      <c r="CG205" s="577"/>
      <c r="CH205" s="577"/>
      <c r="CI205" s="577"/>
      <c r="CJ205" s="577"/>
      <c r="CO205" s="260"/>
      <c r="DK205" s="260"/>
      <c r="DL205" s="580"/>
      <c r="DM205" s="580"/>
      <c r="DN205" s="580"/>
      <c r="DO205" s="580"/>
      <c r="DP205" s="580"/>
      <c r="DQ205" s="580"/>
      <c r="DR205" s="580"/>
      <c r="DS205" s="580"/>
      <c r="DT205" s="580"/>
      <c r="DU205" s="580"/>
      <c r="DV205" s="580"/>
      <c r="DW205" s="580"/>
      <c r="DX205" s="580"/>
      <c r="DY205" s="580"/>
      <c r="DZ205" s="580"/>
      <c r="EA205"/>
      <c r="EB205"/>
      <c r="EC205"/>
      <c r="ED205"/>
      <c r="EE205"/>
      <c r="EF205"/>
    </row>
    <row r="206" spans="1:136" s="378" customFormat="1" ht="6" hidden="1" customHeight="1" outlineLevel="1">
      <c r="A206" s="259"/>
      <c r="B206" s="577"/>
      <c r="C206" s="577"/>
      <c r="D206" s="577"/>
      <c r="E206" s="577"/>
      <c r="F206" s="577"/>
      <c r="G206" s="577"/>
      <c r="H206" s="577"/>
      <c r="I206" s="577"/>
      <c r="J206" s="577"/>
      <c r="K206" s="577"/>
      <c r="L206" s="577"/>
      <c r="M206" s="577"/>
      <c r="N206" s="577"/>
      <c r="O206" s="577"/>
      <c r="P206" s="577"/>
      <c r="Q206" s="577"/>
      <c r="R206" s="577"/>
      <c r="S206" s="577"/>
      <c r="T206" s="577"/>
      <c r="U206" s="577"/>
      <c r="V206" s="577"/>
      <c r="W206" s="577"/>
      <c r="X206" s="577"/>
      <c r="Y206" s="577"/>
      <c r="Z206" s="577"/>
      <c r="AA206" s="577"/>
      <c r="AB206" s="583"/>
      <c r="AC206" s="577"/>
      <c r="AD206" s="577"/>
      <c r="AE206" s="577"/>
      <c r="AF206" s="577"/>
      <c r="AG206" s="577"/>
      <c r="AH206" s="577"/>
      <c r="AI206" s="577"/>
      <c r="AJ206" s="577"/>
      <c r="AK206" s="577"/>
      <c r="AL206" s="577"/>
      <c r="AM206" s="577"/>
      <c r="AN206" s="577"/>
      <c r="AO206" s="577"/>
      <c r="AP206" s="577"/>
      <c r="AQ206" s="577"/>
      <c r="AR206" s="577"/>
      <c r="AS206" s="577"/>
      <c r="AT206" s="577"/>
      <c r="AU206" s="577"/>
      <c r="AV206" s="577"/>
      <c r="AW206" s="577"/>
      <c r="AX206" s="577"/>
      <c r="AY206" s="577"/>
      <c r="AZ206" s="577"/>
      <c r="BA206" s="577"/>
      <c r="BB206" s="577"/>
      <c r="BC206" s="577"/>
      <c r="BD206" s="577"/>
      <c r="BE206" s="577"/>
      <c r="BF206" s="577"/>
      <c r="BG206" s="577"/>
      <c r="BH206" s="577"/>
      <c r="BI206" s="577"/>
      <c r="BJ206" s="577"/>
      <c r="BK206" s="577"/>
      <c r="BL206" s="577"/>
      <c r="BM206" s="577"/>
      <c r="BN206" s="577"/>
      <c r="BO206" s="577"/>
      <c r="BP206" s="577"/>
      <c r="BQ206" s="577"/>
      <c r="BR206" s="577"/>
      <c r="BS206" s="577"/>
      <c r="BT206" s="577"/>
      <c r="BU206" s="577"/>
      <c r="BV206" s="577"/>
      <c r="BW206" s="577"/>
      <c r="BX206" s="577"/>
      <c r="BY206" s="577"/>
      <c r="BZ206" s="577"/>
      <c r="CA206" s="577"/>
      <c r="CB206" s="577"/>
      <c r="CC206" s="577"/>
      <c r="CD206" s="577"/>
      <c r="CE206" s="577"/>
      <c r="CF206" s="577"/>
      <c r="CG206" s="577"/>
      <c r="CH206" s="577"/>
      <c r="CI206" s="577"/>
      <c r="CJ206" s="577"/>
      <c r="CO206" s="260"/>
      <c r="DK206" s="260"/>
      <c r="DL206" s="580"/>
      <c r="DM206" s="580"/>
      <c r="DN206" s="580"/>
      <c r="DO206" s="580"/>
      <c r="DP206" s="580"/>
      <c r="DQ206" s="580"/>
      <c r="DR206" s="580"/>
      <c r="DS206" s="580"/>
      <c r="DT206" s="580"/>
      <c r="DU206" s="580"/>
      <c r="DV206" s="580"/>
      <c r="DW206" s="580"/>
      <c r="DX206" s="580"/>
      <c r="DY206" s="580"/>
      <c r="DZ206" s="580"/>
      <c r="EA206"/>
      <c r="EB206"/>
      <c r="EC206"/>
      <c r="ED206"/>
      <c r="EE206"/>
      <c r="EF206"/>
    </row>
    <row r="207" spans="1:136" s="378" customFormat="1" ht="12.75" hidden="1" customHeight="1" outlineLevel="1">
      <c r="A207" s="596" t="s">
        <v>171</v>
      </c>
      <c r="B207" s="577"/>
      <c r="C207" s="577"/>
      <c r="D207" s="577"/>
      <c r="E207" s="577"/>
      <c r="F207" s="577"/>
      <c r="G207" s="577"/>
      <c r="H207" s="577"/>
      <c r="I207" s="577"/>
      <c r="J207" s="577"/>
      <c r="K207" s="577"/>
      <c r="L207" s="577"/>
      <c r="M207" s="587">
        <f>M197/L197-1</f>
        <v>6.0123908758096256E-2</v>
      </c>
      <c r="N207" s="577">
        <v>0.13250000000000001</v>
      </c>
      <c r="O207" s="577"/>
      <c r="P207" s="577"/>
      <c r="Q207" s="577"/>
      <c r="R207" s="577"/>
      <c r="S207" s="577"/>
      <c r="T207" s="577"/>
      <c r="U207" s="577"/>
      <c r="V207" s="577"/>
      <c r="W207" s="577"/>
      <c r="X207" s="577"/>
      <c r="Y207" s="577"/>
      <c r="Z207" s="577"/>
      <c r="AA207" s="577"/>
      <c r="AB207" s="586"/>
      <c r="AC207" s="577"/>
      <c r="AD207" s="577"/>
      <c r="AE207" s="577"/>
      <c r="AF207" s="577"/>
      <c r="AG207" s="577"/>
      <c r="AH207" s="577"/>
      <c r="AI207" s="577"/>
      <c r="AJ207" s="577"/>
      <c r="AK207" s="577"/>
      <c r="AL207" s="577"/>
      <c r="AM207" s="577"/>
      <c r="AN207" s="577"/>
      <c r="AO207" s="577"/>
      <c r="AP207" s="577"/>
      <c r="AQ207" s="577"/>
      <c r="AR207" s="577"/>
      <c r="AS207" s="577"/>
      <c r="AT207" s="577"/>
      <c r="AU207" s="577"/>
      <c r="AV207" s="577"/>
      <c r="AW207" s="577"/>
      <c r="AX207" s="577"/>
      <c r="AY207" s="577"/>
      <c r="AZ207" s="577"/>
      <c r="BA207" s="577"/>
      <c r="BB207" s="577"/>
      <c r="BC207" s="577"/>
      <c r="BD207" s="577"/>
      <c r="BE207" s="577"/>
      <c r="BF207" s="577"/>
      <c r="BG207" s="577"/>
      <c r="BH207" s="577"/>
      <c r="BI207" s="577"/>
      <c r="BJ207" s="577"/>
      <c r="BK207" s="577"/>
      <c r="BL207" s="577"/>
      <c r="BM207" s="577"/>
      <c r="BN207" s="577"/>
      <c r="BO207" s="577"/>
      <c r="BP207" s="577"/>
      <c r="BQ207" s="577"/>
      <c r="BR207" s="577"/>
      <c r="BS207" s="577"/>
      <c r="BT207" s="577"/>
      <c r="BU207" s="577"/>
      <c r="BV207" s="577"/>
      <c r="BW207" s="577"/>
      <c r="BX207" s="577"/>
      <c r="BY207" s="577"/>
      <c r="BZ207" s="577"/>
      <c r="CA207" s="577"/>
      <c r="CB207" s="577"/>
      <c r="CC207" s="577"/>
      <c r="CD207" s="577"/>
      <c r="CE207" s="577"/>
      <c r="CF207" s="577"/>
      <c r="CG207" s="577"/>
      <c r="CH207" s="577"/>
      <c r="CI207" s="577"/>
      <c r="CJ207" s="577"/>
      <c r="CO207" s="260"/>
      <c r="DK207" s="260"/>
      <c r="DL207" s="580"/>
      <c r="DM207" s="580"/>
      <c r="DN207" s="580"/>
      <c r="DO207" s="580"/>
      <c r="DP207" s="580"/>
      <c r="DQ207" s="580"/>
      <c r="DR207" s="580"/>
      <c r="DS207" s="580"/>
      <c r="DT207" s="580"/>
      <c r="DU207" s="580"/>
      <c r="DV207" s="580"/>
      <c r="DW207" s="580"/>
      <c r="DX207" s="580"/>
      <c r="DY207" s="580"/>
      <c r="DZ207" s="580"/>
      <c r="EA207"/>
      <c r="EB207"/>
      <c r="EC207"/>
      <c r="ED207"/>
      <c r="EE207"/>
      <c r="EF207"/>
    </row>
    <row r="208" spans="1:136" s="378" customFormat="1" ht="12.75" hidden="1" customHeight="1" outlineLevel="1">
      <c r="A208" s="259" t="s">
        <v>218</v>
      </c>
      <c r="B208" s="577"/>
      <c r="C208" s="577"/>
      <c r="D208" s="577"/>
      <c r="E208" s="577"/>
      <c r="F208" s="577"/>
      <c r="G208" s="577"/>
      <c r="H208" s="577"/>
      <c r="I208" s="577"/>
      <c r="J208" s="577"/>
      <c r="K208" s="577"/>
      <c r="L208" s="577"/>
      <c r="M208" s="587">
        <f>M198/L198-1</f>
        <v>-6.9396252602360597E-4</v>
      </c>
      <c r="N208" s="577"/>
      <c r="O208" s="577"/>
      <c r="P208" s="577"/>
      <c r="Q208" s="577"/>
      <c r="R208" s="577"/>
      <c r="S208" s="577"/>
      <c r="T208" s="577"/>
      <c r="U208" s="577"/>
      <c r="V208" s="577"/>
      <c r="W208" s="577"/>
      <c r="X208" s="577"/>
      <c r="Y208" s="577"/>
      <c r="Z208" s="577"/>
      <c r="AA208" s="577"/>
      <c r="AB208" s="583"/>
      <c r="AC208" s="577"/>
      <c r="AD208" s="577"/>
      <c r="AE208" s="577"/>
      <c r="AF208" s="577"/>
      <c r="AG208" s="577"/>
      <c r="AH208" s="577"/>
      <c r="AI208" s="577"/>
      <c r="AJ208" s="577"/>
      <c r="AK208" s="577"/>
      <c r="AL208" s="577"/>
      <c r="AM208" s="577"/>
      <c r="AN208" s="577"/>
      <c r="AO208" s="577"/>
      <c r="AP208" s="577"/>
      <c r="AQ208" s="577"/>
      <c r="AR208" s="577"/>
      <c r="AS208" s="577"/>
      <c r="AT208" s="577"/>
      <c r="AU208" s="577"/>
      <c r="AV208" s="577"/>
      <c r="AW208" s="577"/>
      <c r="AX208" s="577"/>
      <c r="AY208" s="577"/>
      <c r="AZ208" s="577"/>
      <c r="BA208" s="577"/>
      <c r="BB208" s="577"/>
      <c r="BC208" s="577"/>
      <c r="BD208" s="577"/>
      <c r="BE208" s="577"/>
      <c r="BF208" s="577"/>
      <c r="BG208" s="577"/>
      <c r="BH208" s="577"/>
      <c r="BI208" s="577"/>
      <c r="BJ208" s="577"/>
      <c r="BK208" s="577"/>
      <c r="BL208" s="577"/>
      <c r="BM208" s="577"/>
      <c r="BN208" s="577"/>
      <c r="BO208" s="577"/>
      <c r="BP208" s="577"/>
      <c r="BQ208" s="577"/>
      <c r="BR208" s="577"/>
      <c r="BS208" s="577"/>
      <c r="BT208" s="577"/>
      <c r="BU208" s="577"/>
      <c r="BV208" s="577"/>
      <c r="BW208" s="577"/>
      <c r="BX208" s="577"/>
      <c r="BY208" s="577"/>
      <c r="BZ208" s="577"/>
      <c r="CA208" s="577"/>
      <c r="CB208" s="577"/>
      <c r="CC208" s="577"/>
      <c r="CD208" s="577"/>
      <c r="CE208" s="577"/>
      <c r="CF208" s="577"/>
      <c r="CG208" s="577"/>
      <c r="CH208" s="577"/>
      <c r="CI208" s="577"/>
      <c r="CJ208" s="577"/>
      <c r="CO208" s="260"/>
      <c r="DK208" s="260"/>
      <c r="DL208" s="580"/>
      <c r="DM208" s="580"/>
      <c r="DN208" s="580"/>
      <c r="DO208" s="580"/>
      <c r="DP208" s="580"/>
      <c r="DQ208" s="580"/>
      <c r="DR208" s="580"/>
      <c r="DS208" s="580"/>
      <c r="DT208" s="580"/>
      <c r="DU208" s="580"/>
      <c r="DV208" s="580"/>
      <c r="DW208" s="580"/>
      <c r="DX208" s="580"/>
      <c r="DY208" s="580"/>
      <c r="DZ208" s="580"/>
      <c r="EA208"/>
      <c r="EB208"/>
      <c r="EC208"/>
      <c r="ED208"/>
      <c r="EE208"/>
      <c r="EF208"/>
    </row>
    <row r="209" spans="1:136" s="378" customFormat="1" ht="12.75" hidden="1" customHeight="1" outlineLevel="1">
      <c r="A209" s="259" t="s">
        <v>219</v>
      </c>
      <c r="B209" s="577"/>
      <c r="C209" s="577"/>
      <c r="D209" s="577"/>
      <c r="E209" s="577"/>
      <c r="F209" s="577"/>
      <c r="G209" s="577"/>
      <c r="H209" s="577"/>
      <c r="I209" s="577"/>
      <c r="J209" s="577"/>
      <c r="K209" s="577"/>
      <c r="L209" s="577"/>
      <c r="M209" s="587">
        <f>M199/L199-1</f>
        <v>4.3907793633369829E-2</v>
      </c>
      <c r="N209" s="577"/>
      <c r="O209" s="577"/>
      <c r="P209" s="577"/>
      <c r="Q209" s="577"/>
      <c r="R209" s="577"/>
      <c r="S209" s="577"/>
      <c r="T209" s="577"/>
      <c r="U209" s="577"/>
      <c r="V209" s="577"/>
      <c r="W209" s="577"/>
      <c r="X209" s="577"/>
      <c r="Y209" s="577"/>
      <c r="Z209" s="577"/>
      <c r="AA209" s="577"/>
      <c r="AB209" s="583"/>
      <c r="AC209" s="577"/>
      <c r="AD209" s="577"/>
      <c r="AE209" s="577"/>
      <c r="AF209" s="577"/>
      <c r="AG209" s="577"/>
      <c r="AH209" s="577"/>
      <c r="AI209" s="577"/>
      <c r="AJ209" s="577"/>
      <c r="AK209" s="577"/>
      <c r="AL209" s="577"/>
      <c r="AM209" s="577"/>
      <c r="AN209" s="577"/>
      <c r="AO209" s="577"/>
      <c r="AP209" s="577"/>
      <c r="AQ209" s="577"/>
      <c r="AR209" s="577"/>
      <c r="AS209" s="577"/>
      <c r="AT209" s="577"/>
      <c r="AU209" s="577"/>
      <c r="AV209" s="577"/>
      <c r="AW209" s="577"/>
      <c r="AX209" s="577"/>
      <c r="AY209" s="577"/>
      <c r="AZ209" s="577"/>
      <c r="BA209" s="577"/>
      <c r="BB209" s="577"/>
      <c r="BC209" s="577"/>
      <c r="BD209" s="577"/>
      <c r="BE209" s="577"/>
      <c r="BF209" s="577"/>
      <c r="BG209" s="577"/>
      <c r="BH209" s="577"/>
      <c r="BI209" s="577"/>
      <c r="BJ209" s="577"/>
      <c r="BK209" s="577"/>
      <c r="BL209" s="577"/>
      <c r="BM209" s="577"/>
      <c r="BN209" s="577"/>
      <c r="BO209" s="577"/>
      <c r="BP209" s="577"/>
      <c r="BQ209" s="577"/>
      <c r="BR209" s="577"/>
      <c r="BS209" s="577"/>
      <c r="BT209" s="577"/>
      <c r="BU209" s="577"/>
      <c r="BV209" s="577"/>
      <c r="BW209" s="577"/>
      <c r="BX209" s="577"/>
      <c r="BY209" s="577"/>
      <c r="BZ209" s="577"/>
      <c r="CA209" s="577"/>
      <c r="CB209" s="577"/>
      <c r="CC209" s="577"/>
      <c r="CD209" s="577"/>
      <c r="CE209" s="577"/>
      <c r="CF209" s="577"/>
      <c r="CG209" s="577"/>
      <c r="CH209" s="577"/>
      <c r="CI209" s="577"/>
      <c r="CJ209" s="577"/>
      <c r="CO209" s="260"/>
      <c r="DK209" s="260"/>
      <c r="DL209" s="580"/>
      <c r="DM209" s="580"/>
      <c r="DN209" s="580"/>
      <c r="DO209" s="580"/>
      <c r="DP209" s="580"/>
      <c r="DQ209" s="580"/>
      <c r="DR209" s="580"/>
      <c r="DS209" s="580"/>
      <c r="DT209" s="580"/>
      <c r="DU209" s="580"/>
      <c r="DV209" s="580"/>
      <c r="DW209" s="580"/>
      <c r="DX209" s="580"/>
      <c r="DY209" s="580"/>
      <c r="DZ209" s="580"/>
      <c r="EA209"/>
      <c r="EB209"/>
      <c r="EC209"/>
      <c r="ED209"/>
      <c r="EE209"/>
      <c r="EF209"/>
    </row>
    <row r="210" spans="1:136" s="378" customFormat="1" ht="12.75" hidden="1" customHeight="1" outlineLevel="1">
      <c r="A210" s="259" t="s">
        <v>221</v>
      </c>
      <c r="B210" s="577"/>
      <c r="C210" s="577"/>
      <c r="D210" s="577"/>
      <c r="E210" s="577"/>
      <c r="F210" s="577"/>
      <c r="G210" s="577"/>
      <c r="H210" s="577"/>
      <c r="I210" s="577"/>
      <c r="J210" s="577"/>
      <c r="K210" s="577"/>
      <c r="L210" s="577"/>
      <c r="M210" s="587">
        <f>M200/L200-1</f>
        <v>0.14884179398718578</v>
      </c>
      <c r="N210" s="577"/>
      <c r="O210" s="577"/>
      <c r="P210" s="577"/>
      <c r="Q210" s="577"/>
      <c r="R210" s="577"/>
      <c r="S210" s="577"/>
      <c r="T210" s="577"/>
      <c r="U210" s="577"/>
      <c r="V210" s="577"/>
      <c r="W210" s="577"/>
      <c r="X210" s="577"/>
      <c r="Y210" s="577"/>
      <c r="Z210" s="577"/>
      <c r="AA210" s="577"/>
      <c r="AB210" s="583"/>
      <c r="AC210" s="577"/>
      <c r="AD210" s="577"/>
      <c r="AE210" s="577"/>
      <c r="AF210" s="577"/>
      <c r="AG210" s="577"/>
      <c r="AH210" s="577"/>
      <c r="AI210" s="577"/>
      <c r="AJ210" s="577"/>
      <c r="AK210" s="577"/>
      <c r="AL210" s="577"/>
      <c r="AM210" s="577"/>
      <c r="AN210" s="577"/>
      <c r="AO210" s="577"/>
      <c r="AP210" s="577"/>
      <c r="AQ210" s="577"/>
      <c r="AR210" s="577"/>
      <c r="AS210" s="577"/>
      <c r="AT210" s="577"/>
      <c r="AU210" s="577"/>
      <c r="AV210" s="577"/>
      <c r="AW210" s="577"/>
      <c r="AX210" s="577"/>
      <c r="AY210" s="577"/>
      <c r="AZ210" s="577"/>
      <c r="BA210" s="577"/>
      <c r="BB210" s="577"/>
      <c r="BC210" s="577"/>
      <c r="BD210" s="577"/>
      <c r="BE210" s="577"/>
      <c r="BF210" s="577"/>
      <c r="BG210" s="577"/>
      <c r="BH210" s="577"/>
      <c r="BI210" s="577"/>
      <c r="BJ210" s="577"/>
      <c r="BK210" s="577"/>
      <c r="BL210" s="577"/>
      <c r="BM210" s="577"/>
      <c r="BN210" s="577"/>
      <c r="BO210" s="577"/>
      <c r="BP210" s="577"/>
      <c r="BQ210" s="577"/>
      <c r="BR210" s="577"/>
      <c r="BS210" s="577"/>
      <c r="BT210" s="577"/>
      <c r="BU210" s="577"/>
      <c r="BV210" s="577"/>
      <c r="BW210" s="577"/>
      <c r="BX210" s="577"/>
      <c r="BY210" s="577"/>
      <c r="BZ210" s="577"/>
      <c r="CA210" s="577"/>
      <c r="CB210" s="577"/>
      <c r="CC210" s="577"/>
      <c r="CD210" s="577"/>
      <c r="CE210" s="577"/>
      <c r="CF210" s="577"/>
      <c r="CG210" s="577"/>
      <c r="CH210" s="577"/>
      <c r="CI210" s="577"/>
      <c r="CJ210" s="577"/>
      <c r="CO210" s="260"/>
      <c r="DK210" s="260"/>
      <c r="DL210" s="580"/>
      <c r="DM210" s="580"/>
      <c r="DN210" s="580"/>
      <c r="DO210" s="580"/>
      <c r="DP210" s="580"/>
      <c r="DQ210" s="580"/>
      <c r="DR210" s="580"/>
      <c r="DS210" s="580"/>
      <c r="DT210" s="580"/>
      <c r="DU210" s="580"/>
      <c r="DV210" s="580"/>
      <c r="DW210" s="580"/>
      <c r="DX210" s="580"/>
      <c r="DY210" s="580"/>
      <c r="DZ210" s="580"/>
      <c r="EA210"/>
      <c r="EB210"/>
      <c r="EC210"/>
      <c r="ED210"/>
      <c r="EE210"/>
      <c r="EF210"/>
    </row>
    <row r="211" spans="1:136" s="378" customFormat="1" collapsed="1">
      <c r="A211" s="46"/>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84"/>
      <c r="AC211" s="577"/>
      <c r="AD211" s="577"/>
      <c r="AE211" s="577"/>
      <c r="AF211" s="577"/>
      <c r="AG211" s="577"/>
      <c r="AH211" s="577"/>
      <c r="AI211" s="577"/>
      <c r="AJ211" s="577"/>
      <c r="AK211" s="577"/>
      <c r="AL211" s="577"/>
      <c r="AM211" s="577"/>
      <c r="AN211" s="577"/>
      <c r="AO211" s="577"/>
      <c r="AP211" s="577"/>
      <c r="AQ211" s="577"/>
      <c r="AR211" s="577"/>
      <c r="AS211" s="577"/>
      <c r="AT211" s="577"/>
      <c r="AU211" s="577"/>
      <c r="AV211" s="577"/>
      <c r="AW211" s="577"/>
      <c r="AX211" s="577"/>
      <c r="AY211" s="577"/>
      <c r="AZ211" s="577"/>
      <c r="BA211" s="577"/>
      <c r="BB211" s="577"/>
      <c r="BC211" s="577"/>
      <c r="BD211" s="577"/>
      <c r="BE211" s="577"/>
      <c r="BF211" s="577"/>
      <c r="BG211" s="577"/>
      <c r="BH211" s="577"/>
      <c r="BI211" s="577"/>
      <c r="BJ211" s="577"/>
      <c r="BK211" s="577"/>
      <c r="BL211" s="577"/>
      <c r="BM211" s="577"/>
      <c r="BN211" s="577"/>
      <c r="BO211" s="577"/>
      <c r="BP211" s="577"/>
      <c r="BQ211" s="577"/>
      <c r="BR211" s="577"/>
      <c r="BS211" s="577"/>
      <c r="BT211" s="577"/>
      <c r="BU211" s="577"/>
      <c r="BV211" s="577"/>
      <c r="BW211" s="577"/>
      <c r="BX211" s="577"/>
      <c r="BY211" s="577"/>
      <c r="BZ211" s="577"/>
      <c r="CA211" s="577"/>
      <c r="CB211" s="577"/>
      <c r="CC211" s="577"/>
      <c r="CD211" s="577"/>
      <c r="CE211" s="577"/>
      <c r="CF211" s="577"/>
      <c r="CG211" s="577"/>
      <c r="CH211" s="577"/>
      <c r="CI211" s="577"/>
      <c r="CJ211" s="577"/>
      <c r="CO211" s="260"/>
      <c r="DK211" s="260"/>
      <c r="DL211" s="580"/>
      <c r="DM211" s="580"/>
      <c r="DN211" s="580"/>
      <c r="DO211" s="580"/>
      <c r="DP211" s="580"/>
      <c r="DQ211" s="580"/>
      <c r="DR211" s="580"/>
      <c r="DS211" s="580"/>
      <c r="DT211" s="580"/>
      <c r="DU211" s="580"/>
      <c r="DV211" s="580"/>
      <c r="DW211" s="580"/>
      <c r="DX211" s="580"/>
      <c r="DY211" s="580"/>
      <c r="DZ211" s="580"/>
      <c r="EA211"/>
      <c r="EB211"/>
      <c r="EC211"/>
      <c r="ED211"/>
      <c r="EE211"/>
      <c r="EF211"/>
    </row>
    <row r="212" spans="1:136" s="378" customFormat="1">
      <c r="A212" s="595" t="s">
        <v>225</v>
      </c>
      <c r="B212" s="577"/>
      <c r="C212" s="577"/>
      <c r="D212" s="577"/>
      <c r="E212" s="577"/>
      <c r="F212" s="577"/>
      <c r="G212" s="577"/>
      <c r="H212" s="577"/>
      <c r="I212" s="577"/>
      <c r="J212" s="577"/>
      <c r="K212" s="577"/>
      <c r="L212" s="577"/>
      <c r="M212" s="577"/>
      <c r="N212" s="577"/>
      <c r="Q212" s="577"/>
      <c r="R212" s="577"/>
      <c r="S212" s="577"/>
      <c r="T212" s="577"/>
      <c r="U212" s="577"/>
      <c r="V212" s="577"/>
      <c r="W212" s="577"/>
      <c r="X212" s="577"/>
      <c r="Y212" s="577"/>
      <c r="Z212" s="577"/>
      <c r="AA212" s="577"/>
      <c r="AB212" s="576"/>
      <c r="AC212" s="577"/>
      <c r="AD212" s="577"/>
      <c r="AE212" s="577"/>
      <c r="AF212" s="577"/>
      <c r="AG212" s="577"/>
      <c r="AH212" s="577"/>
      <c r="AI212" s="577"/>
      <c r="AJ212" s="577"/>
      <c r="AK212" s="577"/>
      <c r="AL212" s="577"/>
      <c r="AM212" s="577"/>
      <c r="AN212" s="577"/>
      <c r="AO212" s="577"/>
      <c r="AP212" s="577"/>
      <c r="AQ212" s="577"/>
      <c r="AR212" s="577"/>
      <c r="AS212" s="577"/>
      <c r="AT212" s="577"/>
      <c r="AU212" s="577"/>
      <c r="AV212" s="577"/>
      <c r="AW212" s="577"/>
      <c r="AX212" s="577"/>
      <c r="AY212" s="577"/>
      <c r="AZ212" s="577"/>
      <c r="BA212" s="577"/>
      <c r="BB212" s="577"/>
      <c r="BC212" s="577"/>
      <c r="BD212" s="577"/>
      <c r="BE212" s="577"/>
      <c r="BF212" s="577"/>
      <c r="BG212" s="577"/>
      <c r="BH212" s="577"/>
      <c r="BI212" s="577"/>
      <c r="BJ212" s="577"/>
      <c r="BK212" s="577"/>
      <c r="BL212" s="577"/>
      <c r="BM212" s="577"/>
      <c r="BN212" s="577"/>
      <c r="BO212" s="588">
        <v>0.06</v>
      </c>
      <c r="BP212" s="577"/>
      <c r="BQ212" s="577"/>
      <c r="BR212" s="577"/>
      <c r="BS212" s="577"/>
      <c r="BT212" s="577"/>
      <c r="BU212" s="577"/>
      <c r="BV212" s="577"/>
      <c r="BW212" s="577"/>
      <c r="BX212" s="577"/>
      <c r="BY212" s="577"/>
      <c r="BZ212" s="577"/>
      <c r="CA212" s="577"/>
      <c r="CB212" s="577"/>
      <c r="CC212" s="577"/>
      <c r="CD212" s="577"/>
      <c r="CE212" s="577"/>
      <c r="CF212" s="577"/>
      <c r="CG212" s="577"/>
      <c r="CH212" s="577"/>
      <c r="CI212" s="577"/>
      <c r="CJ212" s="577"/>
      <c r="CO212" s="260"/>
      <c r="DK212" s="260"/>
      <c r="DL212" s="580"/>
      <c r="DM212" s="580"/>
      <c r="DN212" s="580"/>
      <c r="DO212" s="580"/>
      <c r="DP212" s="580"/>
      <c r="DQ212" s="580"/>
      <c r="DR212" s="580"/>
      <c r="DS212" s="580"/>
      <c r="DT212" s="580"/>
      <c r="DU212" s="580"/>
      <c r="DV212" s="580"/>
      <c r="DW212" s="580"/>
      <c r="DX212" s="580"/>
      <c r="DY212" s="580"/>
      <c r="DZ212" s="580"/>
      <c r="EA212"/>
      <c r="EB212"/>
      <c r="EC212"/>
      <c r="ED212"/>
      <c r="EE212"/>
      <c r="EF212"/>
    </row>
    <row r="213" spans="1:136" s="378" customFormat="1" ht="11.25" customHeight="1">
      <c r="A213" s="258" t="s">
        <v>226</v>
      </c>
      <c r="B213" s="260"/>
      <c r="C213" s="260"/>
      <c r="D213" s="260"/>
      <c r="E213" s="260"/>
      <c r="F213" s="260"/>
      <c r="G213" s="260"/>
      <c r="H213" s="260"/>
      <c r="I213" s="260"/>
      <c r="J213" s="260"/>
      <c r="K213" s="260"/>
      <c r="L213" s="260"/>
      <c r="M213" s="589"/>
      <c r="N213" s="589">
        <v>4.4999999999999998E-2</v>
      </c>
      <c r="O213" s="589">
        <v>4.2999999999999997E-2</v>
      </c>
      <c r="P213" s="589">
        <v>4.2000000000000003E-2</v>
      </c>
      <c r="Q213" s="488"/>
      <c r="R213" s="260"/>
      <c r="S213" s="260"/>
      <c r="T213" s="260"/>
      <c r="U213" s="260"/>
      <c r="V213" s="260"/>
      <c r="W213" s="260"/>
      <c r="X213" s="260"/>
      <c r="Y213" s="260"/>
      <c r="Z213" s="260"/>
      <c r="AA213" s="260"/>
      <c r="AB213" s="581"/>
      <c r="AC213" s="577"/>
      <c r="AD213" s="577"/>
      <c r="AE213" s="577"/>
      <c r="AF213" s="577"/>
      <c r="AG213" s="577"/>
      <c r="AH213" s="577"/>
      <c r="AI213" s="577"/>
      <c r="AJ213" s="577"/>
      <c r="AK213" s="577"/>
      <c r="AL213" s="577"/>
      <c r="AM213" s="577"/>
      <c r="AN213" s="577"/>
      <c r="AO213" s="577"/>
      <c r="AP213" s="577"/>
      <c r="AQ213" s="577"/>
      <c r="AR213" s="577"/>
      <c r="AS213" s="577"/>
      <c r="AT213" s="577"/>
      <c r="AU213" s="577"/>
      <c r="AV213" s="577"/>
      <c r="AW213" s="577"/>
      <c r="AX213" s="577"/>
      <c r="AY213" s="577"/>
      <c r="AZ213" s="577"/>
      <c r="BA213" s="577"/>
      <c r="BB213" s="577"/>
      <c r="BC213" s="577"/>
      <c r="BD213" s="577"/>
      <c r="BE213" s="577"/>
      <c r="BF213" s="577"/>
      <c r="BG213" s="577"/>
      <c r="BH213" s="577"/>
      <c r="BI213" s="577"/>
      <c r="BJ213" s="577"/>
      <c r="BK213" s="577"/>
      <c r="BL213" s="577"/>
      <c r="BM213" s="577"/>
      <c r="BN213" s="577"/>
      <c r="BO213" s="577"/>
      <c r="BP213" s="577"/>
      <c r="BQ213" s="577"/>
      <c r="BR213" s="577"/>
      <c r="BS213" s="577"/>
      <c r="BT213" s="577"/>
      <c r="BU213" s="577"/>
      <c r="BV213" s="577"/>
      <c r="BW213" s="577"/>
      <c r="BX213" s="577"/>
      <c r="BY213" s="577"/>
      <c r="BZ213" s="577"/>
      <c r="CA213" s="577"/>
      <c r="CB213" s="577"/>
      <c r="CC213" s="577"/>
      <c r="CD213" s="577"/>
      <c r="CE213" s="577"/>
      <c r="CF213" s="577"/>
      <c r="CG213" s="577"/>
      <c r="CH213" s="577"/>
      <c r="CI213" s="577"/>
      <c r="CJ213" s="577"/>
      <c r="CO213" s="260"/>
      <c r="DK213" s="260"/>
      <c r="DL213" s="580"/>
      <c r="DM213" s="580"/>
      <c r="DN213" s="580"/>
      <c r="DO213" s="580"/>
      <c r="DP213" s="580"/>
      <c r="DQ213" s="580"/>
      <c r="DR213" s="580"/>
      <c r="DS213" s="580"/>
      <c r="DT213" s="580"/>
      <c r="DU213" s="580"/>
      <c r="DV213" s="580"/>
      <c r="DW213" s="580"/>
      <c r="DX213" s="580"/>
      <c r="DY213" s="580"/>
      <c r="DZ213" s="580"/>
      <c r="EA213"/>
      <c r="EB213"/>
      <c r="EC213"/>
      <c r="ED213"/>
      <c r="EE213"/>
      <c r="EF213"/>
    </row>
    <row r="214" spans="1:136" s="378" customFormat="1" ht="11.25" customHeight="1">
      <c r="A214" s="258" t="s">
        <v>227</v>
      </c>
      <c r="B214" s="260"/>
      <c r="C214" s="260"/>
      <c r="D214" s="260"/>
      <c r="E214" s="260"/>
      <c r="F214" s="260"/>
      <c r="G214" s="260"/>
      <c r="H214" s="260"/>
      <c r="I214" s="260"/>
      <c r="J214" s="260"/>
      <c r="K214" s="260"/>
      <c r="L214" s="260"/>
      <c r="M214" s="488">
        <v>1.0999999999999999E-2</v>
      </c>
      <c r="N214" s="488">
        <v>1.7999999999999999E-2</v>
      </c>
      <c r="O214" s="488">
        <v>2.5000000000000001E-2</v>
      </c>
      <c r="P214" s="488">
        <v>2.8000000000000001E-2</v>
      </c>
      <c r="Q214" s="488">
        <v>3.5000000000000003E-2</v>
      </c>
      <c r="R214" s="260"/>
      <c r="S214" s="260"/>
      <c r="T214" s="260"/>
      <c r="U214" s="260"/>
      <c r="V214" s="260"/>
      <c r="W214" s="260"/>
      <c r="X214" s="260"/>
      <c r="Y214" s="260"/>
      <c r="Z214" s="260"/>
      <c r="AA214" s="260"/>
      <c r="AB214" s="581"/>
      <c r="AC214" s="577"/>
      <c r="AD214" s="577"/>
      <c r="AE214" s="577"/>
      <c r="AF214" s="577"/>
      <c r="AG214" s="577"/>
      <c r="AH214" s="577"/>
      <c r="AI214" s="577"/>
      <c r="AJ214" s="577"/>
      <c r="AK214" s="577"/>
      <c r="AL214" s="577"/>
      <c r="AM214" s="577"/>
      <c r="AN214" s="577"/>
      <c r="AO214" s="577"/>
      <c r="AP214" s="577"/>
      <c r="AQ214" s="577"/>
      <c r="AR214" s="577"/>
      <c r="AS214" s="577"/>
      <c r="AT214" s="577"/>
      <c r="AU214" s="577"/>
      <c r="AV214" s="577"/>
      <c r="AW214" s="577"/>
      <c r="AX214" s="577"/>
      <c r="AY214" s="577"/>
      <c r="AZ214" s="577"/>
      <c r="BA214" s="577"/>
      <c r="BB214" s="577"/>
      <c r="BC214" s="577"/>
      <c r="BD214" s="577"/>
      <c r="BE214" s="577"/>
      <c r="BF214" s="577"/>
      <c r="BG214" s="577"/>
      <c r="BH214" s="577"/>
      <c r="BI214" s="577"/>
      <c r="BJ214" s="577"/>
      <c r="BK214" s="577"/>
      <c r="BL214" s="577"/>
      <c r="BM214" s="577"/>
      <c r="BN214" s="577"/>
      <c r="BO214" s="577"/>
      <c r="BP214" s="577"/>
      <c r="BQ214" s="577"/>
      <c r="BR214" s="577"/>
      <c r="BS214" s="577"/>
      <c r="BT214" s="577"/>
      <c r="BU214" s="488" t="s">
        <v>228</v>
      </c>
      <c r="BV214" s="577"/>
      <c r="BW214" s="577"/>
      <c r="BX214" s="577"/>
      <c r="BY214" s="488">
        <v>0.04</v>
      </c>
      <c r="BZ214" s="577"/>
      <c r="CA214" s="577"/>
      <c r="CB214" s="577"/>
      <c r="CC214" s="577"/>
      <c r="CD214" s="577"/>
      <c r="CE214" s="577"/>
      <c r="CF214" s="577"/>
      <c r="CG214" s="577"/>
      <c r="CH214" s="577"/>
      <c r="CI214" s="577"/>
      <c r="CJ214" s="577"/>
      <c r="CO214" s="260"/>
      <c r="DK214" s="260"/>
      <c r="DL214" s="580"/>
      <c r="DM214" s="580"/>
      <c r="DN214" s="580"/>
      <c r="DO214" s="580"/>
      <c r="DP214" s="580"/>
      <c r="DQ214" s="580"/>
      <c r="DR214" s="580"/>
      <c r="DS214" s="580"/>
      <c r="DT214" s="580"/>
      <c r="DU214" s="580"/>
      <c r="DV214" s="580"/>
      <c r="DW214" s="580"/>
      <c r="DX214" s="580"/>
      <c r="DY214" s="580"/>
      <c r="DZ214" s="580"/>
      <c r="EA214"/>
      <c r="EB214"/>
      <c r="EC214"/>
      <c r="ED214"/>
      <c r="EE214"/>
      <c r="EF214"/>
    </row>
    <row r="215" spans="1:136" s="378" customFormat="1">
      <c r="A215" s="597"/>
      <c r="AB215" s="590"/>
      <c r="DL215" s="591"/>
      <c r="DM215" s="591"/>
      <c r="DN215" s="591"/>
      <c r="DO215" s="591"/>
      <c r="DP215" s="591"/>
      <c r="DQ215" s="591"/>
      <c r="DR215" s="591"/>
      <c r="DS215" s="591"/>
      <c r="DT215" s="591"/>
      <c r="DU215" s="591"/>
      <c r="DV215" s="591"/>
      <c r="DW215" s="591"/>
      <c r="DX215" s="591"/>
      <c r="DY215" s="591"/>
      <c r="DZ215" s="591"/>
      <c r="EA215"/>
      <c r="EB215"/>
      <c r="EC215"/>
      <c r="ED215"/>
      <c r="EE215"/>
      <c r="EF215"/>
    </row>
    <row r="216" spans="1:136" s="378" customFormat="1">
      <c r="A216" s="595" t="s">
        <v>229</v>
      </c>
      <c r="B216" s="589"/>
      <c r="C216" s="589"/>
      <c r="D216" s="589"/>
      <c r="E216" s="589"/>
      <c r="F216" s="589"/>
      <c r="G216" s="589"/>
      <c r="H216" s="589"/>
      <c r="I216" s="589"/>
      <c r="J216" s="589">
        <v>0.18319985595903115</v>
      </c>
      <c r="K216" s="589">
        <v>-5.1408081716110679E-2</v>
      </c>
      <c r="L216" s="589">
        <v>6.71625142970734E-2</v>
      </c>
      <c r="M216" s="589">
        <v>0.16282037967877244</v>
      </c>
      <c r="N216" s="589">
        <v>6.2267851026198209E-3</v>
      </c>
      <c r="O216" s="577"/>
      <c r="P216" s="577"/>
      <c r="Q216" s="577"/>
      <c r="R216" s="577"/>
      <c r="S216" s="577"/>
      <c r="T216" s="577"/>
      <c r="U216" s="577"/>
      <c r="V216" s="577"/>
      <c r="W216" s="577"/>
      <c r="X216" s="577"/>
      <c r="Y216" s="577"/>
      <c r="Z216" s="577"/>
      <c r="AA216" s="577"/>
      <c r="AB216" s="576"/>
      <c r="AC216" s="587"/>
      <c r="AD216" s="587"/>
      <c r="AE216" s="587"/>
      <c r="AF216" s="587"/>
      <c r="AG216" s="587"/>
      <c r="AH216" s="587"/>
      <c r="AI216" s="587"/>
      <c r="AJ216" s="587"/>
      <c r="AK216" s="587"/>
      <c r="AL216" s="587"/>
      <c r="AM216" s="587"/>
      <c r="AN216" s="587"/>
      <c r="AO216" s="587"/>
      <c r="AP216" s="587"/>
      <c r="AQ216" s="587"/>
      <c r="AR216" s="587"/>
      <c r="AS216" s="587">
        <v>0.19116287604460164</v>
      </c>
      <c r="AT216" s="587">
        <v>0.14916169242606436</v>
      </c>
      <c r="AU216" s="587">
        <v>0.19357134965369052</v>
      </c>
      <c r="AV216" s="587">
        <v>0.19890350571176804</v>
      </c>
      <c r="AW216" s="587">
        <v>0.15442416110206042</v>
      </c>
      <c r="AX216" s="587">
        <v>-4.5121704570479634E-2</v>
      </c>
      <c r="AY216" s="587">
        <v>-0.14225641563848379</v>
      </c>
      <c r="AZ216" s="587">
        <v>-0.17267836775753972</v>
      </c>
      <c r="BA216" s="587">
        <v>-0.14563922348865038</v>
      </c>
      <c r="BB216" s="587">
        <v>8.7749918522577769E-2</v>
      </c>
      <c r="BC216" s="587">
        <v>0.17962263337313392</v>
      </c>
      <c r="BD216" s="587">
        <v>0.1469167287812323</v>
      </c>
      <c r="BE216" s="587"/>
      <c r="BF216" s="587"/>
      <c r="BG216" s="587"/>
      <c r="BH216" s="587"/>
      <c r="BI216" s="587"/>
      <c r="BJ216" s="587"/>
      <c r="BK216" s="587"/>
      <c r="BL216" s="587"/>
      <c r="BM216" s="587"/>
      <c r="BN216" s="587"/>
      <c r="BO216" s="592">
        <v>0.04</v>
      </c>
      <c r="BP216" s="587"/>
      <c r="BQ216" s="587"/>
      <c r="BR216" s="587"/>
      <c r="BS216" s="587"/>
      <c r="BT216" s="587"/>
      <c r="BU216" s="587"/>
      <c r="BV216" s="587"/>
      <c r="BW216" s="587"/>
      <c r="BX216" s="587"/>
      <c r="BY216" s="587"/>
      <c r="BZ216" s="587"/>
      <c r="CA216" s="587"/>
      <c r="CB216" s="587"/>
      <c r="CC216" s="587"/>
      <c r="CD216" s="587"/>
      <c r="CE216" s="587"/>
      <c r="CF216" s="587"/>
      <c r="CG216" s="587"/>
      <c r="CH216" s="587"/>
      <c r="CI216" s="587"/>
      <c r="CJ216" s="587"/>
      <c r="CO216" s="260"/>
      <c r="DK216" s="260"/>
      <c r="DL216" s="580"/>
      <c r="DM216" s="580"/>
      <c r="DN216" s="580"/>
      <c r="DO216" s="580"/>
      <c r="DP216" s="580"/>
      <c r="DQ216" s="580"/>
      <c r="DR216" s="580"/>
      <c r="DS216" s="580"/>
      <c r="DT216" s="580"/>
      <c r="DU216" s="580"/>
      <c r="DV216" s="580"/>
      <c r="DW216" s="580"/>
      <c r="DX216" s="580"/>
      <c r="DY216" s="580"/>
      <c r="DZ216" s="580"/>
      <c r="EA216"/>
      <c r="EB216"/>
      <c r="EC216"/>
      <c r="ED216"/>
      <c r="EE216"/>
      <c r="EF216"/>
    </row>
    <row r="217" spans="1:136" s="378" customFormat="1">
      <c r="A217" s="596" t="s">
        <v>230</v>
      </c>
      <c r="B217" s="593"/>
      <c r="C217" s="593"/>
      <c r="D217" s="593"/>
      <c r="E217" s="593"/>
      <c r="F217" s="593"/>
      <c r="G217" s="593"/>
      <c r="H217" s="593"/>
      <c r="I217" s="593"/>
      <c r="J217" s="593">
        <f>J219-J216</f>
        <v>-0.18319985595903115</v>
      </c>
      <c r="K217" s="593">
        <f>K219-K216</f>
        <v>5.1408081716110679E-2</v>
      </c>
      <c r="L217" s="593">
        <f>L219-L216</f>
        <v>-4.6646923177915051E-2</v>
      </c>
      <c r="M217" s="593">
        <f>M219-M216</f>
        <v>-4.7173773512413628E-2</v>
      </c>
      <c r="N217" s="593">
        <f>N219-N216</f>
        <v>4.3773214897380182E-2</v>
      </c>
      <c r="O217" s="577"/>
      <c r="P217" s="577"/>
      <c r="Q217" s="577"/>
      <c r="R217" s="577"/>
      <c r="S217" s="577"/>
      <c r="T217" s="577"/>
      <c r="U217" s="577"/>
      <c r="V217" s="577"/>
      <c r="W217" s="577"/>
      <c r="X217" s="577"/>
      <c r="Y217" s="577"/>
      <c r="Z217" s="577"/>
      <c r="AA217" s="577"/>
      <c r="AB217" s="586"/>
      <c r="AC217" s="577"/>
      <c r="AD217" s="577"/>
      <c r="AE217" s="577"/>
      <c r="AF217" s="577"/>
      <c r="AG217" s="577"/>
      <c r="AH217" s="577"/>
      <c r="AI217" s="577"/>
      <c r="AJ217" s="577"/>
      <c r="AK217" s="577"/>
      <c r="AL217" s="577"/>
      <c r="AM217" s="577"/>
      <c r="AN217" s="577"/>
      <c r="AO217" s="577"/>
      <c r="AP217" s="577"/>
      <c r="AQ217" s="577"/>
      <c r="AR217" s="577"/>
      <c r="AS217" s="577"/>
      <c r="AT217" s="577"/>
      <c r="AU217" s="577"/>
      <c r="AV217" s="577"/>
      <c r="AW217" s="577"/>
      <c r="AX217" s="577"/>
      <c r="AY217" s="577"/>
      <c r="AZ217" s="577"/>
      <c r="BA217" s="577"/>
      <c r="BB217" s="577"/>
      <c r="BC217" s="577"/>
      <c r="BD217" s="577"/>
      <c r="BE217" s="577"/>
      <c r="BF217" s="577"/>
      <c r="BG217" s="577"/>
      <c r="BH217" s="577"/>
      <c r="BI217" s="593"/>
      <c r="BJ217" s="593"/>
      <c r="BK217" s="593"/>
      <c r="BL217" s="593"/>
      <c r="BM217" s="593"/>
      <c r="BN217" s="593"/>
      <c r="BO217" s="592"/>
      <c r="BP217" s="593"/>
      <c r="BQ217" s="593"/>
      <c r="BR217" s="593"/>
      <c r="BS217" s="593"/>
      <c r="BT217" s="593"/>
      <c r="BU217" s="593"/>
      <c r="BV217" s="593"/>
      <c r="BW217" s="593"/>
      <c r="BX217" s="593"/>
      <c r="BY217" s="593"/>
      <c r="BZ217" s="593"/>
      <c r="CA217" s="593"/>
      <c r="CB217" s="593"/>
      <c r="CC217" s="593"/>
      <c r="CD217" s="593"/>
      <c r="CE217" s="593"/>
      <c r="CF217" s="593"/>
      <c r="CG217" s="593"/>
      <c r="CH217" s="593"/>
      <c r="CI217" s="593"/>
      <c r="CJ217" s="593"/>
      <c r="CO217" s="260"/>
      <c r="DK217" s="260"/>
      <c r="DL217" s="580"/>
      <c r="DM217" s="580"/>
      <c r="DN217" s="580"/>
      <c r="DO217" s="580"/>
      <c r="DP217" s="580"/>
      <c r="DQ217" s="580"/>
      <c r="DR217" s="580"/>
      <c r="DS217" s="580"/>
      <c r="DT217" s="580"/>
      <c r="DU217" s="580"/>
      <c r="DV217" s="580"/>
      <c r="DW217" s="580"/>
      <c r="DX217" s="580"/>
      <c r="DY217" s="580"/>
      <c r="DZ217" s="580"/>
      <c r="EA217"/>
      <c r="EB217"/>
      <c r="EC217"/>
      <c r="ED217"/>
      <c r="EE217"/>
      <c r="EF217"/>
    </row>
    <row r="218" spans="1:136">
      <c r="A218" s="596"/>
      <c r="B218" s="152"/>
      <c r="C218" s="152"/>
      <c r="D218" s="152"/>
      <c r="E218" s="152"/>
      <c r="F218" s="152"/>
      <c r="G218" s="152"/>
      <c r="H218" s="152"/>
      <c r="I218" s="152"/>
      <c r="J218" s="152"/>
      <c r="K218" s="152"/>
      <c r="L218" s="152"/>
      <c r="M218" s="152"/>
      <c r="N218" s="152"/>
      <c r="O218" s="152"/>
      <c r="P218" s="152"/>
      <c r="Q218" s="152"/>
      <c r="R218" s="152"/>
      <c r="S218" s="152"/>
      <c r="T218" s="152"/>
      <c r="U218" s="152"/>
      <c r="V218" s="152"/>
      <c r="W218" s="152"/>
      <c r="X218" s="152"/>
      <c r="Y218" s="152"/>
      <c r="Z218" s="152"/>
      <c r="AA218" s="152"/>
      <c r="AB218" s="206"/>
      <c r="AC218" s="152"/>
      <c r="AD218" s="152"/>
      <c r="AE218" s="152"/>
      <c r="AF218" s="152"/>
      <c r="AG218" s="152"/>
      <c r="AH218" s="152"/>
      <c r="AI218" s="152"/>
      <c r="AJ218" s="152"/>
      <c r="AK218" s="152"/>
      <c r="AL218" s="152"/>
      <c r="AM218" s="152"/>
      <c r="AN218" s="152"/>
      <c r="AO218" s="152"/>
      <c r="AP218" s="152"/>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52"/>
      <c r="BP218" s="152"/>
      <c r="BQ218" s="152"/>
      <c r="BR218" s="152"/>
      <c r="BS218" s="152"/>
      <c r="BT218" s="152"/>
      <c r="BU218" s="152"/>
      <c r="BV218" s="152"/>
      <c r="BW218" s="152"/>
      <c r="BX218" s="152"/>
      <c r="BY218" s="152"/>
      <c r="BZ218" s="152"/>
      <c r="CA218" s="152"/>
      <c r="CB218" s="152"/>
      <c r="CC218" s="152"/>
      <c r="CD218" s="152"/>
      <c r="CE218" s="152"/>
      <c r="CF218" s="152"/>
      <c r="CG218" s="152"/>
      <c r="CH218" s="152"/>
      <c r="CI218" s="152"/>
      <c r="CJ218" s="152"/>
      <c r="CO218" s="50"/>
      <c r="DK218" s="50"/>
      <c r="DL218" s="37"/>
      <c r="DM218" s="37"/>
      <c r="DN218" s="37"/>
      <c r="DO218" s="37"/>
      <c r="DP218" s="37"/>
      <c r="DQ218" s="37"/>
      <c r="DR218" s="37"/>
      <c r="DS218" s="37"/>
      <c r="DT218" s="37"/>
      <c r="DU218" s="37"/>
      <c r="DV218" s="37"/>
      <c r="DW218" s="37"/>
      <c r="DX218" s="37"/>
      <c r="DY218" s="37"/>
      <c r="DZ218" s="37"/>
    </row>
    <row r="219" spans="1:136">
      <c r="A219" s="256" t="s">
        <v>231</v>
      </c>
      <c r="B219" s="212"/>
      <c r="C219" s="212"/>
      <c r="D219" s="212"/>
      <c r="E219" s="212"/>
      <c r="F219" s="212"/>
      <c r="G219" s="212"/>
      <c r="H219" s="212"/>
      <c r="I219" s="212"/>
      <c r="J219" s="212"/>
      <c r="K219" s="212"/>
      <c r="L219" s="212">
        <f>L221/(L220*L11)</f>
        <v>2.051559111915835E-2</v>
      </c>
      <c r="M219" s="212">
        <f>M221/(L11*M220)</f>
        <v>0.11564660616635881</v>
      </c>
      <c r="N219" s="227">
        <v>0.05</v>
      </c>
      <c r="O219" s="227">
        <v>0.05</v>
      </c>
      <c r="P219" s="227">
        <v>0.05</v>
      </c>
      <c r="Q219" s="262">
        <v>0.05</v>
      </c>
      <c r="R219" s="262">
        <v>0.05</v>
      </c>
      <c r="S219" s="262">
        <v>0.05</v>
      </c>
      <c r="T219" s="262">
        <v>0.05</v>
      </c>
      <c r="U219" s="262">
        <v>0.05</v>
      </c>
      <c r="V219" s="262">
        <v>0.05</v>
      </c>
      <c r="W219" s="262">
        <v>0.05</v>
      </c>
      <c r="X219" s="262">
        <v>0.05</v>
      </c>
      <c r="Y219" s="262">
        <v>0.05</v>
      </c>
      <c r="Z219" s="262">
        <v>0.05</v>
      </c>
      <c r="AA219" s="262">
        <v>0.05</v>
      </c>
      <c r="AB219" s="228"/>
      <c r="AC219" s="152"/>
      <c r="AD219" s="152"/>
      <c r="AE219" s="152"/>
      <c r="AF219" s="152"/>
      <c r="AG219" s="152"/>
      <c r="AH219" s="152"/>
      <c r="AI219" s="152"/>
      <c r="AJ219" s="152"/>
      <c r="AK219" s="152"/>
      <c r="AL219" s="152"/>
      <c r="AM219" s="152"/>
      <c r="AN219" s="152"/>
      <c r="AO219" s="152"/>
      <c r="AP219" s="152"/>
      <c r="AQ219" s="152"/>
      <c r="AR219" s="152"/>
      <c r="AS219" s="152">
        <v>0.19116287604460164</v>
      </c>
      <c r="AT219" s="152"/>
      <c r="AU219" s="152"/>
      <c r="AV219" s="152"/>
      <c r="AW219" s="152"/>
      <c r="AX219" s="152"/>
      <c r="AY219" s="152"/>
      <c r="AZ219" s="152"/>
      <c r="BA219" s="152"/>
      <c r="BB219" s="152"/>
      <c r="BC219" s="152"/>
      <c r="BD219" s="152"/>
      <c r="BE219" s="152"/>
      <c r="BF219" s="152"/>
      <c r="BG219" s="152"/>
      <c r="BH219" s="152"/>
      <c r="BI219" s="152"/>
      <c r="BJ219" s="152"/>
      <c r="BK219" s="262"/>
      <c r="BL219" s="227"/>
      <c r="BM219" s="227"/>
      <c r="BN219" s="227"/>
      <c r="BO219" s="227"/>
      <c r="BP219" s="227"/>
      <c r="BQ219" s="227"/>
      <c r="BR219" s="227"/>
      <c r="BS219" s="227"/>
      <c r="BT219" s="227"/>
      <c r="BU219" s="227"/>
      <c r="BV219" s="227"/>
      <c r="BW219" s="227"/>
      <c r="BX219" s="227"/>
      <c r="BY219" s="227"/>
      <c r="BZ219" s="227"/>
      <c r="CA219" s="227"/>
      <c r="CB219" s="227"/>
      <c r="CC219" s="227"/>
      <c r="CD219" s="227"/>
      <c r="CE219" s="227"/>
      <c r="CF219" s="227"/>
      <c r="CG219" s="227"/>
      <c r="CH219" s="227"/>
      <c r="CI219" s="227"/>
      <c r="CJ219" s="227"/>
      <c r="CO219" s="50"/>
      <c r="DK219" s="50"/>
      <c r="DL219" s="37"/>
      <c r="DM219" s="37"/>
      <c r="DN219" s="37"/>
      <c r="DO219" s="37"/>
      <c r="DP219" s="37"/>
      <c r="DQ219" s="37"/>
      <c r="DR219" s="37"/>
      <c r="DS219" s="37"/>
      <c r="DT219" s="37"/>
      <c r="DU219" s="37"/>
      <c r="DV219" s="37"/>
      <c r="DW219" s="37"/>
      <c r="DX219" s="37"/>
      <c r="DY219" s="37"/>
      <c r="DZ219" s="37"/>
    </row>
    <row r="220" spans="1:136">
      <c r="A220" s="35" t="s">
        <v>232</v>
      </c>
      <c r="B220" s="262"/>
      <c r="C220" s="262"/>
      <c r="D220" s="262"/>
      <c r="E220" s="262"/>
      <c r="F220" s="262"/>
      <c r="G220" s="262"/>
      <c r="H220" s="262"/>
      <c r="I220" s="262"/>
      <c r="J220" s="262"/>
      <c r="K220" s="262"/>
      <c r="L220" s="262">
        <v>0.7</v>
      </c>
      <c r="M220" s="262">
        <v>0.7</v>
      </c>
      <c r="N220" s="262">
        <v>0.7</v>
      </c>
      <c r="O220" s="262">
        <v>0.7</v>
      </c>
      <c r="P220" s="262">
        <v>0.7</v>
      </c>
      <c r="Q220" s="262">
        <v>0.65</v>
      </c>
      <c r="R220" s="262">
        <v>0.65</v>
      </c>
      <c r="S220" s="262">
        <v>0.65</v>
      </c>
      <c r="T220" s="262">
        <v>0.65</v>
      </c>
      <c r="U220" s="262">
        <v>0.65</v>
      </c>
      <c r="V220" s="262">
        <v>0.65</v>
      </c>
      <c r="W220" s="262">
        <v>0.65</v>
      </c>
      <c r="X220" s="262">
        <v>0.65</v>
      </c>
      <c r="Y220" s="262">
        <v>0.65</v>
      </c>
      <c r="Z220" s="262">
        <v>0.65</v>
      </c>
      <c r="AA220" s="262">
        <v>0.65</v>
      </c>
      <c r="AB220" s="42"/>
      <c r="AC220" s="262"/>
      <c r="AD220" s="262"/>
      <c r="AE220" s="262"/>
      <c r="AF220" s="262"/>
      <c r="AG220" s="262"/>
      <c r="AH220" s="262"/>
      <c r="AI220" s="262"/>
      <c r="AJ220" s="262"/>
      <c r="AK220" s="262"/>
      <c r="AL220" s="262"/>
      <c r="AM220" s="262"/>
      <c r="AN220" s="262"/>
      <c r="AO220" s="262"/>
      <c r="AP220" s="262"/>
      <c r="AQ220" s="262"/>
      <c r="AR220" s="262"/>
      <c r="AS220" s="262"/>
      <c r="AT220" s="262"/>
      <c r="AU220" s="262"/>
      <c r="AV220" s="262"/>
      <c r="AW220" s="262"/>
      <c r="AX220" s="262"/>
      <c r="AY220" s="262"/>
      <c r="AZ220" s="262"/>
      <c r="BA220" s="262"/>
      <c r="BB220" s="262"/>
      <c r="BC220" s="262"/>
      <c r="BD220" s="262"/>
      <c r="BE220" s="262"/>
      <c r="BF220" s="262"/>
      <c r="BG220" s="262"/>
      <c r="BH220" s="262"/>
      <c r="BI220" s="262"/>
      <c r="BJ220" s="262"/>
      <c r="BK220" s="262"/>
      <c r="BL220" s="262"/>
      <c r="BM220" s="262"/>
      <c r="BN220" s="262"/>
      <c r="BO220" s="262"/>
      <c r="BP220" s="262"/>
      <c r="BQ220" s="262"/>
      <c r="BR220" s="262"/>
      <c r="BS220" s="262"/>
      <c r="BT220" s="262"/>
      <c r="BU220" s="262"/>
      <c r="BV220" s="262"/>
      <c r="BW220" s="262"/>
      <c r="BX220" s="262"/>
      <c r="BY220" s="262"/>
      <c r="BZ220" s="262"/>
      <c r="CA220" s="262"/>
      <c r="CB220" s="262"/>
      <c r="CC220" s="262"/>
      <c r="CD220" s="262"/>
      <c r="CE220" s="262"/>
      <c r="CF220" s="262"/>
      <c r="CG220" s="262"/>
      <c r="CH220" s="262"/>
      <c r="CI220" s="262"/>
      <c r="CJ220" s="262"/>
      <c r="CO220" s="50"/>
      <c r="DK220" s="50"/>
      <c r="DL220" s="37"/>
      <c r="DM220" s="37"/>
      <c r="DN220" s="37"/>
      <c r="DO220" s="37"/>
      <c r="DP220" s="37"/>
      <c r="DQ220" s="37"/>
      <c r="DR220" s="37"/>
      <c r="DS220" s="37"/>
      <c r="DT220" s="37"/>
      <c r="DU220" s="37"/>
      <c r="DV220" s="37"/>
      <c r="DW220" s="37"/>
      <c r="DX220" s="37"/>
      <c r="DY220" s="37"/>
      <c r="DZ220" s="37"/>
    </row>
    <row r="221" spans="1:136">
      <c r="A221" s="261" t="s">
        <v>233</v>
      </c>
      <c r="B221" s="159"/>
      <c r="C221" s="159"/>
      <c r="D221" s="159"/>
      <c r="E221" s="159"/>
      <c r="F221" s="159"/>
      <c r="G221" s="159"/>
      <c r="H221" s="159"/>
      <c r="I221" s="159"/>
      <c r="J221" s="159"/>
      <c r="K221" s="159"/>
      <c r="L221" s="159">
        <v>281</v>
      </c>
      <c r="M221" s="159">
        <v>1584</v>
      </c>
      <c r="N221" s="87">
        <f t="shared" ref="N221:AA221" si="274">N219*N220*N11</f>
        <v>765.7299999999999</v>
      </c>
      <c r="O221" s="87">
        <f t="shared" si="274"/>
        <v>775.21499999999992</v>
      </c>
      <c r="P221" s="87">
        <f t="shared" si="274"/>
        <v>658.4899999999999</v>
      </c>
      <c r="Q221" s="257">
        <f t="shared" si="274"/>
        <v>517.30250000000001</v>
      </c>
      <c r="R221" s="257">
        <f t="shared" si="274"/>
        <v>493.09000000000003</v>
      </c>
      <c r="S221" s="257">
        <f t="shared" si="274"/>
        <v>502.09250000000003</v>
      </c>
      <c r="T221" s="257">
        <f t="shared" ca="1" si="274"/>
        <v>523.84360798820762</v>
      </c>
      <c r="U221" s="257">
        <f t="shared" ca="1" si="274"/>
        <v>531.9711640370507</v>
      </c>
      <c r="V221" s="257">
        <f t="shared" ca="1" si="274"/>
        <v>542.63646797326749</v>
      </c>
      <c r="W221" s="257">
        <f t="shared" ca="1" si="274"/>
        <v>558.16353584994056</v>
      </c>
      <c r="X221" s="257">
        <f t="shared" ca="1" si="274"/>
        <v>574.05375717554045</v>
      </c>
      <c r="Y221" s="257">
        <f t="shared" ca="1" si="274"/>
        <v>589.88007496213106</v>
      </c>
      <c r="Z221" s="257">
        <f t="shared" ca="1" si="274"/>
        <v>606.19647502346868</v>
      </c>
      <c r="AA221" s="257">
        <f t="shared" ca="1" si="274"/>
        <v>622.54684536630441</v>
      </c>
      <c r="AB221" s="206"/>
      <c r="AC221" s="159"/>
      <c r="AD221" s="159"/>
      <c r="AE221" s="159"/>
      <c r="AF221" s="159"/>
      <c r="AG221" s="159"/>
      <c r="AH221" s="159"/>
      <c r="AI221" s="159"/>
      <c r="AJ221" s="159"/>
      <c r="AK221" s="159"/>
      <c r="AL221" s="159"/>
      <c r="AM221" s="159"/>
      <c r="AN221" s="159"/>
      <c r="AO221" s="159"/>
      <c r="AP221" s="159"/>
      <c r="AQ221" s="159"/>
      <c r="AR221" s="159"/>
      <c r="AS221" s="159"/>
      <c r="AT221" s="159"/>
      <c r="AU221" s="159"/>
      <c r="AV221" s="159"/>
      <c r="AW221" s="159"/>
      <c r="AX221" s="159"/>
      <c r="AY221" s="159"/>
      <c r="AZ221" s="159"/>
      <c r="BA221" s="159"/>
      <c r="BB221" s="159"/>
      <c r="BC221" s="159"/>
      <c r="BD221" s="159"/>
      <c r="BE221" s="159"/>
      <c r="BF221" s="159"/>
      <c r="BG221" s="159"/>
      <c r="BH221" s="159"/>
      <c r="BI221" s="159"/>
      <c r="BJ221" s="159"/>
      <c r="BK221" s="87"/>
      <c r="BL221" s="87"/>
      <c r="BM221" s="87"/>
      <c r="BN221" s="87"/>
      <c r="BO221" s="87"/>
      <c r="BP221" s="87"/>
      <c r="BQ221" s="87"/>
      <c r="BR221" s="87"/>
      <c r="BS221" s="87"/>
      <c r="BT221" s="87"/>
      <c r="BU221" s="87"/>
      <c r="BV221" s="87"/>
      <c r="BW221" s="87"/>
      <c r="BX221" s="87"/>
      <c r="BY221" s="87"/>
      <c r="BZ221" s="87"/>
      <c r="CA221" s="87"/>
      <c r="CB221" s="87"/>
      <c r="CC221" s="87"/>
      <c r="CD221" s="87"/>
      <c r="CE221" s="87"/>
      <c r="CF221" s="87"/>
      <c r="CG221" s="87"/>
      <c r="CH221" s="87"/>
      <c r="CI221" s="87"/>
      <c r="CJ221" s="87"/>
      <c r="CO221" s="39"/>
      <c r="DK221" s="50"/>
      <c r="DL221" s="37"/>
      <c r="DM221" s="37"/>
      <c r="DN221" s="37"/>
      <c r="DO221" s="37"/>
      <c r="DP221" s="37"/>
      <c r="DQ221" s="37"/>
      <c r="DR221" s="37"/>
      <c r="DS221" s="37"/>
      <c r="DT221" s="37"/>
      <c r="DU221" s="37"/>
      <c r="DV221" s="37"/>
      <c r="DW221" s="37"/>
      <c r="DX221" s="37"/>
      <c r="DY221" s="37"/>
      <c r="DZ221" s="37"/>
    </row>
    <row r="222" spans="1:136">
      <c r="A222" s="261"/>
      <c r="B222" s="152"/>
      <c r="C222" s="152"/>
      <c r="D222" s="152"/>
      <c r="E222" s="152"/>
      <c r="F222" s="152"/>
      <c r="G222" s="152"/>
      <c r="H222" s="152"/>
      <c r="I222" s="152"/>
      <c r="J222" s="152"/>
      <c r="K222" s="152"/>
      <c r="L222" s="152"/>
      <c r="M222" s="152"/>
      <c r="N222" s="152"/>
      <c r="O222" s="152"/>
      <c r="P222" s="152"/>
      <c r="Q222" s="152"/>
      <c r="R222" s="152"/>
      <c r="S222" s="152"/>
      <c r="T222" s="152"/>
      <c r="U222" s="152"/>
      <c r="V222" s="152"/>
      <c r="W222" s="152"/>
      <c r="X222" s="152"/>
      <c r="Y222" s="152"/>
      <c r="Z222" s="152"/>
      <c r="AA222" s="152"/>
      <c r="AB222" s="206"/>
      <c r="AC222" s="152"/>
      <c r="AD222" s="152"/>
      <c r="AE222" s="152"/>
      <c r="AF222" s="152"/>
      <c r="AG222" s="152"/>
      <c r="AH222" s="152"/>
      <c r="AI222" s="152"/>
      <c r="AJ222" s="152"/>
      <c r="AK222" s="152"/>
      <c r="AL222" s="152"/>
      <c r="AM222" s="152"/>
      <c r="AN222" s="152"/>
      <c r="AO222" s="152"/>
      <c r="AP222" s="152"/>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52"/>
      <c r="BP222" s="152"/>
      <c r="BQ222" s="152"/>
      <c r="BR222" s="152"/>
      <c r="BS222" s="152"/>
      <c r="BT222" s="152"/>
      <c r="BU222" s="152"/>
      <c r="BV222" s="152"/>
      <c r="BW222" s="152"/>
      <c r="BX222" s="152"/>
      <c r="BY222" s="152"/>
      <c r="BZ222" s="152"/>
      <c r="CA222" s="152"/>
      <c r="CB222" s="152"/>
      <c r="CC222" s="152"/>
      <c r="CD222" s="152"/>
      <c r="CE222" s="152"/>
      <c r="CF222" s="152"/>
      <c r="CG222" s="152"/>
      <c r="CH222" s="152"/>
      <c r="CI222" s="152"/>
      <c r="CJ222" s="152"/>
      <c r="CO222" s="50"/>
      <c r="DK222" s="50"/>
      <c r="DL222" s="37"/>
      <c r="DM222" s="37"/>
      <c r="DN222" s="37"/>
      <c r="DO222" s="37"/>
      <c r="DP222" s="37"/>
      <c r="DQ222" s="37"/>
      <c r="DR222" s="37"/>
      <c r="DS222" s="37"/>
      <c r="DT222" s="37"/>
      <c r="DU222" s="37"/>
      <c r="DV222" s="37"/>
      <c r="DW222" s="37"/>
      <c r="DX222" s="37"/>
      <c r="DY222" s="37"/>
      <c r="DZ222" s="37"/>
    </row>
    <row r="223" spans="1:136">
      <c r="A223" s="256" t="s">
        <v>234</v>
      </c>
      <c r="B223" s="262"/>
      <c r="C223" s="262"/>
      <c r="D223" s="262"/>
      <c r="E223" s="262"/>
      <c r="F223" s="262"/>
      <c r="G223" s="262"/>
      <c r="H223" s="262"/>
      <c r="I223" s="262"/>
      <c r="J223" s="262"/>
      <c r="K223" s="262">
        <v>7.3999999999999996E-2</v>
      </c>
      <c r="L223" s="262">
        <v>0.09</v>
      </c>
      <c r="M223" s="262">
        <v>0.105</v>
      </c>
      <c r="N223" s="152"/>
      <c r="O223" s="152"/>
      <c r="P223" s="152"/>
      <c r="Q223" s="152"/>
      <c r="R223" s="152"/>
      <c r="S223" s="152"/>
      <c r="T223" s="152"/>
      <c r="U223" s="152"/>
      <c r="V223" s="152"/>
      <c r="W223" s="152"/>
      <c r="X223" s="152"/>
      <c r="Y223" s="152"/>
      <c r="Z223" s="152"/>
      <c r="AA223" s="152"/>
      <c r="AB223" s="228"/>
      <c r="AC223" s="152"/>
      <c r="AD223" s="152"/>
      <c r="AE223" s="152"/>
      <c r="AF223" s="152"/>
      <c r="AG223" s="152"/>
      <c r="AH223" s="152"/>
      <c r="AI223" s="152"/>
      <c r="AJ223" s="152"/>
      <c r="AK223" s="152"/>
      <c r="AL223" s="152"/>
      <c r="AM223" s="152"/>
      <c r="AN223" s="152"/>
      <c r="AO223" s="152"/>
      <c r="AP223" s="152"/>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52"/>
      <c r="BP223" s="152"/>
      <c r="BQ223" s="152"/>
      <c r="BR223" s="152"/>
      <c r="BS223" s="152"/>
      <c r="BT223" s="152"/>
      <c r="BU223" s="152"/>
      <c r="BV223" s="152"/>
      <c r="BW223" s="152"/>
      <c r="BX223" s="152"/>
      <c r="BY223" s="152"/>
      <c r="BZ223" s="152"/>
      <c r="CA223" s="152"/>
      <c r="CB223" s="152"/>
      <c r="CC223" s="152"/>
      <c r="CD223" s="152"/>
      <c r="CE223" s="152"/>
      <c r="CF223" s="152"/>
      <c r="CG223" s="152"/>
      <c r="CH223" s="152"/>
      <c r="CI223" s="152"/>
      <c r="CJ223" s="152"/>
      <c r="CO223" s="50"/>
      <c r="DK223" s="50"/>
      <c r="DL223" s="37"/>
      <c r="DM223" s="37"/>
      <c r="DN223" s="37"/>
      <c r="DO223" s="37"/>
      <c r="DP223" s="37"/>
      <c r="DQ223" s="37"/>
      <c r="DR223" s="37"/>
      <c r="DS223" s="37"/>
      <c r="DT223" s="37"/>
      <c r="DU223" s="37"/>
      <c r="DV223" s="37"/>
      <c r="DW223" s="37"/>
      <c r="DX223" s="37"/>
      <c r="DY223" s="37"/>
      <c r="DZ223" s="37"/>
    </row>
    <row r="224" spans="1:136">
      <c r="A224" s="261"/>
      <c r="B224" s="152"/>
      <c r="C224" s="152"/>
      <c r="D224" s="152"/>
      <c r="E224" s="152"/>
      <c r="F224" s="152"/>
      <c r="G224" s="152"/>
      <c r="H224" s="152"/>
      <c r="I224" s="152"/>
      <c r="J224" s="152"/>
      <c r="K224" s="152"/>
      <c r="L224" s="152"/>
      <c r="M224" s="152"/>
      <c r="N224" s="152"/>
      <c r="O224" s="152"/>
      <c r="P224" s="152"/>
      <c r="Q224" s="152"/>
      <c r="R224" s="152"/>
      <c r="S224" s="152"/>
      <c r="T224" s="152"/>
      <c r="U224" s="152"/>
      <c r="V224" s="152"/>
      <c r="W224" s="152"/>
      <c r="X224" s="152"/>
      <c r="Y224" s="152"/>
      <c r="Z224" s="152"/>
      <c r="AA224" s="152"/>
      <c r="AB224" s="206"/>
      <c r="AC224" s="152"/>
      <c r="AD224" s="152"/>
      <c r="AE224" s="152"/>
      <c r="AF224" s="152"/>
      <c r="AG224" s="152"/>
      <c r="AH224" s="152"/>
      <c r="AI224" s="152"/>
      <c r="AJ224" s="152"/>
      <c r="AK224" s="152"/>
      <c r="AL224" s="152"/>
      <c r="AM224" s="152"/>
      <c r="AN224" s="152"/>
      <c r="AO224" s="152"/>
      <c r="AP224" s="152"/>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52"/>
      <c r="BP224" s="152"/>
      <c r="BQ224" s="152"/>
      <c r="BR224" s="152"/>
      <c r="BS224" s="152"/>
      <c r="BT224" s="152"/>
      <c r="BU224" s="152"/>
      <c r="BV224" s="152"/>
      <c r="BW224" s="152"/>
      <c r="BX224" s="152"/>
      <c r="BY224" s="152"/>
      <c r="BZ224" s="152"/>
      <c r="CA224" s="152"/>
      <c r="CB224" s="152"/>
      <c r="CC224" s="152"/>
      <c r="CD224" s="152"/>
      <c r="CE224" s="152"/>
      <c r="CF224" s="152"/>
      <c r="CG224" s="152"/>
      <c r="CH224" s="152"/>
      <c r="CI224" s="152"/>
      <c r="CJ224" s="152"/>
      <c r="CO224" s="50"/>
      <c r="DK224" s="50"/>
      <c r="DL224" s="37"/>
      <c r="DM224" s="37"/>
      <c r="DN224" s="37"/>
      <c r="DO224" s="37"/>
      <c r="DP224" s="37"/>
      <c r="DQ224" s="37"/>
      <c r="DR224" s="37"/>
      <c r="DS224" s="37"/>
      <c r="DT224" s="37"/>
      <c r="DU224" s="37"/>
      <c r="DV224" s="37"/>
      <c r="DW224" s="37"/>
      <c r="DX224" s="37"/>
      <c r="DY224" s="37"/>
      <c r="DZ224" s="37"/>
    </row>
    <row r="225" spans="1:130">
      <c r="A225" s="256" t="s">
        <v>235</v>
      </c>
      <c r="B225" s="87"/>
      <c r="C225" s="87"/>
      <c r="D225" s="87"/>
      <c r="E225" s="87"/>
      <c r="F225" s="87"/>
      <c r="G225" s="87"/>
      <c r="H225" s="87"/>
      <c r="I225" s="87"/>
      <c r="J225" s="87"/>
      <c r="K225" s="87"/>
      <c r="L225" s="87">
        <f>L226*750</f>
        <v>187.5</v>
      </c>
      <c r="M225" s="87">
        <f>M226*750</f>
        <v>600</v>
      </c>
      <c r="N225" s="159">
        <v>800</v>
      </c>
      <c r="O225" s="152"/>
      <c r="P225" s="152"/>
      <c r="Q225" s="152"/>
      <c r="R225" s="152"/>
      <c r="S225" s="152"/>
      <c r="T225" s="152"/>
      <c r="U225" s="152"/>
      <c r="V225" s="152"/>
      <c r="W225" s="152"/>
      <c r="X225" s="152"/>
      <c r="Y225" s="152"/>
      <c r="Z225" s="152"/>
      <c r="AA225" s="152"/>
      <c r="AB225" s="228"/>
      <c r="AC225" s="152"/>
      <c r="AD225" s="152"/>
      <c r="AE225" s="152"/>
      <c r="AF225" s="152"/>
      <c r="AG225" s="152"/>
      <c r="AH225" s="152"/>
      <c r="AI225" s="152"/>
      <c r="AJ225" s="152"/>
      <c r="AK225" s="152"/>
      <c r="AL225" s="152"/>
      <c r="AM225" s="152"/>
      <c r="AN225" s="152"/>
      <c r="AO225" s="152"/>
      <c r="AP225" s="152"/>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52"/>
      <c r="BP225" s="152"/>
      <c r="BQ225" s="152"/>
      <c r="BR225" s="152"/>
      <c r="BS225" s="152"/>
      <c r="BT225" s="152"/>
      <c r="BU225" s="152"/>
      <c r="BV225" s="152"/>
      <c r="BW225" s="152"/>
      <c r="BX225" s="152"/>
      <c r="BY225" s="152"/>
      <c r="BZ225" s="152"/>
      <c r="CA225" s="152"/>
      <c r="CB225" s="152"/>
      <c r="CC225" s="152"/>
      <c r="CD225" s="152"/>
      <c r="CE225" s="152"/>
      <c r="CF225" s="152"/>
      <c r="CG225" s="152"/>
      <c r="CH225" s="152"/>
      <c r="CI225" s="152"/>
      <c r="CJ225" s="152"/>
      <c r="CO225" s="50"/>
      <c r="DK225" s="50"/>
      <c r="DL225" s="37"/>
      <c r="DM225" s="37"/>
      <c r="DN225" s="37"/>
      <c r="DO225" s="37"/>
      <c r="DP225" s="37"/>
      <c r="DQ225" s="37"/>
      <c r="DR225" s="37"/>
      <c r="DS225" s="37"/>
      <c r="DT225" s="37"/>
      <c r="DU225" s="37"/>
      <c r="DV225" s="37"/>
      <c r="DW225" s="37"/>
      <c r="DX225" s="37"/>
      <c r="DY225" s="37"/>
      <c r="DZ225" s="37"/>
    </row>
    <row r="226" spans="1:130">
      <c r="A226" s="261" t="s">
        <v>236</v>
      </c>
      <c r="B226" s="263"/>
      <c r="C226" s="263"/>
      <c r="D226" s="263"/>
      <c r="E226" s="263"/>
      <c r="F226" s="263"/>
      <c r="G226" s="263"/>
      <c r="H226" s="263"/>
      <c r="I226" s="263"/>
      <c r="J226" s="263"/>
      <c r="K226" s="263"/>
      <c r="L226" s="263">
        <v>0.25</v>
      </c>
      <c r="M226" s="263">
        <v>0.8</v>
      </c>
      <c r="N226" s="193">
        <f>N225/750</f>
        <v>1.0666666666666667</v>
      </c>
      <c r="O226" s="152"/>
      <c r="P226" s="152"/>
      <c r="Q226" s="152"/>
      <c r="R226" s="152"/>
      <c r="S226" s="152"/>
      <c r="T226" s="152"/>
      <c r="U226" s="152"/>
      <c r="V226" s="152"/>
      <c r="W226" s="152"/>
      <c r="X226" s="152"/>
      <c r="Y226" s="152"/>
      <c r="Z226" s="152"/>
      <c r="AA226" s="152"/>
      <c r="AB226" s="206"/>
      <c r="AC226" s="152"/>
      <c r="AD226" s="152"/>
      <c r="AE226" s="152"/>
      <c r="AF226" s="152"/>
      <c r="AG226" s="152"/>
      <c r="AH226" s="152"/>
      <c r="AI226" s="152"/>
      <c r="AJ226" s="152"/>
      <c r="AK226" s="152"/>
      <c r="AL226" s="152"/>
      <c r="AM226" s="152"/>
      <c r="AN226" s="152"/>
      <c r="AO226" s="152"/>
      <c r="AP226" s="152"/>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52"/>
      <c r="BP226" s="152"/>
      <c r="BQ226" s="152"/>
      <c r="BR226" s="152"/>
      <c r="BS226" s="152"/>
      <c r="BT226" s="152"/>
      <c r="BU226" s="152"/>
      <c r="BV226" s="152"/>
      <c r="BW226" s="152"/>
      <c r="BX226" s="152"/>
      <c r="BY226" s="152"/>
      <c r="BZ226" s="152"/>
      <c r="CA226" s="152"/>
      <c r="CB226" s="152"/>
      <c r="CC226" s="152"/>
      <c r="CD226" s="152"/>
      <c r="CE226" s="152"/>
      <c r="CF226" s="152"/>
      <c r="CG226" s="152"/>
      <c r="CH226" s="152"/>
      <c r="CI226" s="152"/>
      <c r="CJ226" s="152"/>
      <c r="CO226" s="50"/>
      <c r="DK226" s="50"/>
      <c r="DL226" s="37"/>
      <c r="DM226" s="37"/>
      <c r="DN226" s="37"/>
      <c r="DO226" s="37"/>
      <c r="DP226" s="37"/>
      <c r="DQ226" s="37"/>
      <c r="DR226" s="37"/>
      <c r="DS226" s="37"/>
      <c r="DT226" s="37"/>
      <c r="DU226" s="37"/>
      <c r="DV226" s="37"/>
      <c r="DW226" s="37"/>
      <c r="DX226" s="37"/>
      <c r="DY226" s="37"/>
      <c r="DZ226" s="37"/>
    </row>
    <row r="227" spans="1:130">
      <c r="A227" s="261" t="s">
        <v>237</v>
      </c>
      <c r="B227" s="152"/>
      <c r="C227" s="152"/>
      <c r="D227" s="152"/>
      <c r="E227" s="152"/>
      <c r="F227" s="152"/>
      <c r="G227" s="152"/>
      <c r="H227" s="152"/>
      <c r="I227" s="152"/>
      <c r="J227" s="152"/>
      <c r="K227" s="152"/>
      <c r="L227" s="152">
        <f>L225/K28</f>
        <v>7.3558258140447239E-2</v>
      </c>
      <c r="M227" s="152">
        <f>(M225-L225)/L28</f>
        <v>0.11778983438035408</v>
      </c>
      <c r="N227" s="152">
        <f>(N225-M225)/M28</f>
        <v>4.8816206980717598E-2</v>
      </c>
      <c r="O227" s="152"/>
      <c r="P227" s="152"/>
      <c r="Q227" s="152"/>
      <c r="R227" s="152"/>
      <c r="S227" s="152"/>
      <c r="T227" s="152"/>
      <c r="U227" s="152"/>
      <c r="V227" s="152"/>
      <c r="W227" s="152"/>
      <c r="X227" s="152"/>
      <c r="Y227" s="152"/>
      <c r="Z227" s="152"/>
      <c r="AA227" s="152"/>
      <c r="AB227" s="206"/>
      <c r="AC227" s="152"/>
      <c r="AD227" s="152"/>
      <c r="AE227" s="152"/>
      <c r="AF227" s="152"/>
      <c r="AG227" s="152"/>
      <c r="AH227" s="152"/>
      <c r="AI227" s="152"/>
      <c r="AJ227" s="152"/>
      <c r="AK227" s="152"/>
      <c r="AL227" s="152"/>
      <c r="AM227" s="152"/>
      <c r="AN227" s="152"/>
      <c r="AO227" s="152"/>
      <c r="AP227" s="152"/>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52"/>
      <c r="BP227" s="152"/>
      <c r="BQ227" s="152"/>
      <c r="BR227" s="152"/>
      <c r="BS227" s="152"/>
      <c r="BT227" s="152"/>
      <c r="BU227" s="152"/>
      <c r="BV227" s="152"/>
      <c r="BW227" s="152"/>
      <c r="BX227" s="152"/>
      <c r="BY227" s="152"/>
      <c r="BZ227" s="152"/>
      <c r="CA227" s="152"/>
      <c r="CB227" s="152"/>
      <c r="CC227" s="152"/>
      <c r="CD227" s="152"/>
      <c r="CE227" s="152"/>
      <c r="CF227" s="152"/>
      <c r="CG227" s="152"/>
      <c r="CH227" s="152"/>
      <c r="CI227" s="152"/>
      <c r="CJ227" s="152"/>
      <c r="CO227" s="50"/>
      <c r="DK227" s="50"/>
      <c r="DL227" s="37"/>
      <c r="DM227" s="37"/>
      <c r="DN227" s="37"/>
      <c r="DO227" s="37"/>
      <c r="DP227" s="37"/>
      <c r="DQ227" s="37"/>
      <c r="DR227" s="37"/>
      <c r="DS227" s="37"/>
      <c r="DT227" s="37"/>
      <c r="DU227" s="37"/>
      <c r="DV227" s="37"/>
      <c r="DW227" s="37"/>
      <c r="DX227" s="37"/>
      <c r="DY227" s="37"/>
      <c r="DZ227" s="37"/>
    </row>
    <row r="228" spans="1:130">
      <c r="A228" s="261" t="s">
        <v>238</v>
      </c>
      <c r="B228" s="152"/>
      <c r="C228" s="152"/>
      <c r="D228" s="152"/>
      <c r="E228" s="152"/>
      <c r="F228" s="152"/>
      <c r="G228" s="152"/>
      <c r="H228" s="152"/>
      <c r="I228" s="152"/>
      <c r="J228" s="152"/>
      <c r="K228" s="152"/>
      <c r="L228" s="152">
        <f>L225*0.5/K28</f>
        <v>3.6779129070223619E-2</v>
      </c>
      <c r="M228" s="152">
        <f>(M225-L225)*0.5/L28</f>
        <v>5.8894917190177039E-2</v>
      </c>
      <c r="N228" s="152">
        <f>(N225-M225)*0.5/M28</f>
        <v>2.4408103490358799E-2</v>
      </c>
      <c r="O228" s="152"/>
      <c r="P228" s="152"/>
      <c r="Q228" s="152"/>
      <c r="R228" s="152"/>
      <c r="S228" s="152"/>
      <c r="T228" s="152"/>
      <c r="U228" s="152"/>
      <c r="V228" s="152"/>
      <c r="W228" s="152"/>
      <c r="X228" s="152"/>
      <c r="Y228" s="152"/>
      <c r="Z228" s="152"/>
      <c r="AA228" s="152"/>
      <c r="AB228" s="206"/>
      <c r="AC228" s="152"/>
      <c r="AD228" s="152"/>
      <c r="AE228" s="152"/>
      <c r="AF228" s="152"/>
      <c r="AG228" s="152"/>
      <c r="AH228" s="152"/>
      <c r="AI228" s="152"/>
      <c r="AJ228" s="152"/>
      <c r="AK228" s="152"/>
      <c r="AL228" s="152"/>
      <c r="AM228" s="152"/>
      <c r="AN228" s="152"/>
      <c r="AO228" s="152"/>
      <c r="AP228" s="152"/>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52"/>
      <c r="BP228" s="152"/>
      <c r="BQ228" s="152"/>
      <c r="BR228" s="152"/>
      <c r="BS228" s="152"/>
      <c r="BT228" s="152"/>
      <c r="BU228" s="152"/>
      <c r="BV228" s="152"/>
      <c r="BW228" s="152"/>
      <c r="BX228" s="152"/>
      <c r="BY228" s="152"/>
      <c r="BZ228" s="152"/>
      <c r="CA228" s="152"/>
      <c r="CB228" s="152"/>
      <c r="CC228" s="152"/>
      <c r="CD228" s="152"/>
      <c r="CE228" s="152"/>
      <c r="CF228" s="152"/>
      <c r="CG228" s="152"/>
      <c r="CH228" s="152"/>
      <c r="CI228" s="152"/>
      <c r="CJ228" s="152"/>
      <c r="CO228" s="50"/>
      <c r="DK228" s="50"/>
      <c r="DL228" s="37"/>
      <c r="DM228" s="37"/>
      <c r="DN228" s="37"/>
      <c r="DO228" s="37"/>
      <c r="DP228" s="37"/>
      <c r="DQ228" s="37"/>
      <c r="DR228" s="37"/>
      <c r="DS228" s="37"/>
      <c r="DT228" s="37"/>
      <c r="DU228" s="37"/>
      <c r="DV228" s="37"/>
      <c r="DW228" s="37"/>
      <c r="DX228" s="37"/>
      <c r="DY228" s="37"/>
      <c r="DZ228" s="37"/>
    </row>
    <row r="229" spans="1:130">
      <c r="A229" s="261" t="s">
        <v>239</v>
      </c>
      <c r="B229" s="193"/>
      <c r="C229" s="193"/>
      <c r="D229" s="193"/>
      <c r="E229" s="193"/>
      <c r="F229" s="193"/>
      <c r="G229" s="193"/>
      <c r="H229" s="193"/>
      <c r="I229" s="193"/>
      <c r="J229" s="193"/>
      <c r="K229" s="193"/>
      <c r="L229" s="193"/>
      <c r="M229" s="193"/>
      <c r="N229" s="193"/>
      <c r="O229" s="152"/>
      <c r="P229" s="152"/>
      <c r="Q229" s="152"/>
      <c r="R229" s="152"/>
      <c r="S229" s="152"/>
      <c r="T229" s="152"/>
      <c r="U229" s="152"/>
      <c r="V229" s="152"/>
      <c r="W229" s="152"/>
      <c r="X229" s="152"/>
      <c r="Y229" s="152"/>
      <c r="Z229" s="152"/>
      <c r="AA229" s="152"/>
      <c r="AB229" s="206"/>
      <c r="AC229" s="152"/>
      <c r="AD229" s="152"/>
      <c r="AE229" s="152"/>
      <c r="AF229" s="152"/>
      <c r="AG229" s="152"/>
      <c r="AH229" s="152"/>
      <c r="AI229" s="152"/>
      <c r="AJ229" s="152"/>
      <c r="AK229" s="152"/>
      <c r="AL229" s="152"/>
      <c r="AM229" s="152"/>
      <c r="AN229" s="152"/>
      <c r="AO229" s="152"/>
      <c r="AP229" s="152"/>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52"/>
      <c r="BP229" s="152"/>
      <c r="BQ229" s="152"/>
      <c r="BR229" s="152"/>
      <c r="BS229" s="152"/>
      <c r="BT229" s="152"/>
      <c r="BU229" s="152"/>
      <c r="BV229" s="152"/>
      <c r="BW229" s="152"/>
      <c r="BX229" s="152"/>
      <c r="BY229" s="152"/>
      <c r="BZ229" s="152"/>
      <c r="CA229" s="152"/>
      <c r="CB229" s="152"/>
      <c r="CC229" s="152"/>
      <c r="CD229" s="152"/>
      <c r="CE229" s="152"/>
      <c r="CF229" s="152"/>
      <c r="CG229" s="152"/>
      <c r="CH229" s="152"/>
      <c r="CI229" s="152"/>
      <c r="CJ229" s="152"/>
      <c r="CO229" s="50"/>
      <c r="DK229" s="50"/>
      <c r="DL229" s="37"/>
      <c r="DM229" s="37"/>
      <c r="DN229" s="37"/>
      <c r="DO229" s="37"/>
      <c r="DP229" s="37"/>
      <c r="DQ229" s="37"/>
      <c r="DR229" s="37"/>
      <c r="DS229" s="37"/>
      <c r="DT229" s="37"/>
      <c r="DU229" s="37"/>
      <c r="DV229" s="37"/>
      <c r="DW229" s="37"/>
      <c r="DX229" s="37"/>
      <c r="DY229" s="37"/>
      <c r="DZ229" s="37"/>
    </row>
    <row r="230" spans="1:130">
      <c r="A230" s="261"/>
      <c r="B230" s="152"/>
      <c r="C230" s="152"/>
      <c r="D230" s="152"/>
      <c r="E230" s="152"/>
      <c r="F230" s="152"/>
      <c r="G230" s="152"/>
      <c r="H230" s="152"/>
      <c r="I230" s="152"/>
      <c r="J230" s="152"/>
      <c r="K230" s="152"/>
      <c r="L230" s="152"/>
      <c r="M230" s="152"/>
      <c r="N230" s="152"/>
      <c r="O230" s="152"/>
      <c r="P230" s="152"/>
      <c r="Q230" s="152"/>
      <c r="R230" s="152"/>
      <c r="S230" s="152"/>
      <c r="T230" s="152"/>
      <c r="U230" s="152"/>
      <c r="V230" s="152"/>
      <c r="W230" s="152"/>
      <c r="X230" s="152"/>
      <c r="Y230" s="152"/>
      <c r="Z230" s="152"/>
      <c r="AA230" s="152"/>
      <c r="AB230" s="206"/>
      <c r="AC230" s="152"/>
      <c r="AD230" s="152"/>
      <c r="AE230" s="152"/>
      <c r="AF230" s="152"/>
      <c r="AG230" s="152"/>
      <c r="AH230" s="152"/>
      <c r="AI230" s="152"/>
      <c r="AJ230" s="152"/>
      <c r="AK230" s="152"/>
      <c r="AL230" s="152"/>
      <c r="AM230" s="152"/>
      <c r="AN230" s="152"/>
      <c r="AO230" s="152"/>
      <c r="AP230" s="152"/>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52"/>
      <c r="BP230" s="152"/>
      <c r="BQ230" s="152"/>
      <c r="BR230" s="152"/>
      <c r="BS230" s="152"/>
      <c r="BT230" s="152"/>
      <c r="BU230" s="152"/>
      <c r="BV230" s="152"/>
      <c r="BW230" s="152"/>
      <c r="BX230" s="152"/>
      <c r="BY230" s="152"/>
      <c r="BZ230" s="152"/>
      <c r="CA230" s="152"/>
      <c r="CB230" s="152"/>
      <c r="CC230" s="152"/>
      <c r="CD230" s="152"/>
      <c r="CE230" s="152"/>
      <c r="CF230" s="152"/>
      <c r="CG230" s="152"/>
      <c r="CH230" s="152"/>
      <c r="CI230" s="152"/>
      <c r="CJ230" s="152"/>
      <c r="CO230" s="50"/>
      <c r="DK230" s="50"/>
      <c r="DL230" s="37"/>
      <c r="DM230" s="37"/>
      <c r="DN230" s="37"/>
      <c r="DO230" s="37"/>
      <c r="DP230" s="37"/>
      <c r="DQ230" s="37"/>
      <c r="DR230" s="37"/>
      <c r="DS230" s="37"/>
      <c r="DT230" s="37"/>
      <c r="DU230" s="37"/>
      <c r="DV230" s="37"/>
      <c r="DW230" s="37"/>
      <c r="DX230" s="37"/>
      <c r="DY230" s="37"/>
      <c r="DZ230" s="37"/>
    </row>
    <row r="231" spans="1:130">
      <c r="A231" s="256" t="s">
        <v>240</v>
      </c>
      <c r="B231" s="159"/>
      <c r="C231" s="159"/>
      <c r="D231" s="159"/>
      <c r="E231" s="159"/>
      <c r="F231" s="159"/>
      <c r="G231" s="159"/>
      <c r="H231" s="159"/>
      <c r="I231" s="159"/>
      <c r="J231" s="159"/>
      <c r="K231" s="159"/>
      <c r="L231" s="159">
        <v>100</v>
      </c>
      <c r="M231" s="159">
        <v>300</v>
      </c>
      <c r="N231" s="159">
        <v>400</v>
      </c>
      <c r="O231" s="159">
        <f>1000-SUM(L231:N231)</f>
        <v>200</v>
      </c>
      <c r="P231" s="152"/>
      <c r="Q231" s="152"/>
      <c r="R231" s="152"/>
      <c r="S231" s="152"/>
      <c r="T231" s="152"/>
      <c r="U231" s="152"/>
      <c r="V231" s="152"/>
      <c r="W231" s="152"/>
      <c r="X231" s="152"/>
      <c r="Y231" s="152"/>
      <c r="Z231" s="152"/>
      <c r="AA231" s="152"/>
      <c r="AB231" s="228"/>
      <c r="AC231" s="152"/>
      <c r="AD231" s="152"/>
      <c r="AE231" s="152"/>
      <c r="AF231" s="152"/>
      <c r="AG231" s="152"/>
      <c r="AH231" s="152"/>
      <c r="AI231" s="152"/>
      <c r="AJ231" s="152"/>
      <c r="AK231" s="152"/>
      <c r="AL231" s="152"/>
      <c r="AM231" s="152"/>
      <c r="AN231" s="152"/>
      <c r="AO231" s="152"/>
      <c r="AP231" s="152"/>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52"/>
      <c r="BP231" s="152"/>
      <c r="BQ231" s="152"/>
      <c r="BR231" s="152"/>
      <c r="BS231" s="152"/>
      <c r="BT231" s="152"/>
      <c r="BU231" s="152"/>
      <c r="BV231" s="152"/>
      <c r="BW231" s="152"/>
      <c r="BX231" s="152"/>
      <c r="BY231" s="152"/>
      <c r="BZ231" s="152"/>
      <c r="CA231" s="152"/>
      <c r="CB231" s="152"/>
      <c r="CC231" s="152"/>
      <c r="CD231" s="152"/>
      <c r="CE231" s="152"/>
      <c r="CF231" s="152"/>
      <c r="CG231" s="152"/>
      <c r="CH231" s="152"/>
      <c r="CI231" s="152"/>
      <c r="CJ231" s="152"/>
      <c r="CO231" s="50"/>
      <c r="DK231" s="50"/>
      <c r="DL231" s="37"/>
      <c r="DM231" s="37"/>
      <c r="DN231" s="37"/>
      <c r="DO231" s="37"/>
      <c r="DP231" s="37"/>
      <c r="DQ231" s="37"/>
      <c r="DR231" s="37"/>
      <c r="DS231" s="37"/>
      <c r="DT231" s="37"/>
      <c r="DU231" s="37"/>
      <c r="DV231" s="37"/>
      <c r="DW231" s="37"/>
      <c r="DX231" s="37"/>
      <c r="DY231" s="37"/>
      <c r="DZ231" s="37"/>
    </row>
    <row r="232" spans="1:130">
      <c r="A232" s="261" t="s">
        <v>241</v>
      </c>
      <c r="B232" s="152"/>
      <c r="C232" s="152"/>
      <c r="D232" s="152"/>
      <c r="E232" s="152"/>
      <c r="F232" s="152"/>
      <c r="G232" s="152"/>
      <c r="H232" s="152"/>
      <c r="I232" s="152"/>
      <c r="J232" s="152"/>
      <c r="K232" s="152"/>
      <c r="L232" s="152">
        <f>L231/K10</f>
        <v>4.3275056257573137E-3</v>
      </c>
      <c r="M232" s="152">
        <f>M231/L10</f>
        <v>9.5271364603512331E-3</v>
      </c>
      <c r="N232" s="152">
        <f>N231/M10</f>
        <v>1.1170064227869311E-2</v>
      </c>
      <c r="O232" s="152">
        <f>O231/N10</f>
        <v>5.7118377838069395E-3</v>
      </c>
      <c r="P232" s="152"/>
      <c r="Q232" s="152"/>
      <c r="R232" s="152"/>
      <c r="S232" s="152"/>
      <c r="T232" s="152"/>
      <c r="U232" s="152"/>
      <c r="V232" s="152"/>
      <c r="W232" s="152"/>
      <c r="X232" s="152"/>
      <c r="Y232" s="152"/>
      <c r="Z232" s="152"/>
      <c r="AA232" s="152"/>
      <c r="AB232" s="206"/>
      <c r="AC232" s="152"/>
      <c r="AD232" s="152"/>
      <c r="AE232" s="152"/>
      <c r="AF232" s="152"/>
      <c r="AG232" s="152"/>
      <c r="AH232" s="152"/>
      <c r="AI232" s="152"/>
      <c r="AJ232" s="152"/>
      <c r="AK232" s="152"/>
      <c r="AL232" s="152"/>
      <c r="AM232" s="152"/>
      <c r="AN232" s="152"/>
      <c r="AO232" s="152"/>
      <c r="AP232" s="152"/>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52"/>
      <c r="BP232" s="152"/>
      <c r="BQ232" s="152"/>
      <c r="BR232" s="152"/>
      <c r="BS232" s="152"/>
      <c r="BT232" s="152"/>
      <c r="BU232" s="152"/>
      <c r="BV232" s="152"/>
      <c r="BW232" s="152"/>
      <c r="BX232" s="152"/>
      <c r="BY232" s="152"/>
      <c r="BZ232" s="152"/>
      <c r="CA232" s="152"/>
      <c r="CB232" s="152"/>
      <c r="CC232" s="152"/>
      <c r="CD232" s="152"/>
      <c r="CE232" s="152"/>
      <c r="CF232" s="152"/>
      <c r="CG232" s="152"/>
      <c r="CH232" s="152"/>
      <c r="CI232" s="152"/>
      <c r="CJ232" s="152"/>
      <c r="CO232" s="50"/>
      <c r="DK232" s="50"/>
      <c r="DL232" s="37"/>
      <c r="DM232" s="37"/>
      <c r="DN232" s="37"/>
      <c r="DO232" s="37"/>
      <c r="DP232" s="37"/>
      <c r="DQ232" s="37"/>
      <c r="DR232" s="37"/>
      <c r="DS232" s="37"/>
      <c r="DT232" s="37"/>
      <c r="DU232" s="37"/>
      <c r="DV232" s="37"/>
      <c r="DW232" s="37"/>
      <c r="DX232" s="37"/>
      <c r="DY232" s="37"/>
      <c r="DZ232" s="37"/>
    </row>
    <row r="233" spans="1:130">
      <c r="A233" s="261"/>
      <c r="B233" s="152"/>
      <c r="C233" s="152"/>
      <c r="D233" s="152"/>
      <c r="E233" s="152"/>
      <c r="F233" s="152"/>
      <c r="G233" s="152"/>
      <c r="H233" s="152"/>
      <c r="I233" s="152"/>
      <c r="J233" s="152"/>
      <c r="K233" s="152"/>
      <c r="L233" s="152"/>
      <c r="M233" s="152"/>
      <c r="N233" s="152"/>
      <c r="O233" s="152"/>
      <c r="P233" s="152"/>
      <c r="Q233" s="152"/>
      <c r="R233" s="152"/>
      <c r="S233" s="152"/>
      <c r="T233" s="152"/>
      <c r="U233" s="152"/>
      <c r="V233" s="152"/>
      <c r="W233" s="152"/>
      <c r="X233" s="152"/>
      <c r="Y233" s="152"/>
      <c r="Z233" s="152"/>
      <c r="AA233" s="152"/>
      <c r="AB233" s="206"/>
      <c r="AC233" s="152"/>
      <c r="AD233" s="152"/>
      <c r="AE233" s="152"/>
      <c r="AF233" s="152"/>
      <c r="AG233" s="152"/>
      <c r="AH233" s="152"/>
      <c r="AI233" s="152"/>
      <c r="AJ233" s="152"/>
      <c r="AK233" s="152"/>
      <c r="AL233" s="152"/>
      <c r="AM233" s="152"/>
      <c r="AN233" s="152"/>
      <c r="AO233" s="152"/>
      <c r="AP233" s="152"/>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52"/>
      <c r="BP233" s="152"/>
      <c r="BQ233" s="152"/>
      <c r="BR233" s="152"/>
      <c r="BS233" s="152"/>
      <c r="BT233" s="152"/>
      <c r="BU233" s="152"/>
      <c r="BV233" s="152"/>
      <c r="BW233" s="152"/>
      <c r="BX233" s="152"/>
      <c r="BY233" s="152"/>
      <c r="BZ233" s="152"/>
      <c r="CA233" s="152"/>
      <c r="CB233" s="152"/>
      <c r="CC233" s="152"/>
      <c r="CD233" s="152"/>
      <c r="CE233" s="152"/>
      <c r="CF233" s="152"/>
      <c r="CG233" s="152"/>
      <c r="CH233" s="152"/>
      <c r="CI233" s="152"/>
      <c r="CJ233" s="152"/>
      <c r="CO233" s="50"/>
      <c r="DK233" s="50"/>
      <c r="DL233" s="37"/>
      <c r="DM233" s="37"/>
      <c r="DN233" s="37"/>
      <c r="DO233" s="37"/>
      <c r="DP233" s="37"/>
      <c r="DQ233" s="37"/>
      <c r="DR233" s="37"/>
      <c r="DS233" s="37"/>
      <c r="DT233" s="37"/>
      <c r="DU233" s="37"/>
      <c r="DV233" s="37"/>
      <c r="DW233" s="37"/>
      <c r="DX233" s="37"/>
      <c r="DY233" s="37"/>
      <c r="DZ233" s="37"/>
    </row>
    <row r="234" spans="1:130">
      <c r="A234" s="35" t="s">
        <v>242</v>
      </c>
      <c r="B234" s="152"/>
      <c r="C234" s="152"/>
      <c r="D234" s="152"/>
      <c r="E234" s="152"/>
      <c r="F234" s="152"/>
      <c r="G234" s="152"/>
      <c r="H234" s="152"/>
      <c r="I234" s="152"/>
      <c r="J234" s="152"/>
      <c r="K234" s="152"/>
      <c r="L234" s="152"/>
      <c r="M234" s="152"/>
      <c r="N234" s="152"/>
      <c r="O234" s="159">
        <v>235</v>
      </c>
      <c r="P234" s="152"/>
      <c r="Q234" s="152"/>
      <c r="R234" s="152"/>
      <c r="S234" s="152"/>
      <c r="T234" s="152"/>
      <c r="U234" s="152"/>
      <c r="V234" s="152"/>
      <c r="W234" s="152"/>
      <c r="X234" s="152"/>
      <c r="Y234" s="152"/>
      <c r="Z234" s="152"/>
      <c r="AA234" s="152"/>
      <c r="AB234" s="42"/>
      <c r="AC234" s="152"/>
      <c r="AD234" s="152"/>
      <c r="AE234" s="152"/>
      <c r="AF234" s="152"/>
      <c r="AG234" s="152"/>
      <c r="AH234" s="152"/>
      <c r="AI234" s="152"/>
      <c r="AJ234" s="152"/>
      <c r="AK234" s="152"/>
      <c r="AL234" s="152"/>
      <c r="AM234" s="152"/>
      <c r="AN234" s="152"/>
      <c r="AO234" s="152"/>
      <c r="AP234" s="152"/>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52"/>
      <c r="BP234" s="152"/>
      <c r="BQ234" s="152"/>
      <c r="BR234" s="152"/>
      <c r="BS234" s="152"/>
      <c r="BT234" s="152"/>
      <c r="BU234" s="152"/>
      <c r="BV234" s="152"/>
      <c r="BW234" s="152"/>
      <c r="BX234" s="152"/>
      <c r="BY234" s="152"/>
      <c r="BZ234" s="152"/>
      <c r="CA234" s="152"/>
      <c r="CB234" s="152"/>
      <c r="CC234" s="152"/>
      <c r="CD234" s="152"/>
      <c r="CE234" s="152"/>
      <c r="CF234" s="152"/>
      <c r="CG234" s="152"/>
      <c r="CH234" s="152"/>
      <c r="CI234" s="152"/>
      <c r="CJ234" s="152"/>
      <c r="CO234" s="50"/>
      <c r="DK234" s="50"/>
      <c r="DL234" s="37"/>
      <c r="DM234" s="37"/>
      <c r="DN234" s="37"/>
      <c r="DO234" s="37"/>
      <c r="DP234" s="37"/>
      <c r="DQ234" s="37"/>
      <c r="DR234" s="37"/>
      <c r="DS234" s="37"/>
      <c r="DT234" s="37"/>
      <c r="DU234" s="37"/>
      <c r="DV234" s="37"/>
      <c r="DW234" s="37"/>
      <c r="DX234" s="37"/>
      <c r="DY234" s="37"/>
      <c r="DZ234" s="37"/>
    </row>
    <row r="235" spans="1:130">
      <c r="A235" s="261" t="s">
        <v>243</v>
      </c>
      <c r="B235" s="152"/>
      <c r="C235" s="152"/>
      <c r="D235" s="152"/>
      <c r="E235" s="152"/>
      <c r="F235" s="152"/>
      <c r="G235" s="152"/>
      <c r="H235" s="152"/>
      <c r="I235" s="152"/>
      <c r="J235" s="152"/>
      <c r="K235" s="152"/>
      <c r="L235" s="152"/>
      <c r="M235" s="152"/>
      <c r="N235" s="152"/>
      <c r="O235" s="159">
        <f>O234/2</f>
        <v>117.5</v>
      </c>
      <c r="P235" s="152"/>
      <c r="Q235" s="152"/>
      <c r="R235" s="152"/>
      <c r="S235" s="152"/>
      <c r="T235" s="152"/>
      <c r="U235" s="152"/>
      <c r="V235" s="152"/>
      <c r="W235" s="152"/>
      <c r="X235" s="152"/>
      <c r="Y235" s="152"/>
      <c r="Z235" s="152"/>
      <c r="AA235" s="152"/>
      <c r="AB235" s="206"/>
      <c r="AC235" s="152"/>
      <c r="AD235" s="152"/>
      <c r="AE235" s="152"/>
      <c r="AF235" s="152"/>
      <c r="AG235" s="152"/>
      <c r="AH235" s="152"/>
      <c r="AI235" s="152"/>
      <c r="AJ235" s="152"/>
      <c r="AK235" s="152"/>
      <c r="AL235" s="152"/>
      <c r="AM235" s="152"/>
      <c r="AN235" s="152"/>
      <c r="AO235" s="152"/>
      <c r="AP235" s="152"/>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52"/>
      <c r="BP235" s="152"/>
      <c r="BQ235" s="152"/>
      <c r="BR235" s="152"/>
      <c r="BS235" s="152"/>
      <c r="BT235" s="152"/>
      <c r="BU235" s="152"/>
      <c r="BV235" s="152"/>
      <c r="BW235" s="152"/>
      <c r="BX235" s="152"/>
      <c r="BY235" s="152"/>
      <c r="BZ235" s="152"/>
      <c r="CA235" s="152"/>
      <c r="CB235" s="152"/>
      <c r="CC235" s="152"/>
      <c r="CD235" s="152"/>
      <c r="CE235" s="152"/>
      <c r="CF235" s="152"/>
      <c r="CG235" s="152"/>
      <c r="CH235" s="152"/>
      <c r="CI235" s="152"/>
      <c r="CJ235" s="152"/>
      <c r="CO235" s="50"/>
      <c r="DK235" s="50"/>
      <c r="DL235" s="37"/>
      <c r="DM235" s="37"/>
      <c r="DN235" s="37"/>
      <c r="DO235" s="37"/>
      <c r="DP235" s="37"/>
      <c r="DQ235" s="37"/>
      <c r="DR235" s="37"/>
      <c r="DS235" s="37"/>
      <c r="DT235" s="37"/>
      <c r="DU235" s="37"/>
      <c r="DV235" s="37"/>
      <c r="DW235" s="37"/>
      <c r="DX235" s="37"/>
      <c r="DY235" s="37"/>
      <c r="DZ235" s="37"/>
    </row>
    <row r="236" spans="1:130">
      <c r="A236" s="261"/>
      <c r="B236" s="152"/>
      <c r="C236" s="152"/>
      <c r="D236" s="152"/>
      <c r="E236" s="152"/>
      <c r="F236" s="152"/>
      <c r="G236" s="152"/>
      <c r="H236" s="152"/>
      <c r="I236" s="152"/>
      <c r="J236" s="152"/>
      <c r="K236" s="152"/>
      <c r="L236" s="152"/>
      <c r="M236" s="152"/>
      <c r="N236" s="152"/>
      <c r="O236" s="152"/>
      <c r="P236" s="152"/>
      <c r="Q236" s="152"/>
      <c r="R236" s="152"/>
      <c r="S236" s="152"/>
      <c r="T236" s="152"/>
      <c r="U236" s="152"/>
      <c r="V236" s="152"/>
      <c r="W236" s="152"/>
      <c r="X236" s="152"/>
      <c r="Y236" s="152"/>
      <c r="Z236" s="152"/>
      <c r="AA236" s="152"/>
      <c r="AB236" s="206"/>
      <c r="AC236" s="152"/>
      <c r="AD236" s="152"/>
      <c r="AE236" s="152"/>
      <c r="AF236" s="152"/>
      <c r="AG236" s="152"/>
      <c r="AH236" s="152"/>
      <c r="AI236" s="152"/>
      <c r="AJ236" s="152"/>
      <c r="AK236" s="152"/>
      <c r="AL236" s="152"/>
      <c r="AM236" s="152"/>
      <c r="AN236" s="152"/>
      <c r="AO236" s="152"/>
      <c r="AP236" s="152"/>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52"/>
      <c r="BP236" s="152"/>
      <c r="BQ236" s="152"/>
      <c r="BR236" s="152"/>
      <c r="BS236" s="152"/>
      <c r="BT236" s="152"/>
      <c r="BU236" s="152"/>
      <c r="BV236" s="152"/>
      <c r="BW236" s="152"/>
      <c r="BX236" s="152"/>
      <c r="BY236" s="152"/>
      <c r="BZ236" s="152"/>
      <c r="CA236" s="152"/>
      <c r="CB236" s="152"/>
      <c r="CC236" s="152"/>
      <c r="CD236" s="152"/>
      <c r="CE236" s="152"/>
      <c r="CF236" s="152"/>
      <c r="CG236" s="152"/>
      <c r="CH236" s="152"/>
      <c r="CI236" s="152"/>
      <c r="CJ236" s="152"/>
      <c r="CO236" s="50"/>
      <c r="DK236" s="50"/>
      <c r="DL236" s="37"/>
      <c r="DM236" s="37"/>
      <c r="DN236" s="37"/>
      <c r="DO236" s="37"/>
      <c r="DP236" s="37"/>
      <c r="DQ236" s="37"/>
      <c r="DR236" s="37"/>
      <c r="DS236" s="37"/>
      <c r="DT236" s="37"/>
      <c r="DU236" s="37"/>
      <c r="DV236" s="37"/>
      <c r="DW236" s="37"/>
      <c r="DX236" s="37"/>
      <c r="DY236" s="37"/>
      <c r="DZ236" s="37"/>
    </row>
    <row r="237" spans="1:130">
      <c r="A237" s="264" t="s">
        <v>244</v>
      </c>
      <c r="B237" s="152"/>
      <c r="C237" s="152"/>
      <c r="D237" s="152"/>
      <c r="E237" s="152"/>
      <c r="F237" s="152"/>
      <c r="G237" s="152"/>
      <c r="H237" s="152"/>
      <c r="I237" s="152"/>
      <c r="J237" s="152"/>
      <c r="K237" s="152"/>
      <c r="L237" s="152"/>
      <c r="M237" s="152"/>
      <c r="N237" s="152"/>
      <c r="O237" s="152"/>
      <c r="P237" s="152"/>
      <c r="Q237" s="152"/>
      <c r="R237" s="152"/>
      <c r="S237" s="152"/>
      <c r="T237" s="152"/>
      <c r="U237" s="152"/>
      <c r="V237" s="152"/>
      <c r="W237" s="152"/>
      <c r="X237" s="152"/>
      <c r="Y237" s="152"/>
      <c r="Z237" s="152"/>
      <c r="AA237" s="152"/>
      <c r="AB237" s="265"/>
      <c r="AC237" s="152"/>
      <c r="AD237" s="152"/>
      <c r="AE237" s="152"/>
      <c r="AF237" s="152"/>
      <c r="AG237" s="152"/>
      <c r="AH237" s="152"/>
      <c r="AI237" s="152"/>
      <c r="AJ237" s="152"/>
      <c r="AK237" s="152"/>
      <c r="AL237" s="152"/>
      <c r="AM237" s="152"/>
      <c r="AN237" s="152"/>
      <c r="AO237" s="152"/>
      <c r="AP237" s="152"/>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52"/>
      <c r="BP237" s="152"/>
      <c r="BQ237" s="152"/>
      <c r="BR237" s="152"/>
      <c r="BS237" s="152"/>
      <c r="BT237" s="152"/>
      <c r="BU237" s="152"/>
      <c r="BV237" s="152"/>
      <c r="BW237" s="152"/>
      <c r="BX237" s="152"/>
      <c r="BY237" s="152"/>
      <c r="BZ237" s="152"/>
      <c r="CA237" s="152"/>
      <c r="CB237" s="152"/>
      <c r="CC237" s="152"/>
      <c r="CD237" s="152"/>
      <c r="CE237" s="152"/>
      <c r="CF237" s="152"/>
      <c r="CG237" s="152"/>
      <c r="CH237" s="152"/>
      <c r="CI237" s="152"/>
      <c r="CJ237" s="152"/>
      <c r="CO237" s="50"/>
      <c r="DK237" s="50"/>
      <c r="DL237" s="37"/>
      <c r="DM237" s="37"/>
      <c r="DN237" s="37"/>
      <c r="DO237" s="37"/>
      <c r="DP237" s="37"/>
      <c r="DQ237" s="37"/>
      <c r="DR237" s="37"/>
      <c r="DS237" s="37"/>
      <c r="DT237" s="37"/>
      <c r="DU237" s="37"/>
      <c r="DV237" s="37"/>
      <c r="DW237" s="37"/>
      <c r="DX237" s="37"/>
      <c r="DY237" s="37"/>
      <c r="DZ237" s="37"/>
    </row>
    <row r="238" spans="1:130">
      <c r="A238" s="261" t="s">
        <v>245</v>
      </c>
      <c r="B238" s="152"/>
      <c r="C238" s="152"/>
      <c r="D238" s="152"/>
      <c r="E238" s="152"/>
      <c r="F238" s="152"/>
      <c r="G238" s="152"/>
      <c r="H238" s="152"/>
      <c r="I238" s="152"/>
      <c r="J238" s="152"/>
      <c r="K238" s="152"/>
      <c r="L238" s="152"/>
      <c r="M238" s="152"/>
      <c r="N238" s="152"/>
      <c r="O238" s="152"/>
      <c r="P238" s="152"/>
      <c r="Q238" s="152"/>
      <c r="R238" s="152"/>
      <c r="S238" s="152"/>
      <c r="T238" s="152"/>
      <c r="U238" s="152"/>
      <c r="V238" s="152"/>
      <c r="W238" s="152"/>
      <c r="X238" s="152"/>
      <c r="Y238" s="152"/>
      <c r="Z238" s="152"/>
      <c r="AA238" s="152"/>
      <c r="AB238" s="206"/>
      <c r="AC238" s="152"/>
      <c r="AD238" s="152"/>
      <c r="AE238" s="152"/>
      <c r="AF238" s="152"/>
      <c r="AG238" s="152"/>
      <c r="AH238" s="152"/>
      <c r="AI238" s="152"/>
      <c r="AJ238" s="152"/>
      <c r="AK238" s="152"/>
      <c r="AL238" s="152"/>
      <c r="AM238" s="152"/>
      <c r="AN238" s="152"/>
      <c r="AO238" s="152"/>
      <c r="AP238" s="152"/>
      <c r="AQ238" s="152"/>
      <c r="AR238" s="152"/>
      <c r="AS238" s="152"/>
      <c r="AT238" s="152"/>
      <c r="AU238" s="152"/>
      <c r="AV238" s="152"/>
      <c r="AW238" s="152"/>
      <c r="AX238" s="152"/>
      <c r="AY238" s="152"/>
      <c r="AZ238" s="152"/>
      <c r="BA238" s="152"/>
      <c r="BB238" s="152"/>
      <c r="BC238" s="152"/>
      <c r="BD238" s="152"/>
      <c r="BE238" s="152"/>
      <c r="BF238" s="152"/>
      <c r="BG238" s="152"/>
      <c r="BH238" s="152"/>
      <c r="BI238" s="244">
        <v>0</v>
      </c>
      <c r="BJ238" s="244">
        <v>0</v>
      </c>
      <c r="BK238" s="244">
        <v>13</v>
      </c>
      <c r="BL238" s="244">
        <f>102+8-SUM(BI238:BK238)</f>
        <v>97</v>
      </c>
      <c r="BM238" s="244">
        <f>88+11-BN238</f>
        <v>44</v>
      </c>
      <c r="BN238" s="244">
        <f>48+7</f>
        <v>55</v>
      </c>
      <c r="BO238" s="244">
        <v>43</v>
      </c>
      <c r="BP238" s="244">
        <f>267-SUM(BM238:BO238)+63</f>
        <v>188</v>
      </c>
      <c r="BQ238" s="244">
        <f>96+43-BR238</f>
        <v>66</v>
      </c>
      <c r="BR238" s="244">
        <f>54+19</f>
        <v>73</v>
      </c>
      <c r="BS238" s="244"/>
      <c r="BT238" s="152"/>
      <c r="BU238" s="152"/>
      <c r="BV238" s="152"/>
      <c r="BW238" s="152"/>
      <c r="BX238" s="152"/>
      <c r="BY238" s="152"/>
      <c r="BZ238" s="152"/>
      <c r="CA238" s="152"/>
      <c r="CB238" s="152"/>
      <c r="CC238" s="152"/>
      <c r="CD238" s="152"/>
      <c r="CE238" s="152"/>
      <c r="CF238" s="152"/>
      <c r="CG238" s="152"/>
      <c r="CH238" s="152"/>
      <c r="CI238" s="152"/>
      <c r="CJ238" s="152"/>
      <c r="CO238" s="50"/>
      <c r="DK238" s="50"/>
      <c r="DL238" s="37"/>
      <c r="DM238" s="37"/>
      <c r="DN238" s="37"/>
      <c r="DO238" s="37"/>
      <c r="DP238" s="37"/>
      <c r="DQ238" s="37"/>
      <c r="DR238" s="37"/>
      <c r="DS238" s="37"/>
      <c r="DT238" s="37"/>
      <c r="DU238" s="37"/>
      <c r="DV238" s="37"/>
      <c r="DW238" s="37"/>
      <c r="DX238" s="37"/>
      <c r="DY238" s="37"/>
      <c r="DZ238" s="37"/>
    </row>
    <row r="239" spans="1:130">
      <c r="A239" s="261" t="s">
        <v>246</v>
      </c>
      <c r="B239" s="152"/>
      <c r="C239" s="152"/>
      <c r="D239" s="152"/>
      <c r="E239" s="152"/>
      <c r="F239" s="152"/>
      <c r="G239" s="152"/>
      <c r="H239" s="152"/>
      <c r="I239" s="152"/>
      <c r="J239" s="152"/>
      <c r="K239" s="152"/>
      <c r="L239" s="152"/>
      <c r="M239" s="152"/>
      <c r="N239" s="152"/>
      <c r="O239" s="152"/>
      <c r="P239" s="152"/>
      <c r="Q239" s="152"/>
      <c r="R239" s="152"/>
      <c r="S239" s="152"/>
      <c r="T239" s="152"/>
      <c r="U239" s="152"/>
      <c r="V239" s="152"/>
      <c r="W239" s="152"/>
      <c r="X239" s="152"/>
      <c r="Y239" s="152"/>
      <c r="Z239" s="152"/>
      <c r="AA239" s="152"/>
      <c r="AB239" s="206"/>
      <c r="AC239" s="152"/>
      <c r="AD239" s="152"/>
      <c r="AE239" s="152"/>
      <c r="AF239" s="152"/>
      <c r="AG239" s="152"/>
      <c r="AH239" s="152"/>
      <c r="AI239" s="152"/>
      <c r="AJ239" s="152"/>
      <c r="AK239" s="152"/>
      <c r="AL239" s="152"/>
      <c r="AM239" s="152"/>
      <c r="AN239" s="152"/>
      <c r="AO239" s="152"/>
      <c r="AP239" s="152"/>
      <c r="AQ239" s="152"/>
      <c r="AR239" s="152"/>
      <c r="AS239" s="152"/>
      <c r="AT239" s="152"/>
      <c r="AU239" s="152"/>
      <c r="AV239" s="152"/>
      <c r="AW239" s="152"/>
      <c r="AX239" s="152"/>
      <c r="AY239" s="152"/>
      <c r="AZ239" s="152"/>
      <c r="BA239" s="152"/>
      <c r="BB239" s="152"/>
      <c r="BC239" s="152"/>
      <c r="BD239" s="152"/>
      <c r="BE239" s="152"/>
      <c r="BF239" s="152"/>
      <c r="BG239" s="152"/>
      <c r="BH239" s="152"/>
      <c r="BI239" s="244">
        <f>BI238</f>
        <v>0</v>
      </c>
      <c r="BJ239" s="244">
        <f t="shared" ref="BJ239:BR239" si="275">BI239+BJ238</f>
        <v>0</v>
      </c>
      <c r="BK239" s="244">
        <f t="shared" si="275"/>
        <v>13</v>
      </c>
      <c r="BL239" s="244">
        <f t="shared" si="275"/>
        <v>110</v>
      </c>
      <c r="BM239" s="244">
        <f t="shared" si="275"/>
        <v>154</v>
      </c>
      <c r="BN239" s="244">
        <f t="shared" si="275"/>
        <v>209</v>
      </c>
      <c r="BO239" s="244">
        <f t="shared" si="275"/>
        <v>252</v>
      </c>
      <c r="BP239" s="244">
        <f t="shared" si="275"/>
        <v>440</v>
      </c>
      <c r="BQ239" s="244">
        <f t="shared" si="275"/>
        <v>506</v>
      </c>
      <c r="BR239" s="244">
        <f t="shared" si="275"/>
        <v>579</v>
      </c>
      <c r="BS239" s="244"/>
      <c r="BT239" s="152"/>
      <c r="BU239" s="152"/>
      <c r="BV239" s="152"/>
      <c r="BW239" s="152"/>
      <c r="BX239" s="152"/>
      <c r="BY239" s="152"/>
      <c r="BZ239" s="152"/>
      <c r="CA239" s="152"/>
      <c r="CB239" s="152"/>
      <c r="CC239" s="152"/>
      <c r="CD239" s="152"/>
      <c r="CE239" s="152"/>
      <c r="CF239" s="152"/>
      <c r="CG239" s="152"/>
      <c r="CH239" s="152"/>
      <c r="CI239" s="152"/>
      <c r="CJ239" s="152"/>
      <c r="CO239" s="50"/>
      <c r="DK239" s="50"/>
      <c r="DL239" s="37"/>
      <c r="DM239" s="37"/>
      <c r="DN239" s="37"/>
      <c r="DO239" s="37"/>
      <c r="DP239" s="37"/>
      <c r="DQ239" s="37"/>
      <c r="DR239" s="37"/>
      <c r="DS239" s="37"/>
      <c r="DT239" s="37"/>
      <c r="DU239" s="37"/>
      <c r="DV239" s="37"/>
      <c r="DW239" s="37"/>
      <c r="DX239" s="37"/>
      <c r="DY239" s="37"/>
      <c r="DZ239" s="37"/>
    </row>
    <row r="240" spans="1:130">
      <c r="A240" s="261" t="s">
        <v>247</v>
      </c>
      <c r="B240" s="152"/>
      <c r="C240" s="152"/>
      <c r="D240" s="152"/>
      <c r="E240" s="152"/>
      <c r="F240" s="152"/>
      <c r="G240" s="152"/>
      <c r="H240" s="152"/>
      <c r="I240" s="152"/>
      <c r="J240" s="152"/>
      <c r="K240" s="152"/>
      <c r="L240" s="152"/>
      <c r="M240" s="152"/>
      <c r="N240" s="152"/>
      <c r="O240" s="152"/>
      <c r="P240" s="152"/>
      <c r="Q240" s="152"/>
      <c r="R240" s="152"/>
      <c r="S240" s="152"/>
      <c r="T240" s="152"/>
      <c r="U240" s="152"/>
      <c r="V240" s="152"/>
      <c r="W240" s="152"/>
      <c r="X240" s="152"/>
      <c r="Y240" s="152"/>
      <c r="Z240" s="152"/>
      <c r="AA240" s="152"/>
      <c r="AB240" s="206"/>
      <c r="AC240" s="152"/>
      <c r="AD240" s="152"/>
      <c r="AE240" s="152"/>
      <c r="AF240" s="152"/>
      <c r="AG240" s="152"/>
      <c r="AH240" s="152"/>
      <c r="AI240" s="152"/>
      <c r="AJ240" s="152"/>
      <c r="AK240" s="152"/>
      <c r="AL240" s="152"/>
      <c r="AM240" s="152"/>
      <c r="AN240" s="152"/>
      <c r="AO240" s="152"/>
      <c r="AP240" s="152"/>
      <c r="AQ240" s="152"/>
      <c r="AR240" s="152"/>
      <c r="AS240" s="152"/>
      <c r="AT240" s="152"/>
      <c r="AU240" s="152"/>
      <c r="AV240" s="152"/>
      <c r="AW240" s="152"/>
      <c r="AX240" s="152"/>
      <c r="AY240" s="152"/>
      <c r="AZ240" s="152"/>
      <c r="BA240" s="152"/>
      <c r="BB240" s="152"/>
      <c r="BC240" s="152"/>
      <c r="BD240" s="152"/>
      <c r="BE240" s="152"/>
      <c r="BF240" s="152"/>
      <c r="BG240" s="152"/>
      <c r="BH240" s="152"/>
      <c r="BI240" s="266">
        <v>1500</v>
      </c>
      <c r="BJ240" s="266">
        <f t="shared" ref="BJ240:BR240" si="276">BI240-BJ238</f>
        <v>1500</v>
      </c>
      <c r="BK240" s="266">
        <f t="shared" si="276"/>
        <v>1487</v>
      </c>
      <c r="BL240" s="266">
        <f t="shared" si="276"/>
        <v>1390</v>
      </c>
      <c r="BM240" s="266">
        <f t="shared" si="276"/>
        <v>1346</v>
      </c>
      <c r="BN240" s="266">
        <f t="shared" si="276"/>
        <v>1291</v>
      </c>
      <c r="BO240" s="266">
        <f t="shared" si="276"/>
        <v>1248</v>
      </c>
      <c r="BP240" s="266">
        <f t="shared" si="276"/>
        <v>1060</v>
      </c>
      <c r="BQ240" s="266">
        <f t="shared" si="276"/>
        <v>994</v>
      </c>
      <c r="BR240" s="266">
        <f t="shared" si="276"/>
        <v>921</v>
      </c>
      <c r="BS240" s="266"/>
      <c r="BT240" s="152"/>
      <c r="BU240" s="152"/>
      <c r="BV240" s="152"/>
      <c r="BW240" s="152"/>
      <c r="BX240" s="152"/>
      <c r="BY240" s="152"/>
      <c r="BZ240" s="152"/>
      <c r="CA240" s="152"/>
      <c r="CB240" s="152"/>
      <c r="CC240" s="152"/>
      <c r="CD240" s="152"/>
      <c r="CE240" s="152"/>
      <c r="CF240" s="152"/>
      <c r="CG240" s="152"/>
      <c r="CH240" s="152"/>
      <c r="CI240" s="152"/>
      <c r="CJ240" s="152"/>
      <c r="CO240" s="50"/>
      <c r="DK240" s="50"/>
      <c r="DL240" s="37"/>
      <c r="DM240" s="37"/>
      <c r="DN240" s="37"/>
      <c r="DO240" s="37"/>
      <c r="DP240" s="37"/>
      <c r="DQ240" s="37"/>
      <c r="DR240" s="37"/>
      <c r="DS240" s="37"/>
      <c r="DT240" s="37"/>
      <c r="DU240" s="37"/>
      <c r="DV240" s="37"/>
      <c r="DW240" s="37"/>
      <c r="DX240" s="37"/>
      <c r="DY240" s="37"/>
      <c r="DZ240" s="37"/>
    </row>
    <row r="241" spans="1:130">
      <c r="A241" s="261"/>
      <c r="B241" s="152"/>
      <c r="C241" s="152"/>
      <c r="D241" s="152"/>
      <c r="E241" s="152"/>
      <c r="F241" s="152"/>
      <c r="G241" s="152"/>
      <c r="H241" s="152"/>
      <c r="I241" s="152"/>
      <c r="J241" s="152"/>
      <c r="K241" s="152"/>
      <c r="L241" s="152"/>
      <c r="M241" s="152"/>
      <c r="N241" s="152"/>
      <c r="O241" s="152"/>
      <c r="P241" s="152"/>
      <c r="Q241" s="152"/>
      <c r="R241" s="152"/>
      <c r="S241" s="152"/>
      <c r="T241" s="152"/>
      <c r="U241" s="152"/>
      <c r="V241" s="152"/>
      <c r="W241" s="152"/>
      <c r="X241" s="152"/>
      <c r="Y241" s="152"/>
      <c r="Z241" s="152"/>
      <c r="AA241" s="152"/>
      <c r="AB241" s="206"/>
      <c r="AC241" s="152"/>
      <c r="AD241" s="152"/>
      <c r="AE241" s="152"/>
      <c r="AF241" s="152"/>
      <c r="AG241" s="152"/>
      <c r="AH241" s="152"/>
      <c r="AI241" s="152"/>
      <c r="AJ241" s="152"/>
      <c r="AK241" s="152"/>
      <c r="AL241" s="152"/>
      <c r="AM241" s="152"/>
      <c r="AN241" s="152"/>
      <c r="AO241" s="152"/>
      <c r="AP241" s="152"/>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52"/>
      <c r="BP241" s="152"/>
      <c r="BQ241" s="152"/>
      <c r="BR241" s="152"/>
      <c r="BS241" s="152"/>
      <c r="BT241" s="152"/>
      <c r="BU241" s="152"/>
      <c r="BV241" s="152"/>
      <c r="BW241" s="152"/>
      <c r="BX241" s="152"/>
      <c r="BY241" s="152"/>
      <c r="BZ241" s="152"/>
      <c r="CA241" s="152"/>
      <c r="CB241" s="152"/>
      <c r="CC241" s="152"/>
      <c r="CD241" s="152"/>
      <c r="CE241" s="152"/>
      <c r="CF241" s="152"/>
      <c r="CG241" s="152"/>
      <c r="CH241" s="152"/>
      <c r="CI241" s="152"/>
      <c r="CJ241" s="152"/>
      <c r="CO241" s="50"/>
      <c r="DK241" s="50"/>
      <c r="DL241" s="37"/>
      <c r="DM241" s="37"/>
      <c r="DN241" s="37"/>
      <c r="DO241" s="37"/>
      <c r="DP241" s="37"/>
      <c r="DQ241" s="37"/>
      <c r="DR241" s="37"/>
      <c r="DS241" s="37"/>
      <c r="DT241" s="37"/>
      <c r="DU241" s="37"/>
      <c r="DV241" s="37"/>
      <c r="DW241" s="37"/>
      <c r="DX241" s="37"/>
      <c r="DY241" s="37"/>
      <c r="DZ241" s="37"/>
    </row>
    <row r="242" spans="1:130">
      <c r="A242" s="261"/>
      <c r="B242" s="152"/>
      <c r="C242" s="152"/>
      <c r="D242" s="152"/>
      <c r="E242" s="152"/>
      <c r="F242" s="152"/>
      <c r="G242" s="152"/>
      <c r="H242" s="152"/>
      <c r="I242" s="152"/>
      <c r="J242" s="152"/>
      <c r="K242" s="152"/>
      <c r="L242" s="152"/>
      <c r="M242" s="152"/>
      <c r="N242" s="152"/>
      <c r="O242" s="152"/>
      <c r="P242" s="152"/>
      <c r="Q242" s="152"/>
      <c r="R242" s="152"/>
      <c r="S242" s="152"/>
      <c r="T242" s="152"/>
      <c r="U242" s="152"/>
      <c r="V242" s="152"/>
      <c r="W242" s="152"/>
      <c r="X242" s="152"/>
      <c r="Y242" s="152"/>
      <c r="Z242" s="152"/>
      <c r="AA242" s="152"/>
      <c r="AB242" s="206"/>
      <c r="AC242" s="152"/>
      <c r="AD242" s="152"/>
      <c r="AE242" s="152"/>
      <c r="AF242" s="152"/>
      <c r="AG242" s="152"/>
      <c r="AH242" s="152"/>
      <c r="AI242" s="152"/>
      <c r="AJ242" s="152"/>
      <c r="AK242" s="152"/>
      <c r="AL242" s="152"/>
      <c r="AM242" s="152"/>
      <c r="AN242" s="152"/>
      <c r="AO242" s="152"/>
      <c r="AP242" s="152"/>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52"/>
      <c r="BP242" s="152"/>
      <c r="BQ242" s="152"/>
      <c r="BR242" s="152"/>
      <c r="BS242" s="152"/>
      <c r="BT242" s="152"/>
      <c r="BU242" s="152"/>
      <c r="BV242" s="152"/>
      <c r="BW242" s="152"/>
      <c r="BX242" s="152"/>
      <c r="BY242" s="152"/>
      <c r="BZ242" s="152"/>
      <c r="CA242" s="152"/>
      <c r="CB242" s="152"/>
      <c r="CC242" s="152"/>
      <c r="CD242" s="152"/>
      <c r="CE242" s="152"/>
      <c r="CF242" s="152"/>
      <c r="CG242" s="152"/>
      <c r="CH242" s="152"/>
      <c r="CI242" s="152"/>
      <c r="CJ242" s="152"/>
      <c r="CO242" s="50"/>
      <c r="DK242" s="50"/>
      <c r="DL242" s="37"/>
      <c r="DM242" s="37"/>
      <c r="DN242" s="37"/>
      <c r="DO242" s="37"/>
      <c r="DP242" s="37"/>
      <c r="DQ242" s="37"/>
      <c r="DR242" s="37"/>
      <c r="DS242" s="37"/>
      <c r="DT242" s="37"/>
      <c r="DU242" s="37"/>
      <c r="DV242" s="37"/>
      <c r="DW242" s="37"/>
      <c r="DX242" s="37"/>
      <c r="DY242" s="37"/>
      <c r="DZ242" s="37"/>
    </row>
    <row r="243" spans="1:130">
      <c r="A243" s="261"/>
      <c r="B243" s="152"/>
      <c r="C243" s="152"/>
      <c r="D243" s="152"/>
      <c r="E243" s="152"/>
      <c r="F243" s="152"/>
      <c r="G243" s="152"/>
      <c r="H243" s="152"/>
      <c r="I243" s="152"/>
      <c r="J243" s="152"/>
      <c r="K243" s="152"/>
      <c r="L243" s="152"/>
      <c r="M243" s="152"/>
      <c r="N243" s="152"/>
      <c r="O243" s="152"/>
      <c r="P243" s="152"/>
      <c r="Q243" s="152"/>
      <c r="R243" s="152"/>
      <c r="S243" s="152"/>
      <c r="T243" s="152"/>
      <c r="U243" s="152"/>
      <c r="V243" s="152"/>
      <c r="W243" s="152"/>
      <c r="X243" s="152"/>
      <c r="Y243" s="152"/>
      <c r="Z243" s="152"/>
      <c r="AA243" s="152"/>
      <c r="AB243" s="206"/>
      <c r="AC243" s="152"/>
      <c r="AD243" s="152"/>
      <c r="AE243" s="152"/>
      <c r="AF243" s="152"/>
      <c r="AG243" s="152"/>
      <c r="AH243" s="152"/>
      <c r="AI243" s="152"/>
      <c r="AJ243" s="152"/>
      <c r="AK243" s="152"/>
      <c r="AL243" s="152"/>
      <c r="AM243" s="152"/>
      <c r="AN243" s="152"/>
      <c r="AO243" s="152"/>
      <c r="AP243" s="152"/>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52"/>
      <c r="BP243" s="152"/>
      <c r="BQ243" s="152"/>
      <c r="BR243" s="152"/>
      <c r="BS243" s="152"/>
      <c r="BT243" s="152"/>
      <c r="BU243" s="152"/>
      <c r="BV243" s="152"/>
      <c r="BW243" s="152"/>
      <c r="BX243" s="152"/>
      <c r="BY243" s="152"/>
      <c r="BZ243" s="152"/>
      <c r="CA243" s="152"/>
      <c r="CB243" s="152"/>
      <c r="CC243" s="152"/>
      <c r="CD243" s="152"/>
      <c r="CE243" s="152"/>
      <c r="CF243" s="152"/>
      <c r="CG243" s="152"/>
      <c r="CH243" s="152"/>
      <c r="CI243" s="152"/>
      <c r="CJ243" s="152"/>
      <c r="CO243" s="50"/>
      <c r="DK243" s="50"/>
      <c r="DL243" s="37"/>
      <c r="DM243" s="37"/>
      <c r="DN243" s="37"/>
      <c r="DO243" s="37"/>
      <c r="DP243" s="37"/>
      <c r="DQ243" s="37"/>
      <c r="DR243" s="37"/>
      <c r="DS243" s="37"/>
      <c r="DT243" s="37"/>
      <c r="DU243" s="37"/>
      <c r="DV243" s="37"/>
      <c r="DW243" s="37"/>
      <c r="DX243" s="37"/>
      <c r="DY243" s="37"/>
      <c r="DZ243" s="37"/>
    </row>
    <row r="244" spans="1:130">
      <c r="A244" s="261"/>
      <c r="B244" s="152"/>
      <c r="C244" s="152"/>
      <c r="D244" s="152"/>
      <c r="E244" s="152"/>
      <c r="F244" s="152"/>
      <c r="G244" s="152"/>
      <c r="H244" s="152"/>
      <c r="I244" s="152"/>
      <c r="J244" s="152"/>
      <c r="K244" s="152"/>
      <c r="L244" s="152"/>
      <c r="M244" s="152"/>
      <c r="N244" s="152"/>
      <c r="O244" s="152"/>
      <c r="P244" s="152"/>
      <c r="Q244" s="152"/>
      <c r="R244" s="152"/>
      <c r="S244" s="152"/>
      <c r="T244" s="152"/>
      <c r="U244" s="152"/>
      <c r="V244" s="152"/>
      <c r="W244" s="152"/>
      <c r="X244" s="152"/>
      <c r="Y244" s="152"/>
      <c r="Z244" s="152"/>
      <c r="AA244" s="152"/>
      <c r="AB244" s="206"/>
      <c r="AC244" s="152"/>
      <c r="AD244" s="152"/>
      <c r="AE244" s="152"/>
      <c r="AF244" s="152"/>
      <c r="AG244" s="152"/>
      <c r="AH244" s="152"/>
      <c r="AI244" s="152"/>
      <c r="AJ244" s="152"/>
      <c r="AK244" s="152"/>
      <c r="AL244" s="152"/>
      <c r="AM244" s="152"/>
      <c r="AN244" s="152"/>
      <c r="AO244" s="152"/>
      <c r="AP244" s="152"/>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52"/>
      <c r="BP244" s="152"/>
      <c r="BQ244" s="152"/>
      <c r="BR244" s="152"/>
      <c r="BS244" s="152"/>
      <c r="BT244" s="152"/>
      <c r="BU244" s="152"/>
      <c r="BV244" s="152"/>
      <c r="BW244" s="152"/>
      <c r="BX244" s="152"/>
      <c r="BY244" s="152"/>
      <c r="BZ244" s="152"/>
      <c r="CA244" s="152"/>
      <c r="CB244" s="152"/>
      <c r="CC244" s="152"/>
      <c r="CD244" s="152"/>
      <c r="CE244" s="152"/>
      <c r="CF244" s="152"/>
      <c r="CG244" s="152"/>
      <c r="CH244" s="152"/>
      <c r="CI244" s="152"/>
      <c r="CJ244" s="152"/>
      <c r="CO244" s="50"/>
      <c r="DK244" s="50"/>
      <c r="DL244" s="37"/>
      <c r="DM244" s="37"/>
      <c r="DN244" s="37"/>
      <c r="DO244" s="37"/>
      <c r="DP244" s="37"/>
      <c r="DQ244" s="37"/>
      <c r="DR244" s="37"/>
      <c r="DS244" s="37"/>
      <c r="DT244" s="37"/>
      <c r="DU244" s="37"/>
      <c r="DV244" s="37"/>
      <c r="DW244" s="37"/>
      <c r="DX244" s="37"/>
      <c r="DY244" s="37"/>
      <c r="DZ244" s="37"/>
    </row>
    <row r="245" spans="1:130">
      <c r="A245" s="267" t="s">
        <v>248</v>
      </c>
      <c r="B245" s="152"/>
      <c r="C245" s="152"/>
      <c r="D245" s="152"/>
      <c r="E245" s="152"/>
      <c r="F245" s="152"/>
      <c r="G245" s="152"/>
      <c r="H245" s="152"/>
      <c r="I245" s="152"/>
      <c r="J245" s="152"/>
      <c r="K245" s="152"/>
      <c r="L245" s="152"/>
      <c r="M245" s="152"/>
      <c r="N245" s="152"/>
      <c r="O245" s="152"/>
      <c r="P245" s="152"/>
      <c r="Q245" s="152"/>
      <c r="R245" s="152"/>
      <c r="S245" s="152"/>
      <c r="T245" s="152"/>
      <c r="U245" s="152"/>
      <c r="V245" s="152"/>
      <c r="W245" s="152"/>
      <c r="X245" s="152"/>
      <c r="Y245" s="152"/>
      <c r="Z245" s="152"/>
      <c r="AA245" s="152"/>
      <c r="AB245" s="268"/>
      <c r="AC245" s="152"/>
      <c r="AD245" s="152"/>
      <c r="AE245" s="152"/>
      <c r="AF245" s="152"/>
      <c r="AG245" s="152"/>
      <c r="AH245" s="152"/>
      <c r="AI245" s="152"/>
      <c r="AJ245" s="152"/>
      <c r="AK245" s="152"/>
      <c r="AL245" s="152"/>
      <c r="AM245" s="152"/>
      <c r="AN245" s="152"/>
      <c r="AO245" s="152"/>
      <c r="AP245" s="152"/>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52"/>
      <c r="BP245" s="152"/>
      <c r="BQ245" s="152"/>
      <c r="BR245" s="152"/>
      <c r="BS245" s="152"/>
      <c r="BT245" s="152"/>
      <c r="BU245" s="152"/>
      <c r="BV245" s="152"/>
      <c r="BW245" s="152"/>
      <c r="BX245" s="152"/>
      <c r="BY245" s="152"/>
      <c r="BZ245" s="152"/>
      <c r="CA245" s="152"/>
      <c r="CB245" s="152"/>
      <c r="CC245" s="152"/>
      <c r="CD245" s="152"/>
      <c r="CE245" s="152"/>
      <c r="CF245" s="152"/>
      <c r="CG245" s="152"/>
      <c r="CH245" s="152"/>
      <c r="CI245" s="152"/>
      <c r="CJ245" s="152"/>
      <c r="CO245" s="50"/>
      <c r="DK245" s="50"/>
      <c r="DL245" s="37"/>
      <c r="DM245" s="37"/>
      <c r="DN245" s="37"/>
      <c r="DO245" s="37"/>
      <c r="DP245" s="37"/>
      <c r="DQ245" s="37"/>
      <c r="DR245" s="37"/>
      <c r="DS245" s="37"/>
      <c r="DT245" s="37"/>
      <c r="DU245" s="37"/>
      <c r="DV245" s="37"/>
      <c r="DW245" s="37"/>
      <c r="DX245" s="37"/>
      <c r="DY245" s="37"/>
      <c r="DZ245" s="37"/>
    </row>
    <row r="246" spans="1:130" ht="6.75" customHeight="1">
      <c r="A246" s="35"/>
      <c r="B246" s="269"/>
      <c r="C246" s="269"/>
      <c r="D246" s="269"/>
      <c r="E246" s="269"/>
      <c r="F246" s="269"/>
      <c r="G246" s="269"/>
      <c r="H246" s="269"/>
      <c r="I246" s="269"/>
      <c r="J246" s="269"/>
      <c r="K246" s="269"/>
      <c r="L246" s="269"/>
      <c r="M246" s="117"/>
      <c r="N246" s="117"/>
      <c r="O246" s="117"/>
      <c r="P246" s="21"/>
      <c r="Q246" s="62"/>
      <c r="R246" s="62"/>
      <c r="S246" s="62"/>
      <c r="T246" s="62"/>
      <c r="U246" s="62"/>
      <c r="V246" s="62"/>
      <c r="W246" s="62"/>
      <c r="X246" s="62"/>
      <c r="Y246" s="62"/>
      <c r="Z246" s="62"/>
      <c r="AA246" s="62"/>
      <c r="AB246" s="42"/>
      <c r="AC246" s="115"/>
      <c r="AD246" s="115"/>
      <c r="AE246" s="115"/>
      <c r="AF246" s="115"/>
      <c r="AG246" s="115"/>
      <c r="AH246" s="115"/>
      <c r="AI246" s="115"/>
      <c r="AJ246" s="115"/>
      <c r="AK246" s="115"/>
      <c r="AL246" s="115"/>
      <c r="AM246" s="115"/>
      <c r="AN246" s="115"/>
      <c r="AO246" s="115"/>
      <c r="AP246" s="115"/>
      <c r="AQ246" s="115"/>
      <c r="AR246" s="115"/>
      <c r="AS246" s="115"/>
      <c r="AT246" s="115"/>
      <c r="AU246" s="115"/>
      <c r="AV246" s="115"/>
      <c r="AW246" s="115"/>
      <c r="AX246" s="115"/>
      <c r="AY246" s="115"/>
      <c r="AZ246" s="115"/>
      <c r="BA246" s="115"/>
      <c r="BB246" s="115"/>
      <c r="BC246" s="115"/>
      <c r="BD246" s="115"/>
      <c r="BE246" s="115"/>
      <c r="BF246" s="115"/>
      <c r="BG246" s="43"/>
      <c r="BH246" s="43"/>
      <c r="BI246" s="43"/>
      <c r="BJ246" s="50"/>
      <c r="BK246" s="43"/>
      <c r="BL246" s="43"/>
      <c r="BM246" s="43"/>
      <c r="BN246" s="43"/>
      <c r="BO246" s="43"/>
      <c r="BP246" s="43"/>
      <c r="BQ246" s="43"/>
      <c r="BR246" s="43"/>
      <c r="BS246" s="43"/>
      <c r="BT246" s="43"/>
      <c r="BU246" s="43"/>
      <c r="BV246" s="43"/>
      <c r="BW246" s="43"/>
      <c r="BX246" s="43"/>
      <c r="BY246" s="43"/>
      <c r="BZ246" s="43"/>
      <c r="CA246" s="43"/>
      <c r="CB246" s="43"/>
      <c r="CC246" s="43"/>
      <c r="CD246" s="43"/>
      <c r="CE246" s="43"/>
      <c r="CF246" s="43"/>
      <c r="CG246" s="43"/>
      <c r="CH246" s="43"/>
      <c r="CI246" s="43"/>
      <c r="CJ246" s="43"/>
      <c r="CO246" s="43"/>
      <c r="DK246" s="43"/>
      <c r="DL246" s="43"/>
      <c r="DM246" s="43"/>
      <c r="DN246" s="43"/>
      <c r="DO246" s="43"/>
      <c r="DP246" s="43"/>
      <c r="DQ246" s="118"/>
      <c r="DR246" s="43"/>
      <c r="DS246" s="43"/>
      <c r="DT246" s="43"/>
      <c r="DU246" s="43"/>
      <c r="DV246" s="43"/>
      <c r="DW246" s="43"/>
      <c r="DX246" s="43"/>
      <c r="DY246" s="43"/>
      <c r="DZ246" s="43"/>
    </row>
    <row r="247" spans="1:130">
      <c r="A247" s="270" t="s">
        <v>249</v>
      </c>
      <c r="B247" s="271"/>
      <c r="C247" s="271"/>
      <c r="D247" s="271"/>
      <c r="E247" s="271"/>
      <c r="F247" s="271"/>
      <c r="G247" s="271"/>
      <c r="H247" s="271"/>
      <c r="I247" s="271"/>
      <c r="J247" s="271">
        <f>I14</f>
        <v>0.36079630929696122</v>
      </c>
      <c r="K247" s="271">
        <f>J14</f>
        <v>0.33710369881109642</v>
      </c>
      <c r="L247" s="271"/>
      <c r="M247" s="271">
        <f t="shared" ref="M247:AA247" si="277">L14</f>
        <v>0.37860840293435805</v>
      </c>
      <c r="N247" s="271">
        <f t="shared" si="277"/>
        <v>0.37009215302987991</v>
      </c>
      <c r="O247" s="271">
        <f t="shared" si="277"/>
        <v>0.37518206482935884</v>
      </c>
      <c r="P247" s="271">
        <f t="shared" si="277"/>
        <v>0.37253179976769879</v>
      </c>
      <c r="Q247" s="229">
        <f t="shared" si="277"/>
        <v>0.36670257169785914</v>
      </c>
      <c r="R247" s="229">
        <f t="shared" si="277"/>
        <v>0.39273587425126855</v>
      </c>
      <c r="S247" s="229">
        <f t="shared" si="277"/>
        <v>0.39960427384250097</v>
      </c>
      <c r="T247" s="229">
        <f t="shared" si="277"/>
        <v>0.39713572153281823</v>
      </c>
      <c r="U247" s="229">
        <f t="shared" ca="1" si="277"/>
        <v>0.40113572153281818</v>
      </c>
      <c r="V247" s="229">
        <f t="shared" ca="1" si="277"/>
        <v>0.40613572153281829</v>
      </c>
      <c r="W247" s="229">
        <f t="shared" ca="1" si="277"/>
        <v>0.41113572153281824</v>
      </c>
      <c r="X247" s="229">
        <f t="shared" ca="1" si="277"/>
        <v>0.41313572153281819</v>
      </c>
      <c r="Y247" s="229">
        <f t="shared" ca="1" si="277"/>
        <v>0.41463572153281825</v>
      </c>
      <c r="Z247" s="229">
        <f t="shared" ca="1" si="277"/>
        <v>0.41613572153281836</v>
      </c>
      <c r="AA247" s="229">
        <f t="shared" ca="1" si="277"/>
        <v>0.41713572153281814</v>
      </c>
      <c r="AB247" s="268"/>
      <c r="AC247" s="271"/>
      <c r="AD247" s="271"/>
      <c r="AE247" s="271"/>
      <c r="AF247" s="271"/>
      <c r="AG247" s="271"/>
      <c r="AH247" s="271"/>
      <c r="AI247" s="271"/>
      <c r="AJ247" s="271"/>
      <c r="AK247" s="271"/>
      <c r="AL247" s="271"/>
      <c r="AM247" s="271"/>
      <c r="AN247" s="271"/>
      <c r="AO247" s="271"/>
      <c r="AP247" s="271"/>
      <c r="AQ247" s="271"/>
      <c r="AR247" s="271"/>
      <c r="AS247" s="271"/>
      <c r="AT247" s="271"/>
      <c r="AU247" s="271"/>
      <c r="AV247" s="271"/>
      <c r="AW247" s="271"/>
      <c r="AX247" s="271"/>
      <c r="AY247" s="271"/>
      <c r="AZ247" s="271"/>
      <c r="BA247" s="271"/>
      <c r="BB247" s="271"/>
      <c r="BC247" s="271"/>
      <c r="BD247" s="271"/>
      <c r="BE247" s="271"/>
      <c r="BF247" s="271"/>
      <c r="BG247" s="271"/>
      <c r="BH247" s="271"/>
      <c r="BI247" s="271"/>
      <c r="BJ247" s="271"/>
      <c r="BK247" s="271"/>
      <c r="BL247" s="271"/>
      <c r="BM247" s="271"/>
      <c r="BN247" s="271"/>
      <c r="BO247" s="271"/>
      <c r="BP247" s="271"/>
      <c r="BQ247" s="271"/>
      <c r="BR247" s="271"/>
      <c r="BS247" s="271"/>
      <c r="BT247" s="271"/>
      <c r="BU247" s="271"/>
      <c r="BV247" s="271"/>
      <c r="BW247" s="271"/>
      <c r="BX247" s="271"/>
      <c r="BY247" s="271"/>
      <c r="BZ247" s="271"/>
      <c r="CA247" s="271"/>
      <c r="CB247" s="271"/>
      <c r="CC247" s="271"/>
      <c r="CD247" s="271"/>
      <c r="CE247" s="271"/>
      <c r="CF247" s="271"/>
      <c r="CG247" s="271"/>
      <c r="CH247" s="271"/>
      <c r="CI247" s="271"/>
      <c r="CJ247" s="271"/>
      <c r="CO247" s="229"/>
      <c r="DK247" s="229"/>
      <c r="DL247" s="231"/>
      <c r="DM247" s="231"/>
      <c r="DN247" s="231"/>
      <c r="DO247" s="231"/>
      <c r="DP247" s="231"/>
      <c r="DQ247" s="231"/>
      <c r="DR247" s="231"/>
      <c r="DS247" s="231"/>
      <c r="DT247" s="231"/>
      <c r="DU247" s="231"/>
      <c r="DV247" s="231"/>
      <c r="DW247" s="231"/>
      <c r="DX247" s="231"/>
      <c r="DY247" s="231"/>
      <c r="DZ247" s="231"/>
    </row>
    <row r="248" spans="1:130">
      <c r="A248" s="272" t="s">
        <v>250</v>
      </c>
      <c r="B248" s="220"/>
      <c r="C248" s="220"/>
      <c r="D248" s="220"/>
      <c r="E248" s="220"/>
      <c r="F248" s="220"/>
      <c r="G248" s="220"/>
      <c r="H248" s="220"/>
      <c r="I248" s="220"/>
      <c r="J248" s="220">
        <f>J253-(J10-J258-J11)/(J10-J258)</f>
        <v>8.6963841348965343E-2</v>
      </c>
      <c r="K248" s="220">
        <f>K253-(K10-K258-K11)/(K10-K258)</f>
        <v>2.3638679426518761E-2</v>
      </c>
      <c r="L248" s="220"/>
      <c r="M248" s="220">
        <f>M253-(M10-M258-M11)/(M10-M258)</f>
        <v>5.5705729765303302E-2</v>
      </c>
      <c r="N248" s="220">
        <f>N253-(N10-N258-N11)/(N10-N258)</f>
        <v>2.1165643181545069E-2</v>
      </c>
      <c r="O248" s="220">
        <f>O253-(O10-O258-O11)/(O10-O258)</f>
        <v>2.4046836902795188E-3</v>
      </c>
      <c r="P248" s="273">
        <f t="shared" ref="P248:V248" si="278">P$253-(P$257-P258)/(P$255-P258)</f>
        <v>3.5905360666463437E-2</v>
      </c>
      <c r="Q248" s="273">
        <f t="shared" si="278"/>
        <v>2.651235375039368E-2</v>
      </c>
      <c r="R248" s="273">
        <f t="shared" si="278"/>
        <v>1.0151169654999126E-2</v>
      </c>
      <c r="S248" s="273">
        <f t="shared" si="278"/>
        <v>8.8429481356404049E-3</v>
      </c>
      <c r="T248" s="273">
        <f t="shared" ca="1" si="278"/>
        <v>6.1653416320198717E-3</v>
      </c>
      <c r="U248" s="273">
        <f t="shared" ca="1" si="278"/>
        <v>8.2701747583676655E-3</v>
      </c>
      <c r="V248" s="273">
        <f t="shared" ca="1" si="278"/>
        <v>8.6583247608861269E-3</v>
      </c>
      <c r="W248" s="273">
        <f ca="1">W$253-(W$257-W258)/(W$255-W258)</f>
        <v>1.1390237023491789E-2</v>
      </c>
      <c r="X248" s="273">
        <f ca="1">X$253-(X$257-X258)/(X$255-X258)</f>
        <v>1.1493849882414864E-2</v>
      </c>
      <c r="Y248" s="273">
        <f ca="1">Y$253-(Y$257-Y258)/(Y$255-Y258)</f>
        <v>1.1596870053652619E-2</v>
      </c>
      <c r="Z248" s="273">
        <f ca="1">Z$253-(Z$257-Z258)/(Z$255-Z258)</f>
        <v>1.1709466459524254E-2</v>
      </c>
      <c r="AA248" s="273">
        <f ca="1">AA$253-(AA$257-AA258)/(AA$255-AA258)</f>
        <v>1.1821936151242385E-2</v>
      </c>
      <c r="AB248" s="274"/>
      <c r="AC248" s="273"/>
      <c r="AD248" s="273"/>
      <c r="AE248" s="273"/>
      <c r="AF248" s="273"/>
      <c r="AG248" s="273"/>
      <c r="AH248" s="273"/>
      <c r="AI248" s="273"/>
      <c r="AJ248" s="273"/>
      <c r="AK248" s="273"/>
      <c r="AL248" s="273"/>
      <c r="AM248" s="273"/>
      <c r="AN248" s="273"/>
      <c r="AO248" s="273"/>
      <c r="AP248" s="273"/>
      <c r="AQ248" s="273"/>
      <c r="AR248" s="273"/>
      <c r="AS248" s="273"/>
      <c r="AT248" s="273"/>
      <c r="AU248" s="273"/>
      <c r="AV248" s="273"/>
      <c r="AW248" s="273"/>
      <c r="AX248" s="273"/>
      <c r="AY248" s="273"/>
      <c r="AZ248" s="273"/>
      <c r="BA248" s="273"/>
      <c r="BB248" s="273"/>
      <c r="BC248" s="273"/>
      <c r="BD248" s="273"/>
      <c r="BE248" s="273"/>
      <c r="BF248" s="273"/>
      <c r="BG248" s="273"/>
      <c r="BH248" s="273"/>
      <c r="BI248" s="273"/>
      <c r="BJ248" s="273"/>
      <c r="BK248" s="273"/>
      <c r="BL248" s="273"/>
      <c r="BM248" s="273"/>
      <c r="BN248" s="273"/>
      <c r="BO248" s="273"/>
      <c r="BP248" s="273"/>
      <c r="BQ248" s="273"/>
      <c r="BR248" s="273"/>
      <c r="BS248" s="273"/>
      <c r="BT248" s="273"/>
      <c r="BU248" s="273"/>
      <c r="BV248" s="273"/>
      <c r="BW248" s="273"/>
      <c r="BX248" s="273"/>
      <c r="BY248" s="273"/>
      <c r="BZ248" s="273"/>
      <c r="CA248" s="273"/>
      <c r="CB248" s="273"/>
      <c r="CC248" s="273"/>
      <c r="CD248" s="273"/>
      <c r="CE248" s="273"/>
      <c r="CF248" s="273"/>
      <c r="CG248" s="273"/>
      <c r="CH248" s="273"/>
      <c r="CI248" s="273"/>
      <c r="CJ248" s="273"/>
      <c r="CO248" s="50"/>
      <c r="DK248" s="50"/>
      <c r="DL248" s="37"/>
      <c r="DM248" s="37"/>
      <c r="DN248" s="37"/>
      <c r="DO248" s="37"/>
      <c r="DP248" s="37"/>
      <c r="DQ248" s="37"/>
      <c r="DR248" s="37"/>
      <c r="DS248" s="37"/>
      <c r="DT248" s="37"/>
      <c r="DU248" s="37"/>
      <c r="DV248" s="37"/>
      <c r="DW248" s="37"/>
      <c r="DX248" s="37"/>
      <c r="DY248" s="37"/>
      <c r="DZ248" s="37"/>
    </row>
    <row r="249" spans="1:130">
      <c r="A249" s="272" t="s">
        <v>251</v>
      </c>
      <c r="B249" s="273"/>
      <c r="C249" s="273"/>
      <c r="D249" s="273"/>
      <c r="E249" s="273"/>
      <c r="F249" s="273"/>
      <c r="G249" s="273"/>
      <c r="H249" s="273"/>
      <c r="I249" s="273"/>
      <c r="J249" s="273"/>
      <c r="K249" s="273"/>
      <c r="L249" s="273"/>
      <c r="M249" s="273"/>
      <c r="N249" s="273">
        <f t="shared" ref="N249:P251" si="279">M$253-(M$257-N259)/(M$255)</f>
        <v>2.462170986514578E-3</v>
      </c>
      <c r="O249" s="273">
        <f t="shared" si="279"/>
        <v>7.4377192105649637E-3</v>
      </c>
      <c r="P249" s="273">
        <f t="shared" si="279"/>
        <v>-4.6269598230356812E-3</v>
      </c>
      <c r="Q249" s="50"/>
      <c r="R249" s="50"/>
      <c r="S249" s="50"/>
      <c r="T249" s="50"/>
      <c r="U249" s="50"/>
      <c r="V249" s="50"/>
      <c r="W249" s="50"/>
      <c r="X249" s="50"/>
      <c r="Y249" s="50"/>
      <c r="Z249" s="50"/>
      <c r="AA249" s="50"/>
      <c r="AB249" s="274"/>
      <c r="AC249" s="273"/>
      <c r="AD249" s="273"/>
      <c r="AE249" s="273"/>
      <c r="AF249" s="273"/>
      <c r="AG249" s="273"/>
      <c r="AH249" s="273"/>
      <c r="AI249" s="273"/>
      <c r="AJ249" s="273"/>
      <c r="AK249" s="273"/>
      <c r="AL249" s="273"/>
      <c r="AM249" s="273"/>
      <c r="AN249" s="273"/>
      <c r="AO249" s="273"/>
      <c r="AP249" s="273"/>
      <c r="AQ249" s="273"/>
      <c r="AR249" s="273"/>
      <c r="AS249" s="273"/>
      <c r="AT249" s="273"/>
      <c r="AU249" s="273"/>
      <c r="AV249" s="273"/>
      <c r="AW249" s="273"/>
      <c r="AX249" s="273"/>
      <c r="AY249" s="273"/>
      <c r="AZ249" s="273"/>
      <c r="BA249" s="273"/>
      <c r="BB249" s="273"/>
      <c r="BC249" s="273"/>
      <c r="BD249" s="273"/>
      <c r="BE249" s="273"/>
      <c r="BF249" s="273"/>
      <c r="BG249" s="273"/>
      <c r="BH249" s="273"/>
      <c r="BI249" s="273"/>
      <c r="BJ249" s="273"/>
      <c r="BK249" s="273"/>
      <c r="BL249" s="273"/>
      <c r="BM249" s="273"/>
      <c r="BN249" s="273"/>
      <c r="BO249" s="273"/>
      <c r="BP249" s="273"/>
      <c r="BQ249" s="273"/>
      <c r="BR249" s="273"/>
      <c r="BS249" s="273"/>
      <c r="BT249" s="273"/>
      <c r="BU249" s="273"/>
      <c r="BV249" s="273"/>
      <c r="BW249" s="273"/>
      <c r="BX249" s="273"/>
      <c r="BY249" s="273"/>
      <c r="BZ249" s="273"/>
      <c r="CA249" s="273"/>
      <c r="CB249" s="273"/>
      <c r="CC249" s="273"/>
      <c r="CD249" s="273"/>
      <c r="CE249" s="273"/>
      <c r="CF249" s="273"/>
      <c r="CG249" s="273"/>
      <c r="CH249" s="273"/>
      <c r="CI249" s="273"/>
      <c r="CJ249" s="273"/>
      <c r="CO249" s="50"/>
      <c r="DK249" s="50"/>
      <c r="DL249" s="37"/>
      <c r="DM249" s="37"/>
      <c r="DN249" s="37"/>
      <c r="DO249" s="37"/>
      <c r="DP249" s="37"/>
      <c r="DQ249" s="37"/>
      <c r="DR249" s="37"/>
      <c r="DS249" s="37"/>
      <c r="DT249" s="37"/>
      <c r="DU249" s="37"/>
      <c r="DV249" s="37"/>
      <c r="DW249" s="37"/>
      <c r="DX249" s="37"/>
      <c r="DY249" s="37"/>
      <c r="DZ249" s="37"/>
    </row>
    <row r="250" spans="1:130">
      <c r="A250" s="272" t="s">
        <v>252</v>
      </c>
      <c r="B250" s="273"/>
      <c r="C250" s="273"/>
      <c r="D250" s="273"/>
      <c r="E250" s="273"/>
      <c r="F250" s="273"/>
      <c r="G250" s="273"/>
      <c r="H250" s="273"/>
      <c r="I250" s="273"/>
      <c r="J250" s="273" t="e">
        <f>J253-(J13-J260)/J10</f>
        <v>#REF!</v>
      </c>
      <c r="K250" s="273" t="e">
        <f>K253-(K13-K260)/K10</f>
        <v>#REF!</v>
      </c>
      <c r="L250" s="273"/>
      <c r="M250" s="273"/>
      <c r="N250" s="273">
        <f t="shared" si="279"/>
        <v>2.8345853113655395E-2</v>
      </c>
      <c r="O250" s="273">
        <f t="shared" si="279"/>
        <v>2.811680708267883E-2</v>
      </c>
      <c r="P250" s="273">
        <f t="shared" si="279"/>
        <v>2.8236069010453557E-2</v>
      </c>
      <c r="Q250" s="50">
        <f t="shared" ref="Q250:AA250" si="280">Q253-(Q13-Q260)/Q10</f>
        <v>3.2300560833237901E-2</v>
      </c>
      <c r="R250" s="50">
        <f t="shared" si="280"/>
        <v>2.8344479620102836E-2</v>
      </c>
      <c r="S250" s="50">
        <f t="shared" si="280"/>
        <v>2.6642472488878466E-2</v>
      </c>
      <c r="T250" s="50">
        <f t="shared" ca="1" si="280"/>
        <v>2.5829916824025356E-2</v>
      </c>
      <c r="U250" s="50">
        <f t="shared" ca="1" si="280"/>
        <v>2.6315599846997106E-2</v>
      </c>
      <c r="V250" s="50">
        <f t="shared" ca="1" si="280"/>
        <v>2.5978067338658095E-2</v>
      </c>
      <c r="W250" s="50">
        <f t="shared" ca="1" si="280"/>
        <v>2.5674246427256242E-2</v>
      </c>
      <c r="X250" s="50">
        <f t="shared" ca="1" si="280"/>
        <v>2.5612243819582103E-2</v>
      </c>
      <c r="Y250" s="50">
        <f t="shared" ca="1" si="280"/>
        <v>2.5568971326974388E-2</v>
      </c>
      <c r="Z250" s="50">
        <f t="shared" ca="1" si="280"/>
        <v>2.552291497863729E-2</v>
      </c>
      <c r="AA250" s="50">
        <f t="shared" ca="1" si="280"/>
        <v>2.5496207189613485E-2</v>
      </c>
      <c r="AB250" s="274"/>
      <c r="AC250" s="220"/>
      <c r="AD250" s="220"/>
      <c r="AE250" s="220"/>
      <c r="AF250" s="220"/>
      <c r="AG250" s="220"/>
      <c r="AH250" s="220"/>
      <c r="AI250" s="220"/>
      <c r="AJ250" s="220"/>
      <c r="AK250" s="220"/>
      <c r="AL250" s="220"/>
      <c r="AM250" s="220"/>
      <c r="AN250" s="220"/>
      <c r="AO250" s="220"/>
      <c r="AP250" s="220"/>
      <c r="AQ250" s="220"/>
      <c r="AR250" s="220"/>
      <c r="AS250" s="220"/>
      <c r="AT250" s="220"/>
      <c r="AU250" s="220"/>
      <c r="AV250" s="220"/>
      <c r="AW250" s="220"/>
      <c r="AX250" s="220"/>
      <c r="AY250" s="220"/>
      <c r="AZ250" s="220"/>
      <c r="BA250" s="220"/>
      <c r="BB250" s="220"/>
      <c r="BC250" s="220"/>
      <c r="BD250" s="220"/>
      <c r="BE250" s="220"/>
      <c r="BF250" s="220"/>
      <c r="BG250" s="220"/>
      <c r="BH250" s="220"/>
      <c r="BI250" s="220"/>
      <c r="BJ250" s="220"/>
      <c r="BK250" s="273"/>
      <c r="BL250" s="273"/>
      <c r="BM250" s="273"/>
      <c r="BN250" s="273"/>
      <c r="BO250" s="273"/>
      <c r="BP250" s="273"/>
      <c r="BQ250" s="273"/>
      <c r="BR250" s="273"/>
      <c r="BS250" s="273"/>
      <c r="BT250" s="273"/>
      <c r="BU250" s="273"/>
      <c r="BV250" s="273"/>
      <c r="BW250" s="273"/>
      <c r="BX250" s="273"/>
      <c r="BY250" s="273"/>
      <c r="BZ250" s="273"/>
      <c r="CA250" s="273"/>
      <c r="CB250" s="273"/>
      <c r="CC250" s="273"/>
      <c r="CD250" s="273"/>
      <c r="CE250" s="273"/>
      <c r="CF250" s="273"/>
      <c r="CG250" s="273"/>
      <c r="CH250" s="273"/>
      <c r="CI250" s="273"/>
      <c r="CJ250" s="273"/>
      <c r="CO250" s="50"/>
      <c r="DK250" s="50"/>
      <c r="DL250" s="37"/>
      <c r="DM250" s="37"/>
      <c r="DN250" s="37"/>
      <c r="DO250" s="37"/>
      <c r="DP250" s="37"/>
      <c r="DQ250" s="37"/>
      <c r="DR250" s="37"/>
      <c r="DS250" s="37"/>
      <c r="DT250" s="37"/>
      <c r="DU250" s="37"/>
      <c r="DV250" s="37"/>
      <c r="DW250" s="37"/>
      <c r="DX250" s="37"/>
      <c r="DY250" s="37"/>
      <c r="DZ250" s="37"/>
    </row>
    <row r="251" spans="1:130">
      <c r="A251" s="272" t="s">
        <v>253</v>
      </c>
      <c r="B251" s="273"/>
      <c r="C251" s="273"/>
      <c r="D251" s="273"/>
      <c r="E251" s="273"/>
      <c r="F251" s="273"/>
      <c r="G251" s="273"/>
      <c r="H251" s="273"/>
      <c r="I251" s="273"/>
      <c r="J251" s="273">
        <f>J253-(J13-J261)/J10</f>
        <v>0</v>
      </c>
      <c r="K251" s="273">
        <f>K253-(K13-K261)/K10</f>
        <v>0</v>
      </c>
      <c r="L251" s="273"/>
      <c r="M251" s="273"/>
      <c r="N251" s="273">
        <f t="shared" si="279"/>
        <v>-2.1383133203015936E-2</v>
      </c>
      <c r="O251" s="273">
        <f t="shared" si="279"/>
        <v>-2.213951163786948E-2</v>
      </c>
      <c r="P251" s="273">
        <f t="shared" si="279"/>
        <v>-1.8654636108671629E-2</v>
      </c>
      <c r="Q251" s="50">
        <f t="shared" ref="Q251:AA251" si="281">Q253-(Q13-Q261)/Q10</f>
        <v>-1.9736084086833749E-2</v>
      </c>
      <c r="R251" s="50">
        <f t="shared" si="281"/>
        <v>-1.9512861100118739E-2</v>
      </c>
      <c r="S251" s="50">
        <f t="shared" si="281"/>
        <v>-1.9593089050183421E-2</v>
      </c>
      <c r="T251" s="50">
        <f t="shared" ca="1" si="281"/>
        <v>-1.9463089050183402E-2</v>
      </c>
      <c r="U251" s="50">
        <f t="shared" ca="1" si="281"/>
        <v>-1.9300589050183448E-2</v>
      </c>
      <c r="V251" s="50">
        <f t="shared" ca="1" si="281"/>
        <v>-1.9138089050183382E-2</v>
      </c>
      <c r="W251" s="50">
        <f t="shared" ca="1" si="281"/>
        <v>-1.9073089050183401E-2</v>
      </c>
      <c r="X251" s="50">
        <f t="shared" ca="1" si="281"/>
        <v>-1.9024339050183414E-2</v>
      </c>
      <c r="Y251" s="50">
        <f t="shared" ca="1" si="281"/>
        <v>-1.8975589050183428E-2</v>
      </c>
      <c r="Z251" s="50">
        <f t="shared" ca="1" si="281"/>
        <v>-1.8943089050183437E-2</v>
      </c>
      <c r="AA251" s="50">
        <f t="shared" ca="1" si="281"/>
        <v>-1.8910589050183446E-2</v>
      </c>
      <c r="AB251" s="274"/>
      <c r="AC251" s="220"/>
      <c r="AD251" s="220"/>
      <c r="AE251" s="220"/>
      <c r="AF251" s="220"/>
      <c r="AG251" s="220"/>
      <c r="AH251" s="220"/>
      <c r="AI251" s="220"/>
      <c r="AJ251" s="220"/>
      <c r="AK251" s="220"/>
      <c r="AL251" s="220"/>
      <c r="AM251" s="220"/>
      <c r="AN251" s="220"/>
      <c r="AO251" s="220"/>
      <c r="AP251" s="220"/>
      <c r="AQ251" s="220"/>
      <c r="AR251" s="220"/>
      <c r="AS251" s="220"/>
      <c r="AT251" s="220"/>
      <c r="AU251" s="220"/>
      <c r="AV251" s="220"/>
      <c r="AW251" s="220"/>
      <c r="AX251" s="220"/>
      <c r="AY251" s="220"/>
      <c r="AZ251" s="220"/>
      <c r="BA251" s="220"/>
      <c r="BB251" s="220"/>
      <c r="BC251" s="220"/>
      <c r="BD251" s="220"/>
      <c r="BE251" s="220"/>
      <c r="BF251" s="220"/>
      <c r="BG251" s="220"/>
      <c r="BH251" s="220"/>
      <c r="BI251" s="273"/>
      <c r="BJ251" s="273"/>
      <c r="BK251" s="273"/>
      <c r="BL251" s="273"/>
      <c r="BM251" s="273"/>
      <c r="BN251" s="273"/>
      <c r="BO251" s="273"/>
      <c r="BP251" s="273"/>
      <c r="BQ251" s="273"/>
      <c r="BR251" s="273"/>
      <c r="BS251" s="273"/>
      <c r="BT251" s="273"/>
      <c r="BU251" s="273"/>
      <c r="BV251" s="273"/>
      <c r="BW251" s="273"/>
      <c r="BX251" s="273"/>
      <c r="BY251" s="273"/>
      <c r="BZ251" s="273"/>
      <c r="CA251" s="273"/>
      <c r="CB251" s="273"/>
      <c r="CC251" s="273"/>
      <c r="CD251" s="273"/>
      <c r="CE251" s="273"/>
      <c r="CF251" s="273"/>
      <c r="CG251" s="273"/>
      <c r="CH251" s="273"/>
      <c r="CI251" s="273"/>
      <c r="CJ251" s="273"/>
      <c r="CO251" s="50"/>
      <c r="DK251" s="50"/>
      <c r="DL251" s="37"/>
      <c r="DM251" s="37"/>
      <c r="DN251" s="37"/>
      <c r="DO251" s="37"/>
      <c r="DP251" s="37"/>
      <c r="DQ251" s="37"/>
      <c r="DR251" s="37"/>
      <c r="DS251" s="37"/>
      <c r="DT251" s="37"/>
      <c r="DU251" s="37"/>
      <c r="DV251" s="37"/>
      <c r="DW251" s="37"/>
      <c r="DX251" s="37"/>
      <c r="DY251" s="37"/>
      <c r="DZ251" s="37"/>
    </row>
    <row r="252" spans="1:130">
      <c r="A252" s="272" t="s">
        <v>213</v>
      </c>
      <c r="B252" s="220"/>
      <c r="C252" s="220"/>
      <c r="D252" s="220"/>
      <c r="E252" s="220"/>
      <c r="F252" s="220"/>
      <c r="G252" s="220"/>
      <c r="H252" s="220"/>
      <c r="I252" s="220"/>
      <c r="J252" s="220" t="e">
        <f t="shared" ref="J252:V252" si="282">J253-SUM(J247:J251)</f>
        <v>#REF!</v>
      </c>
      <c r="K252" s="220" t="e">
        <f t="shared" si="282"/>
        <v>#REF!</v>
      </c>
      <c r="L252" s="220"/>
      <c r="M252" s="220"/>
      <c r="N252" s="220">
        <f t="shared" si="282"/>
        <v>-2.5500622279220175E-2</v>
      </c>
      <c r="O252" s="220">
        <f t="shared" si="282"/>
        <v>-1.8469963407313883E-2</v>
      </c>
      <c r="P252" s="220">
        <f t="shared" si="282"/>
        <v>-4.6689061815049338E-2</v>
      </c>
      <c r="Q252" s="50">
        <f t="shared" si="282"/>
        <v>-1.3043527943388422E-2</v>
      </c>
      <c r="R252" s="50">
        <f t="shared" si="282"/>
        <v>-1.2114388583750801E-2</v>
      </c>
      <c r="S252" s="50">
        <f t="shared" si="282"/>
        <v>-1.8360883884018186E-2</v>
      </c>
      <c r="T252" s="50">
        <f t="shared" ca="1" si="282"/>
        <v>-8.532169405861878E-3</v>
      </c>
      <c r="U252" s="50">
        <f t="shared" ca="1" si="282"/>
        <v>-1.0285185555181209E-2</v>
      </c>
      <c r="V252" s="50">
        <f t="shared" ca="1" si="282"/>
        <v>-1.0498303049360891E-2</v>
      </c>
      <c r="W252" s="50">
        <f ca="1">W253-SUM(W247:W251)</f>
        <v>-1.5991394400564685E-2</v>
      </c>
      <c r="X252" s="50">
        <f ca="1">X253-SUM(X247:X251)</f>
        <v>-1.6581754651813496E-2</v>
      </c>
      <c r="Y252" s="50">
        <f ca="1">Y253-SUM(Y247:Y251)</f>
        <v>-1.6690252330443467E-2</v>
      </c>
      <c r="Z252" s="50">
        <f ca="1">Z253-SUM(Z247:Z251)</f>
        <v>-1.7289292387978328E-2</v>
      </c>
      <c r="AA252" s="50">
        <f ca="1">AA253-SUM(AA247:AA251)</f>
        <v>-1.7407554290672256E-2</v>
      </c>
      <c r="AB252" s="274"/>
      <c r="AC252" s="220"/>
      <c r="AD252" s="220"/>
      <c r="AE252" s="220"/>
      <c r="AF252" s="220"/>
      <c r="AG252" s="220"/>
      <c r="AH252" s="220"/>
      <c r="AI252" s="220"/>
      <c r="AJ252" s="220"/>
      <c r="AK252" s="220"/>
      <c r="AL252" s="220"/>
      <c r="AM252" s="220"/>
      <c r="AN252" s="220"/>
      <c r="AO252" s="220"/>
      <c r="AP252" s="220"/>
      <c r="AQ252" s="220"/>
      <c r="AR252" s="220"/>
      <c r="AS252" s="220"/>
      <c r="AT252" s="220"/>
      <c r="AU252" s="220"/>
      <c r="AV252" s="220"/>
      <c r="AW252" s="220"/>
      <c r="AX252" s="220"/>
      <c r="AY252" s="220"/>
      <c r="AZ252" s="220"/>
      <c r="BA252" s="220"/>
      <c r="BB252" s="220"/>
      <c r="BC252" s="220"/>
      <c r="BD252" s="220"/>
      <c r="BE252" s="220"/>
      <c r="BF252" s="220"/>
      <c r="BG252" s="220"/>
      <c r="BH252" s="220"/>
      <c r="BI252" s="220"/>
      <c r="BJ252" s="220"/>
      <c r="BK252" s="220"/>
      <c r="BL252" s="220"/>
      <c r="BM252" s="220"/>
      <c r="BN252" s="220"/>
      <c r="BO252" s="220"/>
      <c r="BP252" s="220"/>
      <c r="BQ252" s="220"/>
      <c r="BR252" s="220"/>
      <c r="BS252" s="220"/>
      <c r="BT252" s="220"/>
      <c r="BU252" s="220"/>
      <c r="BV252" s="220"/>
      <c r="BW252" s="220"/>
      <c r="BX252" s="220"/>
      <c r="BY252" s="220"/>
      <c r="BZ252" s="220"/>
      <c r="CA252" s="220"/>
      <c r="CB252" s="220"/>
      <c r="CC252" s="220"/>
      <c r="CD252" s="220"/>
      <c r="CE252" s="220"/>
      <c r="CF252" s="220"/>
      <c r="CG252" s="220"/>
      <c r="CH252" s="220"/>
      <c r="CI252" s="220"/>
      <c r="CJ252" s="220"/>
      <c r="CO252" s="50"/>
      <c r="DK252" s="50"/>
      <c r="DL252" s="37"/>
      <c r="DM252" s="37"/>
      <c r="DN252" s="37"/>
      <c r="DO252" s="37"/>
      <c r="DP252" s="37"/>
      <c r="DQ252" s="37"/>
      <c r="DR252" s="37"/>
      <c r="DS252" s="37"/>
      <c r="DT252" s="37"/>
      <c r="DU252" s="37"/>
      <c r="DV252" s="37"/>
      <c r="DW252" s="37"/>
      <c r="DX252" s="37"/>
      <c r="DY252" s="37"/>
      <c r="DZ252" s="37"/>
    </row>
    <row r="253" spans="1:130">
      <c r="A253" s="270" t="s">
        <v>254</v>
      </c>
      <c r="B253" s="271"/>
      <c r="C253" s="271"/>
      <c r="D253" s="271"/>
      <c r="E253" s="271"/>
      <c r="F253" s="271"/>
      <c r="G253" s="271"/>
      <c r="H253" s="271"/>
      <c r="I253" s="271"/>
      <c r="J253" s="271">
        <f>J14</f>
        <v>0.33710369881109642</v>
      </c>
      <c r="K253" s="271">
        <f>K14</f>
        <v>0.37229530898390167</v>
      </c>
      <c r="L253" s="271"/>
      <c r="M253" s="271">
        <f t="shared" ref="M253:AA253" si="283">M14</f>
        <v>0.37009215302987991</v>
      </c>
      <c r="N253" s="271">
        <f t="shared" si="283"/>
        <v>0.37518206482935884</v>
      </c>
      <c r="O253" s="271">
        <f t="shared" si="283"/>
        <v>0.37253179976769879</v>
      </c>
      <c r="P253" s="271">
        <f t="shared" si="283"/>
        <v>0.36670257169785914</v>
      </c>
      <c r="Q253" s="229">
        <f t="shared" si="283"/>
        <v>0.39273587425126855</v>
      </c>
      <c r="R253" s="229">
        <f t="shared" si="283"/>
        <v>0.39960427384250097</v>
      </c>
      <c r="S253" s="229">
        <f t="shared" si="283"/>
        <v>0.39713572153281823</v>
      </c>
      <c r="T253" s="229">
        <f t="shared" ca="1" si="283"/>
        <v>0.40113572153281818</v>
      </c>
      <c r="U253" s="229">
        <f t="shared" ca="1" si="283"/>
        <v>0.40613572153281829</v>
      </c>
      <c r="V253" s="229">
        <f t="shared" ca="1" si="283"/>
        <v>0.41113572153281824</v>
      </c>
      <c r="W253" s="229">
        <f t="shared" ca="1" si="283"/>
        <v>0.41313572153281819</v>
      </c>
      <c r="X253" s="229">
        <f t="shared" ca="1" si="283"/>
        <v>0.41463572153281825</v>
      </c>
      <c r="Y253" s="229">
        <f t="shared" ca="1" si="283"/>
        <v>0.41613572153281836</v>
      </c>
      <c r="Z253" s="229">
        <f t="shared" ca="1" si="283"/>
        <v>0.41713572153281814</v>
      </c>
      <c r="AA253" s="229">
        <f t="shared" ca="1" si="283"/>
        <v>0.41813572153281831</v>
      </c>
      <c r="AB253" s="268"/>
      <c r="AC253" s="271"/>
      <c r="AD253" s="271"/>
      <c r="AE253" s="271"/>
      <c r="AF253" s="271"/>
      <c r="AG253" s="271"/>
      <c r="AH253" s="271"/>
      <c r="AI253" s="271"/>
      <c r="AJ253" s="271"/>
      <c r="AK253" s="271"/>
      <c r="AL253" s="271"/>
      <c r="AM253" s="271"/>
      <c r="AN253" s="271"/>
      <c r="AO253" s="271"/>
      <c r="AP253" s="271"/>
      <c r="AQ253" s="271"/>
      <c r="AR253" s="271"/>
      <c r="AS253" s="271"/>
      <c r="AT253" s="271"/>
      <c r="AU253" s="271"/>
      <c r="AV253" s="271"/>
      <c r="AW253" s="271"/>
      <c r="AX253" s="271"/>
      <c r="AY253" s="271"/>
      <c r="AZ253" s="271"/>
      <c r="BA253" s="271"/>
      <c r="BB253" s="271"/>
      <c r="BC253" s="271"/>
      <c r="BD253" s="271"/>
      <c r="BE253" s="271"/>
      <c r="BF253" s="271"/>
      <c r="BG253" s="271"/>
      <c r="BH253" s="271"/>
      <c r="BI253" s="271"/>
      <c r="BJ253" s="271"/>
      <c r="BK253" s="271"/>
      <c r="BL253" s="271"/>
      <c r="BM253" s="271"/>
      <c r="BN253" s="271"/>
      <c r="BO253" s="271"/>
      <c r="BP253" s="271"/>
      <c r="BQ253" s="271"/>
      <c r="BR253" s="271"/>
      <c r="BS253" s="271"/>
      <c r="BT253" s="271"/>
      <c r="BU253" s="271"/>
      <c r="BV253" s="271"/>
      <c r="BW253" s="271"/>
      <c r="BX253" s="271"/>
      <c r="BY253" s="271"/>
      <c r="BZ253" s="271"/>
      <c r="CA253" s="271"/>
      <c r="CB253" s="271"/>
      <c r="CC253" s="271"/>
      <c r="CD253" s="271"/>
      <c r="CE253" s="271"/>
      <c r="CF253" s="271"/>
      <c r="CG253" s="271"/>
      <c r="CH253" s="271"/>
      <c r="CI253" s="271"/>
      <c r="CJ253" s="271"/>
      <c r="CO253" s="229"/>
      <c r="DK253" s="229"/>
      <c r="DL253" s="231"/>
      <c r="DM253" s="231"/>
      <c r="DN253" s="231"/>
      <c r="DO253" s="231"/>
      <c r="DP253" s="231"/>
      <c r="DQ253" s="231"/>
      <c r="DR253" s="231"/>
      <c r="DS253" s="231"/>
      <c r="DT253" s="231"/>
      <c r="DU253" s="231"/>
      <c r="DV253" s="231"/>
      <c r="DW253" s="231"/>
      <c r="DX253" s="231"/>
      <c r="DY253" s="231"/>
      <c r="DZ253" s="231"/>
    </row>
    <row r="254" spans="1:130">
      <c r="A254" s="272"/>
      <c r="B254" s="152"/>
      <c r="C254" s="152"/>
      <c r="D254" s="152"/>
      <c r="E254" s="152"/>
      <c r="F254" s="152"/>
      <c r="G254" s="152"/>
      <c r="H254" s="152"/>
      <c r="I254" s="152"/>
      <c r="J254" s="152"/>
      <c r="K254" s="152"/>
      <c r="L254" s="152"/>
      <c r="M254" s="152"/>
      <c r="N254" s="152"/>
      <c r="O254" s="152"/>
      <c r="P254" s="152"/>
      <c r="Q254" s="152"/>
      <c r="R254" s="152"/>
      <c r="S254" s="152"/>
      <c r="T254" s="152"/>
      <c r="U254" s="152"/>
      <c r="V254" s="152"/>
      <c r="W254" s="152"/>
      <c r="X254" s="152"/>
      <c r="Y254" s="152"/>
      <c r="Z254" s="152"/>
      <c r="AA254" s="152"/>
      <c r="AB254" s="274"/>
      <c r="AC254" s="152"/>
      <c r="AD254" s="152"/>
      <c r="AE254" s="152"/>
      <c r="AF254" s="152"/>
      <c r="AG254" s="152"/>
      <c r="AH254" s="152"/>
      <c r="AI254" s="152"/>
      <c r="AJ254" s="152"/>
      <c r="AK254" s="152"/>
      <c r="AL254" s="152"/>
      <c r="AM254" s="152"/>
      <c r="AN254" s="152"/>
      <c r="AO254" s="152"/>
      <c r="AP254" s="152"/>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52"/>
      <c r="BP254" s="152"/>
      <c r="BQ254" s="152"/>
      <c r="BR254" s="152"/>
      <c r="BS254" s="152"/>
      <c r="BT254" s="152"/>
      <c r="BU254" s="152"/>
      <c r="BV254" s="152"/>
      <c r="BW254" s="152"/>
      <c r="BX254" s="152"/>
      <c r="BY254" s="152"/>
      <c r="BZ254" s="152"/>
      <c r="CA254" s="152"/>
      <c r="CB254" s="152"/>
      <c r="CC254" s="152"/>
      <c r="CD254" s="152"/>
      <c r="CE254" s="152"/>
      <c r="CF254" s="152"/>
      <c r="CG254" s="152"/>
      <c r="CH254" s="152"/>
      <c r="CI254" s="152"/>
      <c r="CJ254" s="152"/>
      <c r="CO254" s="50"/>
      <c r="DK254" s="50"/>
      <c r="DL254" s="37"/>
      <c r="DM254" s="37"/>
      <c r="DN254" s="37"/>
      <c r="DO254" s="37"/>
      <c r="DP254" s="37"/>
      <c r="DQ254" s="37"/>
      <c r="DR254" s="37"/>
      <c r="DS254" s="37"/>
      <c r="DT254" s="37"/>
      <c r="DU254" s="37"/>
      <c r="DV254" s="37"/>
      <c r="DW254" s="37"/>
      <c r="DX254" s="37"/>
      <c r="DY254" s="37"/>
      <c r="DZ254" s="37"/>
    </row>
    <row r="255" spans="1:130">
      <c r="A255" s="272" t="s">
        <v>176</v>
      </c>
      <c r="B255" s="39">
        <f t="shared" ref="B255:K255" si="284">B10</f>
        <v>29667</v>
      </c>
      <c r="C255" s="39">
        <f t="shared" si="284"/>
        <v>29364.794000000002</v>
      </c>
      <c r="D255" s="39">
        <f t="shared" si="284"/>
        <v>29723</v>
      </c>
      <c r="E255" s="39">
        <f t="shared" si="284"/>
        <v>31010</v>
      </c>
      <c r="F255" s="39">
        <f t="shared" si="284"/>
        <v>32168</v>
      </c>
      <c r="G255" s="39">
        <f t="shared" si="284"/>
        <v>34113</v>
      </c>
      <c r="H255" s="39">
        <f t="shared" si="284"/>
        <v>34356</v>
      </c>
      <c r="I255" s="39">
        <f t="shared" si="284"/>
        <v>19942</v>
      </c>
      <c r="J255" s="39">
        <f t="shared" si="284"/>
        <v>24224</v>
      </c>
      <c r="K255" s="39">
        <f t="shared" si="284"/>
        <v>23108</v>
      </c>
      <c r="L255" s="39"/>
      <c r="M255" s="39">
        <f t="shared" ref="M255:AA255" si="285">M10</f>
        <v>35810</v>
      </c>
      <c r="N255" s="39">
        <f t="shared" si="285"/>
        <v>35015</v>
      </c>
      <c r="O255" s="39">
        <f t="shared" si="285"/>
        <v>35299</v>
      </c>
      <c r="P255" s="39">
        <f t="shared" si="285"/>
        <v>29708</v>
      </c>
      <c r="Q255" s="39">
        <f t="shared" si="285"/>
        <v>26211</v>
      </c>
      <c r="R255" s="39">
        <f t="shared" si="285"/>
        <v>25270</v>
      </c>
      <c r="S255" s="39">
        <f t="shared" si="285"/>
        <v>25626</v>
      </c>
      <c r="T255" s="39">
        <f t="shared" ca="1" si="285"/>
        <v>26914.720815258828</v>
      </c>
      <c r="U255" s="39">
        <f t="shared" ca="1" si="285"/>
        <v>27562.431522368257</v>
      </c>
      <c r="V255" s="39">
        <f t="shared" ca="1" si="285"/>
        <v>28353.743498129828</v>
      </c>
      <c r="W255" s="39">
        <f t="shared" ca="1" si="285"/>
        <v>29264.453931995518</v>
      </c>
      <c r="X255" s="39">
        <f t="shared" ca="1" si="285"/>
        <v>30174.701768154526</v>
      </c>
      <c r="Y255" s="39">
        <f t="shared" ca="1" si="285"/>
        <v>31086.258951019481</v>
      </c>
      <c r="Z255" s="39">
        <f t="shared" ca="1" si="285"/>
        <v>32000.93044051859</v>
      </c>
      <c r="AA255" s="39">
        <f t="shared" ca="1" si="285"/>
        <v>32920.542227121507</v>
      </c>
      <c r="AB255" s="274"/>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BG255" s="39"/>
      <c r="BH255" s="39"/>
      <c r="BI255" s="39"/>
      <c r="BJ255" s="39"/>
      <c r="BK255" s="39"/>
      <c r="BL255" s="39"/>
      <c r="BM255" s="39"/>
      <c r="BN255" s="39"/>
      <c r="BO255" s="39"/>
      <c r="BP255" s="39"/>
      <c r="BQ255" s="39"/>
      <c r="BR255" s="39"/>
      <c r="BS255" s="39"/>
      <c r="BT255" s="39"/>
      <c r="BU255" s="39"/>
      <c r="BV255" s="39"/>
      <c r="BW255" s="39"/>
      <c r="BX255" s="39"/>
      <c r="BY255" s="39"/>
      <c r="BZ255" s="39"/>
      <c r="CA255" s="39"/>
      <c r="CB255" s="39"/>
      <c r="CC255" s="39"/>
      <c r="CD255" s="39"/>
      <c r="CE255" s="39"/>
      <c r="CF255" s="39"/>
      <c r="CG255" s="39"/>
      <c r="CH255" s="39"/>
      <c r="CI255" s="39"/>
      <c r="CJ255" s="39"/>
      <c r="CO255" s="50"/>
      <c r="DK255" s="50"/>
      <c r="DL255" s="37"/>
      <c r="DM255" s="37"/>
      <c r="DN255" s="37"/>
      <c r="DO255" s="37"/>
      <c r="DP255" s="37"/>
      <c r="DQ255" s="37"/>
      <c r="DR255" s="37"/>
      <c r="DS255" s="37"/>
      <c r="DT255" s="37"/>
      <c r="DU255" s="37"/>
      <c r="DV255" s="37"/>
      <c r="DW255" s="37"/>
      <c r="DX255" s="37"/>
      <c r="DY255" s="37"/>
      <c r="DZ255" s="37"/>
    </row>
    <row r="256" spans="1:130">
      <c r="A256" s="272" t="s">
        <v>177</v>
      </c>
      <c r="B256" s="39">
        <f t="shared" ref="B256:K256" si="286">B11</f>
        <v>18129</v>
      </c>
      <c r="C256" s="39">
        <f t="shared" si="286"/>
        <v>17566</v>
      </c>
      <c r="D256" s="39">
        <f t="shared" si="286"/>
        <v>17720</v>
      </c>
      <c r="E256" s="39">
        <f t="shared" si="286"/>
        <v>18828</v>
      </c>
      <c r="F256" s="39">
        <f t="shared" si="286"/>
        <v>20281</v>
      </c>
      <c r="G256" s="39">
        <f t="shared" si="286"/>
        <v>21845</v>
      </c>
      <c r="H256" s="39">
        <f t="shared" si="286"/>
        <v>21940</v>
      </c>
      <c r="I256" s="39">
        <f t="shared" si="286"/>
        <v>12747</v>
      </c>
      <c r="J256" s="39">
        <f t="shared" si="286"/>
        <v>16058</v>
      </c>
      <c r="K256" s="39">
        <f t="shared" si="286"/>
        <v>14505</v>
      </c>
      <c r="L256" s="39"/>
      <c r="M256" s="39">
        <f t="shared" ref="M256:AA256" si="287">M11</f>
        <v>22557</v>
      </c>
      <c r="N256" s="39">
        <f t="shared" si="287"/>
        <v>21878</v>
      </c>
      <c r="O256" s="39">
        <f t="shared" si="287"/>
        <v>22149</v>
      </c>
      <c r="P256" s="39">
        <f t="shared" si="287"/>
        <v>18814</v>
      </c>
      <c r="Q256" s="39">
        <f t="shared" si="287"/>
        <v>15917</v>
      </c>
      <c r="R256" s="39">
        <f t="shared" si="287"/>
        <v>15172</v>
      </c>
      <c r="S256" s="39">
        <f t="shared" si="287"/>
        <v>15449</v>
      </c>
      <c r="T256" s="39">
        <f t="shared" ca="1" si="287"/>
        <v>16118.264861175618</v>
      </c>
      <c r="U256" s="39">
        <f t="shared" ca="1" si="287"/>
        <v>16368.343508832329</v>
      </c>
      <c r="V256" s="39">
        <f t="shared" ca="1" si="287"/>
        <v>16696.506706869768</v>
      </c>
      <c r="W256" s="39">
        <f t="shared" ca="1" si="287"/>
        <v>17174.262641536632</v>
      </c>
      <c r="X256" s="39">
        <f t="shared" ca="1" si="287"/>
        <v>17663.192528478168</v>
      </c>
      <c r="Y256" s="39">
        <f t="shared" ca="1" si="287"/>
        <v>18150.156152680956</v>
      </c>
      <c r="Z256" s="39">
        <f t="shared" ca="1" si="287"/>
        <v>18652.199231491344</v>
      </c>
      <c r="AA256" s="39">
        <f t="shared" ca="1" si="287"/>
        <v>19155.287549732442</v>
      </c>
      <c r="AB256" s="274"/>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BG256" s="39"/>
      <c r="BH256" s="39"/>
      <c r="BI256" s="39"/>
      <c r="BJ256" s="39"/>
      <c r="BK256" s="39"/>
      <c r="BL256" s="39"/>
      <c r="BM256" s="39"/>
      <c r="BN256" s="39"/>
      <c r="BO256" s="39"/>
      <c r="BP256" s="39"/>
      <c r="BQ256" s="39"/>
      <c r="BR256" s="39"/>
      <c r="BS256" s="39"/>
      <c r="BT256" s="39"/>
      <c r="BU256" s="39"/>
      <c r="BV256" s="39"/>
      <c r="BW256" s="39"/>
      <c r="BX256" s="39"/>
      <c r="BY256" s="39"/>
      <c r="BZ256" s="39"/>
      <c r="CA256" s="39"/>
      <c r="CB256" s="39"/>
      <c r="CC256" s="39"/>
      <c r="CD256" s="39"/>
      <c r="CE256" s="39"/>
      <c r="CF256" s="39"/>
      <c r="CG256" s="39"/>
      <c r="CH256" s="39"/>
      <c r="CI256" s="39"/>
      <c r="CJ256" s="39"/>
      <c r="CO256" s="50"/>
      <c r="DK256" s="50"/>
      <c r="DL256" s="37"/>
      <c r="DM256" s="37"/>
      <c r="DN256" s="37"/>
      <c r="DO256" s="37"/>
      <c r="DP256" s="37"/>
      <c r="DQ256" s="37"/>
      <c r="DR256" s="37"/>
      <c r="DS256" s="37"/>
      <c r="DT256" s="37"/>
      <c r="DU256" s="37"/>
      <c r="DV256" s="37"/>
      <c r="DW256" s="37"/>
      <c r="DX256" s="37"/>
      <c r="DY256" s="37"/>
      <c r="DZ256" s="37"/>
    </row>
    <row r="257" spans="1:130">
      <c r="A257" s="272" t="s">
        <v>178</v>
      </c>
      <c r="B257" s="39">
        <f t="shared" ref="B257:K257" si="288">B13</f>
        <v>11538</v>
      </c>
      <c r="C257" s="39">
        <f t="shared" si="288"/>
        <v>11798.794000000002</v>
      </c>
      <c r="D257" s="39">
        <f t="shared" si="288"/>
        <v>12003</v>
      </c>
      <c r="E257" s="39">
        <f t="shared" si="288"/>
        <v>12182</v>
      </c>
      <c r="F257" s="39">
        <f t="shared" si="288"/>
        <v>11887</v>
      </c>
      <c r="G257" s="39">
        <f t="shared" si="288"/>
        <v>12268</v>
      </c>
      <c r="H257" s="39">
        <f t="shared" si="288"/>
        <v>12416</v>
      </c>
      <c r="I257" s="39">
        <f t="shared" si="288"/>
        <v>7195</v>
      </c>
      <c r="J257" s="39">
        <f t="shared" si="288"/>
        <v>8166</v>
      </c>
      <c r="K257" s="39">
        <f t="shared" si="288"/>
        <v>8603</v>
      </c>
      <c r="L257" s="39"/>
      <c r="M257" s="39">
        <f t="shared" ref="M257:AA257" si="289">M13</f>
        <v>13253</v>
      </c>
      <c r="N257" s="39">
        <f t="shared" si="289"/>
        <v>13137</v>
      </c>
      <c r="O257" s="39">
        <f t="shared" si="289"/>
        <v>13150</v>
      </c>
      <c r="P257" s="39">
        <f t="shared" si="289"/>
        <v>10894</v>
      </c>
      <c r="Q257" s="39">
        <f t="shared" si="289"/>
        <v>10294</v>
      </c>
      <c r="R257" s="39">
        <f t="shared" si="289"/>
        <v>10098</v>
      </c>
      <c r="S257" s="39">
        <f t="shared" si="289"/>
        <v>10177</v>
      </c>
      <c r="T257" s="39">
        <f t="shared" ca="1" si="289"/>
        <v>10796.455954083211</v>
      </c>
      <c r="U257" s="39">
        <f t="shared" ca="1" si="289"/>
        <v>11194.088013535928</v>
      </c>
      <c r="V257" s="39">
        <f t="shared" ca="1" si="289"/>
        <v>11657.23679126006</v>
      </c>
      <c r="W257" s="39">
        <f t="shared" ca="1" si="289"/>
        <v>12090.191290458886</v>
      </c>
      <c r="X257" s="39">
        <f t="shared" ca="1" si="289"/>
        <v>12511.509239676358</v>
      </c>
      <c r="Y257" s="39">
        <f t="shared" ca="1" si="289"/>
        <v>12936.102798338525</v>
      </c>
      <c r="Z257" s="39">
        <f t="shared" ca="1" si="289"/>
        <v>13348.731209027246</v>
      </c>
      <c r="AA257" s="39">
        <f t="shared" ca="1" si="289"/>
        <v>13765.254677389064</v>
      </c>
      <c r="AB257" s="274"/>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BG257" s="39"/>
      <c r="BH257" s="39"/>
      <c r="BI257" s="39"/>
      <c r="BJ257" s="39"/>
      <c r="BK257" s="39"/>
      <c r="BL257" s="39"/>
      <c r="BM257" s="39"/>
      <c r="BN257" s="39"/>
      <c r="BO257" s="39"/>
      <c r="BP257" s="39"/>
      <c r="BQ257" s="39"/>
      <c r="BR257" s="39"/>
      <c r="BS257" s="39"/>
      <c r="BT257" s="39"/>
      <c r="BU257" s="39"/>
      <c r="BV257" s="39"/>
      <c r="BW257" s="39"/>
      <c r="BX257" s="39"/>
      <c r="BY257" s="39"/>
      <c r="BZ257" s="39"/>
      <c r="CA257" s="39"/>
      <c r="CB257" s="39"/>
      <c r="CC257" s="39"/>
      <c r="CD257" s="39"/>
      <c r="CE257" s="39"/>
      <c r="CF257" s="39"/>
      <c r="CG257" s="39"/>
      <c r="CH257" s="39"/>
      <c r="CI257" s="39"/>
      <c r="CJ257" s="39"/>
      <c r="CO257" s="50"/>
      <c r="DK257" s="50"/>
      <c r="DL257" s="37"/>
      <c r="DM257" s="37"/>
      <c r="DN257" s="37"/>
      <c r="DO257" s="37"/>
      <c r="DP257" s="37"/>
      <c r="DQ257" s="37"/>
      <c r="DR257" s="37"/>
      <c r="DS257" s="37"/>
      <c r="DT257" s="37"/>
      <c r="DU257" s="37"/>
      <c r="DV257" s="37"/>
      <c r="DW257" s="37"/>
      <c r="DX257" s="37"/>
      <c r="DY257" s="37"/>
      <c r="DZ257" s="37"/>
    </row>
    <row r="258" spans="1:130">
      <c r="A258" s="272" t="s">
        <v>250</v>
      </c>
      <c r="B258" s="39" t="e">
        <f>#REF!</f>
        <v>#REF!</v>
      </c>
      <c r="C258" s="39" t="e">
        <f>#REF!</f>
        <v>#REF!</v>
      </c>
      <c r="D258" s="39" t="e">
        <f>#REF!</f>
        <v>#REF!</v>
      </c>
      <c r="E258" s="39" t="e">
        <f>#REF!</f>
        <v>#REF!</v>
      </c>
      <c r="F258" s="39" t="e">
        <f>#REF!</f>
        <v>#REF!</v>
      </c>
      <c r="G258" s="39" t="e">
        <f>#REF!</f>
        <v>#REF!</v>
      </c>
      <c r="H258" s="39" t="e">
        <f>#REF!</f>
        <v>#REF!</v>
      </c>
      <c r="I258" s="39">
        <v>584.05200000000002</v>
      </c>
      <c r="J258" s="39">
        <v>2809.34</v>
      </c>
      <c r="K258" s="39">
        <v>838.64</v>
      </c>
      <c r="L258" s="39"/>
      <c r="M258" s="39">
        <v>2909.5430000000001</v>
      </c>
      <c r="N258" s="39">
        <f>+Sales!N132</f>
        <v>1147.2660000000001</v>
      </c>
      <c r="O258" s="39">
        <f>+Sales!O132</f>
        <v>134.76200000000006</v>
      </c>
      <c r="P258" s="39">
        <f>+Sales!P132</f>
        <v>1593.951</v>
      </c>
      <c r="Q258" s="39">
        <f>+Sales!Q132</f>
        <v>1096.4674875608564</v>
      </c>
      <c r="R258" s="39">
        <f>+Sales!R132</f>
        <v>420.14799999999997</v>
      </c>
      <c r="S258" s="39">
        <f>+Sales!S132</f>
        <v>370.45400000000006</v>
      </c>
      <c r="T258" s="39">
        <f>+Sales!T132</f>
        <v>274.26499999999999</v>
      </c>
      <c r="U258" s="39">
        <f ca="1">+Sales!U132</f>
        <v>378.56349895684139</v>
      </c>
      <c r="V258" s="39">
        <f ca="1">+Sales!V132</f>
        <v>410.85628906320767</v>
      </c>
      <c r="W258" s="39">
        <f ca="1">+Sales!W132</f>
        <v>557.16932846732698</v>
      </c>
      <c r="X258" s="39">
        <f ca="1">+Sales!X132</f>
        <v>581.08196218894363</v>
      </c>
      <c r="Y258" s="39">
        <f ca="1">+Sales!Y132</f>
        <v>605.41868500519865</v>
      </c>
      <c r="Z258" s="39">
        <f ca="1">+Sales!Z132</f>
        <v>630.2226172348295</v>
      </c>
      <c r="AA258" s="39">
        <f ca="1">+Sales!AA132</f>
        <v>655.53913614694079</v>
      </c>
      <c r="AB258" s="274"/>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BG258" s="39"/>
      <c r="BH258" s="39"/>
      <c r="BI258" s="39"/>
      <c r="BJ258" s="39"/>
      <c r="BK258" s="39"/>
      <c r="BL258" s="39"/>
      <c r="BM258" s="39"/>
      <c r="BN258" s="39"/>
      <c r="BO258" s="39"/>
      <c r="BP258" s="39"/>
      <c r="BQ258" s="39"/>
      <c r="BR258" s="39"/>
      <c r="BS258" s="39"/>
      <c r="BT258" s="39"/>
      <c r="BU258" s="39"/>
      <c r="BV258" s="39"/>
      <c r="BW258" s="39"/>
      <c r="BX258" s="39"/>
      <c r="BY258" s="39"/>
      <c r="BZ258" s="39"/>
      <c r="CA258" s="39"/>
      <c r="CB258" s="39"/>
      <c r="CC258" s="39"/>
      <c r="CD258" s="39"/>
      <c r="CE258" s="39"/>
      <c r="CF258" s="39"/>
      <c r="CG258" s="39"/>
      <c r="CH258" s="39"/>
      <c r="CI258" s="39"/>
      <c r="CJ258" s="39"/>
      <c r="CO258" s="50"/>
      <c r="DK258" s="50"/>
      <c r="DL258" s="37"/>
      <c r="DM258" s="37"/>
      <c r="DN258" s="37"/>
      <c r="DO258" s="37"/>
      <c r="DP258" s="37"/>
      <c r="DQ258" s="37"/>
      <c r="DR258" s="37"/>
      <c r="DS258" s="37"/>
      <c r="DT258" s="37"/>
      <c r="DU258" s="37"/>
      <c r="DV258" s="37"/>
      <c r="DW258" s="37"/>
      <c r="DX258" s="37"/>
      <c r="DY258" s="37"/>
      <c r="DZ258" s="37"/>
    </row>
    <row r="259" spans="1:130">
      <c r="A259" s="272" t="s">
        <v>251</v>
      </c>
      <c r="B259" s="39"/>
      <c r="C259" s="39"/>
      <c r="D259" s="39"/>
      <c r="E259" s="39"/>
      <c r="F259" s="39"/>
      <c r="G259" s="39"/>
      <c r="H259" s="39"/>
      <c r="I259" s="39"/>
      <c r="J259" s="39"/>
      <c r="K259" s="39"/>
      <c r="L259" s="39"/>
      <c r="M259" s="39">
        <f>M265*L256*0.35</f>
        <v>0</v>
      </c>
      <c r="N259" s="39">
        <f>N265*M256*0.35</f>
        <v>88.170343027087398</v>
      </c>
      <c r="O259" s="39">
        <f>O265*N256*0.35</f>
        <v>260.43173815793227</v>
      </c>
      <c r="P259" s="39">
        <f>P265*O256*0.35</f>
        <v>-163.32705479333691</v>
      </c>
      <c r="Q259" s="39">
        <f t="shared" ref="Q259:V259" si="290">Q265*P256*0.35</f>
        <v>0</v>
      </c>
      <c r="R259" s="39">
        <f t="shared" si="290"/>
        <v>0</v>
      </c>
      <c r="S259" s="39">
        <f t="shared" si="290"/>
        <v>0</v>
      </c>
      <c r="T259" s="39">
        <f t="shared" si="290"/>
        <v>0</v>
      </c>
      <c r="U259" s="39">
        <f t="shared" ca="1" si="290"/>
        <v>0</v>
      </c>
      <c r="V259" s="39">
        <f t="shared" ca="1" si="290"/>
        <v>0</v>
      </c>
      <c r="W259" s="39">
        <f ca="1">W265*V256*0.35</f>
        <v>0</v>
      </c>
      <c r="X259" s="39">
        <f ca="1">X265*W256*0.35</f>
        <v>0</v>
      </c>
      <c r="Y259" s="39">
        <f ca="1">Y265*X256*0.35</f>
        <v>0</v>
      </c>
      <c r="Z259" s="39">
        <f ca="1">Z265*Y256*0.35</f>
        <v>0</v>
      </c>
      <c r="AA259" s="39">
        <f ca="1">AA265*Z256*0.35</f>
        <v>0</v>
      </c>
      <c r="AB259" s="274"/>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BG259" s="39"/>
      <c r="BH259" s="39"/>
      <c r="BI259" s="39"/>
      <c r="BJ259" s="39"/>
      <c r="BK259" s="39"/>
      <c r="BL259" s="39"/>
      <c r="BM259" s="39"/>
      <c r="BN259" s="39"/>
      <c r="BO259" s="39"/>
      <c r="BP259" s="39"/>
      <c r="BQ259" s="39"/>
      <c r="BR259" s="39"/>
      <c r="BS259" s="39"/>
      <c r="BT259" s="39"/>
      <c r="BU259" s="39"/>
      <c r="BV259" s="39"/>
      <c r="BW259" s="39"/>
      <c r="BX259" s="39"/>
      <c r="BY259" s="39"/>
      <c r="BZ259" s="39"/>
      <c r="CA259" s="39"/>
      <c r="CB259" s="39"/>
      <c r="CC259" s="39"/>
      <c r="CD259" s="39"/>
      <c r="CE259" s="39"/>
      <c r="CF259" s="39"/>
      <c r="CG259" s="39"/>
      <c r="CH259" s="39"/>
      <c r="CI259" s="39"/>
      <c r="CJ259" s="39"/>
      <c r="CO259" s="50"/>
      <c r="DK259" s="50"/>
      <c r="DL259" s="37"/>
      <c r="DM259" s="37"/>
      <c r="DN259" s="37"/>
      <c r="DO259" s="37"/>
      <c r="DP259" s="37"/>
      <c r="DQ259" s="37"/>
      <c r="DR259" s="37"/>
      <c r="DS259" s="37"/>
      <c r="DT259" s="37"/>
      <c r="DU259" s="37"/>
      <c r="DV259" s="37"/>
      <c r="DW259" s="37"/>
      <c r="DX259" s="37"/>
      <c r="DY259" s="37"/>
      <c r="DZ259" s="37"/>
    </row>
    <row r="260" spans="1:130">
      <c r="A260" s="272" t="s">
        <v>255</v>
      </c>
      <c r="B260" s="39"/>
      <c r="C260" s="39"/>
      <c r="D260" s="39"/>
      <c r="E260" s="39"/>
      <c r="F260" s="39"/>
      <c r="G260" s="39"/>
      <c r="H260" s="39"/>
      <c r="I260" s="39"/>
      <c r="J260" s="39" t="e">
        <f>#REF!</f>
        <v>#REF!</v>
      </c>
      <c r="K260" s="39" t="e">
        <f>#REF!</f>
        <v>#REF!</v>
      </c>
      <c r="L260" s="39"/>
      <c r="M260" s="39">
        <f t="shared" ref="M260:AA260" si="291">0.045*L11</f>
        <v>880.51499999999999</v>
      </c>
      <c r="N260" s="39">
        <f t="shared" si="291"/>
        <v>1015.0649999999999</v>
      </c>
      <c r="O260" s="39">
        <f t="shared" si="291"/>
        <v>984.51</v>
      </c>
      <c r="P260" s="39">
        <f t="shared" si="291"/>
        <v>996.70499999999993</v>
      </c>
      <c r="Q260" s="39">
        <f t="shared" si="291"/>
        <v>846.63</v>
      </c>
      <c r="R260" s="39">
        <f t="shared" si="291"/>
        <v>716.26499999999999</v>
      </c>
      <c r="S260" s="39">
        <f t="shared" si="291"/>
        <v>682.74</v>
      </c>
      <c r="T260" s="39">
        <f t="shared" si="291"/>
        <v>695.20499999999993</v>
      </c>
      <c r="U260" s="39">
        <f t="shared" ca="1" si="291"/>
        <v>725.32191875290277</v>
      </c>
      <c r="V260" s="39">
        <f t="shared" ca="1" si="291"/>
        <v>736.57545789745484</v>
      </c>
      <c r="W260" s="39">
        <f t="shared" ca="1" si="291"/>
        <v>751.34280180913959</v>
      </c>
      <c r="X260" s="39">
        <f t="shared" ca="1" si="291"/>
        <v>772.84181886914837</v>
      </c>
      <c r="Y260" s="39">
        <f t="shared" ca="1" si="291"/>
        <v>794.84366378151753</v>
      </c>
      <c r="Z260" s="39">
        <f t="shared" ca="1" si="291"/>
        <v>816.75702687064302</v>
      </c>
      <c r="AA260" s="39">
        <f t="shared" ca="1" si="291"/>
        <v>839.34896541711043</v>
      </c>
      <c r="AB260" s="274"/>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BG260" s="39"/>
      <c r="BH260" s="39"/>
      <c r="BI260" s="39"/>
      <c r="BJ260" s="39"/>
      <c r="BK260" s="39"/>
      <c r="BL260" s="39"/>
      <c r="BM260" s="39"/>
      <c r="BN260" s="39"/>
      <c r="BO260" s="39"/>
      <c r="BP260" s="39"/>
      <c r="BQ260" s="39"/>
      <c r="BR260" s="39"/>
      <c r="BS260" s="39"/>
      <c r="BT260" s="39"/>
      <c r="BU260" s="39"/>
      <c r="BV260" s="39"/>
      <c r="BW260" s="39"/>
      <c r="BX260" s="39"/>
      <c r="BY260" s="39"/>
      <c r="BZ260" s="39"/>
      <c r="CA260" s="39"/>
      <c r="CB260" s="39"/>
      <c r="CC260" s="39"/>
      <c r="CD260" s="39"/>
      <c r="CE260" s="39"/>
      <c r="CF260" s="39"/>
      <c r="CG260" s="39"/>
      <c r="CH260" s="39"/>
      <c r="CI260" s="39"/>
      <c r="CJ260" s="39"/>
      <c r="CO260" s="50"/>
      <c r="DK260" s="39"/>
      <c r="DL260" s="37"/>
      <c r="DM260" s="37"/>
      <c r="DN260" s="37"/>
      <c r="DO260" s="37"/>
      <c r="DP260" s="37"/>
      <c r="DQ260" s="37"/>
      <c r="DR260" s="37"/>
      <c r="DS260" s="37"/>
      <c r="DT260" s="37"/>
      <c r="DU260" s="37"/>
      <c r="DV260" s="37"/>
      <c r="DW260" s="37"/>
      <c r="DX260" s="37"/>
      <c r="DY260" s="37"/>
      <c r="DZ260" s="37"/>
    </row>
    <row r="261" spans="1:130">
      <c r="A261" s="272" t="s">
        <v>253</v>
      </c>
      <c r="B261" s="39"/>
      <c r="C261" s="39"/>
      <c r="D261" s="39"/>
      <c r="E261" s="39"/>
      <c r="F261" s="39"/>
      <c r="G261" s="39"/>
      <c r="H261" s="39"/>
      <c r="I261" s="39"/>
      <c r="J261" s="39">
        <f>-J221</f>
        <v>0</v>
      </c>
      <c r="K261" s="39">
        <f>-K221</f>
        <v>0</v>
      </c>
      <c r="L261" s="39"/>
      <c r="M261" s="39">
        <f t="shared" ref="M261:V261" si="292">-M221</f>
        <v>-1584</v>
      </c>
      <c r="N261" s="39">
        <f t="shared" si="292"/>
        <v>-765.7299999999999</v>
      </c>
      <c r="O261" s="39">
        <f t="shared" si="292"/>
        <v>-775.21499999999992</v>
      </c>
      <c r="P261" s="39">
        <f t="shared" si="292"/>
        <v>-658.4899999999999</v>
      </c>
      <c r="Q261" s="39">
        <f t="shared" si="292"/>
        <v>-517.30250000000001</v>
      </c>
      <c r="R261" s="39">
        <f t="shared" si="292"/>
        <v>-493.09000000000003</v>
      </c>
      <c r="S261" s="39">
        <f t="shared" si="292"/>
        <v>-502.09250000000003</v>
      </c>
      <c r="T261" s="39">
        <f t="shared" ca="1" si="292"/>
        <v>-523.84360798820762</v>
      </c>
      <c r="U261" s="39">
        <f t="shared" ca="1" si="292"/>
        <v>-531.9711640370507</v>
      </c>
      <c r="V261" s="39">
        <f t="shared" ca="1" si="292"/>
        <v>-542.63646797326749</v>
      </c>
      <c r="W261" s="39">
        <f ca="1">-W221</f>
        <v>-558.16353584994056</v>
      </c>
      <c r="X261" s="39">
        <f ca="1">-X221</f>
        <v>-574.05375717554045</v>
      </c>
      <c r="Y261" s="39">
        <f ca="1">-Y221</f>
        <v>-589.88007496213106</v>
      </c>
      <c r="Z261" s="39">
        <f ca="1">-Z221</f>
        <v>-606.19647502346868</v>
      </c>
      <c r="AA261" s="39">
        <f ca="1">-AA221</f>
        <v>-622.54684536630441</v>
      </c>
      <c r="AB261" s="274"/>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BG261" s="39"/>
      <c r="BH261" s="39"/>
      <c r="BI261" s="39"/>
      <c r="BJ261" s="39"/>
      <c r="BK261" s="39"/>
      <c r="BL261" s="39"/>
      <c r="BM261" s="39"/>
      <c r="BN261" s="39"/>
      <c r="BO261" s="39"/>
      <c r="BP261" s="39"/>
      <c r="BQ261" s="39"/>
      <c r="BR261" s="39"/>
      <c r="BS261" s="39"/>
      <c r="BT261" s="39"/>
      <c r="BU261" s="39"/>
      <c r="BV261" s="39"/>
      <c r="BW261" s="39"/>
      <c r="BX261" s="39"/>
      <c r="BY261" s="39"/>
      <c r="BZ261" s="39"/>
      <c r="CA261" s="39"/>
      <c r="CB261" s="39"/>
      <c r="CC261" s="39"/>
      <c r="CD261" s="39"/>
      <c r="CE261" s="39"/>
      <c r="CF261" s="39"/>
      <c r="CG261" s="39"/>
      <c r="CH261" s="39"/>
      <c r="CI261" s="39"/>
      <c r="CJ261" s="39"/>
      <c r="CO261" s="50"/>
      <c r="DK261" s="50"/>
      <c r="DL261" s="37"/>
      <c r="DM261" s="37"/>
      <c r="DN261" s="37"/>
      <c r="DO261" s="37"/>
      <c r="DP261" s="37"/>
      <c r="DQ261" s="37"/>
      <c r="DR261" s="37"/>
      <c r="DS261" s="37"/>
      <c r="DT261" s="37"/>
      <c r="DU261" s="37"/>
      <c r="DV261" s="37"/>
      <c r="DW261" s="37"/>
      <c r="DX261" s="37"/>
      <c r="DY261" s="37"/>
      <c r="DZ261" s="37"/>
    </row>
    <row r="262" spans="1:130">
      <c r="A262" s="272" t="s">
        <v>213</v>
      </c>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274"/>
      <c r="AC262" s="152"/>
      <c r="AD262" s="152"/>
      <c r="AE262" s="152"/>
      <c r="AF262" s="152"/>
      <c r="AG262" s="152"/>
      <c r="AH262" s="152"/>
      <c r="AI262" s="152"/>
      <c r="AJ262" s="152"/>
      <c r="AK262" s="152"/>
      <c r="AL262" s="152"/>
      <c r="AM262" s="152"/>
      <c r="AN262" s="152"/>
      <c r="AO262" s="152"/>
      <c r="AP262" s="152"/>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52"/>
      <c r="BP262" s="152"/>
      <c r="BQ262" s="152"/>
      <c r="BR262" s="152"/>
      <c r="BS262" s="152"/>
      <c r="BT262" s="152"/>
      <c r="BU262" s="152"/>
      <c r="BV262" s="152"/>
      <c r="BW262" s="152"/>
      <c r="BX262" s="152"/>
      <c r="BY262" s="152"/>
      <c r="BZ262" s="152"/>
      <c r="CA262" s="152"/>
      <c r="CB262" s="152"/>
      <c r="CC262" s="152"/>
      <c r="CD262" s="152"/>
      <c r="CE262" s="152"/>
      <c r="CF262" s="152"/>
      <c r="CG262" s="152"/>
      <c r="CH262" s="152"/>
      <c r="CI262" s="152"/>
      <c r="CJ262" s="152"/>
      <c r="CO262" s="50"/>
      <c r="DK262" s="50"/>
      <c r="DL262" s="37"/>
      <c r="DM262" s="37"/>
      <c r="DN262" s="37"/>
      <c r="DO262" s="37"/>
      <c r="DP262" s="37"/>
      <c r="DQ262" s="37"/>
      <c r="DR262" s="37"/>
      <c r="DS262" s="37"/>
      <c r="DT262" s="37"/>
      <c r="DU262" s="37"/>
      <c r="DV262" s="37"/>
      <c r="DW262" s="37"/>
      <c r="DX262" s="37"/>
      <c r="DY262" s="37"/>
      <c r="DZ262" s="37"/>
    </row>
    <row r="263" spans="1:130">
      <c r="A263" s="272"/>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274"/>
      <c r="AC263" s="152"/>
      <c r="AD263" s="152"/>
      <c r="AE263" s="152"/>
      <c r="AF263" s="152"/>
      <c r="AG263" s="152"/>
      <c r="AH263" s="152"/>
      <c r="AI263" s="152"/>
      <c r="AJ263" s="152"/>
      <c r="AK263" s="152"/>
      <c r="AL263" s="152"/>
      <c r="AM263" s="152"/>
      <c r="AN263" s="152"/>
      <c r="AO263" s="152"/>
      <c r="AP263" s="152"/>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52"/>
      <c r="BP263" s="152"/>
      <c r="BQ263" s="152"/>
      <c r="BR263" s="152"/>
      <c r="BS263" s="152"/>
      <c r="BT263" s="152"/>
      <c r="BU263" s="152"/>
      <c r="BV263" s="152"/>
      <c r="BW263" s="152"/>
      <c r="BX263" s="152"/>
      <c r="BY263" s="152"/>
      <c r="BZ263" s="152"/>
      <c r="CA263" s="152"/>
      <c r="CB263" s="152"/>
      <c r="CC263" s="152"/>
      <c r="CD263" s="152"/>
      <c r="CE263" s="152"/>
      <c r="CF263" s="152"/>
      <c r="CG263" s="152"/>
      <c r="CH263" s="152"/>
      <c r="CI263" s="152"/>
      <c r="CJ263" s="152"/>
      <c r="CO263" s="50"/>
      <c r="DK263" s="50"/>
      <c r="DL263" s="37"/>
      <c r="DM263" s="37"/>
      <c r="DN263" s="37"/>
      <c r="DO263" s="37"/>
      <c r="DP263" s="37"/>
      <c r="DQ263" s="37"/>
      <c r="DR263" s="37"/>
      <c r="DS263" s="37"/>
      <c r="DT263" s="37"/>
      <c r="DU263" s="37"/>
      <c r="DV263" s="37"/>
      <c r="DW263" s="37"/>
      <c r="DX263" s="37"/>
      <c r="DY263" s="37"/>
      <c r="DZ263" s="37"/>
    </row>
    <row r="264" spans="1:130">
      <c r="A264" s="272" t="s">
        <v>42</v>
      </c>
      <c r="B264" s="212"/>
      <c r="C264" s="212"/>
      <c r="D264" s="212"/>
      <c r="E264" s="212"/>
      <c r="F264" s="212"/>
      <c r="G264" s="212"/>
      <c r="H264" s="212"/>
      <c r="I264" s="212"/>
      <c r="J264" s="212"/>
      <c r="K264" s="212"/>
      <c r="L264" s="212"/>
      <c r="M264" s="212">
        <f>+Sales!M14</f>
        <v>5.4418241290609418E-2</v>
      </c>
      <c r="N264" s="212">
        <f>+Sales!N14</f>
        <v>3.203758726612678E-2</v>
      </c>
      <c r="O264" s="212">
        <f>+Sales!O14</f>
        <v>3.848693417106956E-3</v>
      </c>
      <c r="P264" s="212">
        <f>+Sales!P14</f>
        <v>4.5155698461712794E-2</v>
      </c>
      <c r="Q264" s="39"/>
      <c r="R264" s="39"/>
      <c r="S264" s="39"/>
      <c r="T264" s="39"/>
      <c r="U264" s="39"/>
      <c r="V264" s="39"/>
      <c r="W264" s="39"/>
      <c r="X264" s="39"/>
      <c r="Y264" s="39"/>
      <c r="Z264" s="39"/>
      <c r="AA264" s="39"/>
      <c r="AB264" s="274"/>
      <c r="AC264" s="152"/>
      <c r="AD264" s="152"/>
      <c r="AE264" s="152"/>
      <c r="AF264" s="152"/>
      <c r="AG264" s="152"/>
      <c r="AH264" s="152"/>
      <c r="AI264" s="152"/>
      <c r="AJ264" s="152"/>
      <c r="AK264" s="152"/>
      <c r="AL264" s="152"/>
      <c r="AM264" s="152"/>
      <c r="AN264" s="152"/>
      <c r="AO264" s="152"/>
      <c r="AP264" s="152"/>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52"/>
      <c r="BP264" s="152"/>
      <c r="BQ264" s="152"/>
      <c r="BR264" s="152"/>
      <c r="BS264" s="152"/>
      <c r="BT264" s="152"/>
      <c r="BU264" s="152"/>
      <c r="BV264" s="152"/>
      <c r="BW264" s="152"/>
      <c r="BX264" s="152"/>
      <c r="BY264" s="152"/>
      <c r="BZ264" s="152"/>
      <c r="CA264" s="152"/>
      <c r="CB264" s="152"/>
      <c r="CC264" s="152"/>
      <c r="CD264" s="152"/>
      <c r="CE264" s="152"/>
      <c r="CF264" s="152"/>
      <c r="CG264" s="152"/>
      <c r="CH264" s="152"/>
      <c r="CI264" s="152"/>
      <c r="CJ264" s="152"/>
      <c r="CO264" s="50"/>
      <c r="DK264" s="50"/>
      <c r="DL264" s="37"/>
      <c r="DM264" s="37"/>
      <c r="DN264" s="37"/>
      <c r="DO264" s="37"/>
      <c r="DP264" s="37"/>
      <c r="DQ264" s="37"/>
      <c r="DR264" s="37"/>
      <c r="DS264" s="37"/>
      <c r="DT264" s="37"/>
      <c r="DU264" s="37"/>
      <c r="DV264" s="37"/>
      <c r="DW264" s="37"/>
      <c r="DX264" s="37"/>
      <c r="DY264" s="37"/>
      <c r="DZ264" s="37"/>
    </row>
    <row r="265" spans="1:130">
      <c r="A265" s="272" t="s">
        <v>256</v>
      </c>
      <c r="B265" s="212"/>
      <c r="C265" s="212"/>
      <c r="D265" s="212"/>
      <c r="E265" s="212"/>
      <c r="F265" s="212"/>
      <c r="G265" s="212"/>
      <c r="H265" s="212"/>
      <c r="I265" s="212"/>
      <c r="J265" s="212"/>
      <c r="K265" s="212"/>
      <c r="L265" s="212"/>
      <c r="M265" s="212">
        <f>Sales!M13</f>
        <v>1.6007018323859125E-2</v>
      </c>
      <c r="N265" s="212">
        <f>Sales!N13</f>
        <v>1.1167941915666016E-2</v>
      </c>
      <c r="O265" s="212">
        <f>Sales!O13</f>
        <v>3.4010909610167069E-2</v>
      </c>
      <c r="P265" s="212">
        <f>Sales!P13</f>
        <v>-2.106861384175189E-2</v>
      </c>
      <c r="Q265" s="39"/>
      <c r="R265" s="39"/>
      <c r="S265" s="39"/>
      <c r="T265" s="39"/>
      <c r="U265" s="39"/>
      <c r="V265" s="39"/>
      <c r="W265" s="39"/>
      <c r="X265" s="39"/>
      <c r="Y265" s="39"/>
      <c r="Z265" s="39"/>
      <c r="AA265" s="39"/>
      <c r="AB265" s="274"/>
      <c r="AC265" s="152"/>
      <c r="AD265" s="152"/>
      <c r="AE265" s="152"/>
      <c r="AF265" s="152"/>
      <c r="AG265" s="152"/>
      <c r="AH265" s="152"/>
      <c r="AI265" s="152"/>
      <c r="AJ265" s="152"/>
      <c r="AK265" s="152"/>
      <c r="AL265" s="152"/>
      <c r="AM265" s="152"/>
      <c r="AN265" s="152"/>
      <c r="AO265" s="152"/>
      <c r="AP265" s="152"/>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52"/>
      <c r="BP265" s="152"/>
      <c r="BQ265" s="152"/>
      <c r="BR265" s="152"/>
      <c r="BS265" s="152"/>
      <c r="BT265" s="152"/>
      <c r="BU265" s="152"/>
      <c r="BV265" s="152"/>
      <c r="BW265" s="152"/>
      <c r="BX265" s="152"/>
      <c r="BY265" s="152"/>
      <c r="BZ265" s="152"/>
      <c r="CA265" s="152"/>
      <c r="CB265" s="152"/>
      <c r="CC265" s="152"/>
      <c r="CD265" s="152"/>
      <c r="CE265" s="152"/>
      <c r="CF265" s="152"/>
      <c r="CG265" s="152"/>
      <c r="CH265" s="152"/>
      <c r="CI265" s="152"/>
      <c r="CJ265" s="152"/>
      <c r="CO265" s="50"/>
      <c r="DK265" s="50"/>
      <c r="DL265" s="37"/>
      <c r="DM265" s="37"/>
      <c r="DN265" s="37"/>
      <c r="DO265" s="37"/>
      <c r="DP265" s="37"/>
      <c r="DQ265" s="37"/>
      <c r="DR265" s="37"/>
      <c r="DS265" s="37"/>
      <c r="DT265" s="37"/>
      <c r="DU265" s="37"/>
      <c r="DV265" s="37"/>
      <c r="DW265" s="37"/>
      <c r="DX265" s="37"/>
      <c r="DY265" s="37"/>
      <c r="DZ265" s="37"/>
    </row>
    <row r="266" spans="1:130">
      <c r="A266" s="272"/>
      <c r="B266" s="152"/>
      <c r="C266" s="152"/>
      <c r="D266" s="152"/>
      <c r="E266" s="152"/>
      <c r="F266" s="152"/>
      <c r="G266" s="152"/>
      <c r="H266" s="152"/>
      <c r="I266" s="152"/>
      <c r="J266" s="152"/>
      <c r="K266" s="152"/>
      <c r="L266" s="152"/>
      <c r="M266" s="152"/>
      <c r="N266" s="152"/>
      <c r="O266" s="257"/>
      <c r="P266" s="257"/>
      <c r="Q266" s="152"/>
      <c r="R266" s="152"/>
      <c r="S266" s="152"/>
      <c r="T266" s="152"/>
      <c r="U266" s="152"/>
      <c r="V266" s="152"/>
      <c r="W266" s="152"/>
      <c r="X266" s="152"/>
      <c r="Y266" s="152"/>
      <c r="Z266" s="152"/>
      <c r="AA266" s="152"/>
      <c r="AB266" s="274"/>
      <c r="AC266" s="152"/>
      <c r="AD266" s="152"/>
      <c r="AE266" s="152"/>
      <c r="AF266" s="152"/>
      <c r="AG266" s="152"/>
      <c r="AH266" s="152"/>
      <c r="AI266" s="152"/>
      <c r="AJ266" s="152"/>
      <c r="AK266" s="152"/>
      <c r="AL266" s="152"/>
      <c r="AM266" s="152"/>
      <c r="AN266" s="152"/>
      <c r="AO266" s="152"/>
      <c r="AP266" s="152"/>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52"/>
      <c r="BP266" s="152"/>
      <c r="BQ266" s="152"/>
      <c r="BR266" s="152"/>
      <c r="BS266" s="152"/>
      <c r="BT266" s="152"/>
      <c r="BU266" s="152"/>
      <c r="BV266" s="152"/>
      <c r="BW266" s="152"/>
      <c r="BX266" s="152"/>
      <c r="BY266" s="152"/>
      <c r="BZ266" s="152"/>
      <c r="CA266" s="152"/>
      <c r="CB266" s="152"/>
      <c r="CC266" s="152"/>
      <c r="CD266" s="152"/>
      <c r="CE266" s="152"/>
      <c r="CF266" s="152"/>
      <c r="CG266" s="152"/>
      <c r="CH266" s="152"/>
      <c r="CI266" s="152"/>
      <c r="CJ266" s="152"/>
      <c r="CO266" s="50"/>
      <c r="DK266" s="50"/>
      <c r="DL266" s="37"/>
      <c r="DM266" s="37"/>
      <c r="DN266" s="37"/>
      <c r="DO266" s="37"/>
      <c r="DP266" s="37"/>
      <c r="DQ266" s="37"/>
      <c r="DR266" s="37"/>
      <c r="DS266" s="37"/>
      <c r="DT266" s="37"/>
      <c r="DU266" s="37"/>
      <c r="DV266" s="37"/>
      <c r="DW266" s="37"/>
      <c r="DX266" s="37"/>
      <c r="DY266" s="37"/>
      <c r="DZ266" s="37"/>
    </row>
    <row r="267" spans="1:130">
      <c r="A267" s="267" t="s">
        <v>257</v>
      </c>
      <c r="B267" s="152"/>
      <c r="C267" s="152"/>
      <c r="D267" s="152"/>
      <c r="E267" s="152"/>
      <c r="F267" s="152"/>
      <c r="G267" s="152"/>
      <c r="H267" s="152"/>
      <c r="I267" s="152"/>
      <c r="J267" s="152"/>
      <c r="K267" s="152"/>
      <c r="L267" s="152"/>
      <c r="M267" s="152"/>
      <c r="N267" s="152"/>
      <c r="O267" s="257"/>
      <c r="P267" s="257"/>
      <c r="Q267" s="152"/>
      <c r="R267" s="152"/>
      <c r="S267" s="152"/>
      <c r="T267" s="152"/>
      <c r="U267" s="152"/>
      <c r="V267" s="152"/>
      <c r="W267" s="152"/>
      <c r="X267" s="152"/>
      <c r="Y267" s="152"/>
      <c r="Z267" s="152"/>
      <c r="AA267" s="152"/>
      <c r="AB267" s="268"/>
      <c r="AC267" s="152"/>
      <c r="AD267" s="152"/>
      <c r="AE267" s="152"/>
      <c r="AF267" s="152"/>
      <c r="AG267" s="152"/>
      <c r="AH267" s="152"/>
      <c r="AI267" s="152"/>
      <c r="AJ267" s="152"/>
      <c r="AK267" s="152"/>
      <c r="AL267" s="152"/>
      <c r="AM267" s="152"/>
      <c r="AN267" s="152"/>
      <c r="AO267" s="152"/>
      <c r="AP267" s="152"/>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52"/>
      <c r="BP267" s="152"/>
      <c r="BQ267" s="152"/>
      <c r="BR267" s="152"/>
      <c r="BS267" s="152"/>
      <c r="BT267" s="152"/>
      <c r="BU267" s="152"/>
      <c r="BV267" s="152"/>
      <c r="BW267" s="152"/>
      <c r="BX267" s="152"/>
      <c r="BY267" s="152"/>
      <c r="BZ267" s="152"/>
      <c r="CA267" s="152"/>
      <c r="CB267" s="152"/>
      <c r="CC267" s="152"/>
      <c r="CD267" s="152"/>
      <c r="CE267" s="152"/>
      <c r="CF267" s="152"/>
      <c r="CG267" s="152"/>
      <c r="CH267" s="152"/>
      <c r="CI267" s="152"/>
      <c r="CJ267" s="152"/>
      <c r="CO267" s="50"/>
      <c r="DK267" s="50"/>
      <c r="DL267" s="37"/>
      <c r="DM267" s="37"/>
      <c r="DN267" s="37"/>
      <c r="DO267" s="37"/>
      <c r="DP267" s="37"/>
      <c r="DQ267" s="37"/>
      <c r="DR267" s="37"/>
      <c r="DS267" s="37"/>
      <c r="DT267" s="37"/>
      <c r="DU267" s="37"/>
      <c r="DV267" s="37"/>
      <c r="DW267" s="37"/>
      <c r="DX267" s="37"/>
      <c r="DY267" s="37"/>
      <c r="DZ267" s="37"/>
    </row>
    <row r="268" spans="1:130">
      <c r="A268" s="272"/>
      <c r="B268" s="152"/>
      <c r="C268" s="152"/>
      <c r="D268" s="152"/>
      <c r="E268" s="152"/>
      <c r="F268" s="152"/>
      <c r="G268" s="152"/>
      <c r="H268" s="152"/>
      <c r="I268" s="152"/>
      <c r="J268" s="152"/>
      <c r="K268" s="152"/>
      <c r="L268" s="152"/>
      <c r="M268" s="152"/>
      <c r="N268" s="152"/>
      <c r="O268" s="152"/>
      <c r="P268" s="152"/>
      <c r="Q268" s="152"/>
      <c r="R268" s="152"/>
      <c r="S268" s="152"/>
      <c r="T268" s="152"/>
      <c r="U268" s="152"/>
      <c r="V268" s="152"/>
      <c r="W268" s="152"/>
      <c r="X268" s="152"/>
      <c r="Y268" s="152"/>
      <c r="Z268" s="152"/>
      <c r="AA268" s="152"/>
      <c r="AB268" s="274"/>
      <c r="AC268" s="152"/>
      <c r="AD268" s="152"/>
      <c r="AE268" s="152"/>
      <c r="AF268" s="152"/>
      <c r="AG268" s="152"/>
      <c r="AH268" s="152"/>
      <c r="AI268" s="152"/>
      <c r="AJ268" s="152"/>
      <c r="AK268" s="152"/>
      <c r="AL268" s="152"/>
      <c r="AM268" s="152"/>
      <c r="AN268" s="152"/>
      <c r="AO268" s="152"/>
      <c r="AP268" s="152"/>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52"/>
      <c r="BP268" s="152"/>
      <c r="BQ268" s="152"/>
      <c r="BR268" s="152"/>
      <c r="BS268" s="152"/>
      <c r="BT268" s="152"/>
      <c r="BU268" s="152"/>
      <c r="BV268" s="152"/>
      <c r="BW268" s="152"/>
      <c r="BX268" s="152"/>
      <c r="BY268" s="152"/>
      <c r="BZ268" s="152"/>
      <c r="CA268" s="152"/>
      <c r="CB268" s="152"/>
      <c r="CC268" s="152"/>
      <c r="CD268" s="152"/>
      <c r="CE268" s="152"/>
      <c r="CF268" s="152"/>
      <c r="CG268" s="152"/>
      <c r="CH268" s="152"/>
      <c r="CI268" s="152"/>
      <c r="CJ268" s="152"/>
      <c r="CO268" s="50"/>
      <c r="DK268" s="50"/>
      <c r="DL268" s="37"/>
      <c r="DM268" s="37"/>
      <c r="DN268" s="37"/>
      <c r="DO268" s="37"/>
      <c r="DP268" s="37"/>
      <c r="DQ268" s="37"/>
      <c r="DR268" s="37"/>
      <c r="DS268" s="37"/>
      <c r="DT268" s="37"/>
      <c r="DU268" s="37"/>
      <c r="DV268" s="37"/>
      <c r="DW268" s="37"/>
      <c r="DX268" s="37"/>
      <c r="DY268" s="37"/>
      <c r="DZ268" s="37"/>
    </row>
    <row r="269" spans="1:130">
      <c r="A269" s="270" t="s">
        <v>258</v>
      </c>
      <c r="B269" s="143"/>
      <c r="C269" s="143"/>
      <c r="D269" s="143"/>
      <c r="E269" s="143"/>
      <c r="F269" s="143"/>
      <c r="G269" s="143"/>
      <c r="H269" s="143"/>
      <c r="I269" s="143"/>
      <c r="J269" s="143">
        <f>I57</f>
        <v>0.88846562500000004</v>
      </c>
      <c r="K269" s="143">
        <f>J57</f>
        <v>0.77966794125412542</v>
      </c>
      <c r="L269" s="143"/>
      <c r="M269" s="143">
        <f t="shared" ref="M269:AA269" si="293">L57</f>
        <v>0.85555988372093028</v>
      </c>
      <c r="N269" s="143">
        <f t="shared" si="293"/>
        <v>1.3837471783295712</v>
      </c>
      <c r="O269" s="143">
        <f t="shared" si="293"/>
        <v>1.3912800447177194</v>
      </c>
      <c r="P269" s="143">
        <f t="shared" si="293"/>
        <v>1.538848518725545</v>
      </c>
      <c r="Q269" s="143">
        <f t="shared" si="293"/>
        <v>1.7012873025160913</v>
      </c>
      <c r="R269" s="143">
        <f t="shared" si="293"/>
        <v>1.5555216129524974</v>
      </c>
      <c r="S269" s="143">
        <f t="shared" si="293"/>
        <v>1.848696757787667</v>
      </c>
      <c r="T269" s="143">
        <f t="shared" si="293"/>
        <v>2.1241018941868059</v>
      </c>
      <c r="U269" s="143">
        <f t="shared" ca="1" si="293"/>
        <v>2.4700898815221222</v>
      </c>
      <c r="V269" s="143">
        <f t="shared" ca="1" si="293"/>
        <v>2.6883684969570556</v>
      </c>
      <c r="W269" s="143">
        <f t="shared" ca="1" si="293"/>
        <v>2.9144922899304171</v>
      </c>
      <c r="X269" s="143">
        <f t="shared" ca="1" si="293"/>
        <v>3.1531609905490088</v>
      </c>
      <c r="Y269" s="143">
        <f t="shared" ca="1" si="293"/>
        <v>3.3840091932604679</v>
      </c>
      <c r="Z269" s="143">
        <f t="shared" ca="1" si="293"/>
        <v>3.6133521962987118</v>
      </c>
      <c r="AA269" s="143">
        <f t="shared" ca="1" si="293"/>
        <v>3.856682134244978</v>
      </c>
      <c r="AB269" s="268"/>
      <c r="AC269" s="152"/>
      <c r="AD269" s="152"/>
      <c r="AE269" s="152"/>
      <c r="AF269" s="152"/>
      <c r="AG269" s="152"/>
      <c r="AH269" s="152"/>
      <c r="AI269" s="152"/>
      <c r="AJ269" s="152"/>
      <c r="AK269" s="152"/>
      <c r="AL269" s="152"/>
      <c r="AM269" s="152"/>
      <c r="AN269" s="152"/>
      <c r="AO269" s="152"/>
      <c r="AP269" s="152"/>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52"/>
      <c r="BP269" s="152"/>
      <c r="BQ269" s="152"/>
      <c r="BR269" s="152"/>
      <c r="BS269" s="152"/>
      <c r="BT269" s="152"/>
      <c r="BU269" s="152"/>
      <c r="BV269" s="152"/>
      <c r="BW269" s="152"/>
      <c r="BX269" s="152"/>
      <c r="BY269" s="152"/>
      <c r="BZ269" s="152"/>
      <c r="CA269" s="152"/>
      <c r="CB269" s="152"/>
      <c r="CC269" s="152"/>
      <c r="CD269" s="152"/>
      <c r="CE269" s="152"/>
      <c r="CF269" s="152"/>
      <c r="CG269" s="152"/>
      <c r="CH269" s="152"/>
      <c r="CI269" s="152"/>
      <c r="CJ269" s="152"/>
      <c r="CO269" s="50"/>
      <c r="DK269" s="50"/>
      <c r="DL269" s="37"/>
      <c r="DM269" s="37"/>
      <c r="DN269" s="37"/>
      <c r="DO269" s="37"/>
      <c r="DP269" s="37"/>
      <c r="DQ269" s="37"/>
      <c r="DR269" s="37"/>
      <c r="DS269" s="37"/>
      <c r="DT269" s="37"/>
      <c r="DU269" s="37"/>
      <c r="DV269" s="37"/>
      <c r="DW269" s="37"/>
      <c r="DX269" s="37"/>
      <c r="DY269" s="37"/>
      <c r="DZ269" s="37"/>
    </row>
    <row r="270" spans="1:130">
      <c r="A270" s="272" t="s">
        <v>176</v>
      </c>
      <c r="B270" s="64"/>
      <c r="C270" s="64"/>
      <c r="D270" s="64"/>
      <c r="E270" s="64"/>
      <c r="F270" s="64"/>
      <c r="G270" s="64"/>
      <c r="H270" s="64"/>
      <c r="I270" s="64"/>
      <c r="J270" s="64"/>
      <c r="K270" s="64">
        <f>(K10-J10)*(1-IS!K$43)/IS!K$61</f>
        <v>-0.53045405355513131</v>
      </c>
      <c r="L270" s="64"/>
      <c r="M270" s="64">
        <f>(M10-L10)*(1-IS!M$43)/IS!M$61</f>
        <v>2.1613271098082034</v>
      </c>
      <c r="N270" s="64">
        <f>(N10-M10)*(1-IS!N$43)/IS!N$61</f>
        <v>-0.35595859873801644</v>
      </c>
      <c r="O270" s="64">
        <f>(O10-N10)*(1-IS!O$43)/IS!O$61</f>
        <v>0.13507454353948845</v>
      </c>
      <c r="P270" s="64">
        <f>(P10-O10)*(1-IS!P$43)/IS!P$61</f>
        <v>-2.7627124530538154</v>
      </c>
      <c r="Q270" s="64">
        <f>(Q10-P10)*(1-IS!Q$43)/IS!Q$61</f>
        <v>-1.6787753846604101</v>
      </c>
      <c r="R270" s="64">
        <f>(R10-Q10)*(1-IS!R$43)/IS!R$61</f>
        <v>-0.47715386385162029</v>
      </c>
      <c r="S270" s="64">
        <f>(S10-R10)*(1-IS!S$43)/IS!S$61</f>
        <v>0.1787522020072938</v>
      </c>
      <c r="T270" s="64">
        <f ca="1">(T10-S10)*(1-IS!T$43)/IS!T$61</f>
        <v>0.66484653503830171</v>
      </c>
      <c r="U270" s="64">
        <f ca="1">(U10-T10)*(1-IS!U$43)/IS!U$61</f>
        <v>0.34112869339273105</v>
      </c>
      <c r="V270" s="64">
        <f ca="1">(V10-U10)*(1-IS!V$43)/IS!V$61</f>
        <v>0.42472759887318562</v>
      </c>
      <c r="W270" s="64">
        <f ca="1">(W10-V10)*(1-IS!W$43)/IS!W$61</f>
        <v>0.49763266146961449</v>
      </c>
      <c r="X270" s="64">
        <f ca="1">(X10-W10)*(1-IS!X$43)/IS!X$61</f>
        <v>0.50614574674379076</v>
      </c>
      <c r="Y270" s="64">
        <f ca="1">(Y10-X10)*(1-IS!Y$43)/IS!Y$61</f>
        <v>0.515745853681016</v>
      </c>
      <c r="Z270" s="64">
        <f ca="1">(Z10-Y10)*(1-IS!Z$43)/IS!Z$61</f>
        <v>0.52666343112479652</v>
      </c>
      <c r="AA270" s="64">
        <f ca="1">(AA10-Z10)*(1-IS!AA$43)/IS!AA$61</f>
        <v>0.53897823780993437</v>
      </c>
      <c r="AB270" s="274"/>
      <c r="AC270" s="152"/>
      <c r="AD270" s="152"/>
      <c r="AE270" s="152"/>
      <c r="AF270" s="152"/>
      <c r="AG270" s="152"/>
      <c r="AH270" s="152"/>
      <c r="AI270" s="152"/>
      <c r="AJ270" s="152"/>
      <c r="AK270" s="152"/>
      <c r="AL270" s="152"/>
      <c r="AM270" s="152"/>
      <c r="AN270" s="152"/>
      <c r="AO270" s="152"/>
      <c r="AP270" s="152"/>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52"/>
      <c r="BP270" s="152"/>
      <c r="BQ270" s="152"/>
      <c r="BR270" s="152"/>
      <c r="BS270" s="152"/>
      <c r="BT270" s="152"/>
      <c r="BU270" s="152"/>
      <c r="BV270" s="152"/>
      <c r="BW270" s="152"/>
      <c r="BX270" s="152"/>
      <c r="BY270" s="152"/>
      <c r="BZ270" s="152"/>
      <c r="CA270" s="152"/>
      <c r="CB270" s="152"/>
      <c r="CC270" s="152"/>
      <c r="CD270" s="152"/>
      <c r="CE270" s="152"/>
      <c r="CF270" s="152"/>
      <c r="CG270" s="152"/>
      <c r="CH270" s="152"/>
      <c r="CI270" s="152"/>
      <c r="CJ270" s="152"/>
      <c r="CO270" s="50"/>
      <c r="DK270" s="50"/>
      <c r="DL270" s="37"/>
      <c r="DM270" s="37"/>
      <c r="DN270" s="37"/>
      <c r="DO270" s="37"/>
      <c r="DP270" s="37"/>
      <c r="DQ270" s="37"/>
      <c r="DR270" s="37"/>
      <c r="DS270" s="37"/>
      <c r="DT270" s="37"/>
      <c r="DU270" s="37"/>
      <c r="DV270" s="37"/>
      <c r="DW270" s="37"/>
      <c r="DX270" s="37"/>
      <c r="DY270" s="37"/>
      <c r="DZ270" s="37"/>
    </row>
    <row r="271" spans="1:130">
      <c r="A271" s="272" t="s">
        <v>259</v>
      </c>
      <c r="B271" s="64"/>
      <c r="C271" s="64"/>
      <c r="D271" s="64"/>
      <c r="E271" s="64"/>
      <c r="F271" s="64"/>
      <c r="G271" s="64"/>
      <c r="H271" s="64"/>
      <c r="I271" s="64"/>
      <c r="J271" s="64">
        <f>J261*(1-J$43)/J$61</f>
        <v>0</v>
      </c>
      <c r="K271" s="64">
        <f>K261*(1-K$43)/K$61</f>
        <v>0</v>
      </c>
      <c r="L271" s="64"/>
      <c r="M271" s="64">
        <f t="shared" ref="M271:V271" si="294">M261*(1-M$43)/M$61</f>
        <v>-0.79230320341036653</v>
      </c>
      <c r="N271" s="64">
        <f t="shared" si="294"/>
        <v>-0.34285305385114628</v>
      </c>
      <c r="O271" s="64">
        <f t="shared" si="294"/>
        <v>-0.36870356433086099</v>
      </c>
      <c r="P271" s="64">
        <f t="shared" si="294"/>
        <v>-0.32538338816158224</v>
      </c>
      <c r="Q271" s="64">
        <f t="shared" si="294"/>
        <v>-0.24833706131635455</v>
      </c>
      <c r="R271" s="64">
        <f t="shared" si="294"/>
        <v>-0.25003166708458602</v>
      </c>
      <c r="S271" s="64">
        <f t="shared" si="294"/>
        <v>-0.25210713479310998</v>
      </c>
      <c r="T271" s="64">
        <f t="shared" ca="1" si="294"/>
        <v>-0.27024907454682046</v>
      </c>
      <c r="U271" s="64">
        <f t="shared" ca="1" si="294"/>
        <v>-0.28017234564552346</v>
      </c>
      <c r="V271" s="64">
        <f t="shared" ca="1" si="294"/>
        <v>-0.29125388110233208</v>
      </c>
      <c r="W271" s="64">
        <f ca="1">W261*(1-W$43)/W$61</f>
        <v>-0.30499310818400061</v>
      </c>
      <c r="X271" s="64">
        <f ca="1">X261*(1-X$43)/X$61</f>
        <v>-0.31920412886972999</v>
      </c>
      <c r="Y271" s="64">
        <f ca="1">Y261*(1-Y$43)/Y$61</f>
        <v>-0.33374560427970051</v>
      </c>
      <c r="Z271" s="64">
        <f ca="1">Z261*(1-Z$43)/Z$61</f>
        <v>-0.34904500592496929</v>
      </c>
      <c r="AA271" s="64">
        <f ca="1">AA261*(1-AA$43)/AA$61</f>
        <v>-0.36487048834939367</v>
      </c>
      <c r="AB271" s="274"/>
      <c r="AC271" s="152"/>
      <c r="AD271" s="152"/>
      <c r="AE271" s="152"/>
      <c r="AF271" s="152"/>
      <c r="AG271" s="152"/>
      <c r="AH271" s="152"/>
      <c r="AI271" s="152"/>
      <c r="AJ271" s="152"/>
      <c r="AK271" s="152"/>
      <c r="AL271" s="152"/>
      <c r="AM271" s="152"/>
      <c r="AN271" s="152"/>
      <c r="AO271" s="152"/>
      <c r="AP271" s="152"/>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52"/>
      <c r="BP271" s="152"/>
      <c r="BQ271" s="152"/>
      <c r="BR271" s="152"/>
      <c r="BS271" s="152"/>
      <c r="BT271" s="152"/>
      <c r="BU271" s="152"/>
      <c r="BV271" s="152"/>
      <c r="BW271" s="152"/>
      <c r="BX271" s="152"/>
      <c r="BY271" s="152"/>
      <c r="BZ271" s="152"/>
      <c r="CA271" s="152"/>
      <c r="CB271" s="152"/>
      <c r="CC271" s="152"/>
      <c r="CD271" s="152"/>
      <c r="CE271" s="152"/>
      <c r="CF271" s="152"/>
      <c r="CG271" s="152"/>
      <c r="CH271" s="152"/>
      <c r="CI271" s="152"/>
      <c r="CJ271" s="152"/>
      <c r="CO271" s="50"/>
      <c r="DK271" s="50"/>
      <c r="DL271" s="37"/>
      <c r="DM271" s="37"/>
      <c r="DN271" s="37"/>
      <c r="DO271" s="37"/>
      <c r="DP271" s="37"/>
      <c r="DQ271" s="37"/>
      <c r="DR271" s="37"/>
      <c r="DS271" s="37"/>
      <c r="DT271" s="37"/>
      <c r="DU271" s="37"/>
      <c r="DV271" s="37"/>
      <c r="DW271" s="37"/>
      <c r="DX271" s="37"/>
      <c r="DY271" s="37"/>
      <c r="DZ271" s="37"/>
    </row>
    <row r="272" spans="1:130">
      <c r="A272" s="272" t="s">
        <v>260</v>
      </c>
      <c r="B272" s="64"/>
      <c r="C272" s="64"/>
      <c r="D272" s="64"/>
      <c r="E272" s="64"/>
      <c r="F272" s="64"/>
      <c r="G272" s="64"/>
      <c r="H272" s="64"/>
      <c r="I272" s="64"/>
      <c r="J272" s="64" t="e">
        <f>J260*(1-J$43)/J$61</f>
        <v>#REF!</v>
      </c>
      <c r="K272" s="64" t="e">
        <f>K260*(1-K$43)/K$61</f>
        <v>#REF!</v>
      </c>
      <c r="L272" s="64"/>
      <c r="M272" s="64">
        <f t="shared" ref="M272:V272" si="295">M260*(1-M$43)/M$61</f>
        <v>0.44042604491848414</v>
      </c>
      <c r="N272" s="64">
        <f t="shared" si="295"/>
        <v>0.45449196858868507</v>
      </c>
      <c r="O272" s="64">
        <f t="shared" si="295"/>
        <v>0.46824731992979496</v>
      </c>
      <c r="P272" s="64">
        <f t="shared" si="295"/>
        <v>0.49250747907726755</v>
      </c>
      <c r="Q272" s="64">
        <f t="shared" si="295"/>
        <v>0.40643454501431031</v>
      </c>
      <c r="R272" s="64">
        <f t="shared" si="295"/>
        <v>0.3631972500442941</v>
      </c>
      <c r="S272" s="64">
        <f t="shared" si="295"/>
        <v>0.34281257977095442</v>
      </c>
      <c r="T272" s="64">
        <f t="shared" si="295"/>
        <v>0.35865381385841333</v>
      </c>
      <c r="U272" s="64">
        <f t="shared" ca="1" si="295"/>
        <v>0.38200405785708913</v>
      </c>
      <c r="V272" s="64">
        <f t="shared" ca="1" si="295"/>
        <v>0.39534840265827803</v>
      </c>
      <c r="W272" s="64">
        <f ca="1">W260*(1-W$43)/W$61</f>
        <v>0.41055060339350441</v>
      </c>
      <c r="X272" s="64">
        <f ca="1">X260*(1-X$43)/X$61</f>
        <v>0.42974076288605717</v>
      </c>
      <c r="Y272" s="64">
        <f ca="1">Y260*(1-Y$43)/Y$61</f>
        <v>0.44971103472800594</v>
      </c>
      <c r="Z272" s="64">
        <f ca="1">Z260*(1-Z$43)/Z$61</f>
        <v>0.4702847558991281</v>
      </c>
      <c r="AA272" s="64">
        <f ca="1">AA260*(1-AA$43)/AA$61</f>
        <v>0.49193674208902427</v>
      </c>
      <c r="AB272" s="274"/>
      <c r="AC272" s="152"/>
      <c r="AD272" s="152"/>
      <c r="AE272" s="152"/>
      <c r="AF272" s="152"/>
      <c r="AG272" s="152"/>
      <c r="AH272" s="152"/>
      <c r="AI272" s="152"/>
      <c r="AJ272" s="152"/>
      <c r="AK272" s="152"/>
      <c r="AL272" s="152"/>
      <c r="AM272" s="152"/>
      <c r="AN272" s="152"/>
      <c r="AO272" s="152"/>
      <c r="AP272" s="152"/>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52"/>
      <c r="BP272" s="152"/>
      <c r="BQ272" s="152"/>
      <c r="BR272" s="152"/>
      <c r="BS272" s="152"/>
      <c r="BT272" s="152"/>
      <c r="BU272" s="152"/>
      <c r="BV272" s="152"/>
      <c r="BW272" s="152"/>
      <c r="BX272" s="152"/>
      <c r="BY272" s="152"/>
      <c r="BZ272" s="152"/>
      <c r="CA272" s="152"/>
      <c r="CB272" s="152"/>
      <c r="CC272" s="152"/>
      <c r="CD272" s="152"/>
      <c r="CE272" s="152"/>
      <c r="CF272" s="152"/>
      <c r="CG272" s="152"/>
      <c r="CH272" s="152"/>
      <c r="CI272" s="152"/>
      <c r="CJ272" s="152"/>
      <c r="CO272" s="50"/>
      <c r="DK272" s="50"/>
      <c r="DL272" s="37"/>
      <c r="DM272" s="37"/>
      <c r="DN272" s="37"/>
      <c r="DO272" s="37"/>
      <c r="DP272" s="37"/>
      <c r="DQ272" s="37"/>
      <c r="DR272" s="37"/>
      <c r="DS272" s="37"/>
      <c r="DT272" s="37"/>
      <c r="DU272" s="37"/>
      <c r="DV272" s="37"/>
      <c r="DW272" s="37"/>
      <c r="DX272" s="37"/>
      <c r="DY272" s="37"/>
      <c r="DZ272" s="37"/>
    </row>
    <row r="273" spans="1:130">
      <c r="A273" s="272" t="s">
        <v>261</v>
      </c>
      <c r="B273" s="64"/>
      <c r="C273" s="64"/>
      <c r="D273" s="64"/>
      <c r="E273" s="64"/>
      <c r="F273" s="64"/>
      <c r="G273" s="64"/>
      <c r="H273" s="64"/>
      <c r="I273" s="64"/>
      <c r="J273" s="64" t="e">
        <f>(-(J11-I11)-#REF!+J221)*(1-J$43)/J$61</f>
        <v>#REF!</v>
      </c>
      <c r="K273" s="64" t="e">
        <f>(-(K11-J11)-#REF!+K221)*(1-K$43)/K$61</f>
        <v>#REF!</v>
      </c>
      <c r="L273" s="64"/>
      <c r="M273" s="64">
        <f t="shared" ref="M273:AA273" si="296">(-(M11-L11)+M221)*(1-M$43)/M$61</f>
        <v>-0.70326913130995916</v>
      </c>
      <c r="N273" s="64">
        <f t="shared" si="296"/>
        <v>0.64687303943996799</v>
      </c>
      <c r="O273" s="64">
        <f t="shared" si="296"/>
        <v>0.23981201046043366</v>
      </c>
      <c r="P273" s="64">
        <f t="shared" si="296"/>
        <v>1.9733258011350172</v>
      </c>
      <c r="Q273" s="64">
        <f t="shared" si="296"/>
        <v>1.6390754912166141</v>
      </c>
      <c r="R273" s="64">
        <f t="shared" si="296"/>
        <v>0.62779960392779233</v>
      </c>
      <c r="S273" s="64">
        <f t="shared" si="296"/>
        <v>0.11302185401777187</v>
      </c>
      <c r="T273" s="64">
        <f t="shared" ca="1" si="296"/>
        <v>-7.5022312946159131E-2</v>
      </c>
      <c r="U273" s="64">
        <f t="shared" ca="1" si="296"/>
        <v>0.14846385081259403</v>
      </c>
      <c r="V273" s="64">
        <f t="shared" ca="1" si="296"/>
        <v>0.11511606010342013</v>
      </c>
      <c r="W273" s="64">
        <f t="shared" ca="1" si="296"/>
        <v>4.3936521523396534E-2</v>
      </c>
      <c r="X273" s="64">
        <f t="shared" ca="1" si="296"/>
        <v>4.7333355987001023E-2</v>
      </c>
      <c r="Y273" s="64">
        <f t="shared" ca="1" si="296"/>
        <v>5.8228637492466546E-2</v>
      </c>
      <c r="Z273" s="64">
        <f t="shared" ca="1" si="296"/>
        <v>5.9971023086026844E-2</v>
      </c>
      <c r="AA273" s="64">
        <f t="shared" ca="1" si="296"/>
        <v>7.0013833423293578E-2</v>
      </c>
      <c r="AB273" s="274"/>
      <c r="AC273" s="152"/>
      <c r="AD273" s="152"/>
      <c r="AE273" s="152"/>
      <c r="AF273" s="152"/>
      <c r="AG273" s="152"/>
      <c r="AH273" s="152"/>
      <c r="AI273" s="152"/>
      <c r="AJ273" s="152"/>
      <c r="AK273" s="152"/>
      <c r="AL273" s="152"/>
      <c r="AM273" s="152"/>
      <c r="AN273" s="152"/>
      <c r="AO273" s="152"/>
      <c r="AP273" s="152"/>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52"/>
      <c r="BP273" s="152"/>
      <c r="BQ273" s="152"/>
      <c r="BR273" s="152"/>
      <c r="BS273" s="152"/>
      <c r="BT273" s="152"/>
      <c r="BU273" s="152"/>
      <c r="BV273" s="152"/>
      <c r="BW273" s="152"/>
      <c r="BX273" s="152"/>
      <c r="BY273" s="152"/>
      <c r="BZ273" s="152"/>
      <c r="CA273" s="152"/>
      <c r="CB273" s="152"/>
      <c r="CC273" s="152"/>
      <c r="CD273" s="152"/>
      <c r="CE273" s="152"/>
      <c r="CF273" s="152"/>
      <c r="CG273" s="152"/>
      <c r="CH273" s="152"/>
      <c r="CI273" s="152"/>
      <c r="CJ273" s="152"/>
      <c r="CO273" s="50"/>
      <c r="DK273" s="50"/>
      <c r="DL273" s="37"/>
      <c r="DM273" s="37"/>
      <c r="DN273" s="37"/>
      <c r="DO273" s="37"/>
      <c r="DP273" s="37"/>
      <c r="DQ273" s="37"/>
      <c r="DR273" s="37"/>
      <c r="DS273" s="37"/>
      <c r="DT273" s="37"/>
      <c r="DU273" s="37"/>
      <c r="DV273" s="37"/>
      <c r="DW273" s="37"/>
      <c r="DX273" s="37"/>
      <c r="DY273" s="37"/>
      <c r="DZ273" s="37"/>
    </row>
    <row r="274" spans="1:130">
      <c r="A274" s="272" t="s">
        <v>262</v>
      </c>
      <c r="B274" s="64"/>
      <c r="C274" s="64"/>
      <c r="D274" s="64"/>
      <c r="E274" s="64"/>
      <c r="F274" s="64"/>
      <c r="G274" s="64"/>
      <c r="H274" s="64"/>
      <c r="I274" s="64"/>
      <c r="J274" s="64">
        <f>(I184-J184)*(1-J$43)/J$61</f>
        <v>0</v>
      </c>
      <c r="K274" s="64">
        <f>(J184-K184)*(1-K$43)/K$61</f>
        <v>0</v>
      </c>
      <c r="L274" s="64"/>
      <c r="M274" s="64">
        <f t="shared" ref="M274:V274" si="297">(L184-M184)*(1-M$43)/M$61</f>
        <v>-6.552507553456946E-2</v>
      </c>
      <c r="N274" s="64">
        <f t="shared" si="297"/>
        <v>2.014859992856697E-2</v>
      </c>
      <c r="O274" s="64">
        <f t="shared" si="297"/>
        <v>4.4707771453210962E-2</v>
      </c>
      <c r="P274" s="64">
        <f t="shared" si="297"/>
        <v>8.3508925874815731E-2</v>
      </c>
      <c r="Q274" s="64">
        <f t="shared" si="297"/>
        <v>4.800615912669174E-3</v>
      </c>
      <c r="R274" s="64">
        <f t="shared" si="297"/>
        <v>7.4032374200145121E-2</v>
      </c>
      <c r="S274" s="64">
        <f t="shared" si="297"/>
        <v>7.4312713194043492E-2</v>
      </c>
      <c r="T274" s="64">
        <f t="shared" ca="1" si="297"/>
        <v>-5.0421679606807074E-2</v>
      </c>
      <c r="U274" s="64">
        <f t="shared" ca="1" si="297"/>
        <v>-1.7056434669636626E-2</v>
      </c>
      <c r="V274" s="64">
        <f t="shared" ca="1" si="297"/>
        <v>-2.1236379943659209E-2</v>
      </c>
      <c r="W274" s="64">
        <f ca="1">(V184-W184)*(1-W$43)/W$61</f>
        <v>-2.4881633073480798E-2</v>
      </c>
      <c r="X274" s="64">
        <f ca="1">(W184-X184)*(1-X$43)/X$61</f>
        <v>-2.5307287337189486E-2</v>
      </c>
      <c r="Y274" s="64">
        <f ca="1">(X184-Y184)*(1-Y$43)/Y$61</f>
        <v>-2.578729268405075E-2</v>
      </c>
      <c r="Z274" s="64">
        <f ca="1">(Y184-Z184)*(1-Z$43)/Z$61</f>
        <v>-2.6333171556239852E-2</v>
      </c>
      <c r="AA274" s="64">
        <f ca="1">(Z184-AA184)*(1-AA$43)/AA$61</f>
        <v>-2.6948911890496766E-2</v>
      </c>
      <c r="AB274" s="274"/>
      <c r="AC274" s="152"/>
      <c r="AD274" s="152"/>
      <c r="AE274" s="152"/>
      <c r="AF274" s="152"/>
      <c r="AG274" s="152"/>
      <c r="AH274" s="152"/>
      <c r="AI274" s="152"/>
      <c r="AJ274" s="152"/>
      <c r="AK274" s="152"/>
      <c r="AL274" s="152"/>
      <c r="AM274" s="152"/>
      <c r="AN274" s="152"/>
      <c r="AO274" s="152"/>
      <c r="AP274" s="152"/>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52"/>
      <c r="BP274" s="152"/>
      <c r="BQ274" s="152"/>
      <c r="BR274" s="152"/>
      <c r="BS274" s="152"/>
      <c r="BT274" s="152"/>
      <c r="BU274" s="152"/>
      <c r="BV274" s="152"/>
      <c r="BW274" s="152"/>
      <c r="BX274" s="152"/>
      <c r="BY274" s="152"/>
      <c r="BZ274" s="152"/>
      <c r="CA274" s="152"/>
      <c r="CB274" s="152"/>
      <c r="CC274" s="152"/>
      <c r="CD274" s="152"/>
      <c r="CE274" s="152"/>
      <c r="CF274" s="152"/>
      <c r="CG274" s="152"/>
      <c r="CH274" s="152"/>
      <c r="CI274" s="152"/>
      <c r="CJ274" s="152"/>
      <c r="CO274" s="50"/>
      <c r="DK274" s="50"/>
      <c r="DL274" s="37"/>
      <c r="DM274" s="37"/>
      <c r="DN274" s="37"/>
      <c r="DO274" s="37"/>
      <c r="DP274" s="37"/>
      <c r="DQ274" s="37"/>
      <c r="DR274" s="37"/>
      <c r="DS274" s="37"/>
      <c r="DT274" s="37"/>
      <c r="DU274" s="37"/>
      <c r="DV274" s="37"/>
      <c r="DW274" s="37"/>
      <c r="DX274" s="37"/>
      <c r="DY274" s="37"/>
      <c r="DZ274" s="37"/>
    </row>
    <row r="275" spans="1:130">
      <c r="A275" s="272" t="s">
        <v>263</v>
      </c>
      <c r="B275" s="64"/>
      <c r="C275" s="64"/>
      <c r="D275" s="64"/>
      <c r="E275" s="64"/>
      <c r="F275" s="64"/>
      <c r="G275" s="64"/>
      <c r="H275" s="64"/>
      <c r="I275" s="64"/>
      <c r="J275" s="64">
        <f>(I193-J193)*(1-J$43)/J$61</f>
        <v>0</v>
      </c>
      <c r="K275" s="64">
        <f>(J193-K193)*(1-K$43)/K$61</f>
        <v>0</v>
      </c>
      <c r="L275" s="64"/>
      <c r="M275" s="64">
        <f t="shared" ref="M275:V275" si="298">(L193-M193)*(1-M$43)/M$61</f>
        <v>-5.3520481543503293E-2</v>
      </c>
      <c r="N275" s="64">
        <f t="shared" si="298"/>
        <v>2.1939586588884032E-2</v>
      </c>
      <c r="O275" s="64">
        <f t="shared" si="298"/>
        <v>-4.2805313093499863E-3</v>
      </c>
      <c r="P275" s="64">
        <f t="shared" si="298"/>
        <v>7.9061704970239746E-3</v>
      </c>
      <c r="Q275" s="64">
        <f t="shared" si="298"/>
        <v>2.2082833198278199E-2</v>
      </c>
      <c r="R275" s="64">
        <f t="shared" si="298"/>
        <v>1.6733344853457458E-2</v>
      </c>
      <c r="S275" s="64">
        <f t="shared" si="298"/>
        <v>5.0211292698678026E-3</v>
      </c>
      <c r="T275" s="64">
        <f t="shared" ca="1" si="298"/>
        <v>-9.4955838532747323E-3</v>
      </c>
      <c r="U275" s="64">
        <f t="shared" ca="1" si="298"/>
        <v>-4.8721260353445581E-3</v>
      </c>
      <c r="V275" s="64">
        <f t="shared" ca="1" si="298"/>
        <v>-6.0661164905793409E-3</v>
      </c>
      <c r="W275" s="64">
        <f ca="1">(V193-W193)*(1-W$43)/W$61</f>
        <v>-7.107373530706256E-3</v>
      </c>
      <c r="X275" s="64">
        <f ca="1">(W193-X193)*(1-X$43)/X$61</f>
        <v>-7.228960559908972E-3</v>
      </c>
      <c r="Y275" s="64">
        <f ca="1">(X193-Y193)*(1-Y$43)/Y$61</f>
        <v>-7.3660728341236386E-3</v>
      </c>
      <c r="Z275" s="64">
        <f ca="1">(Y193-Z193)*(1-Z$43)/Z$61</f>
        <v>-7.5220017088767441E-3</v>
      </c>
      <c r="AA275" s="64">
        <f ca="1">(Z193-AA193)*(1-AA$43)/AA$61</f>
        <v>-7.6978863278871377E-3</v>
      </c>
      <c r="AB275" s="274"/>
      <c r="AC275" s="152"/>
      <c r="AD275" s="152"/>
      <c r="AE275" s="152"/>
      <c r="AF275" s="152"/>
      <c r="AG275" s="152"/>
      <c r="AH275" s="152"/>
      <c r="AI275" s="152"/>
      <c r="AJ275" s="152"/>
      <c r="AK275" s="152"/>
      <c r="AL275" s="152"/>
      <c r="AM275" s="152"/>
      <c r="AN275" s="152"/>
      <c r="AO275" s="152"/>
      <c r="AP275" s="152"/>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52"/>
      <c r="BP275" s="152"/>
      <c r="BQ275" s="152"/>
      <c r="BR275" s="152"/>
      <c r="BS275" s="152"/>
      <c r="BT275" s="152"/>
      <c r="BU275" s="152"/>
      <c r="BV275" s="152"/>
      <c r="BW275" s="152"/>
      <c r="BX275" s="152"/>
      <c r="BY275" s="152"/>
      <c r="BZ275" s="152"/>
      <c r="CA275" s="152"/>
      <c r="CB275" s="152"/>
      <c r="CC275" s="152"/>
      <c r="CD275" s="152"/>
      <c r="CE275" s="152"/>
      <c r="CF275" s="152"/>
      <c r="CG275" s="152"/>
      <c r="CH275" s="152"/>
      <c r="CI275" s="152"/>
      <c r="CJ275" s="152"/>
      <c r="CO275" s="50"/>
      <c r="DK275" s="50"/>
      <c r="DL275" s="37"/>
      <c r="DM275" s="37"/>
      <c r="DN275" s="37"/>
      <c r="DO275" s="37"/>
      <c r="DP275" s="37"/>
      <c r="DQ275" s="37"/>
      <c r="DR275" s="37"/>
      <c r="DS275" s="37"/>
      <c r="DT275" s="37"/>
      <c r="DU275" s="37"/>
      <c r="DV275" s="37"/>
      <c r="DW275" s="37"/>
      <c r="DX275" s="37"/>
      <c r="DY275" s="37"/>
      <c r="DZ275" s="37"/>
    </row>
    <row r="276" spans="1:130">
      <c r="A276" s="272" t="s">
        <v>264</v>
      </c>
      <c r="B276" s="64"/>
      <c r="C276" s="64"/>
      <c r="D276" s="64"/>
      <c r="E276" s="64"/>
      <c r="F276" s="64"/>
      <c r="G276" s="64"/>
      <c r="H276" s="64"/>
      <c r="I276" s="64"/>
      <c r="J276" s="64">
        <f>(I16-J16-(I184-J184)-(I193-J193))*(1-J43)/J61</f>
        <v>-0.37234759087465552</v>
      </c>
      <c r="K276" s="64">
        <f>(J16-K16-(J184-K184)-(J193-K193))*(1-K43)/K61</f>
        <v>-6.8279323291392843E-2</v>
      </c>
      <c r="L276" s="64"/>
      <c r="M276" s="64">
        <f t="shared" ref="M276:AA276" si="299">(L16-M16-(L184-M184)-(L193-M193))*(1-M43)/M61</f>
        <v>-0.19357407810594185</v>
      </c>
      <c r="N276" s="64">
        <f t="shared" si="299"/>
        <v>1.2536906622219447E-2</v>
      </c>
      <c r="O276" s="64">
        <f t="shared" si="299"/>
        <v>-0.10225713683447189</v>
      </c>
      <c r="P276" s="64">
        <f t="shared" si="299"/>
        <v>0.67894239143193391</v>
      </c>
      <c r="Q276" s="64">
        <f t="shared" si="299"/>
        <v>0.16898168012595491</v>
      </c>
      <c r="R276" s="64">
        <f t="shared" si="299"/>
        <v>0.2114486304209624</v>
      </c>
      <c r="S276" s="64">
        <f t="shared" si="299"/>
        <v>5.1215518552651593E-2</v>
      </c>
      <c r="T276" s="64">
        <f t="shared" ca="1" si="299"/>
        <v>-4.0289917302349883E-2</v>
      </c>
      <c r="U276" s="64">
        <f t="shared" ca="1" si="299"/>
        <v>-3.4801960317702621E-2</v>
      </c>
      <c r="V276" s="64">
        <f t="shared" ca="1" si="299"/>
        <v>-5.8121104396777451E-2</v>
      </c>
      <c r="W276" s="64">
        <f t="shared" ca="1" si="299"/>
        <v>-4.6193362781538183E-2</v>
      </c>
      <c r="X276" s="64">
        <f t="shared" ca="1" si="299"/>
        <v>-6.1015686467302835E-2</v>
      </c>
      <c r="Y276" s="64">
        <f t="shared" ca="1" si="299"/>
        <v>-7.77267556593947E-2</v>
      </c>
      <c r="Z276" s="64">
        <f t="shared" ca="1" si="299"/>
        <v>-7.0339877815962376E-2</v>
      </c>
      <c r="AA276" s="64">
        <f t="shared" ca="1" si="299"/>
        <v>-7.3252401606149251E-2</v>
      </c>
      <c r="AB276" s="274"/>
      <c r="AC276" s="152"/>
      <c r="AD276" s="152"/>
      <c r="AE276" s="152"/>
      <c r="AF276" s="152"/>
      <c r="AG276" s="152"/>
      <c r="AH276" s="152"/>
      <c r="AI276" s="152"/>
      <c r="AJ276" s="152"/>
      <c r="AK276" s="152"/>
      <c r="AL276" s="152"/>
      <c r="AM276" s="152"/>
      <c r="AN276" s="152"/>
      <c r="AO276" s="152"/>
      <c r="AP276" s="152"/>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52"/>
      <c r="BP276" s="152"/>
      <c r="BQ276" s="152"/>
      <c r="BR276" s="152"/>
      <c r="BS276" s="152"/>
      <c r="BT276" s="152"/>
      <c r="BU276" s="152"/>
      <c r="BV276" s="152"/>
      <c r="BW276" s="152"/>
      <c r="BX276" s="152"/>
      <c r="BY276" s="152"/>
      <c r="BZ276" s="152"/>
      <c r="CA276" s="152"/>
      <c r="CB276" s="152"/>
      <c r="CC276" s="152"/>
      <c r="CD276" s="152"/>
      <c r="CE276" s="152"/>
      <c r="CF276" s="152"/>
      <c r="CG276" s="152"/>
      <c r="CH276" s="152"/>
      <c r="CI276" s="152"/>
      <c r="CJ276" s="152"/>
      <c r="CO276" s="50"/>
      <c r="DK276" s="50"/>
      <c r="DL276" s="37"/>
      <c r="DM276" s="37"/>
      <c r="DN276" s="37"/>
      <c r="DO276" s="37"/>
      <c r="DP276" s="37"/>
      <c r="DQ276" s="37"/>
      <c r="DR276" s="37"/>
      <c r="DS276" s="37"/>
      <c r="DT276" s="37"/>
      <c r="DU276" s="37"/>
      <c r="DV276" s="37"/>
      <c r="DW276" s="37"/>
      <c r="DX276" s="37"/>
      <c r="DY276" s="37"/>
      <c r="DZ276" s="37"/>
    </row>
    <row r="277" spans="1:130">
      <c r="A277" s="272" t="s">
        <v>265</v>
      </c>
      <c r="B277" s="64"/>
      <c r="C277" s="64"/>
      <c r="D277" s="64"/>
      <c r="E277" s="64"/>
      <c r="F277" s="64"/>
      <c r="G277" s="64"/>
      <c r="H277" s="64"/>
      <c r="I277" s="64"/>
      <c r="J277" s="64">
        <f>(I22-J22)*(1-J43)/J61</f>
        <v>5.5163454867686069E-2</v>
      </c>
      <c r="K277" s="64">
        <f>(J22-K22)*(1-K43)/K61</f>
        <v>-0.33098716863182415</v>
      </c>
      <c r="L277" s="64"/>
      <c r="M277" s="64">
        <f t="shared" ref="M277:AA277" si="300">(L22-M22)*(1-M43)/M61</f>
        <v>-4.8018375964264642E-2</v>
      </c>
      <c r="N277" s="64">
        <f t="shared" si="300"/>
        <v>5.507283980474971E-2</v>
      </c>
      <c r="O277" s="64">
        <f t="shared" si="300"/>
        <v>7.2769032258949762E-2</v>
      </c>
      <c r="P277" s="64">
        <f t="shared" si="300"/>
        <v>-5.0401836918527843E-2</v>
      </c>
      <c r="Q277" s="64">
        <f t="shared" si="300"/>
        <v>2.0162586833210532E-2</v>
      </c>
      <c r="R277" s="64">
        <f t="shared" si="300"/>
        <v>5.577781617819153E-3</v>
      </c>
      <c r="S277" s="64">
        <f t="shared" si="300"/>
        <v>4.5190163428810229E-3</v>
      </c>
      <c r="T277" s="64">
        <f t="shared" ca="1" si="300"/>
        <v>8.0464138517808408E-3</v>
      </c>
      <c r="U277" s="64">
        <f t="shared" ca="1" si="300"/>
        <v>-2.3879008537491119E-3</v>
      </c>
      <c r="V277" s="64">
        <f t="shared" ca="1" si="300"/>
        <v>-2.9730931921123065E-3</v>
      </c>
      <c r="W277" s="64">
        <f t="shared" ca="1" si="300"/>
        <v>-3.4834286302872948E-3</v>
      </c>
      <c r="X277" s="64">
        <f t="shared" ca="1" si="300"/>
        <v>-3.5430202272065362E-3</v>
      </c>
      <c r="Y277" s="64">
        <f t="shared" ca="1" si="300"/>
        <v>-3.6102209757671046E-3</v>
      </c>
      <c r="Z277" s="64">
        <f t="shared" ca="1" si="300"/>
        <v>-3.6866440178735765E-3</v>
      </c>
      <c r="AA277" s="64">
        <f t="shared" ca="1" si="300"/>
        <v>-3.7728476646695396E-3</v>
      </c>
      <c r="AB277" s="274"/>
      <c r="AC277" s="152"/>
      <c r="AD277" s="152"/>
      <c r="AE277" s="152"/>
      <c r="AF277" s="152"/>
      <c r="AG277" s="152"/>
      <c r="AH277" s="152"/>
      <c r="AI277" s="152"/>
      <c r="AJ277" s="152"/>
      <c r="AK277" s="152"/>
      <c r="AL277" s="152"/>
      <c r="AM277" s="152"/>
      <c r="AN277" s="152"/>
      <c r="AO277" s="152"/>
      <c r="AP277" s="152"/>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52"/>
      <c r="BP277" s="152"/>
      <c r="BQ277" s="152"/>
      <c r="BR277" s="152"/>
      <c r="BS277" s="152"/>
      <c r="BT277" s="152"/>
      <c r="BU277" s="152"/>
      <c r="BV277" s="152"/>
      <c r="BW277" s="152"/>
      <c r="BX277" s="152"/>
      <c r="BY277" s="152"/>
      <c r="BZ277" s="152"/>
      <c r="CA277" s="152"/>
      <c r="CB277" s="152"/>
      <c r="CC277" s="152"/>
      <c r="CD277" s="152"/>
      <c r="CE277" s="152"/>
      <c r="CF277" s="152"/>
      <c r="CG277" s="152"/>
      <c r="CH277" s="152"/>
      <c r="CI277" s="152"/>
      <c r="CJ277" s="152"/>
      <c r="CO277" s="50"/>
      <c r="DK277" s="50"/>
      <c r="DL277" s="37"/>
      <c r="DM277" s="37"/>
      <c r="DN277" s="37"/>
      <c r="DO277" s="37"/>
      <c r="DP277" s="37"/>
      <c r="DQ277" s="37"/>
      <c r="DR277" s="37"/>
      <c r="DS277" s="37"/>
      <c r="DT277" s="37"/>
      <c r="DU277" s="37"/>
      <c r="DV277" s="37"/>
      <c r="DW277" s="37"/>
      <c r="DX277" s="37"/>
      <c r="DY277" s="37"/>
      <c r="DZ277" s="37"/>
    </row>
    <row r="278" spans="1:130">
      <c r="A278" s="272" t="s">
        <v>266</v>
      </c>
      <c r="B278" s="64"/>
      <c r="C278" s="64"/>
      <c r="D278" s="64"/>
      <c r="E278" s="64"/>
      <c r="F278" s="64"/>
      <c r="G278" s="64"/>
      <c r="H278" s="64"/>
      <c r="I278" s="64"/>
      <c r="J278" s="64">
        <f>(I26-J26)*(1-J43)/J61</f>
        <v>-4.5835857804475333E-3</v>
      </c>
      <c r="K278" s="64">
        <f>(J26-K26)*(1-K43)/K61</f>
        <v>-1.4259517568686326E-3</v>
      </c>
      <c r="L278" s="64"/>
      <c r="M278" s="64">
        <f t="shared" ref="M278:AA278" si="301">(L26-M26)*(1-M43)/M61</f>
        <v>-7.5028712444163504E-3</v>
      </c>
      <c r="N278" s="64">
        <f t="shared" si="301"/>
        <v>3.5819733206341278E-3</v>
      </c>
      <c r="O278" s="64">
        <f t="shared" si="301"/>
        <v>0</v>
      </c>
      <c r="P278" s="64">
        <f t="shared" si="301"/>
        <v>5.929627872767981E-3</v>
      </c>
      <c r="Q278" s="64">
        <f t="shared" si="301"/>
        <v>1.1521478190406017E-2</v>
      </c>
      <c r="R278" s="64">
        <f t="shared" si="301"/>
        <v>2.5353552808268878E-3</v>
      </c>
      <c r="S278" s="64">
        <f t="shared" si="301"/>
        <v>-1.0042258539735606E-3</v>
      </c>
      <c r="T278" s="64">
        <f t="shared" si="301"/>
        <v>1.5476894463866632E-3</v>
      </c>
      <c r="U278" s="64">
        <f t="shared" si="301"/>
        <v>0</v>
      </c>
      <c r="V278" s="64">
        <f t="shared" si="301"/>
        <v>0</v>
      </c>
      <c r="W278" s="64">
        <f t="shared" si="301"/>
        <v>0</v>
      </c>
      <c r="X278" s="64">
        <f t="shared" si="301"/>
        <v>0</v>
      </c>
      <c r="Y278" s="64">
        <f t="shared" si="301"/>
        <v>0</v>
      </c>
      <c r="Z278" s="64">
        <f t="shared" si="301"/>
        <v>0</v>
      </c>
      <c r="AA278" s="64">
        <f t="shared" si="301"/>
        <v>0</v>
      </c>
      <c r="AB278" s="274"/>
      <c r="AC278" s="152"/>
      <c r="AD278" s="152"/>
      <c r="AE278" s="152"/>
      <c r="AF278" s="152"/>
      <c r="AG278" s="152"/>
      <c r="AH278" s="152"/>
      <c r="AI278" s="152"/>
      <c r="AJ278" s="152"/>
      <c r="AK278" s="152"/>
      <c r="AL278" s="152"/>
      <c r="AM278" s="152"/>
      <c r="AN278" s="152"/>
      <c r="AO278" s="152"/>
      <c r="AP278" s="152"/>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52"/>
      <c r="BP278" s="152"/>
      <c r="BQ278" s="152"/>
      <c r="BR278" s="152"/>
      <c r="BS278" s="152"/>
      <c r="BT278" s="152"/>
      <c r="BU278" s="152"/>
      <c r="BV278" s="152"/>
      <c r="BW278" s="152"/>
      <c r="BX278" s="152"/>
      <c r="BY278" s="152"/>
      <c r="BZ278" s="152"/>
      <c r="CA278" s="152"/>
      <c r="CB278" s="152"/>
      <c r="CC278" s="152"/>
      <c r="CD278" s="152"/>
      <c r="CE278" s="152"/>
      <c r="CF278" s="152"/>
      <c r="CG278" s="152"/>
      <c r="CH278" s="152"/>
      <c r="CI278" s="152"/>
      <c r="CJ278" s="152"/>
      <c r="CO278" s="50"/>
      <c r="DK278" s="50"/>
      <c r="DL278" s="37"/>
      <c r="DM278" s="37"/>
      <c r="DN278" s="37"/>
      <c r="DO278" s="37"/>
      <c r="DP278" s="37"/>
      <c r="DQ278" s="37"/>
      <c r="DR278" s="37"/>
      <c r="DS278" s="37"/>
      <c r="DT278" s="37"/>
      <c r="DU278" s="37"/>
      <c r="DV278" s="37"/>
      <c r="DW278" s="37"/>
      <c r="DX278" s="37"/>
      <c r="DY278" s="37"/>
      <c r="DZ278" s="37"/>
    </row>
    <row r="279" spans="1:130">
      <c r="A279" s="272" t="s">
        <v>267</v>
      </c>
      <c r="B279" s="64"/>
      <c r="C279" s="64"/>
      <c r="D279" s="64"/>
      <c r="E279" s="64"/>
      <c r="F279" s="64"/>
      <c r="G279" s="64"/>
      <c r="H279" s="64"/>
      <c r="I279" s="64"/>
      <c r="J279" s="64">
        <f>(I38-J38)*(1-J$43)/J60</f>
        <v>-0.25238807004556629</v>
      </c>
      <c r="K279" s="64">
        <f>(J38-K38)*(1-K$43)/K60</f>
        <v>1.9115600457436067E-3</v>
      </c>
      <c r="L279" s="64"/>
      <c r="M279" s="64">
        <f t="shared" ref="M279:AA279" si="302">(L38-M38)*(1-M$43)/M60</f>
        <v>0.27455846226696035</v>
      </c>
      <c r="N279" s="64">
        <f t="shared" si="302"/>
        <v>9.680787402298327E-2</v>
      </c>
      <c r="O279" s="64">
        <f t="shared" si="302"/>
        <v>3.9330162972505592E-2</v>
      </c>
      <c r="P279" s="64">
        <f t="shared" si="302"/>
        <v>9.4885150136334084E-2</v>
      </c>
      <c r="Q279" s="64">
        <f t="shared" si="302"/>
        <v>7.591967896470124E-2</v>
      </c>
      <c r="R279" s="64">
        <f t="shared" si="302"/>
        <v>3.736800502643807E-2</v>
      </c>
      <c r="S279" s="64">
        <f t="shared" si="302"/>
        <v>7.6721063168361442E-2</v>
      </c>
      <c r="T279" s="64">
        <f t="shared" si="302"/>
        <v>2.7262212865321191E-2</v>
      </c>
      <c r="U279" s="64">
        <f t="shared" si="302"/>
        <v>-2.052990385919782E-3</v>
      </c>
      <c r="V279" s="64">
        <f t="shared" si="302"/>
        <v>-5.0823791632685867E-3</v>
      </c>
      <c r="W279" s="64">
        <f t="shared" si="302"/>
        <v>-4.2619832506492492E-3</v>
      </c>
      <c r="X279" s="64">
        <f t="shared" si="302"/>
        <v>-1.5493170115375764E-3</v>
      </c>
      <c r="Y279" s="64">
        <f t="shared" si="302"/>
        <v>0</v>
      </c>
      <c r="Z279" s="64">
        <f t="shared" si="302"/>
        <v>0</v>
      </c>
      <c r="AA279" s="64">
        <f t="shared" si="302"/>
        <v>0</v>
      </c>
      <c r="AB279" s="274"/>
      <c r="AC279" s="152"/>
      <c r="AD279" s="152"/>
      <c r="AE279" s="152"/>
      <c r="AF279" s="152"/>
      <c r="AG279" s="152"/>
      <c r="AH279" s="152"/>
      <c r="AI279" s="152"/>
      <c r="AJ279" s="152"/>
      <c r="AK279" s="152"/>
      <c r="AL279" s="152"/>
      <c r="AM279" s="152"/>
      <c r="AN279" s="152"/>
      <c r="AO279" s="152"/>
      <c r="AP279" s="152"/>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52"/>
      <c r="BP279" s="152"/>
      <c r="BQ279" s="152"/>
      <c r="BR279" s="152"/>
      <c r="BS279" s="152"/>
      <c r="BT279" s="152"/>
      <c r="BU279" s="152"/>
      <c r="BV279" s="152"/>
      <c r="BW279" s="152"/>
      <c r="BX279" s="152"/>
      <c r="BY279" s="152"/>
      <c r="BZ279" s="152"/>
      <c r="CA279" s="152"/>
      <c r="CB279" s="152"/>
      <c r="CC279" s="152"/>
      <c r="CD279" s="152"/>
      <c r="CE279" s="152"/>
      <c r="CF279" s="152"/>
      <c r="CG279" s="152"/>
      <c r="CH279" s="152"/>
      <c r="CI279" s="152"/>
      <c r="CJ279" s="152"/>
      <c r="CO279" s="50"/>
      <c r="DK279" s="50"/>
      <c r="DL279" s="37"/>
      <c r="DM279" s="37"/>
      <c r="DN279" s="37"/>
      <c r="DO279" s="37"/>
      <c r="DP279" s="37"/>
      <c r="DQ279" s="37"/>
      <c r="DR279" s="37"/>
      <c r="DS279" s="37"/>
      <c r="DT279" s="37"/>
      <c r="DU279" s="37"/>
      <c r="DV279" s="37"/>
      <c r="DW279" s="37"/>
      <c r="DX279" s="37"/>
      <c r="DY279" s="37"/>
      <c r="DZ279" s="37"/>
    </row>
    <row r="280" spans="1:130">
      <c r="A280" s="272" t="s">
        <v>268</v>
      </c>
      <c r="B280" s="64"/>
      <c r="C280" s="64"/>
      <c r="D280" s="64"/>
      <c r="E280" s="64"/>
      <c r="F280" s="64"/>
      <c r="G280" s="64"/>
      <c r="H280" s="64"/>
      <c r="I280" s="64"/>
      <c r="J280" s="64">
        <f>J28*(1-J43)/J61-J28*(1-I43)/J61</f>
        <v>-4.6619873908332332E-2</v>
      </c>
      <c r="K280" s="64">
        <f>K28*(1-K43)/K61-K28*(1-J43)/K61</f>
        <v>2.0426634776724129E-2</v>
      </c>
      <c r="L280" s="64"/>
      <c r="M280" s="64">
        <f t="shared" ref="M280:AA280" si="303">M28*(1-M43)/M61-M28*(1-L43)/M61</f>
        <v>-9.2478475743273947E-3</v>
      </c>
      <c r="N280" s="64">
        <f t="shared" si="303"/>
        <v>-0.20192655022684325</v>
      </c>
      <c r="O280" s="64">
        <f t="shared" si="303"/>
        <v>0.11899603910313905</v>
      </c>
      <c r="P280" s="64">
        <f t="shared" si="303"/>
        <v>-1.3036620701063706E-2</v>
      </c>
      <c r="Q280" s="64">
        <f t="shared" si="303"/>
        <v>-0.12047056585075655</v>
      </c>
      <c r="R280" s="64">
        <f t="shared" si="303"/>
        <v>2.8500090292377767E-2</v>
      </c>
      <c r="S280" s="64">
        <f t="shared" si="303"/>
        <v>-7.7719907420735534E-2</v>
      </c>
      <c r="T280" s="64">
        <f t="shared" ca="1" si="303"/>
        <v>0</v>
      </c>
      <c r="U280" s="64">
        <f t="shared" ca="1" si="303"/>
        <v>0</v>
      </c>
      <c r="V280" s="64">
        <f t="shared" ca="1" si="303"/>
        <v>0</v>
      </c>
      <c r="W280" s="64">
        <f t="shared" ca="1" si="303"/>
        <v>0</v>
      </c>
      <c r="X280" s="64">
        <f t="shared" ca="1" si="303"/>
        <v>0</v>
      </c>
      <c r="Y280" s="64">
        <f t="shared" ca="1" si="303"/>
        <v>0</v>
      </c>
      <c r="Z280" s="64">
        <f t="shared" ca="1" si="303"/>
        <v>0</v>
      </c>
      <c r="AA280" s="64">
        <f t="shared" ca="1" si="303"/>
        <v>0</v>
      </c>
      <c r="AB280" s="274"/>
      <c r="AC280" s="152"/>
      <c r="AD280" s="152"/>
      <c r="AE280" s="152"/>
      <c r="AF280" s="152"/>
      <c r="AG280" s="152"/>
      <c r="AH280" s="152"/>
      <c r="AI280" s="152"/>
      <c r="AJ280" s="152"/>
      <c r="AK280" s="152"/>
      <c r="AL280" s="152"/>
      <c r="AM280" s="152"/>
      <c r="AN280" s="152"/>
      <c r="AO280" s="152"/>
      <c r="AP280" s="152"/>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52"/>
      <c r="BP280" s="152"/>
      <c r="BQ280" s="152"/>
      <c r="BR280" s="152"/>
      <c r="BS280" s="152"/>
      <c r="BT280" s="152"/>
      <c r="BU280" s="152"/>
      <c r="BV280" s="152"/>
      <c r="BW280" s="152"/>
      <c r="BX280" s="152"/>
      <c r="BY280" s="152"/>
      <c r="BZ280" s="152"/>
      <c r="CA280" s="152"/>
      <c r="CB280" s="152"/>
      <c r="CC280" s="152"/>
      <c r="CD280" s="152"/>
      <c r="CE280" s="152"/>
      <c r="CF280" s="152"/>
      <c r="CG280" s="152"/>
      <c r="CH280" s="152"/>
      <c r="CI280" s="152"/>
      <c r="CJ280" s="152"/>
      <c r="CO280" s="50"/>
      <c r="DK280" s="50"/>
      <c r="DL280" s="37"/>
      <c r="DM280" s="37"/>
      <c r="DN280" s="37"/>
      <c r="DO280" s="37"/>
      <c r="DP280" s="37"/>
      <c r="DQ280" s="37"/>
      <c r="DR280" s="37"/>
      <c r="DS280" s="37"/>
      <c r="DT280" s="37"/>
      <c r="DU280" s="37"/>
      <c r="DV280" s="37"/>
      <c r="DW280" s="37"/>
      <c r="DX280" s="37"/>
      <c r="DY280" s="37"/>
      <c r="DZ280" s="37"/>
    </row>
    <row r="281" spans="1:130">
      <c r="A281" s="272" t="s">
        <v>269</v>
      </c>
      <c r="B281" s="64"/>
      <c r="C281" s="64"/>
      <c r="D281" s="64"/>
      <c r="E281" s="64"/>
      <c r="F281" s="64"/>
      <c r="G281" s="64"/>
      <c r="H281" s="64"/>
      <c r="I281" s="64"/>
      <c r="J281" s="64"/>
      <c r="K281" s="64"/>
      <c r="L281" s="64"/>
      <c r="M281" s="64"/>
      <c r="N281" s="64"/>
      <c r="O281" s="64"/>
      <c r="P281" s="64"/>
      <c r="Q281" s="64"/>
      <c r="R281" s="64"/>
      <c r="S281" s="64"/>
      <c r="T281" s="64"/>
      <c r="U281" s="64"/>
      <c r="V281" s="64"/>
      <c r="W281" s="64"/>
      <c r="X281" s="64"/>
      <c r="Y281" s="64"/>
      <c r="Z281" s="64"/>
      <c r="AA281" s="64"/>
      <c r="AB281" s="274"/>
      <c r="AC281" s="152"/>
      <c r="AD281" s="152"/>
      <c r="AE281" s="152"/>
      <c r="AF281" s="152"/>
      <c r="AG281" s="152"/>
      <c r="AH281" s="152"/>
      <c r="AI281" s="152"/>
      <c r="AJ281" s="152"/>
      <c r="AK281" s="152"/>
      <c r="AL281" s="152"/>
      <c r="AM281" s="152"/>
      <c r="AN281" s="152"/>
      <c r="AO281" s="152"/>
      <c r="AP281" s="152"/>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52"/>
      <c r="BP281" s="152"/>
      <c r="BQ281" s="152"/>
      <c r="BR281" s="152"/>
      <c r="BS281" s="152"/>
      <c r="BT281" s="152"/>
      <c r="BU281" s="152"/>
      <c r="BV281" s="152"/>
      <c r="BW281" s="152"/>
      <c r="BX281" s="152"/>
      <c r="BY281" s="152"/>
      <c r="BZ281" s="152"/>
      <c r="CA281" s="152"/>
      <c r="CB281" s="152"/>
      <c r="CC281" s="152"/>
      <c r="CD281" s="152"/>
      <c r="CE281" s="152"/>
      <c r="CF281" s="152"/>
      <c r="CG281" s="152"/>
      <c r="CH281" s="152"/>
      <c r="CI281" s="152"/>
      <c r="CJ281" s="152"/>
      <c r="CO281" s="50"/>
      <c r="DK281" s="50"/>
      <c r="DL281" s="37"/>
      <c r="DM281" s="37"/>
      <c r="DN281" s="37"/>
      <c r="DO281" s="37"/>
      <c r="DP281" s="37"/>
      <c r="DQ281" s="37"/>
      <c r="DR281" s="37"/>
      <c r="DS281" s="37"/>
      <c r="DT281" s="37"/>
      <c r="DU281" s="37"/>
      <c r="DV281" s="37"/>
      <c r="DW281" s="37"/>
      <c r="DX281" s="37"/>
      <c r="DY281" s="37"/>
      <c r="DZ281" s="37"/>
    </row>
    <row r="282" spans="1:130">
      <c r="A282" s="272" t="s">
        <v>270</v>
      </c>
      <c r="B282" s="64"/>
      <c r="C282" s="64"/>
      <c r="D282" s="64"/>
      <c r="E282" s="64"/>
      <c r="F282" s="64"/>
      <c r="G282" s="64"/>
      <c r="H282" s="64"/>
      <c r="I282" s="64"/>
      <c r="J282" s="64">
        <f>J46/J61-J46/I61</f>
        <v>4.1419859379125401E-2</v>
      </c>
      <c r="K282" s="64">
        <f>K46/K61-K46/J61</f>
        <v>1.3860497759062618E-2</v>
      </c>
      <c r="L282" s="64"/>
      <c r="M282" s="64">
        <f t="shared" ref="M282:AA282" si="304">M46/M61-M46/L61</f>
        <v>-4.2175442280434794E-2</v>
      </c>
      <c r="N282" s="64">
        <f t="shared" si="304"/>
        <v>-1.3492284805438848E-2</v>
      </c>
      <c r="O282" s="64">
        <f t="shared" si="304"/>
        <v>0</v>
      </c>
      <c r="P282" s="64">
        <f t="shared" si="304"/>
        <v>5.8821201406030754E-2</v>
      </c>
      <c r="Q282" s="64">
        <f t="shared" si="304"/>
        <v>5.4654899804921442E-2</v>
      </c>
      <c r="R282" s="64">
        <f t="shared" si="304"/>
        <v>6.3140686188022155E-2</v>
      </c>
      <c r="S282" s="64">
        <f t="shared" si="304"/>
        <v>4.9913153173054559E-2</v>
      </c>
      <c r="T282" s="64">
        <f t="shared" ca="1" si="304"/>
        <v>5.815309451538786E-2</v>
      </c>
      <c r="U282" s="64">
        <f t="shared" ca="1" si="304"/>
        <v>4.8479103694989867E-2</v>
      </c>
      <c r="V282" s="64">
        <f t="shared" ca="1" si="304"/>
        <v>4.8232823367664324E-2</v>
      </c>
      <c r="W282" s="64">
        <f t="shared" ca="1" si="304"/>
        <v>4.9053860163156937E-2</v>
      </c>
      <c r="X282" s="64">
        <f t="shared" ca="1" si="304"/>
        <v>5.1130634185815538E-2</v>
      </c>
      <c r="Y282" s="64">
        <f t="shared" ca="1" si="304"/>
        <v>5.3838652719540026E-2</v>
      </c>
      <c r="Z282" s="64">
        <f t="shared" ca="1" si="304"/>
        <v>5.7624747991515957E-2</v>
      </c>
      <c r="AA282" s="64">
        <f t="shared" ca="1" si="304"/>
        <v>6.1612224555037898E-2</v>
      </c>
      <c r="AB282" s="274"/>
      <c r="AC282" s="152"/>
      <c r="AD282" s="152"/>
      <c r="AE282" s="152"/>
      <c r="AF282" s="152"/>
      <c r="AG282" s="152"/>
      <c r="AH282" s="152"/>
      <c r="AI282" s="152"/>
      <c r="AJ282" s="152"/>
      <c r="AK282" s="152"/>
      <c r="AL282" s="152"/>
      <c r="AM282" s="152"/>
      <c r="AN282" s="152"/>
      <c r="AO282" s="152"/>
      <c r="AP282" s="152"/>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52"/>
      <c r="BP282" s="152"/>
      <c r="BQ282" s="152"/>
      <c r="BR282" s="152"/>
      <c r="BS282" s="152"/>
      <c r="BT282" s="152"/>
      <c r="BU282" s="152"/>
      <c r="BV282" s="152"/>
      <c r="BW282" s="152"/>
      <c r="BX282" s="152"/>
      <c r="BY282" s="152"/>
      <c r="BZ282" s="152"/>
      <c r="CA282" s="152"/>
      <c r="CB282" s="152"/>
      <c r="CC282" s="152"/>
      <c r="CD282" s="152"/>
      <c r="CE282" s="152"/>
      <c r="CF282" s="152"/>
      <c r="CG282" s="152"/>
      <c r="CH282" s="152"/>
      <c r="CI282" s="152"/>
      <c r="CJ282" s="152"/>
      <c r="CO282" s="50"/>
      <c r="DK282" s="50"/>
      <c r="DL282" s="37"/>
      <c r="DM282" s="37"/>
      <c r="DN282" s="37"/>
      <c r="DO282" s="37"/>
      <c r="DP282" s="37"/>
      <c r="DQ282" s="37"/>
      <c r="DR282" s="37"/>
      <c r="DS282" s="37"/>
      <c r="DT282" s="37"/>
      <c r="DU282" s="37"/>
      <c r="DV282" s="37"/>
      <c r="DW282" s="37"/>
      <c r="DX282" s="37"/>
      <c r="DY282" s="37"/>
      <c r="DZ282" s="37"/>
    </row>
    <row r="283" spans="1:130">
      <c r="A283" s="272" t="s">
        <v>213</v>
      </c>
      <c r="B283" s="64"/>
      <c r="C283" s="64"/>
      <c r="D283" s="64"/>
      <c r="E283" s="64"/>
      <c r="F283" s="64"/>
      <c r="G283" s="64"/>
      <c r="H283" s="64"/>
      <c r="I283" s="64"/>
      <c r="J283" s="64" t="e">
        <f t="shared" ref="J283:V283" si="305">J284-SUM(J269:J282)</f>
        <v>#REF!</v>
      </c>
      <c r="K283" s="64" t="e">
        <f t="shared" si="305"/>
        <v>#REF!</v>
      </c>
      <c r="L283" s="64"/>
      <c r="M283" s="64">
        <f t="shared" si="305"/>
        <v>-0.43298781541722309</v>
      </c>
      <c r="N283" s="64">
        <f t="shared" si="305"/>
        <v>-0.38968943430709735</v>
      </c>
      <c r="O283" s="64">
        <f t="shared" si="305"/>
        <v>-0.49612717323501432</v>
      </c>
      <c r="P283" s="64">
        <f t="shared" si="305"/>
        <v>-8.1853664805656257E-2</v>
      </c>
      <c r="Q283" s="64">
        <f t="shared" si="305"/>
        <v>-0.50181648699713888</v>
      </c>
      <c r="R283" s="64">
        <f t="shared" si="305"/>
        <v>-0.40997244608075945</v>
      </c>
      <c r="S283" s="64">
        <f t="shared" si="305"/>
        <v>-0.29005282502992102</v>
      </c>
      <c r="T283" s="64">
        <f t="shared" ca="1" si="305"/>
        <v>-0.32704320398486342</v>
      </c>
      <c r="U283" s="64">
        <f t="shared" ca="1" si="305"/>
        <v>-0.36045333241459465</v>
      </c>
      <c r="V283" s="64">
        <f t="shared" ca="1" si="305"/>
        <v>-0.37256813774045749</v>
      </c>
      <c r="W283" s="64">
        <f ca="1">W284-SUM(W269:W282)</f>
        <v>-0.37158405648041759</v>
      </c>
      <c r="X283" s="64">
        <f ca="1">X284-SUM(X269:X282)</f>
        <v>-0.38565389661832983</v>
      </c>
      <c r="Y283" s="64">
        <f ca="1">Y284-SUM(Y269:Y282)</f>
        <v>-0.39994522914974739</v>
      </c>
      <c r="Z283" s="64">
        <f ca="1">Z284-SUM(Z269:Z282)</f>
        <v>-0.41428731913127859</v>
      </c>
      <c r="AA283" s="64">
        <f ca="1">AA284-SUM(AA269:AA282)</f>
        <v>-0.42890472344729513</v>
      </c>
      <c r="AB283" s="274"/>
      <c r="AC283" s="152"/>
      <c r="AD283" s="152"/>
      <c r="AE283" s="152"/>
      <c r="AF283" s="152"/>
      <c r="AG283" s="152"/>
      <c r="AH283" s="152"/>
      <c r="AI283" s="152"/>
      <c r="AJ283" s="152"/>
      <c r="AK283" s="152"/>
      <c r="AL283" s="152"/>
      <c r="AM283" s="152"/>
      <c r="AN283" s="152"/>
      <c r="AO283" s="152"/>
      <c r="AP283" s="152"/>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52"/>
      <c r="BP283" s="152"/>
      <c r="BQ283" s="152"/>
      <c r="BR283" s="152"/>
      <c r="BS283" s="152"/>
      <c r="BT283" s="152"/>
      <c r="BU283" s="152"/>
      <c r="BV283" s="152"/>
      <c r="BW283" s="152"/>
      <c r="BX283" s="152"/>
      <c r="BY283" s="152"/>
      <c r="BZ283" s="152"/>
      <c r="CA283" s="152"/>
      <c r="CB283" s="152"/>
      <c r="CC283" s="152"/>
      <c r="CD283" s="152"/>
      <c r="CE283" s="152"/>
      <c r="CF283" s="152"/>
      <c r="CG283" s="152"/>
      <c r="CH283" s="152"/>
      <c r="CI283" s="152"/>
      <c r="CJ283" s="152"/>
      <c r="CO283" s="50"/>
      <c r="DK283" s="50"/>
      <c r="DL283" s="37"/>
      <c r="DM283" s="37"/>
      <c r="DN283" s="37"/>
      <c r="DO283" s="37"/>
      <c r="DP283" s="37"/>
      <c r="DQ283" s="37"/>
      <c r="DR283" s="37"/>
      <c r="DS283" s="37"/>
      <c r="DT283" s="37"/>
      <c r="DU283" s="37"/>
      <c r="DV283" s="37"/>
      <c r="DW283" s="37"/>
      <c r="DX283" s="37"/>
      <c r="DY283" s="37"/>
      <c r="DZ283" s="37"/>
    </row>
    <row r="284" spans="1:130">
      <c r="A284" s="275" t="s">
        <v>271</v>
      </c>
      <c r="B284" s="143"/>
      <c r="C284" s="143"/>
      <c r="D284" s="143"/>
      <c r="E284" s="143"/>
      <c r="F284" s="143"/>
      <c r="G284" s="143"/>
      <c r="H284" s="143"/>
      <c r="I284" s="143"/>
      <c r="J284" s="143">
        <f>J57</f>
        <v>0.77966794125412542</v>
      </c>
      <c r="K284" s="143">
        <f>K57</f>
        <v>0.72409152086137285</v>
      </c>
      <c r="L284" s="143"/>
      <c r="M284" s="143">
        <f t="shared" ref="M284:AA284" si="306">M57</f>
        <v>1.3837471783295712</v>
      </c>
      <c r="N284" s="143">
        <f t="shared" si="306"/>
        <v>1.3912800447177194</v>
      </c>
      <c r="O284" s="143">
        <f t="shared" si="306"/>
        <v>1.538848518725545</v>
      </c>
      <c r="P284" s="143">
        <f t="shared" si="306"/>
        <v>1.7012873025160913</v>
      </c>
      <c r="Q284" s="143">
        <f t="shared" si="306"/>
        <v>1.5555216129524974</v>
      </c>
      <c r="R284" s="143">
        <f t="shared" si="306"/>
        <v>1.848696757787667</v>
      </c>
      <c r="S284" s="143">
        <f t="shared" si="306"/>
        <v>2.1241018941868059</v>
      </c>
      <c r="T284" s="143">
        <f t="shared" ca="1" si="306"/>
        <v>2.4700898815221222</v>
      </c>
      <c r="U284" s="143">
        <f t="shared" ca="1" si="306"/>
        <v>2.6883684969570556</v>
      </c>
      <c r="V284" s="143">
        <f t="shared" ca="1" si="306"/>
        <v>2.9144922899304171</v>
      </c>
      <c r="W284" s="143">
        <f t="shared" ca="1" si="306"/>
        <v>3.1531609905490088</v>
      </c>
      <c r="X284" s="143">
        <f t="shared" ca="1" si="306"/>
        <v>3.3840091932604679</v>
      </c>
      <c r="Y284" s="143">
        <f t="shared" ca="1" si="306"/>
        <v>3.6133521962987118</v>
      </c>
      <c r="Z284" s="143">
        <f t="shared" ca="1" si="306"/>
        <v>3.856682134244978</v>
      </c>
      <c r="AA284" s="143">
        <f t="shared" ca="1" si="306"/>
        <v>4.1137759128363767</v>
      </c>
      <c r="AB284" s="276"/>
      <c r="AC284" s="152"/>
      <c r="AD284" s="152"/>
      <c r="AE284" s="152"/>
      <c r="AF284" s="152"/>
      <c r="AG284" s="152"/>
      <c r="AH284" s="152"/>
      <c r="AI284" s="152"/>
      <c r="AJ284" s="152"/>
      <c r="AK284" s="152"/>
      <c r="AL284" s="152"/>
      <c r="AM284" s="152"/>
      <c r="AN284" s="152"/>
      <c r="AO284" s="152"/>
      <c r="AP284" s="152"/>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52"/>
      <c r="BP284" s="152"/>
      <c r="BQ284" s="152"/>
      <c r="BR284" s="152"/>
      <c r="BS284" s="152"/>
      <c r="BT284" s="152"/>
      <c r="BU284" s="152"/>
      <c r="BV284" s="152"/>
      <c r="BW284" s="152"/>
      <c r="BX284" s="152"/>
      <c r="BY284" s="152"/>
      <c r="BZ284" s="152"/>
      <c r="CA284" s="152"/>
      <c r="CB284" s="152"/>
      <c r="CC284" s="152"/>
      <c r="CD284" s="152"/>
      <c r="CE284" s="152"/>
      <c r="CF284" s="152"/>
      <c r="CG284" s="152"/>
      <c r="CH284" s="152"/>
      <c r="CI284" s="152"/>
      <c r="CJ284" s="152"/>
      <c r="CO284" s="50"/>
      <c r="DK284" s="50"/>
      <c r="DL284" s="37"/>
      <c r="DM284" s="37"/>
      <c r="DN284" s="37"/>
      <c r="DO284" s="37"/>
      <c r="DP284" s="37"/>
      <c r="DQ284" s="37"/>
      <c r="DR284" s="37"/>
      <c r="DS284" s="37"/>
      <c r="DT284" s="37"/>
      <c r="DU284" s="37"/>
      <c r="DV284" s="37"/>
      <c r="DW284" s="37"/>
      <c r="DX284" s="37"/>
      <c r="DY284" s="37"/>
      <c r="DZ284" s="37"/>
    </row>
    <row r="285" spans="1:130">
      <c r="A285" s="261"/>
      <c r="B285" s="152"/>
      <c r="C285" s="152"/>
      <c r="D285" s="152"/>
      <c r="E285" s="152"/>
      <c r="F285" s="152"/>
      <c r="G285" s="152"/>
      <c r="H285" s="152"/>
      <c r="I285" s="152"/>
      <c r="J285" s="152"/>
      <c r="K285" s="152"/>
      <c r="L285" s="152"/>
      <c r="M285" s="152"/>
      <c r="N285" s="152"/>
      <c r="O285" s="152"/>
      <c r="P285" s="152"/>
      <c r="Q285" s="152"/>
      <c r="R285" s="152"/>
      <c r="S285" s="152"/>
      <c r="T285" s="152"/>
      <c r="U285" s="152"/>
      <c r="V285" s="152"/>
      <c r="W285" s="152"/>
      <c r="X285" s="152"/>
      <c r="Y285" s="152"/>
      <c r="Z285" s="152"/>
      <c r="AA285" s="152"/>
      <c r="AB285" s="206"/>
      <c r="AC285" s="152"/>
      <c r="AD285" s="152"/>
      <c r="AE285" s="152"/>
      <c r="AF285" s="152"/>
      <c r="AG285" s="152"/>
      <c r="AH285" s="152"/>
      <c r="AI285" s="152"/>
      <c r="AJ285" s="152"/>
      <c r="AK285" s="152"/>
      <c r="AL285" s="152"/>
      <c r="AM285" s="152"/>
      <c r="AN285" s="152"/>
      <c r="AO285" s="152"/>
      <c r="AP285" s="152"/>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52"/>
      <c r="BP285" s="152"/>
      <c r="BQ285" s="152"/>
      <c r="BR285" s="152"/>
      <c r="BS285" s="152"/>
      <c r="BT285" s="152"/>
      <c r="BU285" s="152"/>
      <c r="BV285" s="152"/>
      <c r="BW285" s="152"/>
      <c r="BX285" s="152"/>
      <c r="BY285" s="152"/>
      <c r="BZ285" s="152"/>
      <c r="CA285" s="152"/>
      <c r="CB285" s="152"/>
      <c r="CC285" s="152"/>
      <c r="CD285" s="152"/>
      <c r="CE285" s="152"/>
      <c r="CF285" s="152"/>
      <c r="CG285" s="152"/>
      <c r="CH285" s="152"/>
      <c r="CI285" s="152"/>
      <c r="CJ285" s="152"/>
      <c r="CO285" s="50"/>
      <c r="DK285" s="50"/>
      <c r="DL285" s="37"/>
      <c r="DM285" s="37"/>
      <c r="DN285" s="37"/>
      <c r="DO285" s="37"/>
      <c r="DP285" s="37"/>
      <c r="DQ285" s="37"/>
      <c r="DR285" s="37"/>
      <c r="DS285" s="37"/>
      <c r="DT285" s="37"/>
      <c r="DU285" s="37"/>
      <c r="DV285" s="37"/>
      <c r="DW285" s="37"/>
      <c r="DX285" s="37"/>
      <c r="DY285" s="37"/>
      <c r="DZ285" s="37"/>
    </row>
    <row r="286" spans="1:130">
      <c r="A286" s="35"/>
      <c r="B286" s="42"/>
      <c r="C286" s="42"/>
      <c r="D286" s="42"/>
      <c r="E286" s="42"/>
      <c r="F286" s="42"/>
      <c r="G286" s="42"/>
      <c r="H286" s="42"/>
      <c r="I286" s="42"/>
      <c r="J286" s="42"/>
      <c r="K286" s="42"/>
      <c r="L286" s="42"/>
      <c r="M286" s="42"/>
      <c r="N286" s="42"/>
      <c r="O286" s="42"/>
      <c r="P286" s="42"/>
      <c r="Q286" s="42"/>
      <c r="R286" s="42"/>
      <c r="S286" s="42"/>
      <c r="T286" s="42"/>
      <c r="U286" s="42"/>
      <c r="V286" s="42"/>
      <c r="W286" s="42"/>
      <c r="X286" s="42"/>
      <c r="Y286" s="42"/>
      <c r="Z286" s="42"/>
      <c r="AA286" s="42"/>
      <c r="AB286" s="42"/>
      <c r="AC286" s="42"/>
      <c r="AD286" s="42"/>
      <c r="AE286" s="42"/>
      <c r="AF286" s="42"/>
      <c r="AG286" s="42"/>
      <c r="AH286" s="42"/>
      <c r="AI286" s="42"/>
      <c r="AJ286" s="42"/>
      <c r="AK286" s="42"/>
      <c r="AL286" s="42"/>
      <c r="AM286" s="42"/>
      <c r="AN286" s="42"/>
      <c r="AO286" s="42"/>
      <c r="AP286" s="42"/>
      <c r="AQ286" s="42"/>
      <c r="AR286" s="42"/>
      <c r="AS286" s="42"/>
      <c r="AT286" s="42"/>
      <c r="AU286" s="42"/>
      <c r="AV286" s="42"/>
      <c r="AW286" s="42"/>
      <c r="AX286" s="42"/>
      <c r="AY286" s="42"/>
      <c r="AZ286" s="42"/>
      <c r="BA286" s="42">
        <v>750</v>
      </c>
      <c r="BB286" s="42"/>
      <c r="BC286" s="42"/>
      <c r="BD286" s="42"/>
      <c r="BE286" s="42"/>
      <c r="BF286" s="37"/>
      <c r="BG286" s="37"/>
      <c r="BH286" s="37"/>
      <c r="BI286" s="37"/>
      <c r="BJ286" s="37"/>
      <c r="BK286" s="37"/>
      <c r="BL286" s="37"/>
      <c r="BM286" s="37"/>
      <c r="BN286" s="37"/>
      <c r="BO286" s="37"/>
      <c r="BP286" s="37"/>
      <c r="BQ286" s="37"/>
      <c r="BR286" s="37"/>
      <c r="BS286" s="37"/>
      <c r="BT286" s="37"/>
      <c r="BU286" s="37"/>
      <c r="BV286" s="37"/>
      <c r="BW286" s="37"/>
      <c r="BX286" s="37"/>
      <c r="BY286" s="37"/>
      <c r="BZ286" s="37"/>
      <c r="CA286" s="37"/>
      <c r="CB286" s="37"/>
      <c r="CC286" s="37"/>
      <c r="CD286" s="37"/>
      <c r="CE286" s="37"/>
      <c r="CF286" s="37"/>
      <c r="CG286" s="37"/>
      <c r="CH286" s="37"/>
      <c r="CI286" s="37"/>
      <c r="CJ286" s="37"/>
      <c r="CO286" s="37"/>
      <c r="DK286" s="37"/>
      <c r="DL286" s="37"/>
      <c r="DM286" s="37"/>
      <c r="DN286" s="37"/>
      <c r="DO286" s="37"/>
      <c r="DP286" s="37"/>
      <c r="DQ286" s="37"/>
      <c r="DR286" s="37"/>
      <c r="DS286" s="37"/>
      <c r="DT286" s="37"/>
      <c r="DU286" s="37"/>
      <c r="DV286" s="37"/>
      <c r="DW286" s="37"/>
      <c r="DX286" s="37"/>
      <c r="DY286" s="37"/>
      <c r="DZ286" s="37"/>
    </row>
    <row r="287" spans="1:130">
      <c r="A287" s="277" t="s">
        <v>272</v>
      </c>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c r="AA287" s="35"/>
      <c r="AB287" s="278"/>
      <c r="AC287" s="169"/>
      <c r="AD287" s="169"/>
      <c r="AE287" s="169"/>
      <c r="AF287" s="169"/>
      <c r="AG287" s="169"/>
      <c r="AH287" s="169"/>
      <c r="AI287" s="169"/>
      <c r="AJ287" s="169"/>
      <c r="AK287" s="169"/>
      <c r="AL287" s="169"/>
      <c r="AM287" s="169"/>
      <c r="AN287" s="169"/>
      <c r="AO287" s="169"/>
      <c r="AP287" s="169"/>
      <c r="AQ287" s="169"/>
      <c r="AR287" s="169"/>
      <c r="AS287" s="169"/>
      <c r="AT287" s="169"/>
      <c r="AU287" s="169"/>
      <c r="AV287" s="169"/>
      <c r="AW287" s="169"/>
      <c r="AX287" s="169"/>
      <c r="AY287" s="169"/>
      <c r="AZ287" s="169"/>
      <c r="BA287" s="169">
        <v>0.15</v>
      </c>
      <c r="BB287" s="169">
        <f>BA287*$BA$286</f>
        <v>112.5</v>
      </c>
      <c r="BC287" s="169"/>
      <c r="BD287" s="169"/>
      <c r="BE287" s="169"/>
      <c r="BF287" s="37"/>
      <c r="BG287" s="37"/>
      <c r="BH287" s="37"/>
      <c r="BI287" s="37"/>
      <c r="BJ287" s="37"/>
      <c r="BK287" s="37"/>
      <c r="BL287" s="37"/>
      <c r="BM287" s="37"/>
      <c r="BN287" s="37"/>
      <c r="BO287" s="37"/>
      <c r="BP287" s="37"/>
      <c r="BQ287" s="37"/>
      <c r="BR287" s="37"/>
      <c r="BS287" s="37"/>
      <c r="BT287" s="37"/>
      <c r="BU287" s="37"/>
      <c r="BV287" s="37"/>
      <c r="BW287" s="37"/>
      <c r="BX287" s="37"/>
      <c r="BY287" s="37"/>
      <c r="BZ287" s="37"/>
      <c r="CA287" s="37"/>
      <c r="CB287" s="37"/>
      <c r="CC287" s="37"/>
      <c r="CD287" s="37"/>
      <c r="CE287" s="37"/>
      <c r="CF287" s="37"/>
      <c r="CG287" s="37"/>
      <c r="CH287" s="37"/>
      <c r="CI287" s="37"/>
      <c r="CJ287" s="37"/>
      <c r="CO287" s="37"/>
      <c r="DK287" s="37"/>
      <c r="DL287" s="37"/>
      <c r="DM287" s="37"/>
      <c r="DN287" s="37"/>
      <c r="DO287" s="37"/>
      <c r="DP287" s="37"/>
      <c r="DQ287" s="37"/>
      <c r="DR287" s="37"/>
      <c r="DS287" s="37"/>
      <c r="DT287" s="37"/>
      <c r="DU287" s="37"/>
      <c r="DV287" s="37"/>
      <c r="DW287" s="37"/>
      <c r="DX287" s="37"/>
      <c r="DY287" s="37"/>
      <c r="DZ287" s="37"/>
    </row>
    <row r="288" spans="1:130" ht="12.75" hidden="1" customHeight="1" outlineLevel="1">
      <c r="A288" s="35"/>
      <c r="B288" s="35"/>
      <c r="C288" s="35"/>
      <c r="D288" s="35"/>
      <c r="E288" s="35"/>
      <c r="F288" s="35"/>
      <c r="G288" s="35"/>
      <c r="H288" s="35"/>
      <c r="I288" s="35"/>
      <c r="J288" s="35"/>
      <c r="K288" s="35"/>
      <c r="L288" s="35"/>
      <c r="M288" s="35"/>
      <c r="N288" s="35"/>
      <c r="O288" s="35"/>
      <c r="P288" s="35"/>
      <c r="Q288" s="35"/>
      <c r="R288" s="35"/>
      <c r="S288" s="35"/>
      <c r="T288" s="35"/>
      <c r="U288" s="35"/>
      <c r="V288" s="35"/>
      <c r="W288" s="35"/>
      <c r="X288" s="35"/>
      <c r="Y288" s="35"/>
      <c r="Z288" s="35"/>
      <c r="AA288" s="35"/>
      <c r="AB288" s="42"/>
      <c r="AC288" s="169"/>
      <c r="AD288" s="169"/>
      <c r="AE288" s="169"/>
      <c r="AF288" s="169"/>
      <c r="AG288" s="169"/>
      <c r="AH288" s="169"/>
      <c r="AI288" s="169"/>
      <c r="AJ288" s="169"/>
      <c r="AK288" s="169"/>
      <c r="AL288" s="169"/>
      <c r="AM288" s="169"/>
      <c r="AN288" s="169"/>
      <c r="AO288" s="169"/>
      <c r="AP288" s="169"/>
      <c r="AQ288" s="169"/>
      <c r="AR288" s="169"/>
      <c r="AS288" s="169"/>
      <c r="AT288" s="169"/>
      <c r="AU288" s="169"/>
      <c r="AV288" s="169"/>
      <c r="AW288" s="169"/>
      <c r="AX288" s="169"/>
      <c r="AY288" s="169"/>
      <c r="AZ288" s="169"/>
      <c r="BA288" s="169"/>
      <c r="BB288" s="169"/>
      <c r="BC288" s="169"/>
      <c r="BD288" s="169"/>
      <c r="BE288" s="169"/>
      <c r="BF288" s="37"/>
      <c r="BG288" s="37"/>
      <c r="BH288" s="37"/>
      <c r="BI288" s="37"/>
      <c r="BJ288" s="37"/>
      <c r="BK288" s="37"/>
      <c r="BL288" s="37"/>
      <c r="BM288" s="37"/>
      <c r="BN288" s="37"/>
      <c r="BO288" s="37"/>
      <c r="BP288" s="37"/>
      <c r="BQ288" s="37"/>
      <c r="BR288" s="37"/>
      <c r="BS288" s="37"/>
      <c r="BT288" s="37"/>
      <c r="BU288" s="37"/>
      <c r="BV288" s="37"/>
      <c r="BW288" s="37"/>
      <c r="BX288" s="37"/>
      <c r="BY288" s="37"/>
      <c r="BZ288" s="37"/>
      <c r="CA288" s="37"/>
      <c r="CB288" s="37"/>
      <c r="CC288" s="37"/>
      <c r="CD288" s="37"/>
      <c r="CE288" s="37"/>
      <c r="CF288" s="37"/>
      <c r="CG288" s="37"/>
      <c r="CH288" s="37"/>
      <c r="CI288" s="37"/>
      <c r="CJ288" s="37"/>
      <c r="CO288" s="37"/>
      <c r="DK288" s="37"/>
      <c r="DL288" s="37"/>
      <c r="DM288" s="37"/>
      <c r="DN288" s="37"/>
      <c r="DO288" s="37"/>
      <c r="DP288" s="37"/>
      <c r="DQ288" s="37"/>
      <c r="DR288" s="37"/>
      <c r="DS288" s="37"/>
      <c r="DT288" s="37"/>
      <c r="DU288" s="37"/>
      <c r="DV288" s="37"/>
      <c r="DW288" s="37"/>
      <c r="DX288" s="37"/>
      <c r="DY288" s="37"/>
      <c r="DZ288" s="37"/>
    </row>
    <row r="289" spans="1:130" ht="12.75" hidden="1" customHeight="1" outlineLevel="1">
      <c r="A289" s="279" t="s">
        <v>273</v>
      </c>
      <c r="B289" s="280">
        <f t="shared" ref="B289:M289" si="307">+B6</f>
        <v>0</v>
      </c>
      <c r="C289" s="280">
        <f t="shared" si="307"/>
        <v>0</v>
      </c>
      <c r="D289" s="280">
        <f t="shared" si="307"/>
        <v>0</v>
      </c>
      <c r="E289" s="280">
        <f t="shared" si="307"/>
        <v>0</v>
      </c>
      <c r="F289" s="280">
        <f t="shared" si="307"/>
        <v>0</v>
      </c>
      <c r="G289" s="280">
        <f t="shared" si="307"/>
        <v>0</v>
      </c>
      <c r="H289" s="280">
        <f t="shared" si="307"/>
        <v>0</v>
      </c>
      <c r="I289" s="280">
        <f t="shared" si="307"/>
        <v>0</v>
      </c>
      <c r="J289" s="280">
        <f t="shared" si="307"/>
        <v>0</v>
      </c>
      <c r="K289" s="280">
        <f t="shared" si="307"/>
        <v>0</v>
      </c>
      <c r="L289" s="280">
        <f t="shared" si="307"/>
        <v>0</v>
      </c>
      <c r="M289" s="280">
        <f t="shared" si="307"/>
        <v>0</v>
      </c>
      <c r="N289" s="280" t="e">
        <f>+#REF!</f>
        <v>#REF!</v>
      </c>
      <c r="O289" s="280" t="e">
        <f>+#REF!</f>
        <v>#REF!</v>
      </c>
      <c r="P289" s="280" t="e">
        <f>+#REF!</f>
        <v>#REF!</v>
      </c>
      <c r="Q289" s="280">
        <f>+CI6</f>
        <v>0</v>
      </c>
      <c r="R289" s="280">
        <f>+CJ6</f>
        <v>0</v>
      </c>
      <c r="S289" s="280">
        <f>+CK6</f>
        <v>0</v>
      </c>
      <c r="T289" s="280">
        <f>+CL6</f>
        <v>0</v>
      </c>
      <c r="U289" s="280">
        <f t="shared" ref="U289:AA290" si="308">+U6</f>
        <v>0</v>
      </c>
      <c r="V289" s="280">
        <f t="shared" si="308"/>
        <v>0</v>
      </c>
      <c r="W289" s="280">
        <f t="shared" si="308"/>
        <v>0</v>
      </c>
      <c r="X289" s="280">
        <f t="shared" si="308"/>
        <v>0</v>
      </c>
      <c r="Y289" s="280">
        <f t="shared" si="308"/>
        <v>0</v>
      </c>
      <c r="Z289" s="280">
        <f t="shared" si="308"/>
        <v>0</v>
      </c>
      <c r="AA289" s="280">
        <f t="shared" si="308"/>
        <v>0</v>
      </c>
      <c r="AB289" s="231"/>
      <c r="AC289" s="169">
        <f t="shared" ref="AC289:AV289" si="309">+AC6</f>
        <v>0</v>
      </c>
      <c r="AD289" s="169">
        <f t="shared" si="309"/>
        <v>0</v>
      </c>
      <c r="AE289" s="169">
        <f t="shared" si="309"/>
        <v>0</v>
      </c>
      <c r="AF289" s="169">
        <f t="shared" si="309"/>
        <v>0</v>
      </c>
      <c r="AG289" s="169">
        <f t="shared" si="309"/>
        <v>0</v>
      </c>
      <c r="AH289" s="169">
        <f t="shared" si="309"/>
        <v>0</v>
      </c>
      <c r="AI289" s="169">
        <f t="shared" si="309"/>
        <v>0</v>
      </c>
      <c r="AJ289" s="169">
        <f t="shared" si="309"/>
        <v>0</v>
      </c>
      <c r="AK289" s="169">
        <f t="shared" si="309"/>
        <v>0</v>
      </c>
      <c r="AL289" s="169">
        <f t="shared" si="309"/>
        <v>0</v>
      </c>
      <c r="AM289" s="169">
        <f t="shared" si="309"/>
        <v>0</v>
      </c>
      <c r="AN289" s="169">
        <f t="shared" si="309"/>
        <v>0</v>
      </c>
      <c r="AO289" s="169">
        <f t="shared" si="309"/>
        <v>0</v>
      </c>
      <c r="AP289" s="169">
        <f t="shared" si="309"/>
        <v>0</v>
      </c>
      <c r="AQ289" s="169">
        <f t="shared" si="309"/>
        <v>0</v>
      </c>
      <c r="AR289" s="169">
        <f t="shared" si="309"/>
        <v>0</v>
      </c>
      <c r="AS289" s="169">
        <f t="shared" si="309"/>
        <v>0</v>
      </c>
      <c r="AT289" s="169">
        <f t="shared" si="309"/>
        <v>0</v>
      </c>
      <c r="AU289" s="169">
        <f t="shared" si="309"/>
        <v>0</v>
      </c>
      <c r="AV289" s="169">
        <f t="shared" si="309"/>
        <v>0</v>
      </c>
      <c r="AW289" s="169"/>
      <c r="AX289" s="169"/>
      <c r="AY289" s="169"/>
      <c r="AZ289" s="169"/>
      <c r="BA289" s="169"/>
      <c r="BB289" s="169"/>
      <c r="BC289" s="169"/>
      <c r="BD289" s="169"/>
      <c r="BE289" s="169"/>
      <c r="BF289" s="77"/>
      <c r="BG289" s="77"/>
      <c r="BH289" s="77"/>
      <c r="BI289" s="77"/>
      <c r="BJ289" s="77"/>
      <c r="BK289" s="77"/>
      <c r="BL289" s="77"/>
      <c r="BM289" s="77"/>
      <c r="BN289" s="77"/>
      <c r="BO289" s="77"/>
      <c r="BP289" s="77"/>
      <c r="BQ289" s="77"/>
      <c r="BR289" s="77"/>
      <c r="BS289" s="77"/>
      <c r="BT289" s="77"/>
      <c r="BU289" s="77"/>
      <c r="BV289" s="77"/>
      <c r="BW289" s="77"/>
      <c r="BX289" s="77"/>
      <c r="BY289" s="77"/>
      <c r="BZ289" s="77"/>
      <c r="CA289" s="77"/>
      <c r="CB289" s="77"/>
      <c r="CC289" s="77"/>
      <c r="CD289" s="77"/>
      <c r="CE289" s="77"/>
      <c r="CF289" s="77"/>
      <c r="CG289" s="77"/>
      <c r="CH289" s="77"/>
      <c r="CI289" s="77"/>
      <c r="CJ289" s="77"/>
      <c r="CO289" s="37"/>
      <c r="DK289" s="281"/>
      <c r="DL289" s="37"/>
      <c r="DM289" s="37"/>
      <c r="DN289" s="37"/>
      <c r="DO289" s="37"/>
      <c r="DP289" s="37"/>
      <c r="DQ289" s="37"/>
      <c r="DR289" s="37"/>
      <c r="DS289" s="37"/>
      <c r="DT289" s="37"/>
      <c r="DU289" s="37"/>
      <c r="DV289" s="37"/>
      <c r="DW289" s="37"/>
      <c r="DX289" s="37"/>
      <c r="DY289" s="37"/>
      <c r="DZ289" s="37"/>
    </row>
    <row r="290" spans="1:130" ht="12.75" hidden="1" customHeight="1" outlineLevel="1">
      <c r="A290" s="282"/>
      <c r="B290" s="283">
        <f t="shared" ref="B290:M290" si="310">+B7</f>
        <v>36891</v>
      </c>
      <c r="C290" s="283">
        <f t="shared" si="310"/>
        <v>37256</v>
      </c>
      <c r="D290" s="283">
        <f t="shared" si="310"/>
        <v>37621</v>
      </c>
      <c r="E290" s="283">
        <f t="shared" si="310"/>
        <v>37986</v>
      </c>
      <c r="F290" s="283">
        <f t="shared" si="310"/>
        <v>38352</v>
      </c>
      <c r="G290" s="283">
        <f t="shared" si="310"/>
        <v>38717</v>
      </c>
      <c r="H290" s="283">
        <f t="shared" si="310"/>
        <v>39082</v>
      </c>
      <c r="I290" s="283">
        <f t="shared" si="310"/>
        <v>39447</v>
      </c>
      <c r="J290" s="283">
        <f t="shared" si="310"/>
        <v>39813</v>
      </c>
      <c r="K290" s="283">
        <f t="shared" si="310"/>
        <v>40178</v>
      </c>
      <c r="L290" s="283">
        <f t="shared" si="310"/>
        <v>40543</v>
      </c>
      <c r="M290" s="283">
        <f t="shared" si="310"/>
        <v>40908</v>
      </c>
      <c r="N290" s="283" t="str">
        <f t="shared" ref="N290:T290" si="311">+N7</f>
        <v>12/31/2012e</v>
      </c>
      <c r="O290" s="283" t="str">
        <f t="shared" si="311"/>
        <v>12/31/2013e</v>
      </c>
      <c r="P290" s="283" t="str">
        <f t="shared" si="311"/>
        <v>12/31/2014e</v>
      </c>
      <c r="Q290" s="283" t="str">
        <f t="shared" si="311"/>
        <v>12/31/2015e</v>
      </c>
      <c r="R290" s="283" t="str">
        <f t="shared" si="311"/>
        <v>12/31/2016e</v>
      </c>
      <c r="S290" s="283" t="str">
        <f t="shared" si="311"/>
        <v>12/31/2017e</v>
      </c>
      <c r="T290" s="283" t="str">
        <f t="shared" si="311"/>
        <v>12/31/2018e</v>
      </c>
      <c r="U290" s="283" t="str">
        <f t="shared" si="308"/>
        <v>12/31/2019e</v>
      </c>
      <c r="V290" s="283" t="str">
        <f t="shared" si="308"/>
        <v>12/31/2020e</v>
      </c>
      <c r="W290" s="283" t="str">
        <f t="shared" si="308"/>
        <v>12/31/2020e</v>
      </c>
      <c r="X290" s="283" t="str">
        <f t="shared" si="308"/>
        <v>12/31/2020e</v>
      </c>
      <c r="Y290" s="283" t="str">
        <f t="shared" si="308"/>
        <v>12/31/2020e</v>
      </c>
      <c r="Z290" s="283" t="str">
        <f t="shared" si="308"/>
        <v>12/31/2020e</v>
      </c>
      <c r="AA290" s="283" t="str">
        <f t="shared" si="308"/>
        <v>12/31/2020e</v>
      </c>
      <c r="AB290" s="284"/>
      <c r="AC290" s="169">
        <f t="shared" ref="AC290:AV290" si="312">+AC7</f>
        <v>38077</v>
      </c>
      <c r="AD290" s="169">
        <f t="shared" si="312"/>
        <v>38168</v>
      </c>
      <c r="AE290" s="169">
        <f t="shared" si="312"/>
        <v>38260</v>
      </c>
      <c r="AF290" s="169">
        <f t="shared" si="312"/>
        <v>38352</v>
      </c>
      <c r="AG290" s="169">
        <f t="shared" si="312"/>
        <v>38442</v>
      </c>
      <c r="AH290" s="169">
        <f t="shared" si="312"/>
        <v>38533</v>
      </c>
      <c r="AI290" s="169">
        <f t="shared" si="312"/>
        <v>38625</v>
      </c>
      <c r="AJ290" s="169">
        <f t="shared" si="312"/>
        <v>38717</v>
      </c>
      <c r="AK290" s="169">
        <f t="shared" si="312"/>
        <v>38807</v>
      </c>
      <c r="AL290" s="169">
        <f t="shared" si="312"/>
        <v>38898</v>
      </c>
      <c r="AM290" s="169">
        <f t="shared" si="312"/>
        <v>38990</v>
      </c>
      <c r="AN290" s="169">
        <f t="shared" si="312"/>
        <v>39082</v>
      </c>
      <c r="AO290" s="169">
        <f t="shared" si="312"/>
        <v>39172</v>
      </c>
      <c r="AP290" s="169">
        <f t="shared" si="312"/>
        <v>39263</v>
      </c>
      <c r="AQ290" s="169">
        <f t="shared" si="312"/>
        <v>39355</v>
      </c>
      <c r="AR290" s="169">
        <f t="shared" si="312"/>
        <v>39447</v>
      </c>
      <c r="AS290" s="169">
        <f t="shared" si="312"/>
        <v>39538</v>
      </c>
      <c r="AT290" s="169" t="str">
        <f t="shared" si="312"/>
        <v>6/30/2008e</v>
      </c>
      <c r="AU290" s="169" t="str">
        <f t="shared" si="312"/>
        <v>9/30/2008e</v>
      </c>
      <c r="AV290" s="169" t="str">
        <f t="shared" si="312"/>
        <v>12/31/2008e</v>
      </c>
      <c r="AW290" s="169"/>
      <c r="AX290" s="169"/>
      <c r="AY290" s="169"/>
      <c r="AZ290" s="169"/>
      <c r="BA290" s="169"/>
      <c r="BB290" s="169"/>
      <c r="BC290" s="169"/>
      <c r="BD290" s="169"/>
      <c r="BE290" s="169"/>
      <c r="BF290" s="37"/>
      <c r="BG290" s="37"/>
      <c r="BH290" s="37"/>
      <c r="BI290" s="37"/>
      <c r="BJ290" s="37"/>
      <c r="BK290" s="37"/>
      <c r="BL290" s="37"/>
      <c r="BM290" s="37"/>
      <c r="BN290" s="37"/>
      <c r="BO290" s="37"/>
      <c r="BP290" s="37"/>
      <c r="BQ290" s="37"/>
      <c r="BR290" s="37"/>
      <c r="BS290" s="37"/>
      <c r="BT290" s="37"/>
      <c r="BU290" s="37"/>
      <c r="BV290" s="37"/>
      <c r="BW290" s="37"/>
      <c r="BX290" s="37"/>
      <c r="BY290" s="37"/>
      <c r="BZ290" s="37"/>
      <c r="CA290" s="37"/>
      <c r="CB290" s="37"/>
      <c r="CC290" s="37"/>
      <c r="CD290" s="37"/>
      <c r="CE290" s="37"/>
      <c r="CF290" s="37"/>
      <c r="CG290" s="37"/>
      <c r="CH290" s="37"/>
      <c r="CI290" s="37"/>
      <c r="CJ290" s="37"/>
      <c r="CO290" s="77"/>
      <c r="DK290" s="78"/>
      <c r="DL290" s="77"/>
      <c r="DM290" s="77"/>
      <c r="DN290" s="77"/>
      <c r="DO290" s="77"/>
      <c r="DP290" s="77"/>
      <c r="DQ290" s="77"/>
      <c r="DR290" s="77"/>
      <c r="DS290" s="77"/>
      <c r="DT290" s="77"/>
      <c r="DU290" s="77"/>
      <c r="DV290" s="77"/>
      <c r="DW290" s="77"/>
      <c r="DX290" s="77"/>
      <c r="DY290" s="77"/>
      <c r="DZ290" s="77"/>
    </row>
    <row r="291" spans="1:130" ht="12.75" hidden="1" customHeight="1" outlineLevel="1">
      <c r="A291" s="285" t="s">
        <v>274</v>
      </c>
      <c r="B291" s="286"/>
      <c r="C291" s="286"/>
      <c r="D291" s="286"/>
      <c r="E291" s="286"/>
      <c r="F291" s="286"/>
      <c r="G291" s="286"/>
      <c r="H291" s="286"/>
      <c r="I291" s="286"/>
      <c r="J291" s="286"/>
      <c r="K291" s="286"/>
      <c r="L291" s="286"/>
      <c r="M291" s="286"/>
      <c r="N291" s="286"/>
      <c r="O291" s="286"/>
      <c r="P291" s="286"/>
      <c r="Q291" s="286"/>
      <c r="R291" s="286"/>
      <c r="S291" s="286"/>
      <c r="T291" s="286"/>
      <c r="U291" s="286"/>
      <c r="V291" s="286"/>
      <c r="W291" s="286"/>
      <c r="X291" s="286"/>
      <c r="Y291" s="286"/>
      <c r="Z291" s="286"/>
      <c r="AA291" s="286"/>
      <c r="AB291" s="287"/>
      <c r="AC291" s="169"/>
      <c r="AD291" s="169"/>
      <c r="AE291" s="169"/>
      <c r="AF291" s="169"/>
      <c r="AG291" s="169"/>
      <c r="AH291" s="169"/>
      <c r="AI291" s="169"/>
      <c r="AJ291" s="169"/>
      <c r="AK291" s="169"/>
      <c r="AL291" s="169"/>
      <c r="AM291" s="169"/>
      <c r="AN291" s="169"/>
      <c r="AO291" s="169"/>
      <c r="AP291" s="169"/>
      <c r="AQ291" s="169"/>
      <c r="AR291" s="169"/>
      <c r="AS291" s="169"/>
      <c r="AT291" s="169"/>
      <c r="AU291" s="169"/>
      <c r="AV291" s="169"/>
      <c r="AW291" s="169"/>
      <c r="AX291" s="169"/>
      <c r="AY291" s="169"/>
      <c r="AZ291" s="169"/>
      <c r="BA291" s="169"/>
      <c r="BB291" s="169"/>
      <c r="BC291" s="169"/>
      <c r="BD291" s="169"/>
      <c r="BE291" s="169"/>
      <c r="BF291" s="37"/>
      <c r="BG291" s="37"/>
      <c r="BH291" s="37"/>
      <c r="BI291" s="37"/>
      <c r="BJ291" s="37"/>
      <c r="BK291" s="37"/>
      <c r="BL291" s="37"/>
      <c r="BM291" s="37"/>
      <c r="BN291" s="37"/>
      <c r="BO291" s="37"/>
      <c r="BP291" s="37"/>
      <c r="BQ291" s="37"/>
      <c r="BR291" s="37"/>
      <c r="BS291" s="37"/>
      <c r="BT291" s="37"/>
      <c r="BU291" s="37"/>
      <c r="BV291" s="37"/>
      <c r="BW291" s="37"/>
      <c r="BX291" s="37"/>
      <c r="BY291" s="37"/>
      <c r="BZ291" s="37"/>
      <c r="CA291" s="37"/>
      <c r="CB291" s="37"/>
      <c r="CC291" s="37"/>
      <c r="CD291" s="37"/>
      <c r="CE291" s="37"/>
      <c r="CF291" s="37"/>
      <c r="CG291" s="37"/>
      <c r="CH291" s="37"/>
      <c r="CI291" s="37"/>
      <c r="CJ291" s="37"/>
      <c r="CO291" s="37"/>
      <c r="DK291" s="211"/>
      <c r="DL291" s="37"/>
      <c r="DM291" s="37"/>
      <c r="DN291" s="37"/>
      <c r="DO291" s="37"/>
      <c r="DP291" s="37"/>
      <c r="DQ291" s="37"/>
      <c r="DR291" s="37"/>
      <c r="DS291" s="37"/>
      <c r="DT291" s="37"/>
      <c r="DU291" s="37"/>
      <c r="DV291" s="37"/>
      <c r="DW291" s="37"/>
      <c r="DX291" s="37"/>
      <c r="DY291" s="37"/>
      <c r="DZ291" s="37"/>
    </row>
    <row r="292" spans="1:130" ht="12.75" hidden="1" customHeight="1" outlineLevel="1">
      <c r="A292" s="288" t="s">
        <v>275</v>
      </c>
      <c r="B292" s="289" t="e">
        <f>+#REF!</f>
        <v>#REF!</v>
      </c>
      <c r="C292" s="289" t="e">
        <f>+#REF!</f>
        <v>#REF!</v>
      </c>
      <c r="D292" s="289" t="e">
        <f>+#REF!</f>
        <v>#REF!</v>
      </c>
      <c r="E292" s="289" t="e">
        <f>+IS!#REF!</f>
        <v>#REF!</v>
      </c>
      <c r="F292" s="289" t="e">
        <f>+IS!#REF!</f>
        <v>#REF!</v>
      </c>
      <c r="G292" s="289" t="e">
        <f>+IS!#REF!</f>
        <v>#REF!</v>
      </c>
      <c r="H292" s="289" t="e">
        <f>+IS!#REF!</f>
        <v>#REF!</v>
      </c>
      <c r="I292" s="289" t="e">
        <f>+IS!#REF!</f>
        <v>#REF!</v>
      </c>
      <c r="J292" s="289" t="e">
        <f>+IS!#REF!</f>
        <v>#REF!</v>
      </c>
      <c r="K292" s="289" t="e">
        <f>+IS!#REF!</f>
        <v>#REF!</v>
      </c>
      <c r="L292" s="289"/>
      <c r="M292" s="289"/>
      <c r="N292" s="289"/>
      <c r="O292" s="289"/>
      <c r="P292" s="289"/>
      <c r="Q292" s="289"/>
      <c r="R292" s="289"/>
      <c r="S292" s="289" t="e">
        <f>+IS!#REF!</f>
        <v>#REF!</v>
      </c>
      <c r="T292" s="289" t="e">
        <f>+IS!#REF!</f>
        <v>#REF!</v>
      </c>
      <c r="U292" s="289" t="e">
        <f>+IS!#REF!</f>
        <v>#REF!</v>
      </c>
      <c r="V292" s="289" t="e">
        <f>+IS!#REF!</f>
        <v>#REF!</v>
      </c>
      <c r="W292" s="289" t="e">
        <f>+IS!#REF!</f>
        <v>#REF!</v>
      </c>
      <c r="X292" s="289" t="e">
        <f>+IS!#REF!</f>
        <v>#REF!</v>
      </c>
      <c r="Y292" s="289" t="e">
        <f>+IS!#REF!</f>
        <v>#REF!</v>
      </c>
      <c r="Z292" s="289" t="e">
        <f>+IS!#REF!</f>
        <v>#REF!</v>
      </c>
      <c r="AA292" s="289" t="e">
        <f>+IS!#REF!</f>
        <v>#REF!</v>
      </c>
      <c r="AB292" s="37"/>
      <c r="AC292" s="169"/>
      <c r="AD292" s="169"/>
      <c r="AE292" s="169"/>
      <c r="AF292" s="169"/>
      <c r="AG292" s="169"/>
      <c r="AH292" s="169"/>
      <c r="AI292" s="169"/>
      <c r="AJ292" s="169"/>
      <c r="AK292" s="169"/>
      <c r="AL292" s="169"/>
      <c r="AM292" s="169"/>
      <c r="AN292" s="169"/>
      <c r="AO292" s="169"/>
      <c r="AP292" s="169"/>
      <c r="AQ292" s="169"/>
      <c r="AR292" s="169"/>
      <c r="AS292" s="169"/>
      <c r="AT292" s="169"/>
      <c r="AU292" s="169"/>
      <c r="AV292" s="169"/>
      <c r="AW292" s="169"/>
      <c r="AX292" s="169"/>
      <c r="AY292" s="169"/>
      <c r="AZ292" s="169"/>
      <c r="BA292" s="169"/>
      <c r="BB292" s="169"/>
      <c r="BC292" s="169"/>
      <c r="BD292" s="169"/>
      <c r="BE292" s="169"/>
      <c r="BF292" s="37"/>
      <c r="BG292" s="37"/>
      <c r="BH292" s="37"/>
      <c r="BI292" s="37"/>
      <c r="BJ292" s="37"/>
      <c r="BK292" s="37"/>
      <c r="BL292" s="37"/>
      <c r="BM292" s="37"/>
      <c r="BN292" s="37"/>
      <c r="BO292" s="37"/>
      <c r="BP292" s="37"/>
      <c r="BQ292" s="37"/>
      <c r="BR292" s="37"/>
      <c r="BS292" s="37"/>
      <c r="BT292" s="37"/>
      <c r="BU292" s="37"/>
      <c r="BV292" s="37"/>
      <c r="BW292" s="37"/>
      <c r="BX292" s="37"/>
      <c r="BY292" s="37"/>
      <c r="BZ292" s="37"/>
      <c r="CA292" s="37"/>
      <c r="CB292" s="37"/>
      <c r="CC292" s="37"/>
      <c r="CD292" s="37"/>
      <c r="CE292" s="37"/>
      <c r="CF292" s="37"/>
      <c r="CG292" s="37"/>
      <c r="CH292" s="37"/>
      <c r="CI292" s="37"/>
      <c r="CJ292" s="37"/>
      <c r="CO292" s="37"/>
      <c r="DK292" s="43"/>
      <c r="DL292" s="37"/>
      <c r="DM292" s="37"/>
      <c r="DN292" s="37"/>
      <c r="DO292" s="37"/>
      <c r="DP292" s="37"/>
      <c r="DQ292" s="37"/>
      <c r="DR292" s="37"/>
      <c r="DS292" s="37"/>
      <c r="DT292" s="37"/>
      <c r="DU292" s="37"/>
      <c r="DV292" s="37"/>
      <c r="DW292" s="37"/>
      <c r="DX292" s="37"/>
      <c r="DY292" s="37"/>
      <c r="DZ292" s="37"/>
    </row>
    <row r="293" spans="1:130" ht="15" hidden="1" customHeight="1" outlineLevel="1">
      <c r="A293" s="288" t="s">
        <v>276</v>
      </c>
      <c r="B293" s="289" t="e">
        <f>+#REF!</f>
        <v>#REF!</v>
      </c>
      <c r="C293" s="289" t="e">
        <f>+#REF!</f>
        <v>#REF!</v>
      </c>
      <c r="D293" s="289" t="e">
        <f>+#REF!</f>
        <v>#REF!</v>
      </c>
      <c r="E293" s="289" t="e">
        <f>+IS!#REF!</f>
        <v>#REF!</v>
      </c>
      <c r="F293" s="289" t="e">
        <f>+IS!#REF!</f>
        <v>#REF!</v>
      </c>
      <c r="G293" s="289" t="e">
        <f>+IS!#REF!</f>
        <v>#REF!</v>
      </c>
      <c r="H293" s="289" t="e">
        <f>+IS!#REF!</f>
        <v>#REF!</v>
      </c>
      <c r="I293" s="289" t="e">
        <f>+IS!#REF!</f>
        <v>#REF!</v>
      </c>
      <c r="J293" s="289" t="e">
        <f>+IS!#REF!</f>
        <v>#REF!</v>
      </c>
      <c r="K293" s="289" t="e">
        <f>+IS!#REF!</f>
        <v>#REF!</v>
      </c>
      <c r="L293" s="289"/>
      <c r="M293" s="289"/>
      <c r="N293" s="289"/>
      <c r="O293" s="289"/>
      <c r="P293" s="289"/>
      <c r="Q293" s="289"/>
      <c r="R293" s="289"/>
      <c r="S293" s="289" t="e">
        <f>+IS!#REF!</f>
        <v>#REF!</v>
      </c>
      <c r="T293" s="289" t="e">
        <f>+IS!#REF!</f>
        <v>#REF!</v>
      </c>
      <c r="U293" s="289" t="e">
        <f>+IS!#REF!</f>
        <v>#REF!</v>
      </c>
      <c r="V293" s="289" t="e">
        <f>+IS!#REF!</f>
        <v>#REF!</v>
      </c>
      <c r="W293" s="289" t="e">
        <f>+IS!#REF!</f>
        <v>#REF!</v>
      </c>
      <c r="X293" s="289" t="e">
        <f>+IS!#REF!</f>
        <v>#REF!</v>
      </c>
      <c r="Y293" s="289" t="e">
        <f>+IS!#REF!</f>
        <v>#REF!</v>
      </c>
      <c r="Z293" s="289" t="e">
        <f>+IS!#REF!</f>
        <v>#REF!</v>
      </c>
      <c r="AA293" s="289" t="e">
        <f>+IS!#REF!</f>
        <v>#REF!</v>
      </c>
      <c r="AB293" s="37"/>
      <c r="AC293" s="169"/>
      <c r="AD293" s="169"/>
      <c r="AE293" s="169"/>
      <c r="AF293" s="169"/>
      <c r="AG293" s="169"/>
      <c r="AH293" s="169"/>
      <c r="AI293" s="169"/>
      <c r="AJ293" s="169"/>
      <c r="AK293" s="169"/>
      <c r="AL293" s="169"/>
      <c r="AM293" s="169"/>
      <c r="AN293" s="169"/>
      <c r="AO293" s="169"/>
      <c r="AP293" s="169"/>
      <c r="AQ293" s="169"/>
      <c r="AR293" s="169"/>
      <c r="AS293" s="169"/>
      <c r="AT293" s="169"/>
      <c r="AU293" s="169"/>
      <c r="AV293" s="169"/>
      <c r="AW293" s="169"/>
      <c r="AX293" s="169"/>
      <c r="AY293" s="169"/>
      <c r="AZ293" s="169"/>
      <c r="BA293" s="169"/>
      <c r="BB293" s="169"/>
      <c r="BC293" s="169"/>
      <c r="BD293" s="169"/>
      <c r="BE293" s="169"/>
      <c r="BF293" s="37"/>
      <c r="BG293" s="37"/>
      <c r="BH293" s="37"/>
      <c r="BI293" s="37"/>
      <c r="BJ293" s="37"/>
      <c r="BK293" s="37"/>
      <c r="BL293" s="37"/>
      <c r="BM293" s="37"/>
      <c r="BN293" s="37"/>
      <c r="BO293" s="37"/>
      <c r="BP293" s="37"/>
      <c r="BQ293" s="37"/>
      <c r="BR293" s="37"/>
      <c r="BS293" s="37"/>
      <c r="BT293" s="37"/>
      <c r="BU293" s="37"/>
      <c r="BV293" s="37"/>
      <c r="BW293" s="37"/>
      <c r="BX293" s="37"/>
      <c r="BY293" s="37"/>
      <c r="BZ293" s="37"/>
      <c r="CA293" s="37"/>
      <c r="CB293" s="37"/>
      <c r="CC293" s="37"/>
      <c r="CD293" s="37"/>
      <c r="CE293" s="37"/>
      <c r="CF293" s="37"/>
      <c r="CG293" s="37"/>
      <c r="CH293" s="37"/>
      <c r="CI293" s="37"/>
      <c r="CJ293" s="37"/>
      <c r="CO293" s="37"/>
      <c r="DK293" s="43"/>
      <c r="DL293" s="37"/>
      <c r="DM293" s="37"/>
      <c r="DN293" s="37"/>
      <c r="DO293" s="37"/>
      <c r="DP293" s="37"/>
      <c r="DQ293" s="37"/>
      <c r="DR293" s="37"/>
      <c r="DS293" s="37"/>
      <c r="DT293" s="37"/>
      <c r="DU293" s="37"/>
      <c r="DV293" s="37"/>
      <c r="DW293" s="37"/>
      <c r="DX293" s="37"/>
      <c r="DY293" s="37"/>
      <c r="DZ293" s="37"/>
    </row>
    <row r="294" spans="1:130" ht="12.75" hidden="1" customHeight="1" outlineLevel="1">
      <c r="A294" s="288" t="s">
        <v>277</v>
      </c>
      <c r="B294" s="289" t="e">
        <f>+#REF!</f>
        <v>#REF!</v>
      </c>
      <c r="C294" s="289" t="e">
        <f>+#REF!</f>
        <v>#REF!</v>
      </c>
      <c r="D294" s="289" t="e">
        <f>+#REF!</f>
        <v>#REF!</v>
      </c>
      <c r="E294" s="289" t="e">
        <f>+IS!#REF!</f>
        <v>#REF!</v>
      </c>
      <c r="F294" s="289" t="e">
        <f>+IS!#REF!</f>
        <v>#REF!</v>
      </c>
      <c r="G294" s="289" t="e">
        <f>+IS!#REF!</f>
        <v>#REF!</v>
      </c>
      <c r="H294" s="289" t="e">
        <f>+IS!#REF!</f>
        <v>#REF!</v>
      </c>
      <c r="I294" s="289" t="e">
        <f>+IS!#REF!</f>
        <v>#REF!</v>
      </c>
      <c r="J294" s="289" t="e">
        <f>+IS!#REF!</f>
        <v>#REF!</v>
      </c>
      <c r="K294" s="289" t="e">
        <f>+IS!#REF!</f>
        <v>#REF!</v>
      </c>
      <c r="L294" s="289"/>
      <c r="M294" s="289"/>
      <c r="N294" s="289"/>
      <c r="O294" s="289"/>
      <c r="P294" s="289"/>
      <c r="Q294" s="289"/>
      <c r="R294" s="289"/>
      <c r="S294" s="289" t="e">
        <f>+IS!#REF!</f>
        <v>#REF!</v>
      </c>
      <c r="T294" s="289" t="e">
        <f>+IS!#REF!</f>
        <v>#REF!</v>
      </c>
      <c r="U294" s="289" t="e">
        <f>+IS!#REF!</f>
        <v>#REF!</v>
      </c>
      <c r="V294" s="289" t="e">
        <f>+IS!#REF!</f>
        <v>#REF!</v>
      </c>
      <c r="W294" s="289" t="e">
        <f>+IS!#REF!</f>
        <v>#REF!</v>
      </c>
      <c r="X294" s="289" t="e">
        <f>+IS!#REF!</f>
        <v>#REF!</v>
      </c>
      <c r="Y294" s="289" t="e">
        <f>+IS!#REF!</f>
        <v>#REF!</v>
      </c>
      <c r="Z294" s="289" t="e">
        <f>+IS!#REF!</f>
        <v>#REF!</v>
      </c>
      <c r="AA294" s="289" t="e">
        <f>+IS!#REF!</f>
        <v>#REF!</v>
      </c>
      <c r="AB294" s="37"/>
      <c r="AC294" s="169"/>
      <c r="AD294" s="169"/>
      <c r="AE294" s="169"/>
      <c r="AF294" s="169"/>
      <c r="AG294" s="169"/>
      <c r="AH294" s="169"/>
      <c r="AI294" s="169"/>
      <c r="AJ294" s="169"/>
      <c r="AK294" s="169"/>
      <c r="AL294" s="169"/>
      <c r="AM294" s="169"/>
      <c r="AN294" s="169"/>
      <c r="AO294" s="169"/>
      <c r="AP294" s="169"/>
      <c r="AQ294" s="169"/>
      <c r="AR294" s="169"/>
      <c r="AS294" s="169"/>
      <c r="AT294" s="169"/>
      <c r="AU294" s="169"/>
      <c r="AV294" s="169"/>
      <c r="AW294" s="169"/>
      <c r="AX294" s="169"/>
      <c r="AY294" s="169"/>
      <c r="AZ294" s="169"/>
      <c r="BA294" s="169"/>
      <c r="BB294" s="169"/>
      <c r="BC294" s="169"/>
      <c r="BD294" s="169"/>
      <c r="BE294" s="169"/>
      <c r="BF294" s="37"/>
      <c r="BG294" s="37"/>
      <c r="BH294" s="37"/>
      <c r="BI294" s="37"/>
      <c r="BJ294" s="37"/>
      <c r="BK294" s="37"/>
      <c r="BL294" s="37"/>
      <c r="BM294" s="37"/>
      <c r="BN294" s="37"/>
      <c r="BO294" s="37"/>
      <c r="BP294" s="37"/>
      <c r="BQ294" s="37"/>
      <c r="BR294" s="37"/>
      <c r="BS294" s="37"/>
      <c r="BT294" s="37"/>
      <c r="BU294" s="37"/>
      <c r="BV294" s="37"/>
      <c r="BW294" s="37"/>
      <c r="BX294" s="37"/>
      <c r="BY294" s="37"/>
      <c r="BZ294" s="37"/>
      <c r="CA294" s="37"/>
      <c r="CB294" s="37"/>
      <c r="CC294" s="37"/>
      <c r="CD294" s="37"/>
      <c r="CE294" s="37"/>
      <c r="CF294" s="37"/>
      <c r="CG294" s="37"/>
      <c r="CH294" s="37"/>
      <c r="CI294" s="37"/>
      <c r="CJ294" s="37"/>
      <c r="CO294" s="37"/>
      <c r="DK294" s="43"/>
      <c r="DL294" s="37"/>
      <c r="DM294" s="37"/>
      <c r="DN294" s="37"/>
      <c r="DO294" s="37"/>
      <c r="DP294" s="37"/>
      <c r="DQ294" s="37"/>
      <c r="DR294" s="37"/>
      <c r="DS294" s="37"/>
      <c r="DT294" s="37"/>
      <c r="DU294" s="37"/>
      <c r="DV294" s="37"/>
      <c r="DW294" s="37"/>
      <c r="DX294" s="37"/>
      <c r="DY294" s="37"/>
      <c r="DZ294" s="37"/>
    </row>
    <row r="295" spans="1:130" ht="12.75" hidden="1" customHeight="1" outlineLevel="1">
      <c r="A295" s="288" t="s">
        <v>278</v>
      </c>
      <c r="B295" s="289" t="e">
        <f>+#REF!</f>
        <v>#REF!</v>
      </c>
      <c r="C295" s="289" t="e">
        <f>+#REF!</f>
        <v>#REF!</v>
      </c>
      <c r="D295" s="289" t="e">
        <f>+#REF!</f>
        <v>#REF!</v>
      </c>
      <c r="E295" s="289" t="e">
        <f>+IS!#REF!</f>
        <v>#REF!</v>
      </c>
      <c r="F295" s="289" t="e">
        <f>+IS!#REF!</f>
        <v>#REF!</v>
      </c>
      <c r="G295" s="289" t="e">
        <f>+IS!#REF!</f>
        <v>#REF!</v>
      </c>
      <c r="H295" s="289" t="e">
        <f>+IS!#REF!</f>
        <v>#REF!</v>
      </c>
      <c r="I295" s="289" t="e">
        <f>+IS!#REF!</f>
        <v>#REF!</v>
      </c>
      <c r="J295" s="289" t="e">
        <f>+IS!#REF!</f>
        <v>#REF!</v>
      </c>
      <c r="K295" s="289" t="e">
        <f>+IS!#REF!</f>
        <v>#REF!</v>
      </c>
      <c r="L295" s="289"/>
      <c r="M295" s="289"/>
      <c r="N295" s="289"/>
      <c r="O295" s="289"/>
      <c r="P295" s="289"/>
      <c r="Q295" s="289"/>
      <c r="R295" s="289"/>
      <c r="S295" s="289" t="e">
        <f>+IS!#REF!</f>
        <v>#REF!</v>
      </c>
      <c r="T295" s="289" t="e">
        <f>+IS!#REF!</f>
        <v>#REF!</v>
      </c>
      <c r="U295" s="289" t="e">
        <f>+IS!#REF!</f>
        <v>#REF!</v>
      </c>
      <c r="V295" s="289" t="e">
        <f>+IS!#REF!</f>
        <v>#REF!</v>
      </c>
      <c r="W295" s="289" t="e">
        <f>+IS!#REF!</f>
        <v>#REF!</v>
      </c>
      <c r="X295" s="289" t="e">
        <f>+IS!#REF!</f>
        <v>#REF!</v>
      </c>
      <c r="Y295" s="289" t="e">
        <f>+IS!#REF!</f>
        <v>#REF!</v>
      </c>
      <c r="Z295" s="289" t="e">
        <f>+IS!#REF!</f>
        <v>#REF!</v>
      </c>
      <c r="AA295" s="289" t="e">
        <f>+IS!#REF!</f>
        <v>#REF!</v>
      </c>
      <c r="AB295" s="37"/>
      <c r="AC295" s="169"/>
      <c r="AD295" s="169"/>
      <c r="AE295" s="169"/>
      <c r="AF295" s="169"/>
      <c r="AG295" s="169"/>
      <c r="AH295" s="169"/>
      <c r="AI295" s="169"/>
      <c r="AJ295" s="169"/>
      <c r="AK295" s="169"/>
      <c r="AL295" s="169"/>
      <c r="AM295" s="169"/>
      <c r="AN295" s="169"/>
      <c r="AO295" s="169"/>
      <c r="AP295" s="169"/>
      <c r="AQ295" s="169"/>
      <c r="AR295" s="169"/>
      <c r="AS295" s="169"/>
      <c r="AT295" s="169"/>
      <c r="AU295" s="169"/>
      <c r="AV295" s="169"/>
      <c r="AW295" s="169"/>
      <c r="AX295" s="169"/>
      <c r="AY295" s="169"/>
      <c r="AZ295" s="169"/>
      <c r="BA295" s="169"/>
      <c r="BB295" s="169"/>
      <c r="BC295" s="169"/>
      <c r="BD295" s="169"/>
      <c r="BE295" s="169"/>
      <c r="BF295" s="37"/>
      <c r="BG295" s="37"/>
      <c r="BH295" s="37"/>
      <c r="BI295" s="37"/>
      <c r="BJ295" s="37"/>
      <c r="BK295" s="37"/>
      <c r="BL295" s="37"/>
      <c r="BM295" s="37"/>
      <c r="BN295" s="37"/>
      <c r="BO295" s="37"/>
      <c r="BP295" s="37"/>
      <c r="BQ295" s="37"/>
      <c r="BR295" s="37"/>
      <c r="BS295" s="37"/>
      <c r="BT295" s="37"/>
      <c r="BU295" s="37"/>
      <c r="BV295" s="37"/>
      <c r="BW295" s="37"/>
      <c r="BX295" s="37"/>
      <c r="BY295" s="37"/>
      <c r="BZ295" s="37"/>
      <c r="CA295" s="37"/>
      <c r="CB295" s="37"/>
      <c r="CC295" s="37"/>
      <c r="CD295" s="37"/>
      <c r="CE295" s="37"/>
      <c r="CF295" s="37"/>
      <c r="CG295" s="37"/>
      <c r="CH295" s="37"/>
      <c r="CI295" s="37"/>
      <c r="CJ295" s="37"/>
      <c r="CO295" s="37"/>
      <c r="DK295" s="43"/>
      <c r="DL295" s="37"/>
      <c r="DM295" s="37"/>
      <c r="DN295" s="37"/>
      <c r="DO295" s="37"/>
      <c r="DP295" s="37"/>
      <c r="DQ295" s="37"/>
      <c r="DR295" s="37"/>
      <c r="DS295" s="37"/>
      <c r="DT295" s="37"/>
      <c r="DU295" s="37"/>
      <c r="DV295" s="37"/>
      <c r="DW295" s="37"/>
      <c r="DX295" s="37"/>
      <c r="DY295" s="37"/>
      <c r="DZ295" s="37"/>
    </row>
    <row r="296" spans="1:130" ht="15" hidden="1" customHeight="1" outlineLevel="1">
      <c r="A296" s="288" t="s">
        <v>279</v>
      </c>
      <c r="B296" s="289" t="e">
        <f>+#REF!</f>
        <v>#REF!</v>
      </c>
      <c r="C296" s="289" t="e">
        <f>+#REF!</f>
        <v>#REF!</v>
      </c>
      <c r="D296" s="289" t="e">
        <f>+#REF!</f>
        <v>#REF!</v>
      </c>
      <c r="E296" s="289" t="e">
        <f>+IS!#REF!</f>
        <v>#REF!</v>
      </c>
      <c r="F296" s="289" t="e">
        <f>+IS!#REF!</f>
        <v>#REF!</v>
      </c>
      <c r="G296" s="289" t="e">
        <f>+IS!#REF!</f>
        <v>#REF!</v>
      </c>
      <c r="H296" s="289" t="e">
        <f>+IS!#REF!</f>
        <v>#REF!</v>
      </c>
      <c r="I296" s="289" t="e">
        <f>+IS!#REF!</f>
        <v>#REF!</v>
      </c>
      <c r="J296" s="289" t="e">
        <f>+IS!#REF!</f>
        <v>#REF!</v>
      </c>
      <c r="K296" s="289" t="e">
        <f>+IS!#REF!</f>
        <v>#REF!</v>
      </c>
      <c r="L296" s="289"/>
      <c r="M296" s="289"/>
      <c r="N296" s="289"/>
      <c r="O296" s="289"/>
      <c r="P296" s="289"/>
      <c r="Q296" s="289"/>
      <c r="R296" s="289"/>
      <c r="S296" s="289" t="e">
        <f>+IS!#REF!</f>
        <v>#REF!</v>
      </c>
      <c r="T296" s="289" t="e">
        <f>+IS!#REF!</f>
        <v>#REF!</v>
      </c>
      <c r="U296" s="289" t="e">
        <f>+IS!#REF!</f>
        <v>#REF!</v>
      </c>
      <c r="V296" s="289" t="e">
        <f>+IS!#REF!</f>
        <v>#REF!</v>
      </c>
      <c r="W296" s="289" t="e">
        <f>+IS!#REF!</f>
        <v>#REF!</v>
      </c>
      <c r="X296" s="289" t="e">
        <f>+IS!#REF!</f>
        <v>#REF!</v>
      </c>
      <c r="Y296" s="289" t="e">
        <f>+IS!#REF!</f>
        <v>#REF!</v>
      </c>
      <c r="Z296" s="289" t="e">
        <f>+IS!#REF!</f>
        <v>#REF!</v>
      </c>
      <c r="AA296" s="289" t="e">
        <f>+IS!#REF!</f>
        <v>#REF!</v>
      </c>
      <c r="AB296" s="37"/>
      <c r="AC296" s="169"/>
      <c r="AD296" s="169"/>
      <c r="AE296" s="169"/>
      <c r="AF296" s="169"/>
      <c r="AG296" s="169"/>
      <c r="AH296" s="169"/>
      <c r="AI296" s="169"/>
      <c r="AJ296" s="169"/>
      <c r="AK296" s="169"/>
      <c r="AL296" s="169"/>
      <c r="AM296" s="169"/>
      <c r="AN296" s="169"/>
      <c r="AO296" s="169"/>
      <c r="AP296" s="169"/>
      <c r="AQ296" s="169"/>
      <c r="AR296" s="169"/>
      <c r="AS296" s="169"/>
      <c r="AT296" s="169"/>
      <c r="AU296" s="169"/>
      <c r="AV296" s="169"/>
      <c r="AW296" s="169"/>
      <c r="AX296" s="169"/>
      <c r="AY296" s="169"/>
      <c r="AZ296" s="169"/>
      <c r="BA296" s="169"/>
      <c r="BB296" s="169"/>
      <c r="BC296" s="169"/>
      <c r="BD296" s="169"/>
      <c r="BE296" s="169"/>
      <c r="BF296" s="290"/>
      <c r="BG296" s="290"/>
      <c r="BH296" s="290"/>
      <c r="BI296" s="290"/>
      <c r="BJ296" s="290"/>
      <c r="BK296" s="290"/>
      <c r="BL296" s="290"/>
      <c r="BM296" s="290"/>
      <c r="BN296" s="290"/>
      <c r="BO296" s="290"/>
      <c r="BP296" s="290"/>
      <c r="BQ296" s="290"/>
      <c r="BR296" s="290"/>
      <c r="BS296" s="290"/>
      <c r="BT296" s="290"/>
      <c r="BU296" s="290"/>
      <c r="BV296" s="290"/>
      <c r="BW296" s="290"/>
      <c r="BX296" s="290"/>
      <c r="BY296" s="290"/>
      <c r="BZ296" s="290"/>
      <c r="CA296" s="290"/>
      <c r="CB296" s="290"/>
      <c r="CC296" s="290"/>
      <c r="CD296" s="290"/>
      <c r="CE296" s="290"/>
      <c r="CF296" s="290"/>
      <c r="CG296" s="290"/>
      <c r="CH296" s="290"/>
      <c r="CI296" s="290"/>
      <c r="CJ296" s="290"/>
      <c r="CO296" s="37"/>
      <c r="DK296" s="43"/>
      <c r="DL296" s="37"/>
      <c r="DM296" s="37"/>
      <c r="DN296" s="37"/>
      <c r="DO296" s="37"/>
      <c r="DP296" s="37"/>
      <c r="DQ296" s="37"/>
      <c r="DR296" s="37"/>
      <c r="DS296" s="37"/>
      <c r="DT296" s="37"/>
      <c r="DU296" s="37"/>
      <c r="DV296" s="37"/>
      <c r="DW296" s="37"/>
      <c r="DX296" s="37"/>
      <c r="DY296" s="37"/>
      <c r="DZ296" s="37"/>
    </row>
    <row r="297" spans="1:130" ht="15" hidden="1" customHeight="1" outlineLevel="1">
      <c r="A297" s="291" t="s">
        <v>280</v>
      </c>
      <c r="B297" s="292" t="e">
        <f>+#REF!</f>
        <v>#REF!</v>
      </c>
      <c r="C297" s="292" t="e">
        <f>+#REF!</f>
        <v>#REF!</v>
      </c>
      <c r="D297" s="292" t="e">
        <f>+#REF!</f>
        <v>#REF!</v>
      </c>
      <c r="E297" s="292" t="e">
        <f>+IS!#REF!</f>
        <v>#REF!</v>
      </c>
      <c r="F297" s="292" t="e">
        <f>+IS!#REF!</f>
        <v>#REF!</v>
      </c>
      <c r="G297" s="292" t="e">
        <f>+IS!#REF!</f>
        <v>#REF!</v>
      </c>
      <c r="H297" s="292" t="e">
        <f>+IS!#REF!</f>
        <v>#REF!</v>
      </c>
      <c r="I297" s="292" t="e">
        <f>+IS!#REF!</f>
        <v>#REF!</v>
      </c>
      <c r="J297" s="292" t="e">
        <f>+IS!#REF!</f>
        <v>#REF!</v>
      </c>
      <c r="K297" s="292" t="e">
        <f>+IS!#REF!</f>
        <v>#REF!</v>
      </c>
      <c r="L297" s="292"/>
      <c r="M297" s="292"/>
      <c r="N297" s="292"/>
      <c r="O297" s="292"/>
      <c r="P297" s="292"/>
      <c r="Q297" s="292"/>
      <c r="R297" s="292"/>
      <c r="S297" s="292" t="e">
        <f>+IS!#REF!</f>
        <v>#REF!</v>
      </c>
      <c r="T297" s="292" t="e">
        <f>+IS!#REF!</f>
        <v>#REF!</v>
      </c>
      <c r="U297" s="292" t="e">
        <f>+IS!#REF!</f>
        <v>#REF!</v>
      </c>
      <c r="V297" s="292" t="e">
        <f>+IS!#REF!</f>
        <v>#REF!</v>
      </c>
      <c r="W297" s="292" t="e">
        <f>+IS!#REF!</f>
        <v>#REF!</v>
      </c>
      <c r="X297" s="292" t="e">
        <f>+IS!#REF!</f>
        <v>#REF!</v>
      </c>
      <c r="Y297" s="292" t="e">
        <f>+IS!#REF!</f>
        <v>#REF!</v>
      </c>
      <c r="Z297" s="292" t="e">
        <f>+IS!#REF!</f>
        <v>#REF!</v>
      </c>
      <c r="AA297" s="292" t="e">
        <f>+IS!#REF!</f>
        <v>#REF!</v>
      </c>
      <c r="AB297" s="290"/>
      <c r="BF297" s="169"/>
      <c r="BG297" s="37"/>
      <c r="BH297" s="37"/>
      <c r="BI297" s="37"/>
      <c r="BJ297" s="37"/>
      <c r="BK297" s="37"/>
      <c r="BL297" s="37"/>
      <c r="BM297" s="37"/>
      <c r="BN297" s="37"/>
      <c r="BO297" s="37"/>
      <c r="BP297" s="37"/>
      <c r="BQ297" s="37"/>
      <c r="BR297" s="37"/>
      <c r="BS297" s="37"/>
      <c r="BT297" s="37"/>
      <c r="BU297" s="37"/>
      <c r="BV297" s="37"/>
      <c r="BW297" s="37"/>
      <c r="BX297" s="37"/>
      <c r="BY297" s="37"/>
      <c r="BZ297" s="37"/>
      <c r="CA297" s="37"/>
      <c r="CB297" s="37"/>
      <c r="CC297" s="37"/>
      <c r="CD297" s="37"/>
      <c r="CE297" s="37"/>
      <c r="CF297" s="37"/>
      <c r="CG297" s="37"/>
      <c r="CH297" s="37"/>
      <c r="CI297" s="37"/>
      <c r="CJ297" s="37"/>
      <c r="CO297" s="290"/>
      <c r="DK297" s="293"/>
      <c r="DL297" s="290"/>
      <c r="DM297" s="290"/>
      <c r="DN297" s="290"/>
      <c r="DO297" s="290"/>
      <c r="DP297" s="290"/>
      <c r="DQ297" s="290"/>
      <c r="DR297" s="290"/>
      <c r="DS297" s="290"/>
      <c r="DT297" s="290"/>
      <c r="DU297" s="290"/>
      <c r="DV297" s="290"/>
      <c r="DW297" s="290"/>
      <c r="DX297" s="290"/>
      <c r="DY297" s="290"/>
      <c r="DZ297" s="290"/>
    </row>
    <row r="298" spans="1:130" ht="12.75" hidden="1" customHeight="1" outlineLevel="1">
      <c r="A298" s="288" t="s">
        <v>281</v>
      </c>
      <c r="B298" s="289" t="e">
        <f>+#REF!</f>
        <v>#REF!</v>
      </c>
      <c r="C298" s="289" t="e">
        <f>+#REF!</f>
        <v>#REF!</v>
      </c>
      <c r="D298" s="289" t="e">
        <f>+#REF!</f>
        <v>#REF!</v>
      </c>
      <c r="E298" s="289" t="e">
        <f>+IS!#REF!</f>
        <v>#REF!</v>
      </c>
      <c r="F298" s="289" t="e">
        <f>+IS!#REF!</f>
        <v>#REF!</v>
      </c>
      <c r="G298" s="289" t="e">
        <f>+IS!#REF!</f>
        <v>#REF!</v>
      </c>
      <c r="H298" s="289" t="e">
        <f>+IS!#REF!</f>
        <v>#REF!</v>
      </c>
      <c r="I298" s="289" t="e">
        <f>+IS!#REF!</f>
        <v>#REF!</v>
      </c>
      <c r="J298" s="289" t="e">
        <f>+IS!#REF!</f>
        <v>#REF!</v>
      </c>
      <c r="K298" s="289" t="e">
        <f>+IS!#REF!</f>
        <v>#REF!</v>
      </c>
      <c r="L298" s="289"/>
      <c r="M298" s="289"/>
      <c r="N298" s="289"/>
      <c r="O298" s="289"/>
      <c r="P298" s="289"/>
      <c r="Q298" s="289"/>
      <c r="R298" s="289"/>
      <c r="S298" s="289" t="e">
        <f>+IS!#REF!</f>
        <v>#REF!</v>
      </c>
      <c r="T298" s="289" t="e">
        <f>+IS!#REF!</f>
        <v>#REF!</v>
      </c>
      <c r="U298" s="289" t="e">
        <f>+IS!#REF!</f>
        <v>#REF!</v>
      </c>
      <c r="V298" s="289" t="e">
        <f>+IS!#REF!</f>
        <v>#REF!</v>
      </c>
      <c r="W298" s="289" t="e">
        <f>+IS!#REF!</f>
        <v>#REF!</v>
      </c>
      <c r="X298" s="289" t="e">
        <f>+IS!#REF!</f>
        <v>#REF!</v>
      </c>
      <c r="Y298" s="289" t="e">
        <f>+IS!#REF!</f>
        <v>#REF!</v>
      </c>
      <c r="Z298" s="289" t="e">
        <f>+IS!#REF!</f>
        <v>#REF!</v>
      </c>
      <c r="AA298" s="289" t="e">
        <f>+IS!#REF!</f>
        <v>#REF!</v>
      </c>
      <c r="AB298" s="37"/>
      <c r="AC298" s="169"/>
      <c r="AD298" s="169"/>
      <c r="AE298" s="169"/>
      <c r="AF298" s="169"/>
      <c r="AG298" s="169"/>
      <c r="AH298" s="169"/>
      <c r="AI298" s="169"/>
      <c r="AJ298" s="169"/>
      <c r="AK298" s="169"/>
      <c r="AL298" s="169"/>
      <c r="AM298" s="169"/>
      <c r="AN298" s="169"/>
      <c r="AO298" s="169"/>
      <c r="AP298" s="169"/>
      <c r="AQ298" s="169"/>
      <c r="AR298" s="169"/>
      <c r="AS298" s="169"/>
      <c r="AT298" s="169"/>
      <c r="AU298" s="169"/>
      <c r="AV298" s="169"/>
      <c r="AW298" s="169"/>
      <c r="AX298" s="169"/>
      <c r="AY298" s="169"/>
      <c r="AZ298" s="169"/>
      <c r="BA298" s="169"/>
      <c r="BB298" s="169"/>
      <c r="BC298" s="169"/>
      <c r="BD298" s="169"/>
      <c r="BE298" s="169"/>
      <c r="BF298" s="37"/>
      <c r="BG298" s="37"/>
      <c r="BH298" s="37"/>
      <c r="BI298" s="37"/>
      <c r="BJ298" s="37"/>
      <c r="BK298" s="37"/>
      <c r="BL298" s="37"/>
      <c r="BM298" s="37"/>
      <c r="BN298" s="37"/>
      <c r="BO298" s="37"/>
      <c r="BP298" s="37"/>
      <c r="BQ298" s="37"/>
      <c r="BR298" s="37"/>
      <c r="BS298" s="37"/>
      <c r="BT298" s="37"/>
      <c r="BU298" s="37"/>
      <c r="BV298" s="37"/>
      <c r="BW298" s="37"/>
      <c r="BX298" s="37"/>
      <c r="BY298" s="37"/>
      <c r="BZ298" s="37"/>
      <c r="CA298" s="37"/>
      <c r="CB298" s="37"/>
      <c r="CC298" s="37"/>
      <c r="CD298" s="37"/>
      <c r="CE298" s="37"/>
      <c r="CF298" s="37"/>
      <c r="CG298" s="37"/>
      <c r="CH298" s="37"/>
      <c r="CI298" s="37"/>
      <c r="CJ298" s="37"/>
      <c r="CO298" s="37"/>
      <c r="DK298" s="43"/>
      <c r="DL298" s="37"/>
      <c r="DM298" s="37"/>
      <c r="DN298" s="37"/>
      <c r="DO298" s="37"/>
      <c r="DP298" s="37"/>
      <c r="DQ298" s="37"/>
      <c r="DR298" s="37"/>
      <c r="DS298" s="37"/>
      <c r="DT298" s="37"/>
      <c r="DU298" s="37"/>
      <c r="DV298" s="37"/>
      <c r="DW298" s="37"/>
      <c r="DX298" s="37"/>
      <c r="DY298" s="37"/>
      <c r="DZ298" s="37"/>
    </row>
    <row r="299" spans="1:130" ht="12.75" hidden="1" customHeight="1" outlineLevel="1">
      <c r="A299" s="288"/>
      <c r="B299" s="286"/>
      <c r="C299" s="286"/>
      <c r="D299" s="286"/>
      <c r="E299" s="286"/>
      <c r="F299" s="286"/>
      <c r="G299" s="286"/>
      <c r="H299" s="286"/>
      <c r="I299" s="286"/>
      <c r="J299" s="286"/>
      <c r="K299" s="286"/>
      <c r="L299" s="286"/>
      <c r="M299" s="286"/>
      <c r="N299" s="286"/>
      <c r="O299" s="286"/>
      <c r="P299" s="286"/>
      <c r="Q299" s="286"/>
      <c r="R299" s="286"/>
      <c r="S299" s="286"/>
      <c r="T299" s="286"/>
      <c r="U299" s="286"/>
      <c r="V299" s="286"/>
      <c r="W299" s="286"/>
      <c r="X299" s="286"/>
      <c r="Y299" s="286"/>
      <c r="Z299" s="286"/>
      <c r="AA299" s="286"/>
      <c r="AB299" s="37"/>
      <c r="AC299" s="169"/>
      <c r="AD299" s="169"/>
      <c r="AE299" s="169"/>
      <c r="AF299" s="169"/>
      <c r="AG299" s="169"/>
      <c r="AH299" s="169"/>
      <c r="AI299" s="169"/>
      <c r="AJ299" s="169"/>
      <c r="AK299" s="169"/>
      <c r="AL299" s="169"/>
      <c r="AM299" s="169"/>
      <c r="AN299" s="169"/>
      <c r="AO299" s="169"/>
      <c r="AP299" s="169"/>
      <c r="AQ299" s="169"/>
      <c r="AR299" s="169"/>
      <c r="AS299" s="169"/>
      <c r="AT299" s="169"/>
      <c r="AU299" s="169"/>
      <c r="AV299" s="169"/>
      <c r="AW299" s="169"/>
      <c r="AX299" s="169"/>
      <c r="AY299" s="169"/>
      <c r="AZ299" s="169"/>
      <c r="BA299" s="169"/>
      <c r="BB299" s="169"/>
      <c r="BC299" s="169"/>
      <c r="BD299" s="169"/>
      <c r="BE299" s="169"/>
      <c r="BF299" s="37"/>
      <c r="BG299" s="37"/>
      <c r="BH299" s="37"/>
      <c r="BI299" s="37"/>
      <c r="BJ299" s="37"/>
      <c r="BK299" s="37"/>
      <c r="BL299" s="37"/>
      <c r="BM299" s="37"/>
      <c r="BN299" s="37"/>
      <c r="BO299" s="37"/>
      <c r="BP299" s="37"/>
      <c r="BQ299" s="37"/>
      <c r="BR299" s="37"/>
      <c r="BS299" s="37"/>
      <c r="BT299" s="37"/>
      <c r="BU299" s="37"/>
      <c r="BV299" s="37"/>
      <c r="BW299" s="37"/>
      <c r="BX299" s="37"/>
      <c r="BY299" s="37"/>
      <c r="BZ299" s="37"/>
      <c r="CA299" s="37"/>
      <c r="CB299" s="37"/>
      <c r="CC299" s="37"/>
      <c r="CD299" s="37"/>
      <c r="CE299" s="37"/>
      <c r="CF299" s="37"/>
      <c r="CG299" s="37"/>
      <c r="CH299" s="37"/>
      <c r="CI299" s="37"/>
      <c r="CJ299" s="37"/>
      <c r="CO299" s="37"/>
      <c r="DK299" s="211"/>
      <c r="DL299" s="37"/>
      <c r="DM299" s="37"/>
      <c r="DN299" s="37"/>
      <c r="DO299" s="37"/>
      <c r="DP299" s="37"/>
      <c r="DQ299" s="37"/>
      <c r="DR299" s="37"/>
      <c r="DS299" s="37"/>
      <c r="DT299" s="37"/>
      <c r="DU299" s="37"/>
      <c r="DV299" s="37"/>
      <c r="DW299" s="37"/>
      <c r="DX299" s="37"/>
      <c r="DY299" s="37"/>
      <c r="DZ299" s="37"/>
    </row>
    <row r="300" spans="1:130" ht="15" hidden="1" customHeight="1" outlineLevel="1">
      <c r="A300" s="288" t="s">
        <v>282</v>
      </c>
      <c r="B300" s="289" t="e">
        <f>+#REF!</f>
        <v>#REF!</v>
      </c>
      <c r="C300" s="289" t="e">
        <f>+#REF!</f>
        <v>#REF!</v>
      </c>
      <c r="D300" s="289" t="e">
        <f>+#REF!</f>
        <v>#REF!</v>
      </c>
      <c r="E300" s="289" t="e">
        <f>+IS!#REF!</f>
        <v>#REF!</v>
      </c>
      <c r="F300" s="289" t="e">
        <f>+IS!#REF!</f>
        <v>#REF!</v>
      </c>
      <c r="G300" s="289" t="e">
        <f>+IS!#REF!</f>
        <v>#REF!</v>
      </c>
      <c r="H300" s="289" t="e">
        <f>+IS!#REF!</f>
        <v>#REF!</v>
      </c>
      <c r="I300" s="289" t="e">
        <f>+IS!#REF!</f>
        <v>#REF!</v>
      </c>
      <c r="J300" s="289" t="e">
        <f>+IS!#REF!</f>
        <v>#REF!</v>
      </c>
      <c r="K300" s="289" t="e">
        <f>+IS!#REF!</f>
        <v>#REF!</v>
      </c>
      <c r="L300" s="289"/>
      <c r="M300" s="289"/>
      <c r="N300" s="289"/>
      <c r="O300" s="289"/>
      <c r="P300" s="289"/>
      <c r="Q300" s="289"/>
      <c r="R300" s="289"/>
      <c r="S300" s="289" t="e">
        <f>+IS!#REF!</f>
        <v>#REF!</v>
      </c>
      <c r="T300" s="289" t="e">
        <f>+IS!#REF!</f>
        <v>#REF!</v>
      </c>
      <c r="U300" s="289" t="e">
        <f>+IS!#REF!</f>
        <v>#REF!</v>
      </c>
      <c r="V300" s="289" t="e">
        <f>+IS!#REF!</f>
        <v>#REF!</v>
      </c>
      <c r="W300" s="289" t="e">
        <f>+IS!#REF!</f>
        <v>#REF!</v>
      </c>
      <c r="X300" s="289" t="e">
        <f>+IS!#REF!</f>
        <v>#REF!</v>
      </c>
      <c r="Y300" s="289" t="e">
        <f>+IS!#REF!</f>
        <v>#REF!</v>
      </c>
      <c r="Z300" s="289" t="e">
        <f>+IS!#REF!</f>
        <v>#REF!</v>
      </c>
      <c r="AA300" s="289" t="e">
        <f>+IS!#REF!</f>
        <v>#REF!</v>
      </c>
      <c r="AB300" s="37"/>
      <c r="AC300" s="169"/>
      <c r="AD300" s="169"/>
      <c r="AE300" s="169"/>
      <c r="AF300" s="169"/>
      <c r="AG300" s="169"/>
      <c r="AH300" s="169"/>
      <c r="AI300" s="169"/>
      <c r="AJ300" s="169"/>
      <c r="AK300" s="169"/>
      <c r="AL300" s="169"/>
      <c r="AM300" s="169"/>
      <c r="AN300" s="169"/>
      <c r="AO300" s="169"/>
      <c r="AP300" s="169"/>
      <c r="AQ300" s="169"/>
      <c r="AR300" s="169"/>
      <c r="AS300" s="169"/>
      <c r="AT300" s="169"/>
      <c r="AU300" s="169"/>
      <c r="AV300" s="169"/>
      <c r="AW300" s="169"/>
      <c r="AX300" s="169"/>
      <c r="AY300" s="169"/>
      <c r="AZ300" s="169"/>
      <c r="BA300" s="169"/>
      <c r="BB300" s="169"/>
      <c r="BC300" s="169"/>
      <c r="BD300" s="169"/>
      <c r="BE300" s="169"/>
      <c r="BF300" s="290"/>
      <c r="BG300" s="290"/>
      <c r="BH300" s="290"/>
      <c r="BI300" s="290"/>
      <c r="BJ300" s="290"/>
      <c r="BK300" s="290"/>
      <c r="BL300" s="290"/>
      <c r="BM300" s="290"/>
      <c r="BN300" s="290"/>
      <c r="BO300" s="290"/>
      <c r="BP300" s="290"/>
      <c r="BQ300" s="290"/>
      <c r="BR300" s="290"/>
      <c r="BS300" s="290"/>
      <c r="BT300" s="290"/>
      <c r="BU300" s="290"/>
      <c r="BV300" s="290"/>
      <c r="BW300" s="290"/>
      <c r="BX300" s="290"/>
      <c r="BY300" s="290"/>
      <c r="BZ300" s="290"/>
      <c r="CA300" s="290"/>
      <c r="CB300" s="290"/>
      <c r="CC300" s="290"/>
      <c r="CD300" s="290"/>
      <c r="CE300" s="290"/>
      <c r="CF300" s="290"/>
      <c r="CG300" s="290"/>
      <c r="CH300" s="290"/>
      <c r="CI300" s="290"/>
      <c r="CJ300" s="290"/>
      <c r="CO300" s="37"/>
      <c r="DK300" s="43"/>
      <c r="DL300" s="37"/>
      <c r="DM300" s="37"/>
      <c r="DN300" s="37"/>
      <c r="DO300" s="37"/>
      <c r="DP300" s="37"/>
      <c r="DQ300" s="37"/>
      <c r="DR300" s="37"/>
      <c r="DS300" s="37"/>
      <c r="DT300" s="37"/>
      <c r="DU300" s="37"/>
      <c r="DV300" s="37"/>
      <c r="DW300" s="37"/>
      <c r="DX300" s="37"/>
      <c r="DY300" s="37"/>
      <c r="DZ300" s="37"/>
    </row>
    <row r="301" spans="1:130" ht="15" hidden="1" customHeight="1" outlineLevel="1">
      <c r="A301" s="291" t="s">
        <v>283</v>
      </c>
      <c r="B301" s="292" t="e">
        <f>+#REF!</f>
        <v>#REF!</v>
      </c>
      <c r="C301" s="292" t="e">
        <f>+#REF!</f>
        <v>#REF!</v>
      </c>
      <c r="D301" s="292" t="e">
        <f>+#REF!</f>
        <v>#REF!</v>
      </c>
      <c r="E301" s="292" t="e">
        <f>+IS!#REF!</f>
        <v>#REF!</v>
      </c>
      <c r="F301" s="292" t="e">
        <f>+IS!#REF!</f>
        <v>#REF!</v>
      </c>
      <c r="G301" s="292" t="e">
        <f>+IS!#REF!</f>
        <v>#REF!</v>
      </c>
      <c r="H301" s="292" t="e">
        <f>+IS!#REF!</f>
        <v>#REF!</v>
      </c>
      <c r="I301" s="292" t="e">
        <f>+IS!#REF!</f>
        <v>#REF!</v>
      </c>
      <c r="J301" s="292" t="e">
        <f>+IS!#REF!</f>
        <v>#REF!</v>
      </c>
      <c r="K301" s="292" t="e">
        <f>+IS!#REF!</f>
        <v>#REF!</v>
      </c>
      <c r="L301" s="292"/>
      <c r="M301" s="292"/>
      <c r="N301" s="292"/>
      <c r="O301" s="292"/>
      <c r="P301" s="292"/>
      <c r="Q301" s="292"/>
      <c r="R301" s="292"/>
      <c r="S301" s="292" t="e">
        <f>+IS!#REF!</f>
        <v>#REF!</v>
      </c>
      <c r="T301" s="292" t="e">
        <f>+IS!#REF!</f>
        <v>#REF!</v>
      </c>
      <c r="U301" s="292" t="e">
        <f>+IS!#REF!</f>
        <v>#REF!</v>
      </c>
      <c r="V301" s="292" t="e">
        <f>+IS!#REF!</f>
        <v>#REF!</v>
      </c>
      <c r="W301" s="292" t="e">
        <f>+IS!#REF!</f>
        <v>#REF!</v>
      </c>
      <c r="X301" s="292" t="e">
        <f>+IS!#REF!</f>
        <v>#REF!</v>
      </c>
      <c r="Y301" s="292" t="e">
        <f>+IS!#REF!</f>
        <v>#REF!</v>
      </c>
      <c r="Z301" s="292" t="e">
        <f>+IS!#REF!</f>
        <v>#REF!</v>
      </c>
      <c r="AA301" s="292" t="e">
        <f>+IS!#REF!</f>
        <v>#REF!</v>
      </c>
      <c r="AB301" s="290"/>
      <c r="AC301" s="169"/>
      <c r="AD301" s="169"/>
      <c r="AE301" s="169"/>
      <c r="AF301" s="169"/>
      <c r="AG301" s="169"/>
      <c r="AH301" s="169"/>
      <c r="AI301" s="169"/>
      <c r="AJ301" s="169"/>
      <c r="AK301" s="169"/>
      <c r="AL301" s="169"/>
      <c r="AM301" s="169"/>
      <c r="AN301" s="169"/>
      <c r="AO301" s="169"/>
      <c r="AP301" s="169"/>
      <c r="AQ301" s="169"/>
      <c r="AR301" s="169"/>
      <c r="AS301" s="169"/>
      <c r="AT301" s="169"/>
      <c r="AU301" s="169"/>
      <c r="AV301" s="169"/>
      <c r="AW301" s="169"/>
      <c r="AX301" s="169"/>
      <c r="AY301" s="169"/>
      <c r="AZ301" s="169"/>
      <c r="BA301" s="169"/>
      <c r="BB301" s="169"/>
      <c r="BC301" s="169"/>
      <c r="BD301" s="169"/>
      <c r="BE301" s="169"/>
      <c r="BF301" s="37"/>
      <c r="BG301" s="37"/>
      <c r="BH301" s="37"/>
      <c r="BI301" s="37"/>
      <c r="BJ301" s="37"/>
      <c r="BK301" s="37"/>
      <c r="BL301" s="37"/>
      <c r="BM301" s="37"/>
      <c r="BN301" s="37"/>
      <c r="BO301" s="37"/>
      <c r="BP301" s="37"/>
      <c r="BQ301" s="37"/>
      <c r="BR301" s="37"/>
      <c r="BS301" s="37"/>
      <c r="BT301" s="37"/>
      <c r="BU301" s="37"/>
      <c r="BV301" s="37"/>
      <c r="BW301" s="37"/>
      <c r="BX301" s="37"/>
      <c r="BY301" s="37"/>
      <c r="BZ301" s="37"/>
      <c r="CA301" s="37"/>
      <c r="CB301" s="37"/>
      <c r="CC301" s="37"/>
      <c r="CD301" s="37"/>
      <c r="CE301" s="37"/>
      <c r="CF301" s="37"/>
      <c r="CG301" s="37"/>
      <c r="CH301" s="37"/>
      <c r="CI301" s="37"/>
      <c r="CJ301" s="37"/>
      <c r="CO301" s="290"/>
      <c r="DK301" s="293"/>
      <c r="DL301" s="290"/>
      <c r="DM301" s="290"/>
      <c r="DN301" s="290"/>
      <c r="DO301" s="290"/>
      <c r="DP301" s="290"/>
      <c r="DQ301" s="290"/>
      <c r="DR301" s="290"/>
      <c r="DS301" s="290"/>
      <c r="DT301" s="290"/>
      <c r="DU301" s="290"/>
      <c r="DV301" s="290"/>
      <c r="DW301" s="290"/>
      <c r="DX301" s="290"/>
      <c r="DY301" s="290"/>
      <c r="DZ301" s="290"/>
    </row>
    <row r="302" spans="1:130" ht="12.75" hidden="1" customHeight="1" outlineLevel="1">
      <c r="A302" s="288" t="s">
        <v>284</v>
      </c>
      <c r="B302" s="289" t="e">
        <f>+#REF!</f>
        <v>#REF!</v>
      </c>
      <c r="C302" s="289" t="e">
        <f>+#REF!</f>
        <v>#REF!</v>
      </c>
      <c r="D302" s="289" t="e">
        <f>+#REF!</f>
        <v>#REF!</v>
      </c>
      <c r="E302" s="289" t="e">
        <f>+#REF!</f>
        <v>#REF!</v>
      </c>
      <c r="F302" s="289" t="e">
        <f>+#REF!</f>
        <v>#REF!</v>
      </c>
      <c r="G302" s="289" t="e">
        <f>+#REF!</f>
        <v>#REF!</v>
      </c>
      <c r="H302" s="289" t="e">
        <f>+#REF!</f>
        <v>#REF!</v>
      </c>
      <c r="I302" s="289" t="e">
        <f>+#REF!</f>
        <v>#REF!</v>
      </c>
      <c r="J302" s="289" t="e">
        <f>+#REF!</f>
        <v>#REF!</v>
      </c>
      <c r="K302" s="289" t="e">
        <f>+#REF!</f>
        <v>#REF!</v>
      </c>
      <c r="L302" s="289"/>
      <c r="M302" s="289"/>
      <c r="N302" s="289"/>
      <c r="O302" s="289"/>
      <c r="P302" s="289"/>
      <c r="Q302" s="289"/>
      <c r="R302" s="289"/>
      <c r="S302" s="289" t="e">
        <f>+#REF!</f>
        <v>#REF!</v>
      </c>
      <c r="T302" s="289" t="e">
        <f>+#REF!</f>
        <v>#REF!</v>
      </c>
      <c r="U302" s="289" t="e">
        <f>+#REF!</f>
        <v>#REF!</v>
      </c>
      <c r="V302" s="289" t="e">
        <f>+#REF!</f>
        <v>#REF!</v>
      </c>
      <c r="W302" s="289" t="e">
        <f>+#REF!</f>
        <v>#REF!</v>
      </c>
      <c r="X302" s="289" t="e">
        <f>+#REF!</f>
        <v>#REF!</v>
      </c>
      <c r="Y302" s="289" t="e">
        <f>+#REF!</f>
        <v>#REF!</v>
      </c>
      <c r="Z302" s="289" t="e">
        <f>+#REF!</f>
        <v>#REF!</v>
      </c>
      <c r="AA302" s="289" t="e">
        <f>+#REF!</f>
        <v>#REF!</v>
      </c>
      <c r="AB302" s="37"/>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c r="AZ302" s="169"/>
      <c r="BA302" s="169"/>
      <c r="BB302" s="169"/>
      <c r="BC302" s="169"/>
      <c r="BD302" s="169"/>
      <c r="BE302" s="169"/>
      <c r="BF302" s="37"/>
      <c r="BG302" s="37"/>
      <c r="BH302" s="37"/>
      <c r="BI302" s="37"/>
      <c r="BJ302" s="37"/>
      <c r="BK302" s="37"/>
      <c r="BL302" s="37"/>
      <c r="BM302" s="37"/>
      <c r="BN302" s="37"/>
      <c r="BO302" s="37"/>
      <c r="BP302" s="37"/>
      <c r="BQ302" s="37"/>
      <c r="BR302" s="37"/>
      <c r="BS302" s="37"/>
      <c r="BT302" s="37"/>
      <c r="BU302" s="37"/>
      <c r="BV302" s="37"/>
      <c r="BW302" s="37"/>
      <c r="BX302" s="37"/>
      <c r="BY302" s="37"/>
      <c r="BZ302" s="37"/>
      <c r="CA302" s="37"/>
      <c r="CB302" s="37"/>
      <c r="CC302" s="37"/>
      <c r="CD302" s="37"/>
      <c r="CE302" s="37"/>
      <c r="CF302" s="37"/>
      <c r="CG302" s="37"/>
      <c r="CH302" s="37"/>
      <c r="CI302" s="37"/>
      <c r="CJ302" s="37"/>
      <c r="CO302" s="37"/>
      <c r="DK302" s="43"/>
      <c r="DL302" s="37"/>
      <c r="DM302" s="37"/>
      <c r="DN302" s="37"/>
      <c r="DO302" s="37"/>
      <c r="DP302" s="37"/>
      <c r="DQ302" s="37"/>
      <c r="DR302" s="37"/>
      <c r="DS302" s="37"/>
      <c r="DT302" s="37"/>
      <c r="DU302" s="37"/>
      <c r="DV302" s="37"/>
      <c r="DW302" s="37"/>
      <c r="DX302" s="37"/>
      <c r="DY302" s="37"/>
      <c r="DZ302" s="37"/>
    </row>
    <row r="303" spans="1:130" ht="12.75" hidden="1" customHeight="1" outlineLevel="1">
      <c r="A303" s="288"/>
      <c r="B303" s="286"/>
      <c r="C303" s="286"/>
      <c r="D303" s="286"/>
      <c r="E303" s="286"/>
      <c r="F303" s="286"/>
      <c r="G303" s="286"/>
      <c r="H303" s="286"/>
      <c r="I303" s="286"/>
      <c r="J303" s="286"/>
      <c r="K303" s="286"/>
      <c r="L303" s="286"/>
      <c r="M303" s="286"/>
      <c r="N303" s="286"/>
      <c r="O303" s="286"/>
      <c r="P303" s="286"/>
      <c r="Q303" s="286"/>
      <c r="R303" s="286"/>
      <c r="S303" s="286"/>
      <c r="T303" s="286"/>
      <c r="U303" s="286"/>
      <c r="V303" s="286"/>
      <c r="W303" s="286"/>
      <c r="X303" s="286"/>
      <c r="Y303" s="286"/>
      <c r="Z303" s="286"/>
      <c r="AA303" s="286"/>
      <c r="AB303" s="37"/>
      <c r="AC303" s="169"/>
      <c r="AD303" s="169"/>
      <c r="AE303" s="169"/>
      <c r="AF303" s="169"/>
      <c r="AG303" s="169"/>
      <c r="AH303" s="169"/>
      <c r="AI303" s="169"/>
      <c r="AJ303" s="169"/>
      <c r="AK303" s="169"/>
      <c r="AL303" s="169"/>
      <c r="AM303" s="169"/>
      <c r="AN303" s="169"/>
      <c r="AO303" s="169"/>
      <c r="AP303" s="169"/>
      <c r="AQ303" s="169"/>
      <c r="AR303" s="169"/>
      <c r="AS303" s="169"/>
      <c r="AT303" s="169"/>
      <c r="AU303" s="169"/>
      <c r="AV303" s="169"/>
      <c r="AW303" s="169"/>
      <c r="AX303" s="169"/>
      <c r="AY303" s="169"/>
      <c r="AZ303" s="169"/>
      <c r="BA303" s="169"/>
      <c r="BB303" s="169"/>
      <c r="BC303" s="169"/>
      <c r="BD303" s="169"/>
      <c r="BE303" s="169"/>
      <c r="BF303" s="37"/>
      <c r="BG303" s="37"/>
      <c r="BH303" s="37"/>
      <c r="BI303" s="37"/>
      <c r="BJ303" s="37"/>
      <c r="BK303" s="37"/>
      <c r="BL303" s="37"/>
      <c r="BM303" s="37"/>
      <c r="BN303" s="37"/>
      <c r="BO303" s="37"/>
      <c r="BP303" s="37"/>
      <c r="BQ303" s="37"/>
      <c r="BR303" s="37"/>
      <c r="BS303" s="37"/>
      <c r="BT303" s="37"/>
      <c r="BU303" s="37"/>
      <c r="BV303" s="37"/>
      <c r="BW303" s="37"/>
      <c r="BX303" s="37"/>
      <c r="BY303" s="37"/>
      <c r="BZ303" s="37"/>
      <c r="CA303" s="37"/>
      <c r="CB303" s="37"/>
      <c r="CC303" s="37"/>
      <c r="CD303" s="37"/>
      <c r="CE303" s="37"/>
      <c r="CF303" s="37"/>
      <c r="CG303" s="37"/>
      <c r="CH303" s="37"/>
      <c r="CI303" s="37"/>
      <c r="CJ303" s="37"/>
      <c r="CO303" s="37"/>
      <c r="DK303" s="211"/>
      <c r="DL303" s="37"/>
      <c r="DM303" s="37"/>
      <c r="DN303" s="37"/>
      <c r="DO303" s="37"/>
      <c r="DP303" s="37"/>
      <c r="DQ303" s="37"/>
      <c r="DR303" s="37"/>
      <c r="DS303" s="37"/>
      <c r="DT303" s="37"/>
      <c r="DU303" s="37"/>
      <c r="DV303" s="37"/>
      <c r="DW303" s="37"/>
      <c r="DX303" s="37"/>
      <c r="DY303" s="37"/>
      <c r="DZ303" s="37"/>
    </row>
    <row r="304" spans="1:130" ht="12.75" hidden="1" customHeight="1" outlineLevel="1">
      <c r="A304" s="288" t="s">
        <v>285</v>
      </c>
      <c r="B304" s="289" t="e">
        <f>+#REF!</f>
        <v>#REF!</v>
      </c>
      <c r="C304" s="289" t="e">
        <f>+#REF!</f>
        <v>#REF!</v>
      </c>
      <c r="D304" s="289" t="e">
        <f>+#REF!</f>
        <v>#REF!</v>
      </c>
      <c r="E304" s="289" t="e">
        <f>+#REF!</f>
        <v>#REF!</v>
      </c>
      <c r="F304" s="289" t="e">
        <f>+#REF!</f>
        <v>#REF!</v>
      </c>
      <c r="G304" s="289" t="e">
        <f>+#REF!</f>
        <v>#REF!</v>
      </c>
      <c r="H304" s="289" t="e">
        <f>+#REF!</f>
        <v>#REF!</v>
      </c>
      <c r="I304" s="289" t="e">
        <f>+#REF!</f>
        <v>#REF!</v>
      </c>
      <c r="J304" s="289" t="e">
        <f>+#REF!</f>
        <v>#REF!</v>
      </c>
      <c r="K304" s="289" t="e">
        <f>+#REF!</f>
        <v>#REF!</v>
      </c>
      <c r="L304" s="289"/>
      <c r="M304" s="289"/>
      <c r="N304" s="289"/>
      <c r="O304" s="289"/>
      <c r="P304" s="289"/>
      <c r="Q304" s="289"/>
      <c r="R304" s="289"/>
      <c r="S304" s="289" t="e">
        <f>+#REF!</f>
        <v>#REF!</v>
      </c>
      <c r="T304" s="289" t="e">
        <f>+#REF!</f>
        <v>#REF!</v>
      </c>
      <c r="U304" s="289" t="e">
        <f>+#REF!</f>
        <v>#REF!</v>
      </c>
      <c r="V304" s="289" t="e">
        <f>+#REF!</f>
        <v>#REF!</v>
      </c>
      <c r="W304" s="289" t="e">
        <f>+#REF!</f>
        <v>#REF!</v>
      </c>
      <c r="X304" s="289" t="e">
        <f>+#REF!</f>
        <v>#REF!</v>
      </c>
      <c r="Y304" s="289" t="e">
        <f>+#REF!</f>
        <v>#REF!</v>
      </c>
      <c r="Z304" s="289" t="e">
        <f>+#REF!</f>
        <v>#REF!</v>
      </c>
      <c r="AA304" s="289" t="e">
        <f>+#REF!</f>
        <v>#REF!</v>
      </c>
      <c r="AB304" s="37"/>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c r="AZ304" s="169"/>
      <c r="BA304" s="169"/>
      <c r="BB304" s="169"/>
      <c r="BC304" s="169"/>
      <c r="BD304" s="169"/>
      <c r="BE304" s="169"/>
      <c r="BF304" s="37"/>
      <c r="BG304" s="37"/>
      <c r="BH304" s="37"/>
      <c r="BI304" s="37"/>
      <c r="BJ304" s="37"/>
      <c r="BK304" s="37"/>
      <c r="BL304" s="37"/>
      <c r="BM304" s="37"/>
      <c r="BN304" s="37"/>
      <c r="BO304" s="37"/>
      <c r="BP304" s="37"/>
      <c r="BQ304" s="37"/>
      <c r="BR304" s="37"/>
      <c r="BS304" s="37"/>
      <c r="BT304" s="37"/>
      <c r="BU304" s="37"/>
      <c r="BV304" s="37"/>
      <c r="BW304" s="37"/>
      <c r="BX304" s="37"/>
      <c r="BY304" s="37"/>
      <c r="BZ304" s="37"/>
      <c r="CA304" s="37"/>
      <c r="CB304" s="37"/>
      <c r="CC304" s="37"/>
      <c r="CD304" s="37"/>
      <c r="CE304" s="37"/>
      <c r="CF304" s="37"/>
      <c r="CG304" s="37"/>
      <c r="CH304" s="37"/>
      <c r="CI304" s="37"/>
      <c r="CJ304" s="37"/>
      <c r="CO304" s="37"/>
      <c r="DK304" s="43"/>
      <c r="DL304" s="37"/>
      <c r="DM304" s="37"/>
      <c r="DN304" s="37"/>
      <c r="DO304" s="37"/>
      <c r="DP304" s="37"/>
      <c r="DQ304" s="37"/>
      <c r="DR304" s="37"/>
      <c r="DS304" s="37"/>
      <c r="DT304" s="37"/>
      <c r="DU304" s="37"/>
      <c r="DV304" s="37"/>
      <c r="DW304" s="37"/>
      <c r="DX304" s="37"/>
      <c r="DY304" s="37"/>
      <c r="DZ304" s="37"/>
    </row>
    <row r="305" spans="1:130" ht="12.75" hidden="1" customHeight="1" outlineLevel="1">
      <c r="A305" s="288"/>
      <c r="B305" s="286"/>
      <c r="C305" s="286"/>
      <c r="D305" s="286"/>
      <c r="E305" s="286"/>
      <c r="F305" s="286"/>
      <c r="G305" s="286"/>
      <c r="H305" s="286"/>
      <c r="I305" s="286"/>
      <c r="J305" s="286"/>
      <c r="K305" s="286"/>
      <c r="L305" s="286"/>
      <c r="M305" s="286"/>
      <c r="N305" s="286"/>
      <c r="O305" s="286"/>
      <c r="P305" s="286"/>
      <c r="Q305" s="286"/>
      <c r="R305" s="286"/>
      <c r="S305" s="286"/>
      <c r="T305" s="286"/>
      <c r="U305" s="286"/>
      <c r="V305" s="286"/>
      <c r="W305" s="286"/>
      <c r="X305" s="286"/>
      <c r="Y305" s="286"/>
      <c r="Z305" s="286"/>
      <c r="AA305" s="286"/>
      <c r="AB305" s="37"/>
      <c r="AC305" s="169"/>
      <c r="AD305" s="169"/>
      <c r="AE305" s="169"/>
      <c r="AF305" s="169"/>
      <c r="AG305" s="169"/>
      <c r="AH305" s="169"/>
      <c r="AI305" s="169"/>
      <c r="AJ305" s="169"/>
      <c r="AK305" s="169"/>
      <c r="AL305" s="169"/>
      <c r="AM305" s="169"/>
      <c r="AN305" s="169"/>
      <c r="AO305" s="169"/>
      <c r="AP305" s="169"/>
      <c r="AQ305" s="169"/>
      <c r="AR305" s="169"/>
      <c r="AS305" s="169"/>
      <c r="AT305" s="169"/>
      <c r="AU305" s="169"/>
      <c r="AV305" s="169"/>
      <c r="AW305" s="169"/>
      <c r="AX305" s="169"/>
      <c r="AY305" s="169"/>
      <c r="AZ305" s="169"/>
      <c r="BA305" s="169"/>
      <c r="BB305" s="169"/>
      <c r="BC305" s="169"/>
      <c r="BD305" s="169"/>
      <c r="BE305" s="169"/>
      <c r="BF305" s="37"/>
      <c r="BG305" s="37"/>
      <c r="BH305" s="37"/>
      <c r="BI305" s="37"/>
      <c r="BJ305" s="37"/>
      <c r="BK305" s="37"/>
      <c r="BL305" s="37"/>
      <c r="BM305" s="37"/>
      <c r="BN305" s="37"/>
      <c r="BO305" s="37"/>
      <c r="BP305" s="37"/>
      <c r="BQ305" s="37"/>
      <c r="BR305" s="37"/>
      <c r="BS305" s="37"/>
      <c r="BT305" s="37"/>
      <c r="BU305" s="37"/>
      <c r="BV305" s="37"/>
      <c r="BW305" s="37"/>
      <c r="BX305" s="37"/>
      <c r="BY305" s="37"/>
      <c r="BZ305" s="37"/>
      <c r="CA305" s="37"/>
      <c r="CB305" s="37"/>
      <c r="CC305" s="37"/>
      <c r="CD305" s="37"/>
      <c r="CE305" s="37"/>
      <c r="CF305" s="37"/>
      <c r="CG305" s="37"/>
      <c r="CH305" s="37"/>
      <c r="CI305" s="37"/>
      <c r="CJ305" s="37"/>
      <c r="CO305" s="37"/>
      <c r="DK305" s="211"/>
      <c r="DL305" s="37"/>
      <c r="DM305" s="37"/>
      <c r="DN305" s="37"/>
      <c r="DO305" s="37"/>
      <c r="DP305" s="37"/>
      <c r="DQ305" s="37"/>
      <c r="DR305" s="37"/>
      <c r="DS305" s="37"/>
      <c r="DT305" s="37"/>
      <c r="DU305" s="37"/>
      <c r="DV305" s="37"/>
      <c r="DW305" s="37"/>
      <c r="DX305" s="37"/>
      <c r="DY305" s="37"/>
      <c r="DZ305" s="37"/>
    </row>
    <row r="306" spans="1:130" hidden="1" outlineLevel="1" collapsed="1">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c r="AA306" s="35"/>
      <c r="AB306" s="42"/>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c r="AZ306" s="169"/>
      <c r="BA306" s="169"/>
      <c r="BB306" s="169"/>
      <c r="BC306" s="169"/>
      <c r="BD306" s="169"/>
      <c r="BE306" s="169"/>
      <c r="BF306" s="37"/>
      <c r="BG306" s="37"/>
      <c r="BH306" s="37"/>
      <c r="BI306" s="37"/>
      <c r="BJ306" s="37"/>
      <c r="BK306" s="37"/>
      <c r="BL306" s="37"/>
      <c r="BM306" s="37"/>
      <c r="BN306" s="37"/>
      <c r="BO306" s="37"/>
      <c r="BP306" s="37"/>
      <c r="BQ306" s="37"/>
      <c r="BR306" s="37"/>
      <c r="BS306" s="37"/>
      <c r="BT306" s="37"/>
      <c r="BU306" s="37"/>
      <c r="BV306" s="37"/>
      <c r="BW306" s="37"/>
      <c r="BX306" s="37"/>
      <c r="BY306" s="37"/>
      <c r="BZ306" s="37"/>
      <c r="CA306" s="37"/>
      <c r="CB306" s="37"/>
      <c r="CC306" s="37"/>
      <c r="CD306" s="37"/>
      <c r="CE306" s="37"/>
      <c r="CF306" s="37"/>
      <c r="CG306" s="37"/>
      <c r="CH306" s="37"/>
      <c r="CI306" s="37"/>
      <c r="CJ306" s="37"/>
      <c r="CO306" s="37"/>
      <c r="DK306" s="37"/>
      <c r="DL306" s="37"/>
      <c r="DM306" s="37"/>
      <c r="DN306" s="37"/>
      <c r="DO306" s="37"/>
      <c r="DP306" s="37"/>
      <c r="DQ306" s="37"/>
      <c r="DR306" s="37"/>
      <c r="DS306" s="37"/>
      <c r="DT306" s="37"/>
      <c r="DU306" s="37"/>
      <c r="DV306" s="37"/>
      <c r="DW306" s="37"/>
      <c r="DX306" s="37"/>
      <c r="DY306" s="37"/>
      <c r="DZ306" s="37"/>
    </row>
    <row r="307" spans="1:130" ht="12.75" hidden="1" customHeight="1" outlineLevel="1">
      <c r="A307" s="294" t="s">
        <v>286</v>
      </c>
      <c r="B307" s="294"/>
      <c r="C307" s="294"/>
      <c r="D307" s="294"/>
      <c r="E307" s="294"/>
      <c r="F307" s="294"/>
      <c r="G307" s="294"/>
      <c r="H307" s="294"/>
      <c r="I307" s="294"/>
      <c r="J307" s="294"/>
      <c r="K307" s="294"/>
      <c r="L307" s="294"/>
      <c r="M307" s="294"/>
      <c r="N307" s="294"/>
      <c r="O307" s="294"/>
      <c r="P307" s="294"/>
      <c r="Q307" s="294"/>
      <c r="R307" s="35"/>
      <c r="S307" s="35"/>
      <c r="T307" s="35"/>
      <c r="U307" s="35"/>
      <c r="V307" s="35"/>
      <c r="W307" s="35"/>
      <c r="X307" s="35"/>
      <c r="Y307" s="35"/>
      <c r="Z307" s="35"/>
      <c r="AA307" s="35"/>
      <c r="AB307" s="295"/>
      <c r="AC307" s="294"/>
      <c r="AD307" s="294"/>
      <c r="AE307" s="294"/>
      <c r="AF307" s="294"/>
      <c r="AG307" s="294"/>
      <c r="AH307" s="294"/>
      <c r="AI307" s="294"/>
      <c r="AJ307" s="294"/>
      <c r="AK307" s="294"/>
      <c r="AL307" s="294"/>
      <c r="AM307" s="294"/>
      <c r="AN307" s="294"/>
      <c r="AO307" s="294"/>
      <c r="AP307" s="294"/>
      <c r="AQ307" s="294"/>
      <c r="AR307" s="294"/>
      <c r="AS307" s="294"/>
      <c r="AT307" s="294"/>
      <c r="AU307" s="294"/>
      <c r="AV307" s="294"/>
      <c r="AW307" s="294"/>
      <c r="AX307" s="294"/>
      <c r="AY307" s="294"/>
      <c r="AZ307" s="294"/>
      <c r="BA307" s="294"/>
      <c r="BB307" s="294"/>
      <c r="BC307" s="294"/>
      <c r="BD307" s="294"/>
      <c r="BE307" s="294"/>
      <c r="BF307" s="294"/>
      <c r="BG307" s="294"/>
      <c r="BH307" s="294"/>
      <c r="BI307" s="294"/>
      <c r="BJ307" s="294"/>
      <c r="BK307" s="294"/>
      <c r="BL307" s="294"/>
      <c r="BM307" s="294"/>
      <c r="BN307" s="294"/>
      <c r="BO307" s="294"/>
      <c r="BP307" s="294"/>
      <c r="BQ307" s="294"/>
      <c r="BR307" s="294"/>
      <c r="BS307" s="294"/>
      <c r="BT307" s="294"/>
      <c r="BU307" s="294"/>
      <c r="BV307" s="294"/>
      <c r="BW307" s="294"/>
      <c r="BX307" s="294"/>
      <c r="BY307" s="294"/>
      <c r="BZ307" s="294"/>
      <c r="CA307" s="294"/>
      <c r="CB307" s="294"/>
      <c r="CC307" s="294"/>
      <c r="CD307" s="294"/>
      <c r="CE307" s="294"/>
      <c r="CF307" s="294"/>
      <c r="CG307" s="294"/>
      <c r="CH307" s="294"/>
      <c r="CI307" s="294"/>
      <c r="CJ307" s="294"/>
      <c r="CO307" s="220"/>
      <c r="DK307" s="37"/>
      <c r="DL307" s="37"/>
      <c r="DM307" s="37"/>
      <c r="DN307" s="37"/>
      <c r="DO307" s="37"/>
      <c r="DP307" s="37"/>
      <c r="DQ307" s="37"/>
      <c r="DR307" s="37"/>
      <c r="DS307" s="37"/>
      <c r="DT307" s="37"/>
      <c r="DU307" s="37"/>
      <c r="DV307" s="37"/>
      <c r="DW307" s="37"/>
      <c r="DX307" s="37"/>
      <c r="DY307" s="37"/>
      <c r="DZ307" s="37"/>
    </row>
    <row r="308" spans="1:130" ht="12.75" hidden="1" customHeight="1" outlineLevel="1">
      <c r="A308" s="35"/>
      <c r="B308" s="35"/>
      <c r="C308" s="35"/>
      <c r="D308" s="35"/>
      <c r="E308" s="35"/>
      <c r="F308" s="35"/>
      <c r="G308" s="35"/>
      <c r="H308" s="35"/>
      <c r="I308" s="35"/>
      <c r="J308" s="35"/>
      <c r="K308" s="35"/>
      <c r="L308" s="35"/>
      <c r="M308" s="35"/>
      <c r="N308" s="35"/>
      <c r="O308" s="35"/>
      <c r="P308" s="35"/>
      <c r="Q308" s="35"/>
      <c r="R308" s="35"/>
      <c r="S308" s="35"/>
      <c r="T308" s="35"/>
      <c r="U308" s="35"/>
      <c r="V308" s="35"/>
      <c r="W308" s="35"/>
      <c r="X308" s="35"/>
      <c r="Y308" s="35"/>
      <c r="Z308" s="35"/>
      <c r="AA308" s="35"/>
      <c r="AB308" s="42"/>
      <c r="AC308" s="42"/>
      <c r="AD308" s="42"/>
      <c r="AE308" s="42"/>
      <c r="AF308" s="42"/>
      <c r="AG308" s="42"/>
      <c r="AH308" s="42"/>
      <c r="AI308" s="42"/>
      <c r="AJ308" s="42"/>
      <c r="AK308" s="42"/>
      <c r="AL308" s="42"/>
      <c r="AM308" s="42"/>
      <c r="AN308" s="42"/>
      <c r="AO308" s="42"/>
      <c r="AP308" s="42"/>
      <c r="AQ308" s="42"/>
      <c r="AR308" s="42"/>
      <c r="AS308" s="42"/>
      <c r="AT308" s="42"/>
      <c r="AU308" s="42"/>
      <c r="AV308" s="42"/>
      <c r="AW308" s="42"/>
      <c r="AX308" s="42"/>
      <c r="AY308" s="42"/>
      <c r="AZ308" s="42"/>
      <c r="BA308" s="42"/>
      <c r="BB308" s="42"/>
      <c r="BC308" s="42"/>
      <c r="BD308" s="42"/>
      <c r="BE308" s="42"/>
      <c r="BF308" s="37"/>
      <c r="BG308" s="37"/>
      <c r="BH308" s="37"/>
      <c r="BI308" s="37"/>
      <c r="BJ308" s="37"/>
      <c r="BK308" s="37"/>
      <c r="BL308" s="37"/>
      <c r="BM308" s="37"/>
      <c r="BN308" s="37"/>
      <c r="BO308" s="37"/>
      <c r="BP308" s="37"/>
      <c r="BQ308" s="37"/>
      <c r="BR308" s="37"/>
      <c r="BS308" s="37"/>
      <c r="BT308" s="37"/>
      <c r="BU308" s="37"/>
      <c r="BV308" s="37"/>
      <c r="BW308" s="37"/>
      <c r="BX308" s="37"/>
      <c r="BY308" s="37"/>
      <c r="BZ308" s="37"/>
      <c r="CA308" s="37"/>
      <c r="CB308" s="37"/>
      <c r="CC308" s="37"/>
      <c r="CD308" s="37"/>
      <c r="CE308" s="37"/>
      <c r="CF308" s="37"/>
      <c r="CG308" s="37"/>
      <c r="CH308" s="37"/>
      <c r="CI308" s="37"/>
      <c r="CJ308" s="37"/>
      <c r="CO308" s="37"/>
      <c r="DK308" s="37"/>
      <c r="DL308" s="37"/>
      <c r="DM308" s="37"/>
      <c r="DN308" s="37"/>
      <c r="DO308" s="37"/>
      <c r="DP308" s="37"/>
      <c r="DQ308" s="37"/>
      <c r="DR308" s="37"/>
      <c r="DS308" s="37"/>
      <c r="DT308" s="37"/>
      <c r="DU308" s="37"/>
      <c r="DV308" s="37"/>
      <c r="DW308" s="37"/>
      <c r="DX308" s="37"/>
      <c r="DY308" s="37"/>
      <c r="DZ308" s="37"/>
    </row>
    <row r="309" spans="1:130" ht="12.75" hidden="1" customHeight="1" outlineLevel="1">
      <c r="A309" s="296" t="s">
        <v>287</v>
      </c>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c r="AA309" s="35"/>
      <c r="AB309" s="297"/>
      <c r="AC309" s="42"/>
      <c r="AD309" s="42"/>
      <c r="AE309" s="42"/>
      <c r="AF309" s="42"/>
      <c r="AG309" s="42"/>
      <c r="AH309" s="42"/>
      <c r="AI309" s="42"/>
      <c r="AJ309" s="42"/>
      <c r="AK309" s="42"/>
      <c r="AL309" s="42"/>
      <c r="AM309" s="42"/>
      <c r="AN309" s="42"/>
      <c r="AO309" s="42"/>
      <c r="AP309" s="42"/>
      <c r="AQ309" s="42"/>
      <c r="AR309" s="42"/>
      <c r="AS309" s="42"/>
      <c r="AT309" s="42"/>
      <c r="AU309" s="42"/>
      <c r="AV309" s="42"/>
      <c r="AW309" s="42"/>
      <c r="AX309" s="42"/>
      <c r="AY309" s="42"/>
      <c r="AZ309" s="42"/>
      <c r="BA309" s="42"/>
      <c r="BB309" s="42"/>
      <c r="BC309" s="42"/>
      <c r="BD309" s="42"/>
      <c r="BE309" s="42"/>
      <c r="BF309" s="37"/>
      <c r="BG309" s="37"/>
      <c r="BH309" s="37"/>
      <c r="BI309" s="37"/>
      <c r="BJ309" s="37"/>
      <c r="BK309" s="37"/>
      <c r="BL309" s="37"/>
      <c r="BM309" s="37"/>
      <c r="BN309" s="37"/>
      <c r="BO309" s="37"/>
      <c r="BP309" s="37"/>
      <c r="BQ309" s="37"/>
      <c r="BR309" s="37"/>
      <c r="BS309" s="37"/>
      <c r="BT309" s="37"/>
      <c r="BU309" s="37"/>
      <c r="BV309" s="37"/>
      <c r="BW309" s="37"/>
      <c r="BX309" s="37"/>
      <c r="BY309" s="37"/>
      <c r="BZ309" s="37"/>
      <c r="CA309" s="37"/>
      <c r="CB309" s="37"/>
      <c r="CC309" s="37"/>
      <c r="CD309" s="37"/>
      <c r="CE309" s="37"/>
      <c r="CF309" s="37"/>
      <c r="CG309" s="37"/>
      <c r="CH309" s="37"/>
      <c r="CI309" s="37"/>
      <c r="CJ309" s="37"/>
      <c r="CO309" s="37"/>
      <c r="DK309" s="37"/>
      <c r="DL309" s="37"/>
      <c r="DM309" s="37"/>
      <c r="DN309" s="37"/>
      <c r="DO309" s="37"/>
      <c r="DP309" s="37"/>
      <c r="DQ309" s="37"/>
      <c r="DR309" s="37"/>
      <c r="DS309" s="37"/>
      <c r="DT309" s="37"/>
      <c r="DU309" s="37"/>
      <c r="DV309" s="37"/>
      <c r="DW309" s="37"/>
      <c r="DX309" s="37"/>
      <c r="DY309" s="37"/>
      <c r="DZ309" s="37"/>
    </row>
    <row r="310" spans="1:130" ht="12.75" hidden="1" customHeight="1" outlineLevel="1">
      <c r="A310" s="35" t="s">
        <v>63</v>
      </c>
      <c r="B310" s="298"/>
      <c r="C310" s="298"/>
      <c r="D310" s="298"/>
      <c r="E310" s="298"/>
      <c r="F310" s="298"/>
      <c r="G310" s="298"/>
      <c r="H310" s="298"/>
      <c r="I310" s="298"/>
      <c r="J310" s="298"/>
      <c r="K310" s="298">
        <v>5628</v>
      </c>
      <c r="L310" s="298">
        <v>5646</v>
      </c>
      <c r="M310" s="298">
        <v>6046</v>
      </c>
      <c r="N310" s="35"/>
      <c r="O310" s="35"/>
      <c r="P310" s="35"/>
      <c r="Q310" s="35"/>
      <c r="R310" s="35"/>
      <c r="S310" s="35"/>
      <c r="T310" s="35"/>
      <c r="U310" s="35"/>
      <c r="V310" s="35"/>
      <c r="W310" s="35"/>
      <c r="X310" s="35"/>
      <c r="Y310" s="35"/>
      <c r="Z310" s="35"/>
      <c r="AA310" s="35"/>
      <c r="AB310" s="42"/>
      <c r="AC310" s="42"/>
      <c r="AD310" s="42"/>
      <c r="AE310" s="42"/>
      <c r="AF310" s="42"/>
      <c r="AG310" s="42"/>
      <c r="AH310" s="42"/>
      <c r="AI310" s="42"/>
      <c r="AJ310" s="42"/>
      <c r="AK310" s="42"/>
      <c r="AL310" s="42"/>
      <c r="AM310" s="42"/>
      <c r="AN310" s="42"/>
      <c r="AO310" s="42"/>
      <c r="AP310" s="42"/>
      <c r="AQ310" s="42"/>
      <c r="AR310" s="42"/>
      <c r="AS310" s="42"/>
      <c r="AT310" s="42"/>
      <c r="AU310" s="42"/>
      <c r="AV310" s="42"/>
      <c r="AW310" s="42"/>
      <c r="AX310" s="42"/>
      <c r="AY310" s="42"/>
      <c r="AZ310" s="42"/>
      <c r="BA310" s="42"/>
      <c r="BB310" s="42"/>
      <c r="BC310" s="42"/>
      <c r="BD310" s="42"/>
      <c r="BE310" s="42"/>
      <c r="BF310" s="37"/>
      <c r="BG310" s="37"/>
      <c r="BH310" s="37"/>
      <c r="BI310" s="37"/>
      <c r="BJ310" s="37"/>
      <c r="BK310" s="37"/>
      <c r="BL310" s="37"/>
      <c r="BM310" s="37"/>
      <c r="BN310" s="37"/>
      <c r="BO310" s="37"/>
      <c r="BP310" s="37"/>
      <c r="BQ310" s="37"/>
      <c r="BR310" s="37"/>
      <c r="BS310" s="37"/>
      <c r="BT310" s="37"/>
      <c r="BU310" s="37"/>
      <c r="BV310" s="37"/>
      <c r="BW310" s="37"/>
      <c r="BX310" s="37"/>
      <c r="BY310" s="37"/>
      <c r="BZ310" s="37"/>
      <c r="CA310" s="37"/>
      <c r="CB310" s="37"/>
      <c r="CC310" s="37"/>
      <c r="CD310" s="37"/>
      <c r="CE310" s="37"/>
      <c r="CF310" s="37"/>
      <c r="CG310" s="37"/>
      <c r="CH310" s="37"/>
      <c r="CI310" s="37"/>
      <c r="CJ310" s="37"/>
      <c r="CO310" s="37"/>
      <c r="DK310" s="37"/>
      <c r="DL310" s="37"/>
      <c r="DM310" s="37"/>
      <c r="DN310" s="37"/>
      <c r="DO310" s="37"/>
      <c r="DP310" s="37"/>
      <c r="DQ310" s="37"/>
      <c r="DR310" s="37"/>
      <c r="DS310" s="37"/>
      <c r="DT310" s="37"/>
      <c r="DU310" s="37"/>
      <c r="DV310" s="37"/>
      <c r="DW310" s="37"/>
      <c r="DX310" s="37"/>
      <c r="DY310" s="37"/>
      <c r="DZ310" s="37"/>
    </row>
    <row r="311" spans="1:130" ht="12.75" hidden="1" customHeight="1" outlineLevel="1">
      <c r="A311" s="35" t="s">
        <v>288</v>
      </c>
      <c r="B311" s="298"/>
      <c r="C311" s="298"/>
      <c r="D311" s="298"/>
      <c r="E311" s="298"/>
      <c r="F311" s="298"/>
      <c r="G311" s="298"/>
      <c r="H311" s="298"/>
      <c r="I311" s="298"/>
      <c r="J311" s="298"/>
      <c r="K311" s="298">
        <v>301</v>
      </c>
      <c r="L311" s="298">
        <v>1807</v>
      </c>
      <c r="M311" s="298">
        <v>1916</v>
      </c>
      <c r="N311" s="35"/>
      <c r="O311" s="35"/>
      <c r="P311" s="35"/>
      <c r="Q311" s="35"/>
      <c r="R311" s="35"/>
      <c r="S311" s="35"/>
      <c r="T311" s="35"/>
      <c r="U311" s="35"/>
      <c r="V311" s="35"/>
      <c r="W311" s="35"/>
      <c r="X311" s="35"/>
      <c r="Y311" s="35"/>
      <c r="Z311" s="35"/>
      <c r="AA311" s="35"/>
      <c r="AB311" s="42"/>
      <c r="AC311" s="42"/>
      <c r="AD311" s="42"/>
      <c r="AE311" s="42"/>
      <c r="AF311" s="42"/>
      <c r="AG311" s="42"/>
      <c r="AH311" s="42"/>
      <c r="AI311" s="42"/>
      <c r="AJ311" s="42"/>
      <c r="AK311" s="42"/>
      <c r="AL311" s="42"/>
      <c r="AM311" s="42"/>
      <c r="AN311" s="42"/>
      <c r="AO311" s="42"/>
      <c r="AP311" s="42"/>
      <c r="AQ311" s="42"/>
      <c r="AR311" s="42"/>
      <c r="AS311" s="42"/>
      <c r="AT311" s="42"/>
      <c r="AU311" s="42"/>
      <c r="AV311" s="42"/>
      <c r="AW311" s="42"/>
      <c r="AX311" s="42"/>
      <c r="AY311" s="42"/>
      <c r="AZ311" s="42"/>
      <c r="BA311" s="42"/>
      <c r="BB311" s="42"/>
      <c r="BC311" s="42"/>
      <c r="BD311" s="42"/>
      <c r="BE311" s="42"/>
      <c r="BF311" s="37"/>
      <c r="BG311" s="37"/>
      <c r="BH311" s="37"/>
      <c r="BI311" s="37"/>
      <c r="BJ311" s="37"/>
      <c r="BK311" s="37"/>
      <c r="BL311" s="37"/>
      <c r="BM311" s="37"/>
      <c r="BN311" s="37"/>
      <c r="BO311" s="37"/>
      <c r="BP311" s="37"/>
      <c r="BQ311" s="37"/>
      <c r="BR311" s="37"/>
      <c r="BS311" s="37"/>
      <c r="BT311" s="37"/>
      <c r="BU311" s="37"/>
      <c r="BV311" s="37"/>
      <c r="BW311" s="37"/>
      <c r="BX311" s="37"/>
      <c r="BY311" s="37"/>
      <c r="BZ311" s="37"/>
      <c r="CA311" s="37"/>
      <c r="CB311" s="37"/>
      <c r="CC311" s="37"/>
      <c r="CD311" s="37"/>
      <c r="CE311" s="37"/>
      <c r="CF311" s="37"/>
      <c r="CG311" s="37"/>
      <c r="CH311" s="37"/>
      <c r="CI311" s="37"/>
      <c r="CJ311" s="37"/>
      <c r="CO311" s="37"/>
      <c r="DK311" s="37"/>
      <c r="DL311" s="37"/>
      <c r="DM311" s="37"/>
      <c r="DN311" s="37"/>
      <c r="DO311" s="37"/>
      <c r="DP311" s="37"/>
      <c r="DQ311" s="37"/>
      <c r="DR311" s="37"/>
      <c r="DS311" s="37"/>
      <c r="DT311" s="37"/>
      <c r="DU311" s="37"/>
      <c r="DV311" s="37"/>
      <c r="DW311" s="37"/>
      <c r="DX311" s="37"/>
      <c r="DY311" s="37"/>
      <c r="DZ311" s="37"/>
    </row>
    <row r="312" spans="1:130" ht="12.75" hidden="1" customHeight="1" outlineLevel="1">
      <c r="A312" s="35" t="s">
        <v>66</v>
      </c>
      <c r="B312" s="298"/>
      <c r="C312" s="298"/>
      <c r="D312" s="298"/>
      <c r="E312" s="298"/>
      <c r="F312" s="298"/>
      <c r="G312" s="298"/>
      <c r="H312" s="298"/>
      <c r="I312" s="298"/>
      <c r="J312" s="298"/>
      <c r="K312" s="298">
        <v>3545</v>
      </c>
      <c r="L312" s="298">
        <v>3741</v>
      </c>
      <c r="M312" s="298">
        <v>3598</v>
      </c>
      <c r="N312" s="35"/>
      <c r="O312" s="35"/>
      <c r="P312" s="35"/>
      <c r="Q312" s="35"/>
      <c r="R312" s="35"/>
      <c r="S312" s="35"/>
      <c r="T312" s="35"/>
      <c r="U312" s="35"/>
      <c r="V312" s="35"/>
      <c r="W312" s="35"/>
      <c r="X312" s="35"/>
      <c r="Y312" s="35"/>
      <c r="Z312" s="35"/>
      <c r="AA312" s="35"/>
      <c r="AB312" s="42"/>
      <c r="AC312" s="42"/>
      <c r="AD312" s="42"/>
      <c r="AE312" s="42"/>
      <c r="AF312" s="42"/>
      <c r="AG312" s="42"/>
      <c r="AH312" s="42"/>
      <c r="AI312" s="42"/>
      <c r="AJ312" s="42"/>
      <c r="AK312" s="42"/>
      <c r="AL312" s="42"/>
      <c r="AM312" s="42"/>
      <c r="AN312" s="42"/>
      <c r="AO312" s="42"/>
      <c r="AP312" s="42"/>
      <c r="AQ312" s="42"/>
      <c r="AR312" s="42"/>
      <c r="AS312" s="42"/>
      <c r="AT312" s="42"/>
      <c r="AU312" s="42"/>
      <c r="AV312" s="42"/>
      <c r="AW312" s="42"/>
      <c r="AX312" s="42"/>
      <c r="AY312" s="42"/>
      <c r="AZ312" s="42"/>
      <c r="BA312" s="42"/>
      <c r="BB312" s="42"/>
      <c r="BC312" s="42"/>
      <c r="BD312" s="42"/>
      <c r="BE312" s="42"/>
      <c r="BF312" s="37"/>
      <c r="BG312" s="37"/>
      <c r="BH312" s="37"/>
      <c r="BI312" s="37"/>
      <c r="BJ312" s="37"/>
      <c r="BK312" s="37"/>
      <c r="BL312" s="37"/>
      <c r="BM312" s="37"/>
      <c r="BN312" s="37"/>
      <c r="BO312" s="37"/>
      <c r="BP312" s="37"/>
      <c r="BQ312" s="37"/>
      <c r="BR312" s="37"/>
      <c r="BS312" s="37"/>
      <c r="BT312" s="37"/>
      <c r="BU312" s="37"/>
      <c r="BV312" s="37"/>
      <c r="BW312" s="37"/>
      <c r="BX312" s="37"/>
      <c r="BY312" s="37"/>
      <c r="BZ312" s="37"/>
      <c r="CA312" s="37"/>
      <c r="CB312" s="37"/>
      <c r="CC312" s="37"/>
      <c r="CD312" s="37"/>
      <c r="CE312" s="37"/>
      <c r="CF312" s="37"/>
      <c r="CG312" s="37"/>
      <c r="CH312" s="37"/>
      <c r="CI312" s="37"/>
      <c r="CJ312" s="37"/>
      <c r="CO312" s="37"/>
      <c r="DK312" s="37"/>
      <c r="DL312" s="37"/>
      <c r="DM312" s="37"/>
      <c r="DN312" s="37"/>
      <c r="DO312" s="37"/>
      <c r="DP312" s="37"/>
      <c r="DQ312" s="37"/>
      <c r="DR312" s="37"/>
      <c r="DS312" s="37"/>
      <c r="DT312" s="37"/>
      <c r="DU312" s="37"/>
      <c r="DV312" s="37"/>
      <c r="DW312" s="37"/>
      <c r="DX312" s="37"/>
      <c r="DY312" s="37"/>
      <c r="DZ312" s="37"/>
    </row>
    <row r="313" spans="1:130" ht="12.75" hidden="1" customHeight="1" outlineLevel="1">
      <c r="A313" s="35" t="s">
        <v>289</v>
      </c>
      <c r="B313" s="298"/>
      <c r="C313" s="298"/>
      <c r="D313" s="298"/>
      <c r="E313" s="298"/>
      <c r="F313" s="298"/>
      <c r="G313" s="298"/>
      <c r="H313" s="298"/>
      <c r="I313" s="298"/>
      <c r="J313" s="298"/>
      <c r="K313" s="298">
        <v>4980</v>
      </c>
      <c r="L313" s="298">
        <v>5089</v>
      </c>
      <c r="M313" s="298">
        <v>5535</v>
      </c>
      <c r="N313" s="35"/>
      <c r="O313" s="35"/>
      <c r="P313" s="35"/>
      <c r="Q313" s="35"/>
      <c r="R313" s="35"/>
      <c r="S313" s="35"/>
      <c r="T313" s="35"/>
      <c r="U313" s="35"/>
      <c r="V313" s="35"/>
      <c r="W313" s="35"/>
      <c r="X313" s="35"/>
      <c r="Y313" s="35"/>
      <c r="Z313" s="35"/>
      <c r="AA313" s="35"/>
      <c r="AB313" s="42"/>
      <c r="AC313" s="42"/>
      <c r="AD313" s="42"/>
      <c r="AE313" s="42"/>
      <c r="AF313" s="42"/>
      <c r="AG313" s="42"/>
      <c r="AH313" s="42"/>
      <c r="AI313" s="42"/>
      <c r="AJ313" s="42"/>
      <c r="AK313" s="42"/>
      <c r="AL313" s="42"/>
      <c r="AM313" s="42"/>
      <c r="AN313" s="42"/>
      <c r="AO313" s="42"/>
      <c r="AP313" s="42"/>
      <c r="AQ313" s="42"/>
      <c r="AR313" s="42"/>
      <c r="AS313" s="42"/>
      <c r="AT313" s="42"/>
      <c r="AU313" s="42"/>
      <c r="AV313" s="42"/>
      <c r="AW313" s="42"/>
      <c r="AX313" s="42"/>
      <c r="AY313" s="42"/>
      <c r="AZ313" s="42"/>
      <c r="BA313" s="42"/>
      <c r="BB313" s="42"/>
      <c r="BC313" s="42"/>
      <c r="BD313" s="42"/>
      <c r="BE313" s="42"/>
      <c r="BF313" s="37"/>
      <c r="BG313" s="37"/>
      <c r="BH313" s="37"/>
      <c r="BI313" s="37"/>
      <c r="BJ313" s="37"/>
      <c r="BK313" s="37"/>
      <c r="BL313" s="37"/>
      <c r="BM313" s="37"/>
      <c r="BN313" s="37"/>
      <c r="BO313" s="37"/>
      <c r="BP313" s="37"/>
      <c r="BQ313" s="37"/>
      <c r="BR313" s="37"/>
      <c r="BS313" s="37"/>
      <c r="BT313" s="37"/>
      <c r="BU313" s="37"/>
      <c r="BV313" s="37"/>
      <c r="BW313" s="37"/>
      <c r="BX313" s="37"/>
      <c r="BY313" s="37"/>
      <c r="BZ313" s="37"/>
      <c r="CA313" s="37"/>
      <c r="CB313" s="37"/>
      <c r="CC313" s="37"/>
      <c r="CD313" s="37"/>
      <c r="CE313" s="37"/>
      <c r="CF313" s="37"/>
      <c r="CG313" s="37"/>
      <c r="CH313" s="37"/>
      <c r="CI313" s="37"/>
      <c r="CJ313" s="37"/>
      <c r="CO313" s="37"/>
      <c r="DK313" s="37"/>
      <c r="DL313" s="37"/>
      <c r="DM313" s="37"/>
      <c r="DN313" s="37"/>
      <c r="DO313" s="37"/>
      <c r="DP313" s="37"/>
      <c r="DQ313" s="37"/>
      <c r="DR313" s="37"/>
      <c r="DS313" s="37"/>
      <c r="DT313" s="37"/>
      <c r="DU313" s="37"/>
      <c r="DV313" s="37"/>
      <c r="DW313" s="37"/>
      <c r="DX313" s="37"/>
      <c r="DY313" s="37"/>
      <c r="DZ313" s="37"/>
    </row>
    <row r="314" spans="1:130" ht="12.75" hidden="1" customHeight="1" outlineLevel="1">
      <c r="A314" s="35" t="s">
        <v>290</v>
      </c>
      <c r="B314" s="298"/>
      <c r="C314" s="298"/>
      <c r="D314" s="298"/>
      <c r="E314" s="298"/>
      <c r="F314" s="298"/>
      <c r="G314" s="298"/>
      <c r="H314" s="298"/>
      <c r="I314" s="298"/>
      <c r="J314" s="298"/>
      <c r="K314" s="298">
        <v>3136</v>
      </c>
      <c r="L314" s="298">
        <v>3088</v>
      </c>
      <c r="M314" s="298">
        <v>3188</v>
      </c>
      <c r="N314" s="35"/>
      <c r="O314" s="35"/>
      <c r="P314" s="35"/>
      <c r="Q314" s="35"/>
      <c r="R314" s="35"/>
      <c r="S314" s="35"/>
      <c r="T314" s="35"/>
      <c r="U314" s="35"/>
      <c r="V314" s="35"/>
      <c r="W314" s="35"/>
      <c r="X314" s="35"/>
      <c r="Y314" s="35"/>
      <c r="Z314" s="35"/>
      <c r="AA314" s="35"/>
      <c r="AB314" s="42"/>
      <c r="AC314" s="42"/>
      <c r="AD314" s="42"/>
      <c r="AE314" s="42"/>
      <c r="AF314" s="42"/>
      <c r="AG314" s="42"/>
      <c r="AH314" s="42"/>
      <c r="AI314" s="42"/>
      <c r="AJ314" s="42"/>
      <c r="AK314" s="42"/>
      <c r="AL314" s="42"/>
      <c r="AM314" s="42"/>
      <c r="AN314" s="42"/>
      <c r="AO314" s="42"/>
      <c r="AP314" s="42"/>
      <c r="AQ314" s="42"/>
      <c r="AR314" s="42"/>
      <c r="AS314" s="42"/>
      <c r="AT314" s="42"/>
      <c r="AU314" s="42"/>
      <c r="AV314" s="42"/>
      <c r="AW314" s="42"/>
      <c r="AX314" s="42"/>
      <c r="AY314" s="42"/>
      <c r="AZ314" s="42"/>
      <c r="BA314" s="42"/>
      <c r="BB314" s="42"/>
      <c r="BC314" s="42"/>
      <c r="BD314" s="42"/>
      <c r="BE314" s="42"/>
      <c r="BF314" s="37"/>
      <c r="BG314" s="37"/>
      <c r="BH314" s="37"/>
      <c r="BI314" s="37"/>
      <c r="BJ314" s="37"/>
      <c r="BK314" s="37"/>
      <c r="BL314" s="37"/>
      <c r="BM314" s="37"/>
      <c r="BN314" s="37"/>
      <c r="BO314" s="37"/>
      <c r="BP314" s="37"/>
      <c r="BQ314" s="37"/>
      <c r="BR314" s="37"/>
      <c r="BS314" s="37"/>
      <c r="BT314" s="37"/>
      <c r="BU314" s="37"/>
      <c r="BV314" s="37"/>
      <c r="BW314" s="37"/>
      <c r="BX314" s="37"/>
      <c r="BY314" s="37"/>
      <c r="BZ314" s="37"/>
      <c r="CA314" s="37"/>
      <c r="CB314" s="37"/>
      <c r="CC314" s="37"/>
      <c r="CD314" s="37"/>
      <c r="CE314" s="37"/>
      <c r="CF314" s="37"/>
      <c r="CG314" s="37"/>
      <c r="CH314" s="37"/>
      <c r="CI314" s="37"/>
      <c r="CJ314" s="37"/>
      <c r="CO314" s="37"/>
      <c r="DK314" s="37"/>
      <c r="DL314" s="37"/>
      <c r="DM314" s="37"/>
      <c r="DN314" s="37"/>
      <c r="DO314" s="37"/>
      <c r="DP314" s="37"/>
      <c r="DQ314" s="37"/>
      <c r="DR314" s="37"/>
      <c r="DS314" s="37"/>
      <c r="DT314" s="37"/>
      <c r="DU314" s="37"/>
      <c r="DV314" s="37"/>
      <c r="DW314" s="37"/>
      <c r="DX314" s="37"/>
      <c r="DY314" s="37"/>
      <c r="DZ314" s="37"/>
    </row>
    <row r="315" spans="1:130" ht="12.75" hidden="1" customHeight="1" outlineLevel="1">
      <c r="A315" s="35" t="s">
        <v>291</v>
      </c>
      <c r="B315" s="298"/>
      <c r="C315" s="298"/>
      <c r="D315" s="298"/>
      <c r="E315" s="298"/>
      <c r="F315" s="298"/>
      <c r="G315" s="298"/>
      <c r="H315" s="298"/>
      <c r="I315" s="298"/>
      <c r="J315" s="298"/>
      <c r="K315" s="298">
        <v>4440</v>
      </c>
      <c r="L315" s="298">
        <v>4595</v>
      </c>
      <c r="M315" s="298">
        <v>4905</v>
      </c>
      <c r="N315" s="35"/>
      <c r="O315" s="35"/>
      <c r="P315" s="35"/>
      <c r="Q315" s="35"/>
      <c r="R315" s="35"/>
      <c r="S315" s="35"/>
      <c r="T315" s="35"/>
      <c r="U315" s="35"/>
      <c r="V315" s="35"/>
      <c r="W315" s="35"/>
      <c r="X315" s="35"/>
      <c r="Y315" s="35"/>
      <c r="Z315" s="35"/>
      <c r="AA315" s="35"/>
      <c r="AB315" s="42"/>
      <c r="AC315" s="42"/>
      <c r="AD315" s="42"/>
      <c r="AE315" s="42"/>
      <c r="AF315" s="42"/>
      <c r="AG315" s="42"/>
      <c r="AH315" s="42"/>
      <c r="AI315" s="42"/>
      <c r="AJ315" s="42"/>
      <c r="AK315" s="42"/>
      <c r="AL315" s="42"/>
      <c r="AM315" s="42"/>
      <c r="AN315" s="42"/>
      <c r="AO315" s="42"/>
      <c r="AP315" s="42"/>
      <c r="AQ315" s="42"/>
      <c r="AR315" s="42"/>
      <c r="AS315" s="42"/>
      <c r="AT315" s="42"/>
      <c r="AU315" s="42"/>
      <c r="AV315" s="42"/>
      <c r="AW315" s="42"/>
      <c r="AX315" s="42"/>
      <c r="AY315" s="42"/>
      <c r="AZ315" s="42"/>
      <c r="BA315" s="42"/>
      <c r="BB315" s="42"/>
      <c r="BC315" s="42"/>
      <c r="BD315" s="42"/>
      <c r="BE315" s="42"/>
      <c r="BF315" s="37"/>
      <c r="BG315" s="37"/>
      <c r="BH315" s="37"/>
      <c r="BI315" s="37"/>
      <c r="BJ315" s="37"/>
      <c r="BK315" s="37"/>
      <c r="BL315" s="37"/>
      <c r="BM315" s="37"/>
      <c r="BN315" s="37"/>
      <c r="BO315" s="37"/>
      <c r="BP315" s="37"/>
      <c r="BQ315" s="37"/>
      <c r="BR315" s="37"/>
      <c r="BS315" s="37"/>
      <c r="BT315" s="37"/>
      <c r="BU315" s="37"/>
      <c r="BV315" s="37"/>
      <c r="BW315" s="37"/>
      <c r="BX315" s="37"/>
      <c r="BY315" s="37"/>
      <c r="BZ315" s="37"/>
      <c r="CA315" s="37"/>
      <c r="CB315" s="37"/>
      <c r="CC315" s="37"/>
      <c r="CD315" s="37"/>
      <c r="CE315" s="37"/>
      <c r="CF315" s="37"/>
      <c r="CG315" s="37"/>
      <c r="CH315" s="37"/>
      <c r="CI315" s="37"/>
      <c r="CJ315" s="37"/>
      <c r="CO315" s="37"/>
      <c r="DK315" s="37"/>
      <c r="DL315" s="37"/>
      <c r="DM315" s="37"/>
      <c r="DN315" s="37"/>
      <c r="DO315" s="37"/>
      <c r="DP315" s="37"/>
      <c r="DQ315" s="37"/>
      <c r="DR315" s="37"/>
      <c r="DS315" s="37"/>
      <c r="DT315" s="37"/>
      <c r="DU315" s="37"/>
      <c r="DV315" s="37"/>
      <c r="DW315" s="37"/>
      <c r="DX315" s="37"/>
      <c r="DY315" s="37"/>
      <c r="DZ315" s="37"/>
    </row>
    <row r="316" spans="1:130" ht="12.75" hidden="1" customHeight="1" outlineLevel="1">
      <c r="A316" s="256" t="s">
        <v>189</v>
      </c>
      <c r="B316" s="299"/>
      <c r="C316" s="299"/>
      <c r="D316" s="299"/>
      <c r="E316" s="299"/>
      <c r="F316" s="299"/>
      <c r="G316" s="299"/>
      <c r="H316" s="299"/>
      <c r="I316" s="299"/>
      <c r="J316" s="299"/>
      <c r="K316" s="299">
        <f>SUM(K310:K315)</f>
        <v>22030</v>
      </c>
      <c r="L316" s="299">
        <f>SUM(L310:L315)</f>
        <v>23966</v>
      </c>
      <c r="M316" s="299">
        <f>SUM(M310:M315)</f>
        <v>25188</v>
      </c>
      <c r="N316" s="35"/>
      <c r="O316" s="35"/>
      <c r="P316" s="35"/>
      <c r="Q316" s="35"/>
      <c r="R316" s="35"/>
      <c r="S316" s="35"/>
      <c r="T316" s="35"/>
      <c r="U316" s="35"/>
      <c r="V316" s="35"/>
      <c r="W316" s="35"/>
      <c r="X316" s="35"/>
      <c r="Y316" s="35"/>
      <c r="Z316" s="35"/>
      <c r="AA316" s="35"/>
      <c r="AB316" s="228"/>
      <c r="AC316" s="42"/>
      <c r="AD316" s="42"/>
      <c r="AE316" s="42"/>
      <c r="AF316" s="42"/>
      <c r="AG316" s="42"/>
      <c r="AH316" s="42"/>
      <c r="AI316" s="42"/>
      <c r="AJ316" s="42"/>
      <c r="AK316" s="42"/>
      <c r="AL316" s="42"/>
      <c r="AM316" s="42"/>
      <c r="AN316" s="42"/>
      <c r="AO316" s="42"/>
      <c r="AP316" s="42"/>
      <c r="AQ316" s="42"/>
      <c r="AR316" s="42"/>
      <c r="AS316" s="42"/>
      <c r="AT316" s="42"/>
      <c r="AU316" s="42"/>
      <c r="AV316" s="42"/>
      <c r="AW316" s="42"/>
      <c r="AX316" s="42"/>
      <c r="AY316" s="42"/>
      <c r="AZ316" s="42"/>
      <c r="BA316" s="42"/>
      <c r="BB316" s="42"/>
      <c r="BC316" s="42"/>
      <c r="BD316" s="42"/>
      <c r="BE316" s="42"/>
      <c r="BF316" s="37"/>
      <c r="BG316" s="37"/>
      <c r="BH316" s="37"/>
      <c r="BI316" s="37"/>
      <c r="BJ316" s="37"/>
      <c r="BK316" s="37"/>
      <c r="BL316" s="37"/>
      <c r="BM316" s="37"/>
      <c r="BN316" s="37"/>
      <c r="BO316" s="37"/>
      <c r="BP316" s="37"/>
      <c r="BQ316" s="37"/>
      <c r="BR316" s="37"/>
      <c r="BS316" s="37"/>
      <c r="BT316" s="37"/>
      <c r="BU316" s="37"/>
      <c r="BV316" s="37"/>
      <c r="BW316" s="37"/>
      <c r="BX316" s="37"/>
      <c r="BY316" s="37"/>
      <c r="BZ316" s="37"/>
      <c r="CA316" s="37"/>
      <c r="CB316" s="37"/>
      <c r="CC316" s="37"/>
      <c r="CD316" s="37"/>
      <c r="CE316" s="37"/>
      <c r="CF316" s="37"/>
      <c r="CG316" s="37"/>
      <c r="CH316" s="37"/>
      <c r="CI316" s="37"/>
      <c r="CJ316" s="37"/>
      <c r="CO316" s="37"/>
      <c r="DK316" s="37"/>
      <c r="DL316" s="37"/>
      <c r="DM316" s="37"/>
      <c r="DN316" s="37"/>
      <c r="DO316" s="37"/>
      <c r="DP316" s="37"/>
      <c r="DQ316" s="37"/>
      <c r="DR316" s="37"/>
      <c r="DS316" s="37"/>
      <c r="DT316" s="37"/>
      <c r="DU316" s="37"/>
      <c r="DV316" s="37"/>
      <c r="DW316" s="37"/>
      <c r="DX316" s="37"/>
      <c r="DY316" s="37"/>
      <c r="DZ316" s="37"/>
    </row>
    <row r="317" spans="1:130" ht="6" hidden="1" customHeight="1" outlineLevel="1">
      <c r="A317" s="256"/>
      <c r="B317" s="299"/>
      <c r="C317" s="299"/>
      <c r="D317" s="299"/>
      <c r="E317" s="299"/>
      <c r="F317" s="299"/>
      <c r="G317" s="299"/>
      <c r="H317" s="299"/>
      <c r="I317" s="299"/>
      <c r="J317" s="299"/>
      <c r="K317" s="299"/>
      <c r="L317" s="299"/>
      <c r="M317" s="299"/>
      <c r="N317" s="35"/>
      <c r="O317" s="35"/>
      <c r="P317" s="35"/>
      <c r="Q317" s="35"/>
      <c r="R317" s="35"/>
      <c r="S317" s="35"/>
      <c r="T317" s="35"/>
      <c r="U317" s="35"/>
      <c r="V317" s="35"/>
      <c r="W317" s="35"/>
      <c r="X317" s="35"/>
      <c r="Y317" s="35"/>
      <c r="Z317" s="35"/>
      <c r="AA317" s="35"/>
      <c r="AB317" s="228"/>
      <c r="AC317" s="42"/>
      <c r="AD317" s="42"/>
      <c r="AE317" s="42"/>
      <c r="AF317" s="42"/>
      <c r="AG317" s="42"/>
      <c r="AH317" s="42"/>
      <c r="AI317" s="42"/>
      <c r="AJ317" s="42"/>
      <c r="AK317" s="42"/>
      <c r="AL317" s="42"/>
      <c r="AM317" s="42"/>
      <c r="AN317" s="42"/>
      <c r="AO317" s="42"/>
      <c r="AP317" s="42"/>
      <c r="AQ317" s="42"/>
      <c r="AR317" s="42"/>
      <c r="AS317" s="42"/>
      <c r="AT317" s="42"/>
      <c r="AU317" s="42"/>
      <c r="AV317" s="42"/>
      <c r="AW317" s="42"/>
      <c r="AX317" s="42"/>
      <c r="AY317" s="42"/>
      <c r="AZ317" s="42"/>
      <c r="BA317" s="42"/>
      <c r="BB317" s="42"/>
      <c r="BC317" s="42"/>
      <c r="BD317" s="42"/>
      <c r="BE317" s="42"/>
      <c r="BF317" s="37"/>
      <c r="BG317" s="37"/>
      <c r="BH317" s="37"/>
      <c r="BI317" s="37"/>
      <c r="BJ317" s="37"/>
      <c r="BK317" s="37"/>
      <c r="BL317" s="37"/>
      <c r="BM317" s="37"/>
      <c r="BN317" s="37"/>
      <c r="BO317" s="37"/>
      <c r="BP317" s="37"/>
      <c r="BQ317" s="37"/>
      <c r="BR317" s="37"/>
      <c r="BS317" s="37"/>
      <c r="BT317" s="37"/>
      <c r="BU317" s="37"/>
      <c r="BV317" s="37"/>
      <c r="BW317" s="37"/>
      <c r="BX317" s="37"/>
      <c r="BY317" s="37"/>
      <c r="BZ317" s="37"/>
      <c r="CA317" s="37"/>
      <c r="CB317" s="37"/>
      <c r="CC317" s="37"/>
      <c r="CD317" s="37"/>
      <c r="CE317" s="37"/>
      <c r="CF317" s="37"/>
      <c r="CG317" s="37"/>
      <c r="CH317" s="37"/>
      <c r="CI317" s="37"/>
      <c r="CJ317" s="37"/>
      <c r="CO317" s="37"/>
      <c r="DK317" s="37"/>
      <c r="DL317" s="37"/>
      <c r="DM317" s="37"/>
      <c r="DN317" s="37"/>
      <c r="DO317" s="37"/>
      <c r="DP317" s="37"/>
      <c r="DQ317" s="37"/>
      <c r="DR317" s="37"/>
      <c r="DS317" s="37"/>
      <c r="DT317" s="37"/>
      <c r="DU317" s="37"/>
      <c r="DV317" s="37"/>
      <c r="DW317" s="37"/>
      <c r="DX317" s="37"/>
      <c r="DY317" s="37"/>
      <c r="DZ317" s="37"/>
    </row>
    <row r="318" spans="1:130" ht="12.75" hidden="1" customHeight="1" outlineLevel="1">
      <c r="A318" s="35" t="s">
        <v>292</v>
      </c>
      <c r="B318" s="298"/>
      <c r="C318" s="298"/>
      <c r="D318" s="298"/>
      <c r="E318" s="298"/>
      <c r="F318" s="298"/>
      <c r="G318" s="298"/>
      <c r="H318" s="298"/>
      <c r="I318" s="298"/>
      <c r="J318" s="298"/>
      <c r="K318" s="298" t="e">
        <f>#REF!</f>
        <v>#REF!</v>
      </c>
      <c r="L318" s="298"/>
      <c r="M318" s="298"/>
      <c r="N318" s="35"/>
      <c r="O318" s="35"/>
      <c r="P318" s="35"/>
      <c r="Q318" s="35"/>
      <c r="R318" s="35"/>
      <c r="S318" s="35"/>
      <c r="T318" s="35"/>
      <c r="U318" s="35"/>
      <c r="V318" s="35"/>
      <c r="W318" s="35"/>
      <c r="X318" s="35"/>
      <c r="Y318" s="35"/>
      <c r="Z318" s="35"/>
      <c r="AA318" s="35"/>
      <c r="AB318" s="42"/>
      <c r="AC318" s="42"/>
      <c r="AD318" s="42"/>
      <c r="AE318" s="42"/>
      <c r="AF318" s="42"/>
      <c r="AG318" s="42"/>
      <c r="AH318" s="42"/>
      <c r="AI318" s="42"/>
      <c r="AJ318" s="42"/>
      <c r="AK318" s="42"/>
      <c r="AL318" s="42"/>
      <c r="AM318" s="42"/>
      <c r="AN318" s="42"/>
      <c r="AO318" s="42"/>
      <c r="AP318" s="42"/>
      <c r="AQ318" s="42"/>
      <c r="AR318" s="42"/>
      <c r="AS318" s="42"/>
      <c r="AT318" s="42"/>
      <c r="AU318" s="42"/>
      <c r="AV318" s="42"/>
      <c r="AW318" s="42"/>
      <c r="AX318" s="42"/>
      <c r="AY318" s="42"/>
      <c r="AZ318" s="42"/>
      <c r="BA318" s="42"/>
      <c r="BB318" s="42"/>
      <c r="BC318" s="42"/>
      <c r="BD318" s="42"/>
      <c r="BE318" s="42"/>
      <c r="BF318" s="37"/>
      <c r="BG318" s="37"/>
      <c r="BH318" s="37"/>
      <c r="BI318" s="37"/>
      <c r="BJ318" s="37"/>
      <c r="BK318" s="37"/>
      <c r="BL318" s="37"/>
      <c r="BM318" s="37"/>
      <c r="BN318" s="37"/>
      <c r="BO318" s="37"/>
      <c r="BP318" s="37"/>
      <c r="BQ318" s="37"/>
      <c r="BR318" s="37"/>
      <c r="BS318" s="37"/>
      <c r="BT318" s="37"/>
      <c r="BU318" s="37"/>
      <c r="BV318" s="37"/>
      <c r="BW318" s="37"/>
      <c r="BX318" s="37"/>
      <c r="BY318" s="37"/>
      <c r="BZ318" s="37"/>
      <c r="CA318" s="37"/>
      <c r="CB318" s="37"/>
      <c r="CC318" s="37"/>
      <c r="CD318" s="37"/>
      <c r="CE318" s="37"/>
      <c r="CF318" s="37"/>
      <c r="CG318" s="37"/>
      <c r="CH318" s="37"/>
      <c r="CI318" s="37"/>
      <c r="CJ318" s="37"/>
      <c r="CO318" s="37"/>
      <c r="DK318" s="37"/>
      <c r="DL318" s="37"/>
      <c r="DM318" s="37"/>
      <c r="DN318" s="37"/>
      <c r="DO318" s="37"/>
      <c r="DP318" s="37"/>
      <c r="DQ318" s="37"/>
      <c r="DR318" s="37"/>
      <c r="DS318" s="37"/>
      <c r="DT318" s="37"/>
      <c r="DU318" s="37"/>
      <c r="DV318" s="37"/>
      <c r="DW318" s="37"/>
      <c r="DX318" s="37"/>
      <c r="DY318" s="37"/>
      <c r="DZ318" s="37"/>
    </row>
    <row r="319" spans="1:130" ht="12.75" hidden="1" customHeight="1" outlineLevel="1">
      <c r="A319" s="300" t="s">
        <v>293</v>
      </c>
      <c r="B319" s="301"/>
      <c r="C319" s="301"/>
      <c r="D319" s="301"/>
      <c r="E319" s="301"/>
      <c r="F319" s="301"/>
      <c r="G319" s="301"/>
      <c r="H319" s="301"/>
      <c r="I319" s="301"/>
      <c r="J319" s="301"/>
      <c r="K319" s="301"/>
      <c r="L319" s="301"/>
      <c r="M319" s="301"/>
      <c r="N319" s="302"/>
      <c r="O319" s="302"/>
      <c r="P319" s="302"/>
      <c r="Q319" s="302"/>
      <c r="R319" s="302"/>
      <c r="S319" s="302"/>
      <c r="T319" s="302"/>
      <c r="U319" s="302"/>
      <c r="V319" s="302"/>
      <c r="W319" s="302"/>
      <c r="X319" s="302"/>
      <c r="Y319" s="302"/>
      <c r="Z319" s="302"/>
      <c r="AA319" s="302"/>
      <c r="AB319" s="303"/>
      <c r="AC319" s="126"/>
      <c r="AD319" s="126"/>
      <c r="AE319" s="126"/>
      <c r="AF319" s="126"/>
      <c r="AG319" s="126"/>
      <c r="AH319" s="126"/>
      <c r="AI319" s="126"/>
      <c r="AJ319" s="126"/>
      <c r="AK319" s="126"/>
      <c r="AL319" s="126"/>
      <c r="AM319" s="126"/>
      <c r="AN319" s="126"/>
      <c r="AO319" s="126"/>
      <c r="AP319" s="126"/>
      <c r="AQ319" s="126"/>
      <c r="AR319" s="126"/>
      <c r="AS319" s="126"/>
      <c r="AT319" s="126"/>
      <c r="AU319" s="126"/>
      <c r="AV319" s="126"/>
      <c r="AW319" s="126"/>
      <c r="AX319" s="126"/>
      <c r="AY319" s="126"/>
      <c r="AZ319" s="126"/>
      <c r="BA319" s="126"/>
      <c r="BB319" s="126"/>
      <c r="BC319" s="126"/>
      <c r="BD319" s="126"/>
      <c r="BE319" s="126"/>
      <c r="BF319" s="304"/>
      <c r="BG319" s="304"/>
      <c r="BH319" s="304"/>
      <c r="BI319" s="304"/>
      <c r="BJ319" s="304"/>
      <c r="BK319" s="304"/>
      <c r="BL319" s="304"/>
      <c r="BM319" s="304"/>
      <c r="BN319" s="304"/>
      <c r="BO319" s="304"/>
      <c r="BP319" s="304"/>
      <c r="BQ319" s="304"/>
      <c r="BR319" s="304"/>
      <c r="BS319" s="304"/>
      <c r="BT319" s="304"/>
      <c r="BU319" s="304"/>
      <c r="BV319" s="304"/>
      <c r="BW319" s="304"/>
      <c r="BX319" s="304"/>
      <c r="BY319" s="304"/>
      <c r="BZ319" s="304"/>
      <c r="CA319" s="304"/>
      <c r="CB319" s="304"/>
      <c r="CC319" s="304"/>
      <c r="CD319" s="304"/>
      <c r="CE319" s="304"/>
      <c r="CF319" s="304"/>
      <c r="CG319" s="304"/>
      <c r="CH319" s="304"/>
      <c r="CI319" s="304"/>
      <c r="CJ319" s="304"/>
      <c r="CO319" s="304"/>
      <c r="DK319" s="304"/>
      <c r="DL319" s="304"/>
      <c r="DM319" s="304"/>
      <c r="DN319" s="304"/>
      <c r="DO319" s="304"/>
      <c r="DP319" s="304"/>
      <c r="DQ319" s="304"/>
      <c r="DR319" s="304"/>
      <c r="DS319" s="304"/>
      <c r="DT319" s="304"/>
      <c r="DU319" s="304"/>
      <c r="DV319" s="304"/>
      <c r="DW319" s="304"/>
      <c r="DX319" s="304"/>
      <c r="DY319" s="304"/>
      <c r="DZ319" s="304"/>
    </row>
    <row r="320" spans="1:130" ht="12.75" hidden="1" customHeight="1" outlineLevel="1">
      <c r="A320" s="261" t="s">
        <v>294</v>
      </c>
      <c r="B320" s="305"/>
      <c r="C320" s="305"/>
      <c r="D320" s="305"/>
      <c r="E320" s="305"/>
      <c r="F320" s="305"/>
      <c r="G320" s="305"/>
      <c r="H320" s="305"/>
      <c r="I320" s="305"/>
      <c r="J320" s="305"/>
      <c r="K320" s="305"/>
      <c r="L320" s="305"/>
      <c r="M320" s="305"/>
      <c r="N320" s="35"/>
      <c r="O320" s="35"/>
      <c r="P320" s="35"/>
      <c r="Q320" s="35"/>
      <c r="R320" s="35"/>
      <c r="S320" s="35"/>
      <c r="T320" s="35"/>
      <c r="U320" s="35"/>
      <c r="V320" s="35"/>
      <c r="W320" s="35"/>
      <c r="X320" s="35"/>
      <c r="Y320" s="35"/>
      <c r="Z320" s="35"/>
      <c r="AA320" s="35"/>
      <c r="AB320" s="206"/>
      <c r="AC320" s="42"/>
      <c r="AD320" s="42"/>
      <c r="AE320" s="42"/>
      <c r="AF320" s="42"/>
      <c r="AG320" s="42"/>
      <c r="AH320" s="42"/>
      <c r="AI320" s="42"/>
      <c r="AJ320" s="42"/>
      <c r="AK320" s="42"/>
      <c r="AL320" s="42"/>
      <c r="AM320" s="42"/>
      <c r="AN320" s="42"/>
      <c r="AO320" s="42"/>
      <c r="AP320" s="42"/>
      <c r="AQ320" s="42"/>
      <c r="AR320" s="42"/>
      <c r="AS320" s="42"/>
      <c r="AT320" s="42"/>
      <c r="AU320" s="42"/>
      <c r="AV320" s="42"/>
      <c r="AW320" s="42"/>
      <c r="AX320" s="42"/>
      <c r="AY320" s="42"/>
      <c r="AZ320" s="42"/>
      <c r="BA320" s="42"/>
      <c r="BB320" s="42"/>
      <c r="BC320" s="42"/>
      <c r="BD320" s="42"/>
      <c r="BE320" s="42"/>
      <c r="BF320" s="37"/>
      <c r="BG320" s="37"/>
      <c r="BH320" s="37"/>
      <c r="BI320" s="37"/>
      <c r="BJ320" s="37"/>
      <c r="BK320" s="37"/>
      <c r="BL320" s="37"/>
      <c r="BM320" s="37"/>
      <c r="BN320" s="37"/>
      <c r="BO320" s="37"/>
      <c r="BP320" s="37"/>
      <c r="BQ320" s="37"/>
      <c r="BR320" s="37"/>
      <c r="BS320" s="37"/>
      <c r="BT320" s="37"/>
      <c r="BU320" s="37"/>
      <c r="BV320" s="37"/>
      <c r="BW320" s="37"/>
      <c r="BX320" s="37"/>
      <c r="BY320" s="37"/>
      <c r="BZ320" s="37"/>
      <c r="CA320" s="37"/>
      <c r="CB320" s="37"/>
      <c r="CC320" s="37"/>
      <c r="CD320" s="37"/>
      <c r="CE320" s="37"/>
      <c r="CF320" s="37"/>
      <c r="CG320" s="37"/>
      <c r="CH320" s="37"/>
      <c r="CI320" s="37"/>
      <c r="CJ320" s="37"/>
      <c r="CO320" s="37"/>
      <c r="DK320" s="37"/>
      <c r="DL320" s="37"/>
      <c r="DM320" s="37"/>
      <c r="DN320" s="37"/>
      <c r="DO320" s="37"/>
      <c r="DP320" s="37"/>
      <c r="DQ320" s="37"/>
      <c r="DR320" s="37"/>
      <c r="DS320" s="37"/>
      <c r="DT320" s="37"/>
      <c r="DU320" s="37"/>
      <c r="DV320" s="37"/>
      <c r="DW320" s="37"/>
      <c r="DX320" s="37"/>
      <c r="DY320" s="37"/>
      <c r="DZ320" s="37"/>
    </row>
    <row r="321" spans="1:130" ht="12.75" hidden="1" customHeight="1" outlineLevel="1">
      <c r="A321" s="35"/>
      <c r="B321" s="298"/>
      <c r="C321" s="298"/>
      <c r="D321" s="298"/>
      <c r="E321" s="298"/>
      <c r="F321" s="298"/>
      <c r="G321" s="298"/>
      <c r="H321" s="298"/>
      <c r="I321" s="298"/>
      <c r="J321" s="298"/>
      <c r="K321" s="298"/>
      <c r="L321" s="298"/>
      <c r="M321" s="298"/>
      <c r="N321" s="35"/>
      <c r="O321" s="35"/>
      <c r="P321" s="35"/>
      <c r="Q321" s="35"/>
      <c r="R321" s="35"/>
      <c r="S321" s="35"/>
      <c r="T321" s="35"/>
      <c r="U321" s="35"/>
      <c r="V321" s="35"/>
      <c r="W321" s="35"/>
      <c r="X321" s="35"/>
      <c r="Y321" s="35"/>
      <c r="Z321" s="35"/>
      <c r="AA321" s="35"/>
      <c r="AB321" s="42"/>
      <c r="AC321" s="42"/>
      <c r="AD321" s="42"/>
      <c r="AE321" s="42"/>
      <c r="AF321" s="42"/>
      <c r="AG321" s="42"/>
      <c r="AH321" s="42"/>
      <c r="AI321" s="42"/>
      <c r="AJ321" s="42"/>
      <c r="AK321" s="42"/>
      <c r="AL321" s="42"/>
      <c r="AM321" s="42"/>
      <c r="AN321" s="42"/>
      <c r="AO321" s="42"/>
      <c r="AP321" s="42"/>
      <c r="AQ321" s="42"/>
      <c r="AR321" s="42"/>
      <c r="AS321" s="42"/>
      <c r="AT321" s="42"/>
      <c r="AU321" s="42"/>
      <c r="AV321" s="42"/>
      <c r="AW321" s="42"/>
      <c r="AX321" s="42"/>
      <c r="AY321" s="42"/>
      <c r="AZ321" s="42"/>
      <c r="BA321" s="42"/>
      <c r="BB321" s="42"/>
      <c r="BC321" s="42"/>
      <c r="BD321" s="42"/>
      <c r="BE321" s="42"/>
      <c r="BF321" s="37"/>
      <c r="BG321" s="37"/>
      <c r="BH321" s="37"/>
      <c r="BI321" s="37"/>
      <c r="BJ321" s="37"/>
      <c r="BK321" s="37"/>
      <c r="BL321" s="37"/>
      <c r="BM321" s="37"/>
      <c r="BN321" s="37"/>
      <c r="BO321" s="37"/>
      <c r="BP321" s="37"/>
      <c r="BQ321" s="37"/>
      <c r="BR321" s="37"/>
      <c r="BS321" s="37"/>
      <c r="BT321" s="37"/>
      <c r="BU321" s="37"/>
      <c r="BV321" s="37"/>
      <c r="BW321" s="37"/>
      <c r="BX321" s="37"/>
      <c r="BY321" s="37"/>
      <c r="BZ321" s="37"/>
      <c r="CA321" s="37"/>
      <c r="CB321" s="37"/>
      <c r="CC321" s="37"/>
      <c r="CD321" s="37"/>
      <c r="CE321" s="37"/>
      <c r="CF321" s="37"/>
      <c r="CG321" s="37"/>
      <c r="CH321" s="37"/>
      <c r="CI321" s="37"/>
      <c r="CJ321" s="37"/>
      <c r="CO321" s="37"/>
      <c r="DK321" s="37"/>
      <c r="DL321" s="37"/>
      <c r="DM321" s="37"/>
      <c r="DN321" s="37"/>
      <c r="DO321" s="37"/>
      <c r="DP321" s="37"/>
      <c r="DQ321" s="37"/>
      <c r="DR321" s="37"/>
      <c r="DS321" s="37"/>
      <c r="DT321" s="37"/>
      <c r="DU321" s="37"/>
      <c r="DV321" s="37"/>
      <c r="DW321" s="37"/>
      <c r="DX321" s="37"/>
      <c r="DY321" s="37"/>
      <c r="DZ321" s="37"/>
    </row>
    <row r="322" spans="1:130" ht="12.75" hidden="1" customHeight="1" outlineLevel="1">
      <c r="A322" s="296" t="s">
        <v>295</v>
      </c>
      <c r="B322" s="298"/>
      <c r="C322" s="298"/>
      <c r="D322" s="298"/>
      <c r="E322" s="298"/>
      <c r="F322" s="298"/>
      <c r="G322" s="298"/>
      <c r="H322" s="298"/>
      <c r="I322" s="298"/>
      <c r="J322" s="298"/>
      <c r="K322" s="298"/>
      <c r="L322" s="298"/>
      <c r="M322" s="298"/>
      <c r="N322" s="35"/>
      <c r="O322" s="35"/>
      <c r="P322" s="35"/>
      <c r="Q322" s="35"/>
      <c r="R322" s="35"/>
      <c r="S322" s="35"/>
      <c r="T322" s="35"/>
      <c r="U322" s="35"/>
      <c r="V322" s="35"/>
      <c r="W322" s="35"/>
      <c r="X322" s="35"/>
      <c r="Y322" s="35"/>
      <c r="Z322" s="35"/>
      <c r="AA322" s="35"/>
      <c r="AB322" s="297"/>
      <c r="AC322" s="42"/>
      <c r="AD322" s="42"/>
      <c r="AE322" s="42"/>
      <c r="AF322" s="42"/>
      <c r="AG322" s="42"/>
      <c r="AH322" s="42"/>
      <c r="AI322" s="42"/>
      <c r="AJ322" s="42"/>
      <c r="AK322" s="42"/>
      <c r="AL322" s="42"/>
      <c r="AM322" s="42"/>
      <c r="AN322" s="42"/>
      <c r="AO322" s="42"/>
      <c r="AP322" s="42"/>
      <c r="AQ322" s="42"/>
      <c r="AR322" s="42"/>
      <c r="AS322" s="42"/>
      <c r="AT322" s="42"/>
      <c r="AU322" s="42"/>
      <c r="AV322" s="42"/>
      <c r="AW322" s="42"/>
      <c r="AX322" s="42"/>
      <c r="AY322" s="42"/>
      <c r="AZ322" s="42"/>
      <c r="BA322" s="42"/>
      <c r="BB322" s="42"/>
      <c r="BC322" s="42"/>
      <c r="BD322" s="42"/>
      <c r="BE322" s="42"/>
      <c r="BF322" s="37"/>
      <c r="BG322" s="37"/>
      <c r="BH322" s="37"/>
      <c r="BI322" s="37"/>
      <c r="BJ322" s="37"/>
      <c r="BK322" s="37"/>
      <c r="BL322" s="37"/>
      <c r="BM322" s="37"/>
      <c r="BN322" s="37"/>
      <c r="BO322" s="37"/>
      <c r="BP322" s="37"/>
      <c r="BQ322" s="37"/>
      <c r="BR322" s="37"/>
      <c r="BS322" s="37"/>
      <c r="BT322" s="37"/>
      <c r="BU322" s="37"/>
      <c r="BV322" s="37"/>
      <c r="BW322" s="37"/>
      <c r="BX322" s="37"/>
      <c r="BY322" s="37"/>
      <c r="BZ322" s="37"/>
      <c r="CA322" s="37"/>
      <c r="CB322" s="37"/>
      <c r="CC322" s="37"/>
      <c r="CD322" s="37"/>
      <c r="CE322" s="37"/>
      <c r="CF322" s="37"/>
      <c r="CG322" s="37"/>
      <c r="CH322" s="37"/>
      <c r="CI322" s="37"/>
      <c r="CJ322" s="37"/>
      <c r="CO322" s="37"/>
      <c r="DK322" s="37"/>
      <c r="DL322" s="37"/>
      <c r="DM322" s="37"/>
      <c r="DN322" s="37"/>
      <c r="DO322" s="37"/>
      <c r="DP322" s="37"/>
      <c r="DQ322" s="37"/>
      <c r="DR322" s="37"/>
      <c r="DS322" s="37"/>
      <c r="DT322" s="37"/>
      <c r="DU322" s="37"/>
      <c r="DV322" s="37"/>
      <c r="DW322" s="37"/>
      <c r="DX322" s="37"/>
      <c r="DY322" s="37"/>
      <c r="DZ322" s="37"/>
    </row>
    <row r="323" spans="1:130" ht="12.75" hidden="1" customHeight="1" outlineLevel="1">
      <c r="A323" s="35" t="s">
        <v>63</v>
      </c>
      <c r="B323" s="298"/>
      <c r="C323" s="298"/>
      <c r="D323" s="298"/>
      <c r="E323" s="298"/>
      <c r="F323" s="298"/>
      <c r="G323" s="298"/>
      <c r="H323" s="298"/>
      <c r="I323" s="298"/>
      <c r="J323" s="298"/>
      <c r="K323" s="298">
        <v>2330</v>
      </c>
      <c r="L323" s="298">
        <v>2323</v>
      </c>
      <c r="M323" s="298">
        <v>2598</v>
      </c>
      <c r="N323" s="35"/>
      <c r="O323" s="35"/>
      <c r="P323" s="35"/>
      <c r="Q323" s="35"/>
      <c r="R323" s="35"/>
      <c r="S323" s="35"/>
      <c r="T323" s="35"/>
      <c r="U323" s="35"/>
      <c r="V323" s="35"/>
      <c r="W323" s="35"/>
      <c r="X323" s="35"/>
      <c r="Y323" s="35"/>
      <c r="Z323" s="35"/>
      <c r="AA323" s="35"/>
      <c r="AB323" s="42"/>
      <c r="AC323" s="42"/>
      <c r="AD323" s="42"/>
      <c r="AE323" s="42"/>
      <c r="AF323" s="42"/>
      <c r="AG323" s="42"/>
      <c r="AH323" s="42"/>
      <c r="AI323" s="42"/>
      <c r="AJ323" s="42"/>
      <c r="AK323" s="42"/>
      <c r="AL323" s="42"/>
      <c r="AM323" s="42"/>
      <c r="AN323" s="42"/>
      <c r="AO323" s="42"/>
      <c r="AP323" s="42"/>
      <c r="AQ323" s="42"/>
      <c r="AR323" s="42"/>
      <c r="AS323" s="42"/>
      <c r="AT323" s="42"/>
      <c r="AU323" s="42"/>
      <c r="AV323" s="42"/>
      <c r="AW323" s="42"/>
      <c r="AX323" s="42"/>
      <c r="AY323" s="42"/>
      <c r="AZ323" s="42"/>
      <c r="BA323" s="42"/>
      <c r="BB323" s="42"/>
      <c r="BC323" s="42"/>
      <c r="BD323" s="42"/>
      <c r="BE323" s="42"/>
      <c r="BF323" s="37"/>
      <c r="BG323" s="37"/>
      <c r="BH323" s="37"/>
      <c r="BI323" s="37"/>
      <c r="BJ323" s="37"/>
      <c r="BK323" s="37"/>
      <c r="BL323" s="37"/>
      <c r="BM323" s="37"/>
      <c r="BN323" s="37"/>
      <c r="BO323" s="37"/>
      <c r="BP323" s="37"/>
      <c r="BQ323" s="37"/>
      <c r="BR323" s="37"/>
      <c r="BS323" s="37"/>
      <c r="BT323" s="37"/>
      <c r="BU323" s="37"/>
      <c r="BV323" s="37"/>
      <c r="BW323" s="37"/>
      <c r="BX323" s="37"/>
      <c r="BY323" s="37"/>
      <c r="BZ323" s="37"/>
      <c r="CA323" s="37"/>
      <c r="CB323" s="37"/>
      <c r="CC323" s="37"/>
      <c r="CD323" s="37"/>
      <c r="CE323" s="37"/>
      <c r="CF323" s="37"/>
      <c r="CG323" s="37"/>
      <c r="CH323" s="37"/>
      <c r="CI323" s="37"/>
      <c r="CJ323" s="37"/>
      <c r="CO323" s="37"/>
      <c r="DK323" s="37"/>
      <c r="DL323" s="37"/>
      <c r="DM323" s="37"/>
      <c r="DN323" s="37"/>
      <c r="DO323" s="37"/>
      <c r="DP323" s="37"/>
      <c r="DQ323" s="37"/>
      <c r="DR323" s="37"/>
      <c r="DS323" s="37"/>
      <c r="DT323" s="37"/>
      <c r="DU323" s="37"/>
      <c r="DV323" s="37"/>
      <c r="DW323" s="37"/>
      <c r="DX323" s="37"/>
      <c r="DY323" s="37"/>
      <c r="DZ323" s="37"/>
    </row>
    <row r="324" spans="1:130" ht="12.75" hidden="1" customHeight="1" outlineLevel="1">
      <c r="A324" s="35" t="s">
        <v>288</v>
      </c>
      <c r="B324" s="298"/>
      <c r="C324" s="298"/>
      <c r="D324" s="298"/>
      <c r="E324" s="298"/>
      <c r="F324" s="298"/>
      <c r="G324" s="298"/>
      <c r="H324" s="298"/>
      <c r="I324" s="298"/>
      <c r="J324" s="298"/>
      <c r="K324" s="298">
        <v>2446</v>
      </c>
      <c r="L324" s="298">
        <v>5234</v>
      </c>
      <c r="M324" s="298">
        <v>5785</v>
      </c>
      <c r="N324" s="35"/>
      <c r="O324" s="35"/>
      <c r="P324" s="35"/>
      <c r="Q324" s="35"/>
      <c r="R324" s="35"/>
      <c r="S324" s="35"/>
      <c r="T324" s="35"/>
      <c r="U324" s="35"/>
      <c r="V324" s="35"/>
      <c r="W324" s="35"/>
      <c r="X324" s="35"/>
      <c r="Y324" s="35"/>
      <c r="Z324" s="35"/>
      <c r="AA324" s="35"/>
      <c r="AB324" s="42"/>
      <c r="AC324" s="42"/>
      <c r="AD324" s="42"/>
      <c r="AE324" s="42"/>
      <c r="AF324" s="42"/>
      <c r="AG324" s="42"/>
      <c r="AH324" s="42"/>
      <c r="AI324" s="42"/>
      <c r="AJ324" s="42"/>
      <c r="AK324" s="42"/>
      <c r="AL324" s="42"/>
      <c r="AM324" s="42"/>
      <c r="AN324" s="42"/>
      <c r="AO324" s="42"/>
      <c r="AP324" s="42"/>
      <c r="AQ324" s="42"/>
      <c r="AR324" s="42"/>
      <c r="AS324" s="42"/>
      <c r="AT324" s="42"/>
      <c r="AU324" s="42"/>
      <c r="AV324" s="42"/>
      <c r="AW324" s="42"/>
      <c r="AX324" s="42"/>
      <c r="AY324" s="42"/>
      <c r="AZ324" s="42"/>
      <c r="BA324" s="42"/>
      <c r="BB324" s="42"/>
      <c r="BC324" s="42"/>
      <c r="BD324" s="42"/>
      <c r="BE324" s="42"/>
      <c r="BF324" s="37"/>
      <c r="BG324" s="37"/>
      <c r="BH324" s="37"/>
      <c r="BI324" s="37"/>
      <c r="BJ324" s="37"/>
      <c r="BK324" s="37"/>
      <c r="BL324" s="37"/>
      <c r="BM324" s="37"/>
      <c r="BN324" s="37"/>
      <c r="BO324" s="37"/>
      <c r="BP324" s="37"/>
      <c r="BQ324" s="37"/>
      <c r="BR324" s="37"/>
      <c r="BS324" s="37"/>
      <c r="BT324" s="37"/>
      <c r="BU324" s="37"/>
      <c r="BV324" s="37"/>
      <c r="BW324" s="37"/>
      <c r="BX324" s="37"/>
      <c r="BY324" s="37"/>
      <c r="BZ324" s="37"/>
      <c r="CA324" s="37"/>
      <c r="CB324" s="37"/>
      <c r="CC324" s="37"/>
      <c r="CD324" s="37"/>
      <c r="CE324" s="37"/>
      <c r="CF324" s="37"/>
      <c r="CG324" s="37"/>
      <c r="CH324" s="37"/>
      <c r="CI324" s="37"/>
      <c r="CJ324" s="37"/>
      <c r="CO324" s="37"/>
      <c r="DK324" s="37"/>
      <c r="DL324" s="37"/>
      <c r="DM324" s="37"/>
      <c r="DN324" s="37"/>
      <c r="DO324" s="37"/>
      <c r="DP324" s="37"/>
      <c r="DQ324" s="37"/>
      <c r="DR324" s="37"/>
      <c r="DS324" s="37"/>
      <c r="DT324" s="37"/>
      <c r="DU324" s="37"/>
      <c r="DV324" s="37"/>
      <c r="DW324" s="37"/>
      <c r="DX324" s="37"/>
      <c r="DY324" s="37"/>
      <c r="DZ324" s="37"/>
    </row>
    <row r="325" spans="1:130" ht="12.75" hidden="1" customHeight="1" outlineLevel="1">
      <c r="A325" s="35" t="s">
        <v>66</v>
      </c>
      <c r="B325" s="298"/>
      <c r="C325" s="298"/>
      <c r="D325" s="298"/>
      <c r="E325" s="298"/>
      <c r="F325" s="298"/>
      <c r="G325" s="298"/>
      <c r="H325" s="298"/>
      <c r="I325" s="298"/>
      <c r="J325" s="298"/>
      <c r="K325" s="298">
        <v>2390</v>
      </c>
      <c r="L325" s="298">
        <v>2511</v>
      </c>
      <c r="M325" s="298">
        <v>3158</v>
      </c>
      <c r="N325" s="35"/>
      <c r="O325" s="35"/>
      <c r="P325" s="35"/>
      <c r="Q325" s="35"/>
      <c r="R325" s="35"/>
      <c r="S325" s="35"/>
      <c r="T325" s="35"/>
      <c r="U325" s="35"/>
      <c r="V325" s="35"/>
      <c r="W325" s="35"/>
      <c r="X325" s="35"/>
      <c r="Y325" s="35"/>
      <c r="Z325" s="35"/>
      <c r="AA325" s="35"/>
      <c r="AB325" s="42"/>
      <c r="AC325" s="42"/>
      <c r="AD325" s="42"/>
      <c r="AE325" s="42"/>
      <c r="AF325" s="42"/>
      <c r="AG325" s="42"/>
      <c r="AH325" s="42"/>
      <c r="AI325" s="42"/>
      <c r="AJ325" s="42"/>
      <c r="AK325" s="42"/>
      <c r="AL325" s="42"/>
      <c r="AM325" s="42"/>
      <c r="AN325" s="42"/>
      <c r="AO325" s="42"/>
      <c r="AP325" s="42"/>
      <c r="AQ325" s="42"/>
      <c r="AR325" s="42"/>
      <c r="AS325" s="42"/>
      <c r="AT325" s="42"/>
      <c r="AU325" s="42"/>
      <c r="AV325" s="42"/>
      <c r="AW325" s="42"/>
      <c r="AX325" s="42"/>
      <c r="AY325" s="42"/>
      <c r="AZ325" s="42"/>
      <c r="BA325" s="42"/>
      <c r="BB325" s="42"/>
      <c r="BC325" s="42"/>
      <c r="BD325" s="42"/>
      <c r="BE325" s="42"/>
      <c r="BF325" s="37"/>
      <c r="BG325" s="37"/>
      <c r="BH325" s="37"/>
      <c r="BI325" s="37"/>
      <c r="BJ325" s="37"/>
      <c r="BK325" s="37"/>
      <c r="BL325" s="37"/>
      <c r="BM325" s="37"/>
      <c r="BN325" s="37"/>
      <c r="BO325" s="37"/>
      <c r="BP325" s="37"/>
      <c r="BQ325" s="37"/>
      <c r="BR325" s="37"/>
      <c r="BS325" s="37"/>
      <c r="BT325" s="37"/>
      <c r="BU325" s="37"/>
      <c r="BV325" s="37"/>
      <c r="BW325" s="37"/>
      <c r="BX325" s="37"/>
      <c r="BY325" s="37"/>
      <c r="BZ325" s="37"/>
      <c r="CA325" s="37"/>
      <c r="CB325" s="37"/>
      <c r="CC325" s="37"/>
      <c r="CD325" s="37"/>
      <c r="CE325" s="37"/>
      <c r="CF325" s="37"/>
      <c r="CG325" s="37"/>
      <c r="CH325" s="37"/>
      <c r="CI325" s="37"/>
      <c r="CJ325" s="37"/>
      <c r="CO325" s="37"/>
      <c r="DK325" s="37"/>
      <c r="DL325" s="37"/>
      <c r="DM325" s="37"/>
      <c r="DN325" s="37"/>
      <c r="DO325" s="37"/>
      <c r="DP325" s="37"/>
      <c r="DQ325" s="37"/>
      <c r="DR325" s="37"/>
      <c r="DS325" s="37"/>
      <c r="DT325" s="37"/>
      <c r="DU325" s="37"/>
      <c r="DV325" s="37"/>
      <c r="DW325" s="37"/>
      <c r="DX325" s="37"/>
      <c r="DY325" s="37"/>
      <c r="DZ325" s="37"/>
    </row>
    <row r="326" spans="1:130" ht="12.75" hidden="1" customHeight="1" outlineLevel="1">
      <c r="A326" s="35" t="s">
        <v>289</v>
      </c>
      <c r="B326" s="298"/>
      <c r="C326" s="298"/>
      <c r="D326" s="298"/>
      <c r="E326" s="298"/>
      <c r="F326" s="298"/>
      <c r="G326" s="298"/>
      <c r="H326" s="298"/>
      <c r="I326" s="298"/>
      <c r="J326" s="298"/>
      <c r="K326" s="298">
        <v>972</v>
      </c>
      <c r="L326" s="298">
        <v>982</v>
      </c>
      <c r="M326" s="298">
        <v>1182</v>
      </c>
      <c r="N326" s="35"/>
      <c r="O326" s="35"/>
      <c r="P326" s="35"/>
      <c r="Q326" s="35"/>
      <c r="R326" s="35"/>
      <c r="S326" s="35"/>
      <c r="T326" s="35"/>
      <c r="U326" s="35"/>
      <c r="V326" s="35"/>
      <c r="W326" s="35"/>
      <c r="X326" s="35"/>
      <c r="Y326" s="35"/>
      <c r="Z326" s="35"/>
      <c r="AA326" s="35"/>
      <c r="AB326" s="42"/>
      <c r="AC326" s="42"/>
      <c r="AD326" s="42"/>
      <c r="AE326" s="42"/>
      <c r="AF326" s="42"/>
      <c r="AG326" s="42"/>
      <c r="AH326" s="42"/>
      <c r="AI326" s="42"/>
      <c r="AJ326" s="42"/>
      <c r="AK326" s="42"/>
      <c r="AL326" s="42"/>
      <c r="AM326" s="42"/>
      <c r="AN326" s="42"/>
      <c r="AO326" s="42"/>
      <c r="AP326" s="42"/>
      <c r="AQ326" s="42"/>
      <c r="AR326" s="42"/>
      <c r="AS326" s="42"/>
      <c r="AT326" s="42"/>
      <c r="AU326" s="42"/>
      <c r="AV326" s="42"/>
      <c r="AW326" s="42"/>
      <c r="AX326" s="42"/>
      <c r="AY326" s="42"/>
      <c r="AZ326" s="42"/>
      <c r="BA326" s="42"/>
      <c r="BB326" s="42"/>
      <c r="BC326" s="42"/>
      <c r="BD326" s="42"/>
      <c r="BE326" s="42"/>
      <c r="BF326" s="37"/>
      <c r="BG326" s="37"/>
      <c r="BH326" s="37"/>
      <c r="BI326" s="37"/>
      <c r="BJ326" s="37"/>
      <c r="BK326" s="37"/>
      <c r="BL326" s="37"/>
      <c r="BM326" s="37"/>
      <c r="BN326" s="37"/>
      <c r="BO326" s="37"/>
      <c r="BP326" s="37"/>
      <c r="BQ326" s="37"/>
      <c r="BR326" s="37"/>
      <c r="BS326" s="37"/>
      <c r="BT326" s="37"/>
      <c r="BU326" s="37"/>
      <c r="BV326" s="37"/>
      <c r="BW326" s="37"/>
      <c r="BX326" s="37"/>
      <c r="BY326" s="37"/>
      <c r="BZ326" s="37"/>
      <c r="CA326" s="37"/>
      <c r="CB326" s="37"/>
      <c r="CC326" s="37"/>
      <c r="CD326" s="37"/>
      <c r="CE326" s="37"/>
      <c r="CF326" s="37"/>
      <c r="CG326" s="37"/>
      <c r="CH326" s="37"/>
      <c r="CI326" s="37"/>
      <c r="CJ326" s="37"/>
      <c r="CO326" s="37"/>
      <c r="DK326" s="37"/>
      <c r="DL326" s="37"/>
      <c r="DM326" s="37"/>
      <c r="DN326" s="37"/>
      <c r="DO326" s="37"/>
      <c r="DP326" s="37"/>
      <c r="DQ326" s="37"/>
      <c r="DR326" s="37"/>
      <c r="DS326" s="37"/>
      <c r="DT326" s="37"/>
      <c r="DU326" s="37"/>
      <c r="DV326" s="37"/>
      <c r="DW326" s="37"/>
      <c r="DX326" s="37"/>
      <c r="DY326" s="37"/>
      <c r="DZ326" s="37"/>
    </row>
    <row r="327" spans="1:130" ht="12.75" hidden="1" customHeight="1" outlineLevel="1">
      <c r="A327" s="35" t="s">
        <v>290</v>
      </c>
      <c r="B327" s="298"/>
      <c r="C327" s="298"/>
      <c r="D327" s="298"/>
      <c r="E327" s="298"/>
      <c r="F327" s="298"/>
      <c r="G327" s="298"/>
      <c r="H327" s="298"/>
      <c r="I327" s="298"/>
      <c r="J327" s="298"/>
      <c r="K327" s="298">
        <v>369</v>
      </c>
      <c r="L327" s="298">
        <v>334</v>
      </c>
      <c r="M327" s="298">
        <v>363</v>
      </c>
      <c r="N327" s="35"/>
      <c r="O327" s="35"/>
      <c r="P327" s="35"/>
      <c r="Q327" s="35"/>
      <c r="R327" s="35"/>
      <c r="S327" s="35"/>
      <c r="T327" s="35"/>
      <c r="U327" s="35"/>
      <c r="V327" s="35"/>
      <c r="W327" s="35"/>
      <c r="X327" s="35"/>
      <c r="Y327" s="35"/>
      <c r="Z327" s="35"/>
      <c r="AA327" s="35"/>
      <c r="AB327" s="42"/>
      <c r="AC327" s="42"/>
      <c r="AD327" s="42"/>
      <c r="AE327" s="42"/>
      <c r="AF327" s="42"/>
      <c r="AG327" s="42"/>
      <c r="AH327" s="42"/>
      <c r="AI327" s="42"/>
      <c r="AJ327" s="42"/>
      <c r="AK327" s="42"/>
      <c r="AL327" s="42"/>
      <c r="AM327" s="42"/>
      <c r="AN327" s="42"/>
      <c r="AO327" s="42"/>
      <c r="AP327" s="42"/>
      <c r="AQ327" s="42"/>
      <c r="AR327" s="42"/>
      <c r="AS327" s="42"/>
      <c r="AT327" s="42"/>
      <c r="AU327" s="42"/>
      <c r="AV327" s="42"/>
      <c r="AW327" s="42"/>
      <c r="AX327" s="42"/>
      <c r="AY327" s="42"/>
      <c r="AZ327" s="42"/>
      <c r="BA327" s="42"/>
      <c r="BB327" s="42"/>
      <c r="BC327" s="42"/>
      <c r="BD327" s="42"/>
      <c r="BE327" s="42"/>
      <c r="BF327" s="37"/>
      <c r="BG327" s="37"/>
      <c r="BH327" s="37"/>
      <c r="BI327" s="37"/>
      <c r="BJ327" s="37"/>
      <c r="BK327" s="37"/>
      <c r="BL327" s="37"/>
      <c r="BM327" s="37"/>
      <c r="BN327" s="37"/>
      <c r="BO327" s="37"/>
      <c r="BP327" s="37"/>
      <c r="BQ327" s="37"/>
      <c r="BR327" s="37"/>
      <c r="BS327" s="37"/>
      <c r="BT327" s="37"/>
      <c r="BU327" s="37"/>
      <c r="BV327" s="37"/>
      <c r="BW327" s="37"/>
      <c r="BX327" s="37"/>
      <c r="BY327" s="37"/>
      <c r="BZ327" s="37"/>
      <c r="CA327" s="37"/>
      <c r="CB327" s="37"/>
      <c r="CC327" s="37"/>
      <c r="CD327" s="37"/>
      <c r="CE327" s="37"/>
      <c r="CF327" s="37"/>
      <c r="CG327" s="37"/>
      <c r="CH327" s="37"/>
      <c r="CI327" s="37"/>
      <c r="CJ327" s="37"/>
      <c r="CO327" s="37"/>
      <c r="DK327" s="37"/>
      <c r="DL327" s="37"/>
      <c r="DM327" s="37"/>
      <c r="DN327" s="37"/>
      <c r="DO327" s="37"/>
      <c r="DP327" s="37"/>
      <c r="DQ327" s="37"/>
      <c r="DR327" s="37"/>
      <c r="DS327" s="37"/>
      <c r="DT327" s="37"/>
      <c r="DU327" s="37"/>
      <c r="DV327" s="37"/>
      <c r="DW327" s="37"/>
      <c r="DX327" s="37"/>
      <c r="DY327" s="37"/>
      <c r="DZ327" s="37"/>
    </row>
    <row r="328" spans="1:130" ht="12.75" hidden="1" customHeight="1" outlineLevel="1">
      <c r="A328" s="35" t="s">
        <v>291</v>
      </c>
      <c r="B328" s="298"/>
      <c r="C328" s="298"/>
      <c r="D328" s="298"/>
      <c r="E328" s="298"/>
      <c r="F328" s="298"/>
      <c r="G328" s="298"/>
      <c r="H328" s="298"/>
      <c r="I328" s="298"/>
      <c r="J328" s="298"/>
      <c r="K328" s="298">
        <v>261</v>
      </c>
      <c r="L328" s="298">
        <v>244</v>
      </c>
      <c r="M328" s="298">
        <v>270</v>
      </c>
      <c r="N328" s="35"/>
      <c r="O328" s="35"/>
      <c r="P328" s="35"/>
      <c r="Q328" s="35"/>
      <c r="R328" s="35"/>
      <c r="S328" s="35"/>
      <c r="T328" s="35"/>
      <c r="U328" s="35"/>
      <c r="V328" s="35"/>
      <c r="W328" s="35"/>
      <c r="X328" s="35"/>
      <c r="Y328" s="35"/>
      <c r="Z328" s="35"/>
      <c r="AA328" s="35"/>
      <c r="AB328" s="42"/>
      <c r="AC328" s="42"/>
      <c r="AD328" s="42"/>
      <c r="AE328" s="42"/>
      <c r="AF328" s="42"/>
      <c r="AG328" s="42"/>
      <c r="AH328" s="42"/>
      <c r="AI328" s="42"/>
      <c r="AJ328" s="42"/>
      <c r="AK328" s="42"/>
      <c r="AL328" s="42"/>
      <c r="AM328" s="42"/>
      <c r="AN328" s="42"/>
      <c r="AO328" s="42"/>
      <c r="AP328" s="42"/>
      <c r="AQ328" s="42"/>
      <c r="AR328" s="42"/>
      <c r="AS328" s="42"/>
      <c r="AT328" s="42"/>
      <c r="AU328" s="42"/>
      <c r="AV328" s="42"/>
      <c r="AW328" s="42"/>
      <c r="AX328" s="42"/>
      <c r="AY328" s="42"/>
      <c r="AZ328" s="42"/>
      <c r="BA328" s="42"/>
      <c r="BB328" s="42"/>
      <c r="BC328" s="42"/>
      <c r="BD328" s="42"/>
      <c r="BE328" s="42"/>
      <c r="BF328" s="37"/>
      <c r="BG328" s="37"/>
      <c r="BH328" s="37"/>
      <c r="BI328" s="37"/>
      <c r="BJ328" s="37"/>
      <c r="BK328" s="37"/>
      <c r="BL328" s="37"/>
      <c r="BM328" s="37"/>
      <c r="BN328" s="37"/>
      <c r="BO328" s="37"/>
      <c r="BP328" s="37"/>
      <c r="BQ328" s="37"/>
      <c r="BR328" s="37"/>
      <c r="BS328" s="37"/>
      <c r="BT328" s="37"/>
      <c r="BU328" s="37"/>
      <c r="BV328" s="37"/>
      <c r="BW328" s="37"/>
      <c r="BX328" s="37"/>
      <c r="BY328" s="37"/>
      <c r="BZ328" s="37"/>
      <c r="CA328" s="37"/>
      <c r="CB328" s="37"/>
      <c r="CC328" s="37"/>
      <c r="CD328" s="37"/>
      <c r="CE328" s="37"/>
      <c r="CF328" s="37"/>
      <c r="CG328" s="37"/>
      <c r="CH328" s="37"/>
      <c r="CI328" s="37"/>
      <c r="CJ328" s="37"/>
      <c r="CO328" s="37"/>
      <c r="DK328" s="37"/>
      <c r="DL328" s="37"/>
      <c r="DM328" s="37"/>
      <c r="DN328" s="37"/>
      <c r="DO328" s="37"/>
      <c r="DP328" s="37"/>
      <c r="DQ328" s="37"/>
      <c r="DR328" s="37"/>
      <c r="DS328" s="37"/>
      <c r="DT328" s="37"/>
      <c r="DU328" s="37"/>
      <c r="DV328" s="37"/>
      <c r="DW328" s="37"/>
      <c r="DX328" s="37"/>
      <c r="DY328" s="37"/>
      <c r="DZ328" s="37"/>
    </row>
    <row r="329" spans="1:130" ht="12.75" hidden="1" customHeight="1" outlineLevel="1">
      <c r="A329" s="256" t="s">
        <v>189</v>
      </c>
      <c r="B329" s="299"/>
      <c r="C329" s="299"/>
      <c r="D329" s="299"/>
      <c r="E329" s="299"/>
      <c r="F329" s="299"/>
      <c r="G329" s="299"/>
      <c r="H329" s="299"/>
      <c r="I329" s="299"/>
      <c r="J329" s="299"/>
      <c r="K329" s="299">
        <f>SUM(K323:K328)</f>
        <v>8768</v>
      </c>
      <c r="L329" s="299">
        <f>SUM(L323:L328)</f>
        <v>11628</v>
      </c>
      <c r="M329" s="299">
        <f>SUM(M323:M328)</f>
        <v>13356</v>
      </c>
      <c r="N329" s="35"/>
      <c r="O329" s="35"/>
      <c r="P329" s="35"/>
      <c r="Q329" s="35"/>
      <c r="R329" s="35"/>
      <c r="S329" s="35"/>
      <c r="T329" s="35"/>
      <c r="U329" s="35"/>
      <c r="V329" s="35"/>
      <c r="W329" s="35"/>
      <c r="X329" s="35"/>
      <c r="Y329" s="35"/>
      <c r="Z329" s="35"/>
      <c r="AA329" s="35"/>
      <c r="AB329" s="228"/>
      <c r="AC329" s="42"/>
      <c r="AD329" s="42"/>
      <c r="AE329" s="42"/>
      <c r="AF329" s="42"/>
      <c r="AG329" s="42"/>
      <c r="AH329" s="42"/>
      <c r="AI329" s="42"/>
      <c r="AJ329" s="42"/>
      <c r="AK329" s="42"/>
      <c r="AL329" s="42"/>
      <c r="AM329" s="42"/>
      <c r="AN329" s="42"/>
      <c r="AO329" s="42"/>
      <c r="AP329" s="42"/>
      <c r="AQ329" s="42"/>
      <c r="AR329" s="42"/>
      <c r="AS329" s="42"/>
      <c r="AT329" s="42"/>
      <c r="AU329" s="42"/>
      <c r="AV329" s="42"/>
      <c r="AW329" s="42"/>
      <c r="AX329" s="42"/>
      <c r="AY329" s="42"/>
      <c r="AZ329" s="42"/>
      <c r="BA329" s="42"/>
      <c r="BB329" s="42"/>
      <c r="BC329" s="42"/>
      <c r="BD329" s="42"/>
      <c r="BE329" s="42"/>
      <c r="BF329" s="37"/>
      <c r="BG329" s="37"/>
      <c r="BH329" s="37"/>
      <c r="BI329" s="37"/>
      <c r="BJ329" s="37"/>
      <c r="BK329" s="37"/>
      <c r="BL329" s="37"/>
      <c r="BM329" s="37"/>
      <c r="BN329" s="37"/>
      <c r="BO329" s="37"/>
      <c r="BP329" s="37"/>
      <c r="BQ329" s="37"/>
      <c r="BR329" s="37"/>
      <c r="BS329" s="37"/>
      <c r="BT329" s="37"/>
      <c r="BU329" s="37"/>
      <c r="BV329" s="37"/>
      <c r="BW329" s="37"/>
      <c r="BX329" s="37"/>
      <c r="BY329" s="37"/>
      <c r="BZ329" s="37"/>
      <c r="CA329" s="37"/>
      <c r="CB329" s="37"/>
      <c r="CC329" s="37"/>
      <c r="CD329" s="37"/>
      <c r="CE329" s="37"/>
      <c r="CF329" s="37"/>
      <c r="CG329" s="37"/>
      <c r="CH329" s="37"/>
      <c r="CI329" s="37"/>
      <c r="CJ329" s="37"/>
      <c r="CO329" s="37"/>
      <c r="DK329" s="37"/>
      <c r="DL329" s="37"/>
      <c r="DM329" s="37"/>
      <c r="DN329" s="37"/>
      <c r="DO329" s="37"/>
      <c r="DP329" s="37"/>
      <c r="DQ329" s="37"/>
      <c r="DR329" s="37"/>
      <c r="DS329" s="37"/>
      <c r="DT329" s="37"/>
      <c r="DU329" s="37"/>
      <c r="DV329" s="37"/>
      <c r="DW329" s="37"/>
      <c r="DX329" s="37"/>
      <c r="DY329" s="37"/>
      <c r="DZ329" s="37"/>
    </row>
    <row r="330" spans="1:130" ht="6" hidden="1" customHeight="1" outlineLevel="1">
      <c r="A330" s="256"/>
      <c r="B330" s="299"/>
      <c r="C330" s="299"/>
      <c r="D330" s="299"/>
      <c r="E330" s="299"/>
      <c r="F330" s="299"/>
      <c r="G330" s="299"/>
      <c r="H330" s="299"/>
      <c r="I330" s="299"/>
      <c r="J330" s="299"/>
      <c r="K330" s="299"/>
      <c r="L330" s="299"/>
      <c r="M330" s="299"/>
      <c r="N330" s="35"/>
      <c r="O330" s="35"/>
      <c r="P330" s="35"/>
      <c r="Q330" s="35"/>
      <c r="R330" s="35"/>
      <c r="S330" s="35"/>
      <c r="T330" s="35"/>
      <c r="U330" s="35"/>
      <c r="V330" s="35"/>
      <c r="W330" s="35"/>
      <c r="X330" s="35"/>
      <c r="Y330" s="35"/>
      <c r="Z330" s="35"/>
      <c r="AA330" s="35"/>
      <c r="AB330" s="228"/>
      <c r="AC330" s="42"/>
      <c r="AD330" s="42"/>
      <c r="AE330" s="42"/>
      <c r="AF330" s="42"/>
      <c r="AG330" s="42"/>
      <c r="AH330" s="42"/>
      <c r="AI330" s="42"/>
      <c r="AJ330" s="42"/>
      <c r="AK330" s="42"/>
      <c r="AL330" s="42"/>
      <c r="AM330" s="42"/>
      <c r="AN330" s="42"/>
      <c r="AO330" s="42"/>
      <c r="AP330" s="42"/>
      <c r="AQ330" s="42"/>
      <c r="AR330" s="42"/>
      <c r="AS330" s="42"/>
      <c r="AT330" s="42"/>
      <c r="AU330" s="42"/>
      <c r="AV330" s="42"/>
      <c r="AW330" s="42"/>
      <c r="AX330" s="42"/>
      <c r="AY330" s="42"/>
      <c r="AZ330" s="42"/>
      <c r="BA330" s="42"/>
      <c r="BB330" s="42"/>
      <c r="BC330" s="42"/>
      <c r="BD330" s="42"/>
      <c r="BE330" s="42"/>
      <c r="BF330" s="37"/>
      <c r="BG330" s="37"/>
      <c r="BH330" s="37"/>
      <c r="BI330" s="37"/>
      <c r="BJ330" s="37"/>
      <c r="BK330" s="37"/>
      <c r="BL330" s="37"/>
      <c r="BM330" s="37"/>
      <c r="BN330" s="37"/>
      <c r="BO330" s="37"/>
      <c r="BP330" s="37"/>
      <c r="BQ330" s="37"/>
      <c r="BR330" s="37"/>
      <c r="BS330" s="37"/>
      <c r="BT330" s="37"/>
      <c r="BU330" s="37"/>
      <c r="BV330" s="37"/>
      <c r="BW330" s="37"/>
      <c r="BX330" s="37"/>
      <c r="BY330" s="37"/>
      <c r="BZ330" s="37"/>
      <c r="CA330" s="37"/>
      <c r="CB330" s="37"/>
      <c r="CC330" s="37"/>
      <c r="CD330" s="37"/>
      <c r="CE330" s="37"/>
      <c r="CF330" s="37"/>
      <c r="CG330" s="37"/>
      <c r="CH330" s="37"/>
      <c r="CI330" s="37"/>
      <c r="CJ330" s="37"/>
      <c r="CO330" s="37"/>
      <c r="DK330" s="37"/>
      <c r="DL330" s="37"/>
      <c r="DM330" s="37"/>
      <c r="DN330" s="37"/>
      <c r="DO330" s="37"/>
      <c r="DP330" s="37"/>
      <c r="DQ330" s="37"/>
      <c r="DR330" s="37"/>
      <c r="DS330" s="37"/>
      <c r="DT330" s="37"/>
      <c r="DU330" s="37"/>
      <c r="DV330" s="37"/>
      <c r="DW330" s="37"/>
      <c r="DX330" s="37"/>
      <c r="DY330" s="37"/>
      <c r="DZ330" s="37"/>
    </row>
    <row r="331" spans="1:130" ht="12.75" hidden="1" customHeight="1" outlineLevel="1">
      <c r="A331" s="35" t="s">
        <v>292</v>
      </c>
      <c r="B331" s="298"/>
      <c r="C331" s="298"/>
      <c r="D331" s="298"/>
      <c r="E331" s="298"/>
      <c r="F331" s="298"/>
      <c r="G331" s="298"/>
      <c r="H331" s="298"/>
      <c r="I331" s="298"/>
      <c r="J331" s="298"/>
      <c r="K331" s="298" t="e">
        <f>#REF!</f>
        <v>#REF!</v>
      </c>
      <c r="L331" s="298"/>
      <c r="M331" s="298">
        <v>3271.7801857585132</v>
      </c>
      <c r="N331" s="35"/>
      <c r="O331" s="35"/>
      <c r="P331" s="35"/>
      <c r="Q331" s="35"/>
      <c r="R331" s="35"/>
      <c r="S331" s="35"/>
      <c r="T331" s="35"/>
      <c r="U331" s="35"/>
      <c r="V331" s="35"/>
      <c r="W331" s="35"/>
      <c r="X331" s="35"/>
      <c r="Y331" s="35"/>
      <c r="Z331" s="35"/>
      <c r="AA331" s="35"/>
      <c r="AB331" s="42"/>
      <c r="AC331" s="42"/>
      <c r="AD331" s="42"/>
      <c r="AE331" s="42"/>
      <c r="AF331" s="42"/>
      <c r="AG331" s="42"/>
      <c r="AH331" s="42"/>
      <c r="AI331" s="42"/>
      <c r="AJ331" s="42"/>
      <c r="AK331" s="42"/>
      <c r="AL331" s="42"/>
      <c r="AM331" s="42"/>
      <c r="AN331" s="42"/>
      <c r="AO331" s="42"/>
      <c r="AP331" s="42"/>
      <c r="AQ331" s="42"/>
      <c r="AR331" s="42"/>
      <c r="AS331" s="42"/>
      <c r="AT331" s="42"/>
      <c r="AU331" s="42"/>
      <c r="AV331" s="42"/>
      <c r="AW331" s="42"/>
      <c r="AX331" s="42"/>
      <c r="AY331" s="42"/>
      <c r="AZ331" s="42"/>
      <c r="BA331" s="42"/>
      <c r="BB331" s="42"/>
      <c r="BC331" s="42"/>
      <c r="BD331" s="42"/>
      <c r="BE331" s="42"/>
      <c r="BF331" s="37"/>
      <c r="BG331" s="37"/>
      <c r="BH331" s="37"/>
      <c r="BI331" s="37"/>
      <c r="BJ331" s="37"/>
      <c r="BK331" s="37"/>
      <c r="BL331" s="37"/>
      <c r="BM331" s="37"/>
      <c r="BN331" s="37"/>
      <c r="BO331" s="37"/>
      <c r="BP331" s="37"/>
      <c r="BQ331" s="37"/>
      <c r="BR331" s="37"/>
      <c r="BS331" s="37"/>
      <c r="BT331" s="37"/>
      <c r="BU331" s="37"/>
      <c r="BV331" s="37"/>
      <c r="BW331" s="37"/>
      <c r="BX331" s="37"/>
      <c r="BY331" s="37"/>
      <c r="BZ331" s="37"/>
      <c r="CA331" s="37"/>
      <c r="CB331" s="37"/>
      <c r="CC331" s="37"/>
      <c r="CD331" s="37"/>
      <c r="CE331" s="37"/>
      <c r="CF331" s="37"/>
      <c r="CG331" s="37"/>
      <c r="CH331" s="37"/>
      <c r="CI331" s="37"/>
      <c r="CJ331" s="37"/>
      <c r="CO331" s="37"/>
      <c r="DK331" s="37"/>
      <c r="DL331" s="37"/>
      <c r="DM331" s="37"/>
      <c r="DN331" s="37"/>
      <c r="DO331" s="37"/>
      <c r="DP331" s="37"/>
      <c r="DQ331" s="37"/>
      <c r="DR331" s="37"/>
      <c r="DS331" s="37"/>
      <c r="DT331" s="37"/>
      <c r="DU331" s="37"/>
      <c r="DV331" s="37"/>
      <c r="DW331" s="37"/>
      <c r="DX331" s="37"/>
      <c r="DY331" s="37"/>
      <c r="DZ331" s="37"/>
    </row>
    <row r="332" spans="1:130" ht="12.75" hidden="1" customHeight="1" outlineLevel="1">
      <c r="A332" s="300" t="s">
        <v>293</v>
      </c>
      <c r="B332" s="301"/>
      <c r="C332" s="301"/>
      <c r="D332" s="301"/>
      <c r="E332" s="301"/>
      <c r="F332" s="301"/>
      <c r="G332" s="301"/>
      <c r="H332" s="301"/>
      <c r="I332" s="301"/>
      <c r="J332" s="301"/>
      <c r="K332" s="301"/>
      <c r="L332" s="301"/>
      <c r="M332" s="301">
        <f>M331/M329</f>
        <v>0.24496706991303632</v>
      </c>
      <c r="N332" s="302"/>
      <c r="O332" s="302"/>
      <c r="P332" s="302"/>
      <c r="Q332" s="302"/>
      <c r="R332" s="302"/>
      <c r="S332" s="302"/>
      <c r="T332" s="302"/>
      <c r="U332" s="302"/>
      <c r="V332" s="302"/>
      <c r="W332" s="302"/>
      <c r="X332" s="302"/>
      <c r="Y332" s="302"/>
      <c r="Z332" s="302"/>
      <c r="AA332" s="302"/>
      <c r="AB332" s="303"/>
      <c r="AC332" s="126"/>
      <c r="AD332" s="126"/>
      <c r="AE332" s="126"/>
      <c r="AF332" s="126"/>
      <c r="AG332" s="126"/>
      <c r="AH332" s="126"/>
      <c r="AI332" s="126"/>
      <c r="AJ332" s="126"/>
      <c r="AK332" s="126"/>
      <c r="AL332" s="126"/>
      <c r="AM332" s="126"/>
      <c r="AN332" s="126"/>
      <c r="AO332" s="126"/>
      <c r="AP332" s="126"/>
      <c r="AQ332" s="126"/>
      <c r="AR332" s="126"/>
      <c r="AS332" s="126"/>
      <c r="AT332" s="126"/>
      <c r="AU332" s="126"/>
      <c r="AV332" s="126"/>
      <c r="AW332" s="126"/>
      <c r="AX332" s="126"/>
      <c r="AY332" s="126"/>
      <c r="AZ332" s="126"/>
      <c r="BA332" s="126"/>
      <c r="BB332" s="126"/>
      <c r="BC332" s="126"/>
      <c r="BD332" s="126"/>
      <c r="BE332" s="126"/>
      <c r="BF332" s="304"/>
      <c r="BG332" s="304"/>
      <c r="BH332" s="304"/>
      <c r="BI332" s="304"/>
      <c r="BJ332" s="304"/>
      <c r="BK332" s="304"/>
      <c r="BL332" s="304"/>
      <c r="BM332" s="304"/>
      <c r="BN332" s="304"/>
      <c r="BO332" s="304"/>
      <c r="BP332" s="304"/>
      <c r="BQ332" s="304"/>
      <c r="BR332" s="304"/>
      <c r="BS332" s="304"/>
      <c r="BT332" s="304"/>
      <c r="BU332" s="304"/>
      <c r="BV332" s="304"/>
      <c r="BW332" s="304"/>
      <c r="BX332" s="304"/>
      <c r="BY332" s="304"/>
      <c r="BZ332" s="304"/>
      <c r="CA332" s="304"/>
      <c r="CB332" s="304"/>
      <c r="CC332" s="304"/>
      <c r="CD332" s="304"/>
      <c r="CE332" s="304"/>
      <c r="CF332" s="304"/>
      <c r="CG332" s="304"/>
      <c r="CH332" s="304"/>
      <c r="CI332" s="304"/>
      <c r="CJ332" s="304"/>
      <c r="CO332" s="304"/>
      <c r="DK332" s="304"/>
      <c r="DL332" s="304"/>
      <c r="DM332" s="304"/>
      <c r="DN332" s="304"/>
      <c r="DO332" s="304"/>
      <c r="DP332" s="304"/>
      <c r="DQ332" s="304"/>
      <c r="DR332" s="304"/>
      <c r="DS332" s="304"/>
      <c r="DT332" s="304"/>
      <c r="DU332" s="304"/>
      <c r="DV332" s="304"/>
      <c r="DW332" s="304"/>
      <c r="DX332" s="304"/>
      <c r="DY332" s="304"/>
      <c r="DZ332" s="304"/>
    </row>
    <row r="333" spans="1:130" ht="12.75" hidden="1" customHeight="1" outlineLevel="1">
      <c r="A333" s="35"/>
      <c r="B333" s="298"/>
      <c r="C333" s="298"/>
      <c r="D333" s="298"/>
      <c r="E333" s="298"/>
      <c r="F333" s="298"/>
      <c r="G333" s="298"/>
      <c r="H333" s="298"/>
      <c r="I333" s="298"/>
      <c r="J333" s="298"/>
      <c r="K333" s="298"/>
      <c r="L333" s="298"/>
      <c r="M333" s="298"/>
      <c r="N333" s="35"/>
      <c r="O333" s="35"/>
      <c r="P333" s="35"/>
      <c r="Q333" s="35"/>
      <c r="R333" s="35"/>
      <c r="S333" s="35"/>
      <c r="T333" s="35"/>
      <c r="U333" s="35"/>
      <c r="V333" s="35"/>
      <c r="W333" s="35"/>
      <c r="X333" s="35"/>
      <c r="Y333" s="35"/>
      <c r="Z333" s="35"/>
      <c r="AA333" s="35"/>
      <c r="AB333" s="42"/>
      <c r="AC333" s="42"/>
      <c r="AD333" s="42"/>
      <c r="AE333" s="42"/>
      <c r="AF333" s="42"/>
      <c r="AG333" s="42"/>
      <c r="AH333" s="42"/>
      <c r="AI333" s="42"/>
      <c r="AJ333" s="42"/>
      <c r="AK333" s="42"/>
      <c r="AL333" s="42"/>
      <c r="AM333" s="42"/>
      <c r="AN333" s="42"/>
      <c r="AO333" s="42"/>
      <c r="AP333" s="42"/>
      <c r="AQ333" s="42"/>
      <c r="AR333" s="42"/>
      <c r="AS333" s="42"/>
      <c r="AT333" s="42"/>
      <c r="AU333" s="42"/>
      <c r="AV333" s="42"/>
      <c r="AW333" s="42"/>
      <c r="AX333" s="42"/>
      <c r="AY333" s="42"/>
      <c r="AZ333" s="42"/>
      <c r="BA333" s="42"/>
      <c r="BB333" s="42"/>
      <c r="BC333" s="42"/>
      <c r="BD333" s="42"/>
      <c r="BE333" s="42"/>
      <c r="BF333" s="37"/>
      <c r="BG333" s="37"/>
      <c r="BH333" s="37"/>
      <c r="BI333" s="37"/>
      <c r="BJ333" s="37"/>
      <c r="BK333" s="37"/>
      <c r="BL333" s="37"/>
      <c r="BM333" s="37"/>
      <c r="BN333" s="37"/>
      <c r="BO333" s="37"/>
      <c r="BP333" s="37"/>
      <c r="BQ333" s="37"/>
      <c r="BR333" s="37"/>
      <c r="BS333" s="37"/>
      <c r="BT333" s="37"/>
      <c r="BU333" s="37"/>
      <c r="BV333" s="37"/>
      <c r="BW333" s="37"/>
      <c r="BX333" s="37"/>
      <c r="BY333" s="37"/>
      <c r="BZ333" s="37"/>
      <c r="CA333" s="37"/>
      <c r="CB333" s="37"/>
      <c r="CC333" s="37"/>
      <c r="CD333" s="37"/>
      <c r="CE333" s="37"/>
      <c r="CF333" s="37"/>
      <c r="CG333" s="37"/>
      <c r="CH333" s="37"/>
      <c r="CI333" s="37"/>
      <c r="CJ333" s="37"/>
      <c r="CO333" s="37"/>
      <c r="DK333" s="37"/>
      <c r="DL333" s="37"/>
      <c r="DM333" s="37"/>
      <c r="DN333" s="37"/>
      <c r="DO333" s="37"/>
      <c r="DP333" s="37"/>
      <c r="DQ333" s="37"/>
      <c r="DR333" s="37"/>
      <c r="DS333" s="37"/>
      <c r="DT333" s="37"/>
      <c r="DU333" s="37"/>
      <c r="DV333" s="37"/>
      <c r="DW333" s="37"/>
      <c r="DX333" s="37"/>
      <c r="DY333" s="37"/>
      <c r="DZ333" s="37"/>
    </row>
    <row r="334" spans="1:130" ht="12.75" hidden="1" customHeight="1" outlineLevel="1">
      <c r="A334" s="296" t="s">
        <v>296</v>
      </c>
      <c r="B334" s="298"/>
      <c r="C334" s="298"/>
      <c r="D334" s="298"/>
      <c r="E334" s="298"/>
      <c r="F334" s="298"/>
      <c r="G334" s="298"/>
      <c r="H334" s="298"/>
      <c r="I334" s="298"/>
      <c r="J334" s="298"/>
      <c r="K334" s="298"/>
      <c r="L334" s="298"/>
      <c r="M334" s="298"/>
      <c r="N334" s="35"/>
      <c r="O334" s="35"/>
      <c r="P334" s="35"/>
      <c r="Q334" s="35"/>
      <c r="R334" s="35"/>
      <c r="S334" s="35"/>
      <c r="T334" s="35"/>
      <c r="U334" s="35"/>
      <c r="V334" s="35"/>
      <c r="W334" s="35"/>
      <c r="X334" s="35"/>
      <c r="Y334" s="35"/>
      <c r="Z334" s="35"/>
      <c r="AA334" s="35"/>
      <c r="AB334" s="297"/>
      <c r="AC334" s="42"/>
      <c r="AD334" s="42"/>
      <c r="AE334" s="42"/>
      <c r="AF334" s="42"/>
      <c r="AG334" s="42"/>
      <c r="AH334" s="42"/>
      <c r="AI334" s="42"/>
      <c r="AJ334" s="42"/>
      <c r="AK334" s="42"/>
      <c r="AL334" s="42"/>
      <c r="AM334" s="42"/>
      <c r="AN334" s="42"/>
      <c r="AO334" s="42"/>
      <c r="AP334" s="42"/>
      <c r="AQ334" s="42"/>
      <c r="AR334" s="42"/>
      <c r="AS334" s="42"/>
      <c r="AT334" s="42"/>
      <c r="AU334" s="42"/>
      <c r="AV334" s="42"/>
      <c r="AW334" s="42"/>
      <c r="AX334" s="42"/>
      <c r="AY334" s="42"/>
      <c r="AZ334" s="42"/>
      <c r="BA334" s="42"/>
      <c r="BB334" s="42"/>
      <c r="BC334" s="42"/>
      <c r="BD334" s="42"/>
      <c r="BE334" s="42"/>
      <c r="BF334" s="37"/>
      <c r="BG334" s="37"/>
      <c r="BH334" s="37"/>
      <c r="BI334" s="37"/>
      <c r="BJ334" s="37"/>
      <c r="BK334" s="37"/>
      <c r="BL334" s="37"/>
      <c r="BM334" s="37"/>
      <c r="BN334" s="37"/>
      <c r="BO334" s="37"/>
      <c r="BP334" s="37"/>
      <c r="BQ334" s="37"/>
      <c r="BR334" s="37"/>
      <c r="BS334" s="37"/>
      <c r="BT334" s="37"/>
      <c r="BU334" s="37"/>
      <c r="BV334" s="37"/>
      <c r="BW334" s="37"/>
      <c r="BX334" s="37"/>
      <c r="BY334" s="37"/>
      <c r="BZ334" s="37"/>
      <c r="CA334" s="37"/>
      <c r="CB334" s="37"/>
      <c r="CC334" s="37"/>
      <c r="CD334" s="37"/>
      <c r="CE334" s="37"/>
      <c r="CF334" s="37"/>
      <c r="CG334" s="37"/>
      <c r="CH334" s="37"/>
      <c r="CI334" s="37"/>
      <c r="CJ334" s="37"/>
      <c r="CO334" s="37"/>
      <c r="DK334" s="37"/>
      <c r="DL334" s="37"/>
      <c r="DM334" s="37"/>
      <c r="DN334" s="37"/>
      <c r="DO334" s="37"/>
      <c r="DP334" s="37"/>
      <c r="DQ334" s="37"/>
      <c r="DR334" s="37"/>
      <c r="DS334" s="37"/>
      <c r="DT334" s="37"/>
      <c r="DU334" s="37"/>
      <c r="DV334" s="37"/>
      <c r="DW334" s="37"/>
      <c r="DX334" s="37"/>
      <c r="DY334" s="37"/>
      <c r="DZ334" s="37"/>
    </row>
    <row r="335" spans="1:130" ht="12.75" hidden="1" customHeight="1" outlineLevel="1">
      <c r="A335" s="35" t="s">
        <v>63</v>
      </c>
      <c r="B335" s="298"/>
      <c r="C335" s="298"/>
      <c r="D335" s="298"/>
      <c r="E335" s="298"/>
      <c r="F335" s="298"/>
      <c r="G335" s="298"/>
      <c r="H335" s="298"/>
      <c r="I335" s="298"/>
      <c r="J335" s="298"/>
      <c r="K335" s="298">
        <v>2446</v>
      </c>
      <c r="L335" s="298">
        <v>2806</v>
      </c>
      <c r="M335" s="298">
        <v>3366</v>
      </c>
      <c r="N335" s="35"/>
      <c r="O335" s="35"/>
      <c r="P335" s="35"/>
      <c r="Q335" s="35"/>
      <c r="R335" s="35"/>
      <c r="S335" s="35"/>
      <c r="T335" s="35"/>
      <c r="U335" s="35"/>
      <c r="V335" s="35"/>
      <c r="W335" s="35"/>
      <c r="X335" s="35"/>
      <c r="Y335" s="35"/>
      <c r="Z335" s="35"/>
      <c r="AA335" s="35"/>
      <c r="AB335" s="42"/>
      <c r="AC335" s="42"/>
      <c r="AD335" s="42"/>
      <c r="AE335" s="42"/>
      <c r="AF335" s="42"/>
      <c r="AG335" s="42"/>
      <c r="AH335" s="42"/>
      <c r="AI335" s="42"/>
      <c r="AJ335" s="42"/>
      <c r="AK335" s="42"/>
      <c r="AL335" s="42"/>
      <c r="AM335" s="42"/>
      <c r="AN335" s="42"/>
      <c r="AO335" s="42"/>
      <c r="AP335" s="42"/>
      <c r="AQ335" s="42"/>
      <c r="AR335" s="42"/>
      <c r="AS335" s="42"/>
      <c r="AT335" s="42"/>
      <c r="AU335" s="42"/>
      <c r="AV335" s="42"/>
      <c r="AW335" s="42"/>
      <c r="AX335" s="42"/>
      <c r="AY335" s="42"/>
      <c r="AZ335" s="42"/>
      <c r="BA335" s="42"/>
      <c r="BB335" s="42"/>
      <c r="BC335" s="42"/>
      <c r="BD335" s="42"/>
      <c r="BE335" s="42"/>
      <c r="BF335" s="37"/>
      <c r="BG335" s="37"/>
      <c r="BH335" s="37"/>
      <c r="BI335" s="37"/>
      <c r="BJ335" s="37"/>
      <c r="BK335" s="37"/>
      <c r="BL335" s="37"/>
      <c r="BM335" s="37"/>
      <c r="BN335" s="37"/>
      <c r="BO335" s="37"/>
      <c r="BP335" s="37"/>
      <c r="BQ335" s="37"/>
      <c r="BR335" s="37"/>
      <c r="BS335" s="37"/>
      <c r="BT335" s="37"/>
      <c r="BU335" s="37"/>
      <c r="BV335" s="37"/>
      <c r="BW335" s="37"/>
      <c r="BX335" s="37"/>
      <c r="BY335" s="37"/>
      <c r="BZ335" s="37"/>
      <c r="CA335" s="37"/>
      <c r="CB335" s="37"/>
      <c r="CC335" s="37"/>
      <c r="CD335" s="37"/>
      <c r="CE335" s="37"/>
      <c r="CF335" s="37"/>
      <c r="CG335" s="37"/>
      <c r="CH335" s="37"/>
      <c r="CI335" s="37"/>
      <c r="CJ335" s="37"/>
      <c r="CO335" s="37"/>
      <c r="DK335" s="37"/>
      <c r="DL335" s="37"/>
      <c r="DM335" s="37"/>
      <c r="DN335" s="37"/>
      <c r="DO335" s="37"/>
      <c r="DP335" s="37"/>
      <c r="DQ335" s="37"/>
      <c r="DR335" s="37"/>
      <c r="DS335" s="37"/>
      <c r="DT335" s="37"/>
      <c r="DU335" s="37"/>
      <c r="DV335" s="37"/>
      <c r="DW335" s="37"/>
      <c r="DX335" s="37"/>
      <c r="DY335" s="37"/>
      <c r="DZ335" s="37"/>
    </row>
    <row r="336" spans="1:130" ht="12.75" hidden="1" customHeight="1" outlineLevel="1">
      <c r="A336" s="35" t="s">
        <v>288</v>
      </c>
      <c r="B336" s="298"/>
      <c r="C336" s="298"/>
      <c r="D336" s="298"/>
      <c r="E336" s="298"/>
      <c r="F336" s="298"/>
      <c r="G336" s="298"/>
      <c r="H336" s="298"/>
      <c r="I336" s="298"/>
      <c r="J336" s="298"/>
      <c r="K336" s="298">
        <v>1891</v>
      </c>
      <c r="L336" s="298">
        <v>6666</v>
      </c>
      <c r="M336" s="298">
        <v>7774</v>
      </c>
      <c r="N336" s="35"/>
      <c r="O336" s="35"/>
      <c r="P336" s="35"/>
      <c r="Q336" s="35"/>
      <c r="R336" s="35"/>
      <c r="S336" s="35"/>
      <c r="T336" s="35"/>
      <c r="U336" s="35"/>
      <c r="V336" s="35"/>
      <c r="W336" s="35"/>
      <c r="X336" s="35"/>
      <c r="Y336" s="35"/>
      <c r="Z336" s="35"/>
      <c r="AA336" s="35"/>
      <c r="AB336" s="42"/>
      <c r="AC336" s="42"/>
      <c r="AD336" s="42"/>
      <c r="AE336" s="42"/>
      <c r="AF336" s="42"/>
      <c r="AG336" s="42"/>
      <c r="AH336" s="42"/>
      <c r="AI336" s="42"/>
      <c r="AJ336" s="42"/>
      <c r="AK336" s="42"/>
      <c r="AL336" s="42"/>
      <c r="AM336" s="42"/>
      <c r="AN336" s="42"/>
      <c r="AO336" s="42"/>
      <c r="AP336" s="42"/>
      <c r="AQ336" s="42"/>
      <c r="AR336" s="42"/>
      <c r="AS336" s="42"/>
      <c r="AT336" s="42"/>
      <c r="AU336" s="42"/>
      <c r="AV336" s="42"/>
      <c r="AW336" s="42"/>
      <c r="AX336" s="42"/>
      <c r="AY336" s="42"/>
      <c r="AZ336" s="42"/>
      <c r="BA336" s="42"/>
      <c r="BB336" s="42"/>
      <c r="BC336" s="42"/>
      <c r="BD336" s="42"/>
      <c r="BE336" s="42"/>
      <c r="BF336" s="37"/>
      <c r="BG336" s="37"/>
      <c r="BH336" s="37"/>
      <c r="BI336" s="37"/>
      <c r="BJ336" s="37"/>
      <c r="BK336" s="37"/>
      <c r="BL336" s="37"/>
      <c r="BM336" s="37"/>
      <c r="BN336" s="37"/>
      <c r="BO336" s="37"/>
      <c r="BP336" s="37"/>
      <c r="BQ336" s="37"/>
      <c r="BR336" s="37"/>
      <c r="BS336" s="37"/>
      <c r="BT336" s="37"/>
      <c r="BU336" s="37"/>
      <c r="BV336" s="37"/>
      <c r="BW336" s="37"/>
      <c r="BX336" s="37"/>
      <c r="BY336" s="37"/>
      <c r="BZ336" s="37"/>
      <c r="CA336" s="37"/>
      <c r="CB336" s="37"/>
      <c r="CC336" s="37"/>
      <c r="CD336" s="37"/>
      <c r="CE336" s="37"/>
      <c r="CF336" s="37"/>
      <c r="CG336" s="37"/>
      <c r="CH336" s="37"/>
      <c r="CI336" s="37"/>
      <c r="CJ336" s="37"/>
      <c r="CO336" s="37"/>
      <c r="DK336" s="37"/>
      <c r="DL336" s="37"/>
      <c r="DM336" s="37"/>
      <c r="DN336" s="37"/>
      <c r="DO336" s="37"/>
      <c r="DP336" s="37"/>
      <c r="DQ336" s="37"/>
      <c r="DR336" s="37"/>
      <c r="DS336" s="37"/>
      <c r="DT336" s="37"/>
      <c r="DU336" s="37"/>
      <c r="DV336" s="37"/>
      <c r="DW336" s="37"/>
      <c r="DX336" s="37"/>
      <c r="DY336" s="37"/>
      <c r="DZ336" s="37"/>
    </row>
    <row r="337" spans="1:130" ht="12.75" hidden="1" customHeight="1" outlineLevel="1">
      <c r="A337" s="35" t="s">
        <v>66</v>
      </c>
      <c r="B337" s="298"/>
      <c r="C337" s="298"/>
      <c r="D337" s="298"/>
      <c r="E337" s="298"/>
      <c r="F337" s="298"/>
      <c r="G337" s="298"/>
      <c r="H337" s="298"/>
      <c r="I337" s="298"/>
      <c r="J337" s="298"/>
      <c r="K337" s="298">
        <v>2094</v>
      </c>
      <c r="L337" s="298">
        <v>2536</v>
      </c>
      <c r="M337" s="298">
        <v>2917</v>
      </c>
      <c r="N337" s="35"/>
      <c r="O337" s="35"/>
      <c r="P337" s="35"/>
      <c r="Q337" s="35"/>
      <c r="R337" s="35"/>
      <c r="S337" s="35"/>
      <c r="T337" s="35"/>
      <c r="U337" s="35"/>
      <c r="V337" s="35"/>
      <c r="W337" s="35"/>
      <c r="X337" s="35"/>
      <c r="Y337" s="35"/>
      <c r="Z337" s="35"/>
      <c r="AA337" s="35"/>
      <c r="AB337" s="42"/>
      <c r="AC337" s="42"/>
      <c r="AD337" s="42"/>
      <c r="AE337" s="42"/>
      <c r="AF337" s="42"/>
      <c r="AG337" s="42"/>
      <c r="AH337" s="42"/>
      <c r="AI337" s="42"/>
      <c r="AJ337" s="42"/>
      <c r="AK337" s="42"/>
      <c r="AL337" s="42"/>
      <c r="AM337" s="42"/>
      <c r="AN337" s="42"/>
      <c r="AO337" s="42"/>
      <c r="AP337" s="42"/>
      <c r="AQ337" s="42"/>
      <c r="AR337" s="42"/>
      <c r="AS337" s="42"/>
      <c r="AT337" s="42"/>
      <c r="AU337" s="42"/>
      <c r="AV337" s="42"/>
      <c r="AW337" s="42"/>
      <c r="AX337" s="42"/>
      <c r="AY337" s="42"/>
      <c r="AZ337" s="42"/>
      <c r="BA337" s="42"/>
      <c r="BB337" s="42"/>
      <c r="BC337" s="42"/>
      <c r="BD337" s="42"/>
      <c r="BE337" s="42"/>
      <c r="BF337" s="37"/>
      <c r="BG337" s="37"/>
      <c r="BH337" s="37"/>
      <c r="BI337" s="37"/>
      <c r="BJ337" s="37"/>
      <c r="BK337" s="37"/>
      <c r="BL337" s="37"/>
      <c r="BM337" s="37"/>
      <c r="BN337" s="37"/>
      <c r="BO337" s="37"/>
      <c r="BP337" s="37"/>
      <c r="BQ337" s="37"/>
      <c r="BR337" s="37"/>
      <c r="BS337" s="37"/>
      <c r="BT337" s="37"/>
      <c r="BU337" s="37"/>
      <c r="BV337" s="37"/>
      <c r="BW337" s="37"/>
      <c r="BX337" s="37"/>
      <c r="BY337" s="37"/>
      <c r="BZ337" s="37"/>
      <c r="CA337" s="37"/>
      <c r="CB337" s="37"/>
      <c r="CC337" s="37"/>
      <c r="CD337" s="37"/>
      <c r="CE337" s="37"/>
      <c r="CF337" s="37"/>
      <c r="CG337" s="37"/>
      <c r="CH337" s="37"/>
      <c r="CI337" s="37"/>
      <c r="CJ337" s="37"/>
      <c r="CO337" s="37"/>
      <c r="DK337" s="37"/>
      <c r="DL337" s="37"/>
      <c r="DM337" s="37"/>
      <c r="DN337" s="37"/>
      <c r="DO337" s="37"/>
      <c r="DP337" s="37"/>
      <c r="DQ337" s="37"/>
      <c r="DR337" s="37"/>
      <c r="DS337" s="37"/>
      <c r="DT337" s="37"/>
      <c r="DU337" s="37"/>
      <c r="DV337" s="37"/>
      <c r="DW337" s="37"/>
      <c r="DX337" s="37"/>
      <c r="DY337" s="37"/>
      <c r="DZ337" s="37"/>
    </row>
    <row r="338" spans="1:130" ht="12.75" hidden="1" customHeight="1" outlineLevel="1">
      <c r="A338" s="35" t="s">
        <v>289</v>
      </c>
      <c r="B338" s="298"/>
      <c r="C338" s="298"/>
      <c r="D338" s="298"/>
      <c r="E338" s="298"/>
      <c r="F338" s="298"/>
      <c r="G338" s="298"/>
      <c r="H338" s="298"/>
      <c r="I338" s="298"/>
      <c r="J338" s="298"/>
      <c r="K338" s="298">
        <v>844</v>
      </c>
      <c r="L338" s="298">
        <v>904</v>
      </c>
      <c r="M338" s="298">
        <v>995</v>
      </c>
      <c r="N338" s="35"/>
      <c r="O338" s="35"/>
      <c r="P338" s="35"/>
      <c r="Q338" s="35"/>
      <c r="R338" s="35"/>
      <c r="S338" s="35"/>
      <c r="T338" s="35"/>
      <c r="U338" s="35"/>
      <c r="V338" s="35"/>
      <c r="W338" s="35"/>
      <c r="X338" s="35"/>
      <c r="Y338" s="35"/>
      <c r="Z338" s="35"/>
      <c r="AA338" s="35"/>
      <c r="AB338" s="42"/>
      <c r="AC338" s="42"/>
      <c r="AD338" s="42"/>
      <c r="AE338" s="42"/>
      <c r="AF338" s="42"/>
      <c r="AG338" s="42"/>
      <c r="AH338" s="42"/>
      <c r="AI338" s="42"/>
      <c r="AJ338" s="42"/>
      <c r="AK338" s="42"/>
      <c r="AL338" s="42"/>
      <c r="AM338" s="42"/>
      <c r="AN338" s="42"/>
      <c r="AO338" s="42"/>
      <c r="AP338" s="42"/>
      <c r="AQ338" s="42"/>
      <c r="AR338" s="42"/>
      <c r="AS338" s="42"/>
      <c r="AT338" s="42"/>
      <c r="AU338" s="42"/>
      <c r="AV338" s="42"/>
      <c r="AW338" s="42"/>
      <c r="AX338" s="42"/>
      <c r="AY338" s="42"/>
      <c r="AZ338" s="42"/>
      <c r="BA338" s="42"/>
      <c r="BB338" s="42"/>
      <c r="BC338" s="42"/>
      <c r="BD338" s="42"/>
      <c r="BE338" s="42"/>
      <c r="BF338" s="37"/>
      <c r="BG338" s="37"/>
      <c r="BH338" s="37"/>
      <c r="BI338" s="37"/>
      <c r="BJ338" s="37"/>
      <c r="BK338" s="37"/>
      <c r="BL338" s="37"/>
      <c r="BM338" s="37"/>
      <c r="BN338" s="37"/>
      <c r="BO338" s="37"/>
      <c r="BP338" s="37"/>
      <c r="BQ338" s="37"/>
      <c r="BR338" s="37"/>
      <c r="BS338" s="37"/>
      <c r="BT338" s="37"/>
      <c r="BU338" s="37"/>
      <c r="BV338" s="37"/>
      <c r="BW338" s="37"/>
      <c r="BX338" s="37"/>
      <c r="BY338" s="37"/>
      <c r="BZ338" s="37"/>
      <c r="CA338" s="37"/>
      <c r="CB338" s="37"/>
      <c r="CC338" s="37"/>
      <c r="CD338" s="37"/>
      <c r="CE338" s="37"/>
      <c r="CF338" s="37"/>
      <c r="CG338" s="37"/>
      <c r="CH338" s="37"/>
      <c r="CI338" s="37"/>
      <c r="CJ338" s="37"/>
      <c r="CO338" s="37"/>
      <c r="DK338" s="37"/>
      <c r="DL338" s="37"/>
      <c r="DM338" s="37"/>
      <c r="DN338" s="37"/>
      <c r="DO338" s="37"/>
      <c r="DP338" s="37"/>
      <c r="DQ338" s="37"/>
      <c r="DR338" s="37"/>
      <c r="DS338" s="37"/>
      <c r="DT338" s="37"/>
      <c r="DU338" s="37"/>
      <c r="DV338" s="37"/>
      <c r="DW338" s="37"/>
      <c r="DX338" s="37"/>
      <c r="DY338" s="37"/>
      <c r="DZ338" s="37"/>
    </row>
    <row r="339" spans="1:130" ht="12.75" hidden="1" customHeight="1" outlineLevel="1">
      <c r="A339" s="35" t="s">
        <v>290</v>
      </c>
      <c r="B339" s="298"/>
      <c r="C339" s="298"/>
      <c r="D339" s="298"/>
      <c r="E339" s="298"/>
      <c r="F339" s="298"/>
      <c r="G339" s="298"/>
      <c r="H339" s="298"/>
      <c r="I339" s="298"/>
      <c r="J339" s="298"/>
      <c r="K339" s="298">
        <v>566</v>
      </c>
      <c r="L339" s="298">
        <v>579</v>
      </c>
      <c r="M339" s="298">
        <v>642</v>
      </c>
      <c r="N339" s="35"/>
      <c r="O339" s="35"/>
      <c r="P339" s="35"/>
      <c r="Q339" s="35"/>
      <c r="R339" s="35"/>
      <c r="S339" s="35"/>
      <c r="T339" s="35"/>
      <c r="U339" s="35"/>
      <c r="V339" s="35"/>
      <c r="W339" s="35"/>
      <c r="X339" s="35"/>
      <c r="Y339" s="35"/>
      <c r="Z339" s="35"/>
      <c r="AA339" s="35"/>
      <c r="AB339" s="42"/>
      <c r="AC339" s="42"/>
      <c r="AD339" s="42"/>
      <c r="AE339" s="42"/>
      <c r="AF339" s="42"/>
      <c r="AG339" s="42"/>
      <c r="AH339" s="42"/>
      <c r="AI339" s="42"/>
      <c r="AJ339" s="42"/>
      <c r="AK339" s="42"/>
      <c r="AL339" s="42"/>
      <c r="AM339" s="42"/>
      <c r="AN339" s="42"/>
      <c r="AO339" s="42"/>
      <c r="AP339" s="42"/>
      <c r="AQ339" s="42"/>
      <c r="AR339" s="42"/>
      <c r="AS339" s="42"/>
      <c r="AT339" s="42"/>
      <c r="AU339" s="42"/>
      <c r="AV339" s="42"/>
      <c r="AW339" s="42"/>
      <c r="AX339" s="42"/>
      <c r="AY339" s="42"/>
      <c r="AZ339" s="42"/>
      <c r="BA339" s="42"/>
      <c r="BB339" s="42"/>
      <c r="BC339" s="42"/>
      <c r="BD339" s="42"/>
      <c r="BE339" s="42"/>
      <c r="BF339" s="37"/>
      <c r="BG339" s="37"/>
      <c r="BH339" s="37"/>
      <c r="BI339" s="37"/>
      <c r="BJ339" s="37"/>
      <c r="BK339" s="37"/>
      <c r="BL339" s="37"/>
      <c r="BM339" s="37"/>
      <c r="BN339" s="37"/>
      <c r="BO339" s="37"/>
      <c r="BP339" s="37"/>
      <c r="BQ339" s="37"/>
      <c r="BR339" s="37"/>
      <c r="BS339" s="37"/>
      <c r="BT339" s="37"/>
      <c r="BU339" s="37"/>
      <c r="BV339" s="37"/>
      <c r="BW339" s="37"/>
      <c r="BX339" s="37"/>
      <c r="BY339" s="37"/>
      <c r="BZ339" s="37"/>
      <c r="CA339" s="37"/>
      <c r="CB339" s="37"/>
      <c r="CC339" s="37"/>
      <c r="CD339" s="37"/>
      <c r="CE339" s="37"/>
      <c r="CF339" s="37"/>
      <c r="CG339" s="37"/>
      <c r="CH339" s="37"/>
      <c r="CI339" s="37"/>
      <c r="CJ339" s="37"/>
      <c r="CO339" s="37"/>
      <c r="DK339" s="37"/>
      <c r="DL339" s="37"/>
      <c r="DM339" s="37"/>
      <c r="DN339" s="37"/>
      <c r="DO339" s="37"/>
      <c r="DP339" s="37"/>
      <c r="DQ339" s="37"/>
      <c r="DR339" s="37"/>
      <c r="DS339" s="37"/>
      <c r="DT339" s="37"/>
      <c r="DU339" s="37"/>
      <c r="DV339" s="37"/>
      <c r="DW339" s="37"/>
      <c r="DX339" s="37"/>
      <c r="DY339" s="37"/>
      <c r="DZ339" s="37"/>
    </row>
    <row r="340" spans="1:130" ht="12.75" hidden="1" customHeight="1" outlineLevel="1">
      <c r="A340" s="35" t="s">
        <v>291</v>
      </c>
      <c r="B340" s="298"/>
      <c r="C340" s="298"/>
      <c r="D340" s="298"/>
      <c r="E340" s="298"/>
      <c r="F340" s="298"/>
      <c r="G340" s="298"/>
      <c r="H340" s="298"/>
      <c r="I340" s="298"/>
      <c r="J340" s="298"/>
      <c r="K340" s="298">
        <v>115</v>
      </c>
      <c r="L340" s="298">
        <v>122</v>
      </c>
      <c r="M340" s="298">
        <v>127</v>
      </c>
      <c r="N340" s="35"/>
      <c r="O340" s="35"/>
      <c r="P340" s="35"/>
      <c r="Q340" s="35"/>
      <c r="R340" s="35"/>
      <c r="S340" s="35"/>
      <c r="T340" s="35"/>
      <c r="U340" s="35"/>
      <c r="V340" s="35"/>
      <c r="W340" s="35"/>
      <c r="X340" s="35"/>
      <c r="Y340" s="35"/>
      <c r="Z340" s="35"/>
      <c r="AA340" s="35"/>
      <c r="AB340" s="42"/>
      <c r="AC340" s="42"/>
      <c r="AD340" s="42"/>
      <c r="AE340" s="42"/>
      <c r="AF340" s="42"/>
      <c r="AG340" s="42"/>
      <c r="AH340" s="42"/>
      <c r="AI340" s="42"/>
      <c r="AJ340" s="42"/>
      <c r="AK340" s="42"/>
      <c r="AL340" s="42"/>
      <c r="AM340" s="42"/>
      <c r="AN340" s="42"/>
      <c r="AO340" s="42"/>
      <c r="AP340" s="42"/>
      <c r="AQ340" s="42"/>
      <c r="AR340" s="42"/>
      <c r="AS340" s="42"/>
      <c r="AT340" s="42"/>
      <c r="AU340" s="42"/>
      <c r="AV340" s="42"/>
      <c r="AW340" s="42"/>
      <c r="AX340" s="42"/>
      <c r="AY340" s="42"/>
      <c r="AZ340" s="42"/>
      <c r="BA340" s="42"/>
      <c r="BB340" s="42"/>
      <c r="BC340" s="42"/>
      <c r="BD340" s="42"/>
      <c r="BE340" s="42"/>
      <c r="BF340" s="37"/>
      <c r="BG340" s="37"/>
      <c r="BH340" s="37"/>
      <c r="BI340" s="37"/>
      <c r="BJ340" s="37"/>
      <c r="BK340" s="37"/>
      <c r="BL340" s="37"/>
      <c r="BM340" s="37"/>
      <c r="BN340" s="37"/>
      <c r="BO340" s="37"/>
      <c r="BP340" s="37"/>
      <c r="BQ340" s="37"/>
      <c r="BR340" s="37"/>
      <c r="BS340" s="37"/>
      <c r="BT340" s="37"/>
      <c r="BU340" s="37"/>
      <c r="BV340" s="37"/>
      <c r="BW340" s="37"/>
      <c r="BX340" s="37"/>
      <c r="BY340" s="37"/>
      <c r="BZ340" s="37"/>
      <c r="CA340" s="37"/>
      <c r="CB340" s="37"/>
      <c r="CC340" s="37"/>
      <c r="CD340" s="37"/>
      <c r="CE340" s="37"/>
      <c r="CF340" s="37"/>
      <c r="CG340" s="37"/>
      <c r="CH340" s="37"/>
      <c r="CI340" s="37"/>
      <c r="CJ340" s="37"/>
      <c r="CO340" s="37"/>
      <c r="DK340" s="37"/>
      <c r="DL340" s="37"/>
      <c r="DM340" s="37"/>
      <c r="DN340" s="37"/>
      <c r="DO340" s="37"/>
      <c r="DP340" s="37"/>
      <c r="DQ340" s="37"/>
      <c r="DR340" s="37"/>
      <c r="DS340" s="37"/>
      <c r="DT340" s="37"/>
      <c r="DU340" s="37"/>
      <c r="DV340" s="37"/>
      <c r="DW340" s="37"/>
      <c r="DX340" s="37"/>
      <c r="DY340" s="37"/>
      <c r="DZ340" s="37"/>
    </row>
    <row r="341" spans="1:130" ht="12.75" hidden="1" customHeight="1" outlineLevel="1">
      <c r="A341" s="256" t="s">
        <v>189</v>
      </c>
      <c r="B341" s="299"/>
      <c r="C341" s="299"/>
      <c r="D341" s="299"/>
      <c r="E341" s="299"/>
      <c r="F341" s="299"/>
      <c r="G341" s="299"/>
      <c r="H341" s="299"/>
      <c r="I341" s="299"/>
      <c r="J341" s="299"/>
      <c r="K341" s="299">
        <f>SUM(K335:K340)</f>
        <v>7956</v>
      </c>
      <c r="L341" s="299">
        <f>SUM(L335:L340)</f>
        <v>13613</v>
      </c>
      <c r="M341" s="299">
        <f>SUM(M335:M340)</f>
        <v>15821</v>
      </c>
      <c r="N341" s="35"/>
      <c r="O341" s="35"/>
      <c r="P341" s="35"/>
      <c r="Q341" s="35"/>
      <c r="R341" s="35"/>
      <c r="S341" s="35"/>
      <c r="T341" s="35"/>
      <c r="U341" s="35"/>
      <c r="V341" s="35"/>
      <c r="W341" s="35"/>
      <c r="X341" s="35"/>
      <c r="Y341" s="35"/>
      <c r="Z341" s="35"/>
      <c r="AA341" s="35"/>
      <c r="AB341" s="228"/>
      <c r="AC341" s="42"/>
      <c r="AD341" s="42"/>
      <c r="AE341" s="42"/>
      <c r="AF341" s="42"/>
      <c r="AG341" s="42"/>
      <c r="AH341" s="42"/>
      <c r="AI341" s="42"/>
      <c r="AJ341" s="42"/>
      <c r="AK341" s="42"/>
      <c r="AL341" s="42"/>
      <c r="AM341" s="42"/>
      <c r="AN341" s="42"/>
      <c r="AO341" s="42"/>
      <c r="AP341" s="42"/>
      <c r="AQ341" s="42"/>
      <c r="AR341" s="42"/>
      <c r="AS341" s="42"/>
      <c r="AT341" s="42"/>
      <c r="AU341" s="42"/>
      <c r="AV341" s="42"/>
      <c r="AW341" s="42"/>
      <c r="AX341" s="42"/>
      <c r="AY341" s="42"/>
      <c r="AZ341" s="42"/>
      <c r="BA341" s="42"/>
      <c r="BB341" s="42"/>
      <c r="BC341" s="42"/>
      <c r="BD341" s="42"/>
      <c r="BE341" s="42"/>
      <c r="BF341" s="37"/>
      <c r="BG341" s="37"/>
      <c r="BH341" s="37"/>
      <c r="BI341" s="37"/>
      <c r="BJ341" s="37"/>
      <c r="BK341" s="37"/>
      <c r="BL341" s="37"/>
      <c r="BM341" s="37"/>
      <c r="BN341" s="37"/>
      <c r="BO341" s="37"/>
      <c r="BP341" s="37"/>
      <c r="BQ341" s="37"/>
      <c r="BR341" s="37"/>
      <c r="BS341" s="37"/>
      <c r="BT341" s="37"/>
      <c r="BU341" s="37"/>
      <c r="BV341" s="37"/>
      <c r="BW341" s="37"/>
      <c r="BX341" s="37"/>
      <c r="BY341" s="37"/>
      <c r="BZ341" s="37"/>
      <c r="CA341" s="37"/>
      <c r="CB341" s="37"/>
      <c r="CC341" s="37"/>
      <c r="CD341" s="37"/>
      <c r="CE341" s="37"/>
      <c r="CF341" s="37"/>
      <c r="CG341" s="37"/>
      <c r="CH341" s="37"/>
      <c r="CI341" s="37"/>
      <c r="CJ341" s="37"/>
      <c r="CO341" s="37"/>
      <c r="DK341" s="37"/>
      <c r="DL341" s="37"/>
      <c r="DM341" s="37"/>
      <c r="DN341" s="37"/>
      <c r="DO341" s="37"/>
      <c r="DP341" s="37"/>
      <c r="DQ341" s="37"/>
      <c r="DR341" s="37"/>
      <c r="DS341" s="37"/>
      <c r="DT341" s="37"/>
      <c r="DU341" s="37"/>
      <c r="DV341" s="37"/>
      <c r="DW341" s="37"/>
      <c r="DX341" s="37"/>
      <c r="DY341" s="37"/>
      <c r="DZ341" s="37"/>
    </row>
    <row r="342" spans="1:130" ht="6" hidden="1" customHeight="1" outlineLevel="1">
      <c r="A342" s="256"/>
      <c r="B342" s="299"/>
      <c r="C342" s="299"/>
      <c r="D342" s="299"/>
      <c r="E342" s="299"/>
      <c r="F342" s="299"/>
      <c r="G342" s="299"/>
      <c r="H342" s="299"/>
      <c r="I342" s="299"/>
      <c r="J342" s="299"/>
      <c r="K342" s="299"/>
      <c r="L342" s="299"/>
      <c r="M342" s="299"/>
      <c r="N342" s="35"/>
      <c r="O342" s="35"/>
      <c r="P342" s="35"/>
      <c r="Q342" s="35"/>
      <c r="R342" s="35"/>
      <c r="S342" s="35"/>
      <c r="T342" s="35"/>
      <c r="U342" s="35"/>
      <c r="V342" s="35"/>
      <c r="W342" s="35"/>
      <c r="X342" s="35"/>
      <c r="Y342" s="35"/>
      <c r="Z342" s="35"/>
      <c r="AA342" s="35"/>
      <c r="AB342" s="228"/>
      <c r="AC342" s="42"/>
      <c r="AD342" s="42"/>
      <c r="AE342" s="42"/>
      <c r="AF342" s="42"/>
      <c r="AG342" s="42"/>
      <c r="AH342" s="42"/>
      <c r="AI342" s="42"/>
      <c r="AJ342" s="42"/>
      <c r="AK342" s="42"/>
      <c r="AL342" s="42"/>
      <c r="AM342" s="42"/>
      <c r="AN342" s="42"/>
      <c r="AO342" s="42"/>
      <c r="AP342" s="42"/>
      <c r="AQ342" s="42"/>
      <c r="AR342" s="42"/>
      <c r="AS342" s="42"/>
      <c r="AT342" s="42"/>
      <c r="AU342" s="42"/>
      <c r="AV342" s="42"/>
      <c r="AW342" s="42"/>
      <c r="AX342" s="42"/>
      <c r="AY342" s="42"/>
      <c r="AZ342" s="42"/>
      <c r="BA342" s="42"/>
      <c r="BB342" s="42"/>
      <c r="BC342" s="42"/>
      <c r="BD342" s="42"/>
      <c r="BE342" s="42"/>
      <c r="BF342" s="37"/>
      <c r="BG342" s="37"/>
      <c r="BH342" s="37"/>
      <c r="BI342" s="37"/>
      <c r="BJ342" s="37"/>
      <c r="BK342" s="37"/>
      <c r="BL342" s="37"/>
      <c r="BM342" s="37"/>
      <c r="BN342" s="37"/>
      <c r="BO342" s="37"/>
      <c r="BP342" s="37"/>
      <c r="BQ342" s="37"/>
      <c r="BR342" s="37"/>
      <c r="BS342" s="37"/>
      <c r="BT342" s="37"/>
      <c r="BU342" s="37"/>
      <c r="BV342" s="37"/>
      <c r="BW342" s="37"/>
      <c r="BX342" s="37"/>
      <c r="BY342" s="37"/>
      <c r="BZ342" s="37"/>
      <c r="CA342" s="37"/>
      <c r="CB342" s="37"/>
      <c r="CC342" s="37"/>
      <c r="CD342" s="37"/>
      <c r="CE342" s="37"/>
      <c r="CF342" s="37"/>
      <c r="CG342" s="37"/>
      <c r="CH342" s="37"/>
      <c r="CI342" s="37"/>
      <c r="CJ342" s="37"/>
      <c r="CO342" s="37"/>
      <c r="DK342" s="37"/>
      <c r="DL342" s="37"/>
      <c r="DM342" s="37"/>
      <c r="DN342" s="37"/>
      <c r="DO342" s="37"/>
      <c r="DP342" s="37"/>
      <c r="DQ342" s="37"/>
      <c r="DR342" s="37"/>
      <c r="DS342" s="37"/>
      <c r="DT342" s="37"/>
      <c r="DU342" s="37"/>
      <c r="DV342" s="37"/>
      <c r="DW342" s="37"/>
      <c r="DX342" s="37"/>
      <c r="DY342" s="37"/>
      <c r="DZ342" s="37"/>
    </row>
    <row r="343" spans="1:130" ht="12.75" hidden="1" customHeight="1" outlineLevel="1">
      <c r="A343" s="35" t="s">
        <v>292</v>
      </c>
      <c r="B343" s="298"/>
      <c r="C343" s="298"/>
      <c r="D343" s="298"/>
      <c r="E343" s="298"/>
      <c r="F343" s="298"/>
      <c r="G343" s="298"/>
      <c r="H343" s="298"/>
      <c r="I343" s="298"/>
      <c r="J343" s="298"/>
      <c r="K343" s="298" t="e">
        <f>#REF!</f>
        <v>#REF!</v>
      </c>
      <c r="L343" s="298"/>
      <c r="M343" s="298">
        <v>5422.8080005876736</v>
      </c>
      <c r="N343" s="35"/>
      <c r="O343" s="35"/>
      <c r="P343" s="35"/>
      <c r="Q343" s="35"/>
      <c r="R343" s="35"/>
      <c r="S343" s="35"/>
      <c r="T343" s="35"/>
      <c r="U343" s="35"/>
      <c r="V343" s="35"/>
      <c r="W343" s="35"/>
      <c r="X343" s="35"/>
      <c r="Y343" s="35"/>
      <c r="Z343" s="35"/>
      <c r="AA343" s="35"/>
      <c r="AB343" s="42"/>
      <c r="AC343" s="42"/>
      <c r="AD343" s="42"/>
      <c r="AE343" s="42"/>
      <c r="AF343" s="42"/>
      <c r="AG343" s="42"/>
      <c r="AH343" s="42"/>
      <c r="AI343" s="42"/>
      <c r="AJ343" s="42"/>
      <c r="AK343" s="42"/>
      <c r="AL343" s="42"/>
      <c r="AM343" s="42"/>
      <c r="AN343" s="42"/>
      <c r="AO343" s="42"/>
      <c r="AP343" s="42"/>
      <c r="AQ343" s="42"/>
      <c r="AR343" s="42"/>
      <c r="AS343" s="42"/>
      <c r="AT343" s="42"/>
      <c r="AU343" s="42"/>
      <c r="AV343" s="42"/>
      <c r="AW343" s="42"/>
      <c r="AX343" s="42"/>
      <c r="AY343" s="42"/>
      <c r="AZ343" s="42"/>
      <c r="BA343" s="42"/>
      <c r="BB343" s="42"/>
      <c r="BC343" s="42"/>
      <c r="BD343" s="42"/>
      <c r="BE343" s="42"/>
      <c r="BF343" s="37"/>
      <c r="BG343" s="37"/>
      <c r="BH343" s="37"/>
      <c r="BI343" s="37"/>
      <c r="BJ343" s="37"/>
      <c r="BK343" s="37"/>
      <c r="BL343" s="37"/>
      <c r="BM343" s="37"/>
      <c r="BN343" s="37"/>
      <c r="BO343" s="37"/>
      <c r="BP343" s="37"/>
      <c r="BQ343" s="37"/>
      <c r="BR343" s="37"/>
      <c r="BS343" s="37"/>
      <c r="BT343" s="37"/>
      <c r="BU343" s="37"/>
      <c r="BV343" s="37"/>
      <c r="BW343" s="37"/>
      <c r="BX343" s="37"/>
      <c r="BY343" s="37"/>
      <c r="BZ343" s="37"/>
      <c r="CA343" s="37"/>
      <c r="CB343" s="37"/>
      <c r="CC343" s="37"/>
      <c r="CD343" s="37"/>
      <c r="CE343" s="37"/>
      <c r="CF343" s="37"/>
      <c r="CG343" s="37"/>
      <c r="CH343" s="37"/>
      <c r="CI343" s="37"/>
      <c r="CJ343" s="37"/>
      <c r="CO343" s="37"/>
      <c r="DK343" s="37"/>
      <c r="DL343" s="37"/>
      <c r="DM343" s="37"/>
      <c r="DN343" s="37"/>
      <c r="DO343" s="37"/>
      <c r="DP343" s="37"/>
      <c r="DQ343" s="37"/>
      <c r="DR343" s="37"/>
      <c r="DS343" s="37"/>
      <c r="DT343" s="37"/>
      <c r="DU343" s="37"/>
      <c r="DV343" s="37"/>
      <c r="DW343" s="37"/>
      <c r="DX343" s="37"/>
      <c r="DY343" s="37"/>
      <c r="DZ343" s="37"/>
    </row>
    <row r="344" spans="1:130" ht="12.75" hidden="1" customHeight="1" outlineLevel="1">
      <c r="A344" s="300" t="s">
        <v>293</v>
      </c>
      <c r="B344" s="301"/>
      <c r="C344" s="301"/>
      <c r="D344" s="301"/>
      <c r="E344" s="301"/>
      <c r="F344" s="301"/>
      <c r="G344" s="301"/>
      <c r="H344" s="301"/>
      <c r="I344" s="301"/>
      <c r="J344" s="301"/>
      <c r="K344" s="301"/>
      <c r="L344" s="301"/>
      <c r="M344" s="301">
        <f>M343/M341</f>
        <v>0.34276012897968988</v>
      </c>
      <c r="N344" s="302"/>
      <c r="O344" s="302"/>
      <c r="P344" s="302"/>
      <c r="Q344" s="302"/>
      <c r="R344" s="302"/>
      <c r="S344" s="302"/>
      <c r="T344" s="302"/>
      <c r="U344" s="302"/>
      <c r="V344" s="302"/>
      <c r="W344" s="302"/>
      <c r="X344" s="302"/>
      <c r="Y344" s="302"/>
      <c r="Z344" s="302"/>
      <c r="AA344" s="302"/>
      <c r="AB344" s="303"/>
      <c r="AC344" s="126"/>
      <c r="AD344" s="126"/>
      <c r="AE344" s="126"/>
      <c r="AF344" s="126"/>
      <c r="AG344" s="126"/>
      <c r="AH344" s="126"/>
      <c r="AI344" s="126"/>
      <c r="AJ344" s="126"/>
      <c r="AK344" s="126"/>
      <c r="AL344" s="126"/>
      <c r="AM344" s="126"/>
      <c r="AN344" s="126"/>
      <c r="AO344" s="126"/>
      <c r="AP344" s="126"/>
      <c r="AQ344" s="126"/>
      <c r="AR344" s="126"/>
      <c r="AS344" s="126"/>
      <c r="AT344" s="126"/>
      <c r="AU344" s="126"/>
      <c r="AV344" s="126"/>
      <c r="AW344" s="126"/>
      <c r="AX344" s="126"/>
      <c r="AY344" s="126"/>
      <c r="AZ344" s="126"/>
      <c r="BA344" s="126"/>
      <c r="BB344" s="126"/>
      <c r="BC344" s="126"/>
      <c r="BD344" s="126"/>
      <c r="BE344" s="126"/>
      <c r="BF344" s="304"/>
      <c r="BG344" s="304"/>
      <c r="BH344" s="304"/>
      <c r="BI344" s="304"/>
      <c r="BJ344" s="304"/>
      <c r="BK344" s="304"/>
      <c r="BL344" s="304"/>
      <c r="BM344" s="304"/>
      <c r="BN344" s="304"/>
      <c r="BO344" s="304"/>
      <c r="BP344" s="304"/>
      <c r="BQ344" s="304"/>
      <c r="BR344" s="304"/>
      <c r="BS344" s="304"/>
      <c r="BT344" s="304"/>
      <c r="BU344" s="304"/>
      <c r="BV344" s="304"/>
      <c r="BW344" s="304"/>
      <c r="BX344" s="304"/>
      <c r="BY344" s="304"/>
      <c r="BZ344" s="304"/>
      <c r="CA344" s="304"/>
      <c r="CB344" s="304"/>
      <c r="CC344" s="304"/>
      <c r="CD344" s="304"/>
      <c r="CE344" s="304"/>
      <c r="CF344" s="304"/>
      <c r="CG344" s="304"/>
      <c r="CH344" s="304"/>
      <c r="CI344" s="304"/>
      <c r="CJ344" s="304"/>
      <c r="CO344" s="304"/>
      <c r="DK344" s="304"/>
      <c r="DL344" s="304"/>
      <c r="DM344" s="304"/>
      <c r="DN344" s="304"/>
      <c r="DO344" s="304"/>
      <c r="DP344" s="304"/>
      <c r="DQ344" s="304"/>
      <c r="DR344" s="304"/>
      <c r="DS344" s="304"/>
      <c r="DT344" s="304"/>
      <c r="DU344" s="304"/>
      <c r="DV344" s="304"/>
      <c r="DW344" s="304"/>
      <c r="DX344" s="304"/>
      <c r="DY344" s="304"/>
      <c r="DZ344" s="304"/>
    </row>
    <row r="345" spans="1:130" ht="12.75" hidden="1" customHeight="1" outlineLevel="1">
      <c r="A345" s="35"/>
      <c r="B345" s="162"/>
      <c r="C345" s="162"/>
      <c r="D345" s="162"/>
      <c r="E345" s="162"/>
      <c r="F345" s="162"/>
      <c r="G345" s="162"/>
      <c r="H345" s="162"/>
      <c r="I345" s="162"/>
      <c r="J345" s="162"/>
      <c r="K345" s="162"/>
      <c r="L345" s="162"/>
      <c r="M345" s="162"/>
      <c r="N345" s="35"/>
      <c r="O345" s="35"/>
      <c r="P345" s="35"/>
      <c r="Q345" s="35"/>
      <c r="R345" s="35"/>
      <c r="S345" s="35"/>
      <c r="T345" s="35"/>
      <c r="U345" s="35"/>
      <c r="V345" s="35"/>
      <c r="W345" s="35"/>
      <c r="X345" s="35"/>
      <c r="Y345" s="35"/>
      <c r="Z345" s="35"/>
      <c r="AA345" s="35"/>
      <c r="AB345" s="42"/>
      <c r="AC345" s="42"/>
      <c r="AD345" s="42"/>
      <c r="AE345" s="42"/>
      <c r="AF345" s="42"/>
      <c r="AG345" s="42"/>
      <c r="AH345" s="42"/>
      <c r="AI345" s="42"/>
      <c r="AJ345" s="42"/>
      <c r="AK345" s="42"/>
      <c r="AL345" s="42"/>
      <c r="AM345" s="42"/>
      <c r="AN345" s="42"/>
      <c r="AO345" s="42"/>
      <c r="AP345" s="42"/>
      <c r="AQ345" s="42"/>
      <c r="AR345" s="42"/>
      <c r="AS345" s="42"/>
      <c r="AT345" s="42"/>
      <c r="AU345" s="42"/>
      <c r="AV345" s="42"/>
      <c r="AW345" s="42"/>
      <c r="AX345" s="42"/>
      <c r="AY345" s="42"/>
      <c r="AZ345" s="42"/>
      <c r="BA345" s="42"/>
      <c r="BB345" s="42"/>
      <c r="BC345" s="42"/>
      <c r="BD345" s="42"/>
      <c r="BE345" s="42"/>
      <c r="BF345" s="37"/>
      <c r="BG345" s="37"/>
      <c r="BH345" s="37"/>
      <c r="BI345" s="37"/>
      <c r="BJ345" s="37"/>
      <c r="BK345" s="37"/>
      <c r="BL345" s="37"/>
      <c r="BM345" s="37"/>
      <c r="BN345" s="37"/>
      <c r="BO345" s="37"/>
      <c r="BP345" s="37"/>
      <c r="BQ345" s="37"/>
      <c r="BR345" s="37"/>
      <c r="BS345" s="37"/>
      <c r="BT345" s="37"/>
      <c r="BU345" s="37"/>
      <c r="BV345" s="37"/>
      <c r="BW345" s="37"/>
      <c r="BX345" s="37"/>
      <c r="BY345" s="37"/>
      <c r="BZ345" s="37"/>
      <c r="CA345" s="37"/>
      <c r="CB345" s="37"/>
      <c r="CC345" s="37"/>
      <c r="CD345" s="37"/>
      <c r="CE345" s="37"/>
      <c r="CF345" s="37"/>
      <c r="CG345" s="37"/>
      <c r="CH345" s="37"/>
      <c r="CI345" s="37"/>
      <c r="CJ345" s="37"/>
      <c r="CO345" s="37"/>
      <c r="DK345" s="37"/>
      <c r="DL345" s="37"/>
      <c r="DM345" s="37"/>
      <c r="DN345" s="37"/>
      <c r="DO345" s="37"/>
      <c r="DP345" s="37"/>
      <c r="DQ345" s="37"/>
      <c r="DR345" s="37"/>
      <c r="DS345" s="37"/>
      <c r="DT345" s="37"/>
      <c r="DU345" s="37"/>
      <c r="DV345" s="37"/>
      <c r="DW345" s="37"/>
      <c r="DX345" s="37"/>
      <c r="DY345" s="37"/>
      <c r="DZ345" s="37"/>
    </row>
    <row r="346" spans="1:130" ht="12.75" hidden="1" customHeight="1" outlineLevel="1">
      <c r="A346" s="256" t="s">
        <v>297</v>
      </c>
      <c r="B346" s="298"/>
      <c r="C346" s="298"/>
      <c r="D346" s="298"/>
      <c r="E346" s="298"/>
      <c r="F346" s="298"/>
      <c r="G346" s="298"/>
      <c r="H346" s="298"/>
      <c r="I346" s="298"/>
      <c r="J346" s="298"/>
      <c r="K346" s="298">
        <v>23108</v>
      </c>
      <c r="L346" s="298">
        <v>31410</v>
      </c>
      <c r="M346" s="298">
        <v>36080</v>
      </c>
      <c r="N346" s="35"/>
      <c r="O346" s="35"/>
      <c r="P346" s="35"/>
      <c r="Q346" s="35"/>
      <c r="R346" s="35"/>
      <c r="S346" s="35"/>
      <c r="T346" s="35"/>
      <c r="U346" s="35"/>
      <c r="V346" s="35"/>
      <c r="W346" s="35"/>
      <c r="X346" s="35"/>
      <c r="Y346" s="35"/>
      <c r="Z346" s="35"/>
      <c r="AA346" s="35"/>
      <c r="AB346" s="228"/>
      <c r="AC346" s="42"/>
      <c r="AD346" s="42"/>
      <c r="AE346" s="42"/>
      <c r="AF346" s="42"/>
      <c r="AG346" s="42"/>
      <c r="AH346" s="42"/>
      <c r="AI346" s="42"/>
      <c r="AJ346" s="42"/>
      <c r="AK346" s="42"/>
      <c r="AL346" s="42"/>
      <c r="AM346" s="42"/>
      <c r="AN346" s="42"/>
      <c r="AO346" s="42"/>
      <c r="AP346" s="42"/>
      <c r="AQ346" s="42"/>
      <c r="AR346" s="42"/>
      <c r="AS346" s="42"/>
      <c r="AT346" s="42"/>
      <c r="AU346" s="42"/>
      <c r="AV346" s="42"/>
      <c r="AW346" s="42"/>
      <c r="AX346" s="42"/>
      <c r="AY346" s="42"/>
      <c r="AZ346" s="42"/>
      <c r="BA346" s="42"/>
      <c r="BB346" s="42"/>
      <c r="BC346" s="42"/>
      <c r="BD346" s="42"/>
      <c r="BE346" s="42"/>
      <c r="BF346" s="37"/>
      <c r="BG346" s="37"/>
      <c r="BH346" s="37"/>
      <c r="BI346" s="37"/>
      <c r="BJ346" s="37"/>
      <c r="BK346" s="37"/>
      <c r="BL346" s="37"/>
      <c r="BM346" s="37"/>
      <c r="BN346" s="37"/>
      <c r="BO346" s="37"/>
      <c r="BP346" s="37"/>
      <c r="BQ346" s="37"/>
      <c r="BR346" s="37"/>
      <c r="BS346" s="37"/>
      <c r="BT346" s="37"/>
      <c r="BU346" s="37"/>
      <c r="BV346" s="37"/>
      <c r="BW346" s="37"/>
      <c r="BX346" s="37"/>
      <c r="BY346" s="37"/>
      <c r="BZ346" s="37"/>
      <c r="CA346" s="37"/>
      <c r="CB346" s="37"/>
      <c r="CC346" s="37"/>
      <c r="CD346" s="37"/>
      <c r="CE346" s="37"/>
      <c r="CF346" s="37"/>
      <c r="CG346" s="37"/>
      <c r="CH346" s="37"/>
      <c r="CI346" s="37"/>
      <c r="CJ346" s="37"/>
      <c r="CO346" s="37"/>
      <c r="DK346" s="37"/>
      <c r="DL346" s="37"/>
      <c r="DM346" s="37"/>
      <c r="DN346" s="37"/>
      <c r="DO346" s="37"/>
      <c r="DP346" s="37"/>
      <c r="DQ346" s="37"/>
      <c r="DR346" s="37"/>
      <c r="DS346" s="37"/>
      <c r="DT346" s="37"/>
      <c r="DU346" s="37"/>
      <c r="DV346" s="37"/>
      <c r="DW346" s="37"/>
      <c r="DX346" s="37"/>
      <c r="DY346" s="37"/>
      <c r="DZ346" s="37"/>
    </row>
    <row r="347" spans="1:130" ht="12.75" hidden="1" customHeight="1" outlineLevel="1">
      <c r="A347" s="35" t="s">
        <v>63</v>
      </c>
      <c r="B347" s="298"/>
      <c r="C347" s="298"/>
      <c r="D347" s="298"/>
      <c r="E347" s="298"/>
      <c r="F347" s="298"/>
      <c r="G347" s="298"/>
      <c r="H347" s="298"/>
      <c r="I347" s="298"/>
      <c r="J347" s="298"/>
      <c r="K347" s="298"/>
      <c r="L347" s="298"/>
      <c r="M347" s="298">
        <f>M323+M335</f>
        <v>5964</v>
      </c>
      <c r="N347" s="306"/>
      <c r="O347" s="35"/>
      <c r="P347" s="35"/>
      <c r="Q347" s="35"/>
      <c r="R347" s="35"/>
      <c r="S347" s="35"/>
      <c r="T347" s="35"/>
      <c r="U347" s="35"/>
      <c r="V347" s="35"/>
      <c r="W347" s="35"/>
      <c r="X347" s="35"/>
      <c r="Y347" s="35"/>
      <c r="Z347" s="35"/>
      <c r="AA347" s="35"/>
      <c r="AB347" s="42"/>
      <c r="AC347" s="42"/>
      <c r="AD347" s="42"/>
      <c r="AE347" s="42"/>
      <c r="AF347" s="42"/>
      <c r="AG347" s="42"/>
      <c r="AH347" s="42"/>
      <c r="AI347" s="42"/>
      <c r="AJ347" s="42"/>
      <c r="AK347" s="42"/>
      <c r="AL347" s="42"/>
      <c r="AM347" s="42"/>
      <c r="AN347" s="42"/>
      <c r="AO347" s="42"/>
      <c r="AP347" s="42"/>
      <c r="AQ347" s="42"/>
      <c r="AR347" s="42"/>
      <c r="AS347" s="42"/>
      <c r="AT347" s="42"/>
      <c r="AU347" s="42"/>
      <c r="AV347" s="42"/>
      <c r="AW347" s="42"/>
      <c r="AX347" s="42"/>
      <c r="AY347" s="42"/>
      <c r="AZ347" s="42"/>
      <c r="BA347" s="42"/>
      <c r="BB347" s="42"/>
      <c r="BC347" s="42"/>
      <c r="BD347" s="42"/>
      <c r="BE347" s="42"/>
      <c r="BF347" s="37"/>
      <c r="BG347" s="37"/>
      <c r="BH347" s="37"/>
      <c r="BI347" s="37"/>
      <c r="BJ347" s="37"/>
      <c r="BK347" s="37"/>
      <c r="BL347" s="37"/>
      <c r="BM347" s="37"/>
      <c r="BN347" s="37"/>
      <c r="BO347" s="37"/>
      <c r="BP347" s="37"/>
      <c r="BQ347" s="37"/>
      <c r="BR347" s="37"/>
      <c r="BS347" s="37"/>
      <c r="BT347" s="37"/>
      <c r="BU347" s="37"/>
      <c r="BV347" s="37"/>
      <c r="BW347" s="37"/>
      <c r="BX347" s="37"/>
      <c r="BY347" s="37"/>
      <c r="BZ347" s="37"/>
      <c r="CA347" s="37"/>
      <c r="CB347" s="37"/>
      <c r="CC347" s="37"/>
      <c r="CD347" s="37"/>
      <c r="CE347" s="37"/>
      <c r="CF347" s="37"/>
      <c r="CG347" s="37"/>
      <c r="CH347" s="37"/>
      <c r="CI347" s="37"/>
      <c r="CJ347" s="37"/>
      <c r="CO347" s="37"/>
      <c r="DK347" s="37"/>
      <c r="DL347" s="37"/>
      <c r="DM347" s="37"/>
      <c r="DN347" s="37"/>
      <c r="DO347" s="37"/>
      <c r="DP347" s="37"/>
      <c r="DQ347" s="37"/>
      <c r="DR347" s="37"/>
      <c r="DS347" s="37"/>
      <c r="DT347" s="37"/>
      <c r="DU347" s="37"/>
      <c r="DV347" s="37"/>
      <c r="DW347" s="37"/>
      <c r="DX347" s="37"/>
      <c r="DY347" s="37"/>
      <c r="DZ347" s="37"/>
    </row>
    <row r="348" spans="1:130" ht="12.75" hidden="1" customHeight="1" outlineLevel="1">
      <c r="A348" s="35" t="s">
        <v>298</v>
      </c>
      <c r="B348" s="298"/>
      <c r="C348" s="298"/>
      <c r="D348" s="298"/>
      <c r="E348" s="298"/>
      <c r="F348" s="298"/>
      <c r="G348" s="298"/>
      <c r="H348" s="298"/>
      <c r="I348" s="298"/>
      <c r="J348" s="298"/>
      <c r="K348" s="298"/>
      <c r="L348" s="298"/>
      <c r="M348" s="298">
        <v>5507.1748541589031</v>
      </c>
      <c r="N348" s="306"/>
      <c r="O348" s="35"/>
      <c r="P348" s="35"/>
      <c r="Q348" s="35"/>
      <c r="R348" s="35"/>
      <c r="S348" s="35"/>
      <c r="T348" s="35"/>
      <c r="U348" s="35"/>
      <c r="V348" s="35"/>
      <c r="W348" s="35"/>
      <c r="X348" s="35"/>
      <c r="Y348" s="35"/>
      <c r="Z348" s="35"/>
      <c r="AA348" s="35"/>
      <c r="AB348" s="42"/>
      <c r="AC348" s="42"/>
      <c r="AD348" s="42"/>
      <c r="AE348" s="42"/>
      <c r="AF348" s="42"/>
      <c r="AG348" s="42"/>
      <c r="AH348" s="42"/>
      <c r="AI348" s="42"/>
      <c r="AJ348" s="42"/>
      <c r="AK348" s="42"/>
      <c r="AL348" s="42"/>
      <c r="AM348" s="42"/>
      <c r="AN348" s="42"/>
      <c r="AO348" s="42"/>
      <c r="AP348" s="42"/>
      <c r="AQ348" s="42"/>
      <c r="AR348" s="42"/>
      <c r="AS348" s="42"/>
      <c r="AT348" s="42"/>
      <c r="AU348" s="42"/>
      <c r="AV348" s="42"/>
      <c r="AW348" s="42"/>
      <c r="AX348" s="42"/>
      <c r="AY348" s="42"/>
      <c r="AZ348" s="42"/>
      <c r="BA348" s="42"/>
      <c r="BB348" s="42"/>
      <c r="BC348" s="42"/>
      <c r="BD348" s="42"/>
      <c r="BE348" s="42"/>
      <c r="BF348" s="37"/>
      <c r="BG348" s="37"/>
      <c r="BH348" s="37"/>
      <c r="BI348" s="37"/>
      <c r="BJ348" s="37"/>
      <c r="BK348" s="37"/>
      <c r="BL348" s="37"/>
      <c r="BM348" s="37"/>
      <c r="BN348" s="37"/>
      <c r="BO348" s="37"/>
      <c r="BP348" s="37"/>
      <c r="BQ348" s="37"/>
      <c r="BR348" s="37"/>
      <c r="BS348" s="37"/>
      <c r="BT348" s="37"/>
      <c r="BU348" s="37"/>
      <c r="BV348" s="37"/>
      <c r="BW348" s="37"/>
      <c r="BX348" s="37"/>
      <c r="BY348" s="37"/>
      <c r="BZ348" s="37"/>
      <c r="CA348" s="37"/>
      <c r="CB348" s="37"/>
      <c r="CC348" s="37"/>
      <c r="CD348" s="37"/>
      <c r="CE348" s="37"/>
      <c r="CF348" s="37"/>
      <c r="CG348" s="37"/>
      <c r="CH348" s="37"/>
      <c r="CI348" s="37"/>
      <c r="CJ348" s="37"/>
      <c r="CO348" s="37"/>
      <c r="DK348" s="37"/>
      <c r="DL348" s="37"/>
      <c r="DM348" s="37"/>
      <c r="DN348" s="37"/>
      <c r="DO348" s="37"/>
      <c r="DP348" s="37"/>
      <c r="DQ348" s="37"/>
      <c r="DR348" s="37"/>
      <c r="DS348" s="37"/>
      <c r="DT348" s="37"/>
      <c r="DU348" s="37"/>
      <c r="DV348" s="37"/>
      <c r="DW348" s="37"/>
      <c r="DX348" s="37"/>
      <c r="DY348" s="37"/>
      <c r="DZ348" s="37"/>
    </row>
    <row r="349" spans="1:130" ht="12.75" hidden="1" customHeight="1" outlineLevel="1">
      <c r="A349" s="35" t="s">
        <v>288</v>
      </c>
      <c r="B349" s="298"/>
      <c r="C349" s="298"/>
      <c r="D349" s="298"/>
      <c r="E349" s="298"/>
      <c r="F349" s="298"/>
      <c r="G349" s="298"/>
      <c r="H349" s="298"/>
      <c r="I349" s="298"/>
      <c r="J349" s="298"/>
      <c r="K349" s="298"/>
      <c r="L349" s="298"/>
      <c r="M349" s="298">
        <f>M324+M336</f>
        <v>13559</v>
      </c>
      <c r="N349" s="306"/>
      <c r="O349" s="35"/>
      <c r="P349" s="35"/>
      <c r="Q349" s="35"/>
      <c r="R349" s="35"/>
      <c r="S349" s="35"/>
      <c r="T349" s="35"/>
      <c r="U349" s="35"/>
      <c r="V349" s="35"/>
      <c r="W349" s="35"/>
      <c r="X349" s="35"/>
      <c r="Y349" s="35"/>
      <c r="Z349" s="35"/>
      <c r="AA349" s="35"/>
      <c r="AB349" s="42"/>
      <c r="AC349" s="42"/>
      <c r="AD349" s="42"/>
      <c r="AE349" s="42"/>
      <c r="AF349" s="42"/>
      <c r="AG349" s="42"/>
      <c r="AH349" s="42"/>
      <c r="AI349" s="42"/>
      <c r="AJ349" s="42"/>
      <c r="AK349" s="42"/>
      <c r="AL349" s="42"/>
      <c r="AM349" s="42"/>
      <c r="AN349" s="42"/>
      <c r="AO349" s="42"/>
      <c r="AP349" s="42"/>
      <c r="AQ349" s="42"/>
      <c r="AR349" s="42"/>
      <c r="AS349" s="42"/>
      <c r="AT349" s="42"/>
      <c r="AU349" s="42"/>
      <c r="AV349" s="42"/>
      <c r="AW349" s="42"/>
      <c r="AX349" s="42"/>
      <c r="AY349" s="42"/>
      <c r="AZ349" s="42"/>
      <c r="BA349" s="42"/>
      <c r="BB349" s="42"/>
      <c r="BC349" s="42"/>
      <c r="BD349" s="42"/>
      <c r="BE349" s="42"/>
      <c r="BF349" s="37"/>
      <c r="BG349" s="37"/>
      <c r="BH349" s="37"/>
      <c r="BI349" s="37"/>
      <c r="BJ349" s="37"/>
      <c r="BK349" s="37"/>
      <c r="BL349" s="37"/>
      <c r="BM349" s="37"/>
      <c r="BN349" s="37"/>
      <c r="BO349" s="37"/>
      <c r="BP349" s="37"/>
      <c r="BQ349" s="37"/>
      <c r="BR349" s="37"/>
      <c r="BS349" s="37"/>
      <c r="BT349" s="37"/>
      <c r="BU349" s="37"/>
      <c r="BV349" s="37"/>
      <c r="BW349" s="37"/>
      <c r="BX349" s="37"/>
      <c r="BY349" s="37"/>
      <c r="BZ349" s="37"/>
      <c r="CA349" s="37"/>
      <c r="CB349" s="37"/>
      <c r="CC349" s="37"/>
      <c r="CD349" s="37"/>
      <c r="CE349" s="37"/>
      <c r="CF349" s="37"/>
      <c r="CG349" s="37"/>
      <c r="CH349" s="37"/>
      <c r="CI349" s="37"/>
      <c r="CJ349" s="37"/>
      <c r="CO349" s="37"/>
      <c r="DK349" s="37"/>
      <c r="DL349" s="37"/>
      <c r="DM349" s="37"/>
      <c r="DN349" s="37"/>
      <c r="DO349" s="37"/>
      <c r="DP349" s="37"/>
      <c r="DQ349" s="37"/>
      <c r="DR349" s="37"/>
      <c r="DS349" s="37"/>
      <c r="DT349" s="37"/>
      <c r="DU349" s="37"/>
      <c r="DV349" s="37"/>
      <c r="DW349" s="37"/>
      <c r="DX349" s="37"/>
      <c r="DY349" s="37"/>
      <c r="DZ349" s="37"/>
    </row>
    <row r="350" spans="1:130" ht="12.75" hidden="1" customHeight="1" outlineLevel="1">
      <c r="A350" s="35" t="s">
        <v>66</v>
      </c>
      <c r="B350" s="298"/>
      <c r="C350" s="298"/>
      <c r="D350" s="298"/>
      <c r="E350" s="298"/>
      <c r="F350" s="298"/>
      <c r="G350" s="298"/>
      <c r="H350" s="298"/>
      <c r="I350" s="298"/>
      <c r="J350" s="298"/>
      <c r="K350" s="298"/>
      <c r="L350" s="298"/>
      <c r="M350" s="298">
        <f>M325+M337</f>
        <v>6075</v>
      </c>
      <c r="N350" s="306"/>
      <c r="O350" s="35"/>
      <c r="P350" s="35"/>
      <c r="Q350" s="35"/>
      <c r="R350" s="35"/>
      <c r="S350" s="35"/>
      <c r="T350" s="35"/>
      <c r="U350" s="35"/>
      <c r="V350" s="35"/>
      <c r="W350" s="35"/>
      <c r="X350" s="35"/>
      <c r="Y350" s="35"/>
      <c r="Z350" s="35"/>
      <c r="AA350" s="35"/>
      <c r="AB350" s="42"/>
      <c r="AC350" s="42"/>
      <c r="AD350" s="42"/>
      <c r="AE350" s="42"/>
      <c r="AF350" s="42"/>
      <c r="AG350" s="42"/>
      <c r="AH350" s="42"/>
      <c r="AI350" s="42"/>
      <c r="AJ350" s="42"/>
      <c r="AK350" s="42"/>
      <c r="AL350" s="42"/>
      <c r="AM350" s="42"/>
      <c r="AN350" s="42"/>
      <c r="AO350" s="42"/>
      <c r="AP350" s="42"/>
      <c r="AQ350" s="42"/>
      <c r="AR350" s="42"/>
      <c r="AS350" s="42"/>
      <c r="AT350" s="42"/>
      <c r="AU350" s="42"/>
      <c r="AV350" s="42"/>
      <c r="AW350" s="42"/>
      <c r="AX350" s="42"/>
      <c r="AY350" s="42"/>
      <c r="AZ350" s="42"/>
      <c r="BA350" s="42"/>
      <c r="BB350" s="42"/>
      <c r="BC350" s="42"/>
      <c r="BD350" s="42"/>
      <c r="BE350" s="42"/>
      <c r="BF350" s="37"/>
      <c r="BG350" s="37"/>
      <c r="BH350" s="37"/>
      <c r="BI350" s="37"/>
      <c r="BJ350" s="37"/>
      <c r="BK350" s="37"/>
      <c r="BL350" s="37"/>
      <c r="BM350" s="37"/>
      <c r="BN350" s="37"/>
      <c r="BO350" s="37"/>
      <c r="BP350" s="37"/>
      <c r="BQ350" s="37"/>
      <c r="BR350" s="37"/>
      <c r="BS350" s="37"/>
      <c r="BT350" s="37"/>
      <c r="BU350" s="37"/>
      <c r="BV350" s="37"/>
      <c r="BW350" s="37"/>
      <c r="BX350" s="37"/>
      <c r="BY350" s="37"/>
      <c r="BZ350" s="37"/>
      <c r="CA350" s="37"/>
      <c r="CB350" s="37"/>
      <c r="CC350" s="37"/>
      <c r="CD350" s="37"/>
      <c r="CE350" s="37"/>
      <c r="CF350" s="37"/>
      <c r="CG350" s="37"/>
      <c r="CH350" s="37"/>
      <c r="CI350" s="37"/>
      <c r="CJ350" s="37"/>
      <c r="CO350" s="37"/>
      <c r="DK350" s="37"/>
      <c r="DL350" s="37"/>
      <c r="DM350" s="37"/>
      <c r="DN350" s="37"/>
      <c r="DO350" s="37"/>
      <c r="DP350" s="37"/>
      <c r="DQ350" s="37"/>
      <c r="DR350" s="37"/>
      <c r="DS350" s="37"/>
      <c r="DT350" s="37"/>
      <c r="DU350" s="37"/>
      <c r="DV350" s="37"/>
      <c r="DW350" s="37"/>
      <c r="DX350" s="37"/>
      <c r="DY350" s="37"/>
      <c r="DZ350" s="37"/>
    </row>
    <row r="351" spans="1:130" ht="12.75" hidden="1" customHeight="1" outlineLevel="1">
      <c r="A351" s="35" t="s">
        <v>289</v>
      </c>
      <c r="B351" s="298"/>
      <c r="C351" s="298"/>
      <c r="D351" s="298"/>
      <c r="E351" s="298"/>
      <c r="F351" s="298"/>
      <c r="G351" s="298"/>
      <c r="H351" s="298"/>
      <c r="I351" s="298"/>
      <c r="J351" s="298"/>
      <c r="K351" s="298"/>
      <c r="L351" s="298"/>
      <c r="M351" s="298">
        <f>M326+M338</f>
        <v>2177</v>
      </c>
      <c r="N351" s="306"/>
      <c r="O351" s="35"/>
      <c r="P351" s="35"/>
      <c r="Q351" s="35"/>
      <c r="R351" s="35"/>
      <c r="S351" s="35"/>
      <c r="T351" s="35"/>
      <c r="U351" s="35"/>
      <c r="V351" s="35"/>
      <c r="W351" s="35"/>
      <c r="X351" s="35"/>
      <c r="Y351" s="35"/>
      <c r="Z351" s="35"/>
      <c r="AA351" s="35"/>
      <c r="AB351" s="42"/>
      <c r="AC351" s="42"/>
      <c r="AD351" s="42"/>
      <c r="AE351" s="42"/>
      <c r="AF351" s="42"/>
      <c r="AG351" s="42"/>
      <c r="AH351" s="42"/>
      <c r="AI351" s="42"/>
      <c r="AJ351" s="42"/>
      <c r="AK351" s="42"/>
      <c r="AL351" s="42"/>
      <c r="AM351" s="42"/>
      <c r="AN351" s="42"/>
      <c r="AO351" s="42"/>
      <c r="AP351" s="42"/>
      <c r="AQ351" s="42"/>
      <c r="AR351" s="42"/>
      <c r="AS351" s="42"/>
      <c r="AT351" s="42"/>
      <c r="AU351" s="42"/>
      <c r="AV351" s="42"/>
      <c r="AW351" s="42"/>
      <c r="AX351" s="42"/>
      <c r="AY351" s="42"/>
      <c r="AZ351" s="42"/>
      <c r="BA351" s="42"/>
      <c r="BB351" s="42"/>
      <c r="BC351" s="42"/>
      <c r="BD351" s="42"/>
      <c r="BE351" s="42"/>
      <c r="BF351" s="37"/>
      <c r="BG351" s="37"/>
      <c r="BH351" s="37"/>
      <c r="BI351" s="37"/>
      <c r="BJ351" s="37"/>
      <c r="BK351" s="37"/>
      <c r="BL351" s="37"/>
      <c r="BM351" s="37"/>
      <c r="BN351" s="37"/>
      <c r="BO351" s="37"/>
      <c r="BP351" s="37"/>
      <c r="BQ351" s="37"/>
      <c r="BR351" s="37"/>
      <c r="BS351" s="37"/>
      <c r="BT351" s="37"/>
      <c r="BU351" s="37"/>
      <c r="BV351" s="37"/>
      <c r="BW351" s="37"/>
      <c r="BX351" s="37"/>
      <c r="BY351" s="37"/>
      <c r="BZ351" s="37"/>
      <c r="CA351" s="37"/>
      <c r="CB351" s="37"/>
      <c r="CC351" s="37"/>
      <c r="CD351" s="37"/>
      <c r="CE351" s="37"/>
      <c r="CF351" s="37"/>
      <c r="CG351" s="37"/>
      <c r="CH351" s="37"/>
      <c r="CI351" s="37"/>
      <c r="CJ351" s="37"/>
      <c r="CO351" s="37"/>
      <c r="DK351" s="37"/>
      <c r="DL351" s="37"/>
      <c r="DM351" s="37"/>
      <c r="DN351" s="37"/>
      <c r="DO351" s="37"/>
      <c r="DP351" s="37"/>
      <c r="DQ351" s="37"/>
      <c r="DR351" s="37"/>
      <c r="DS351" s="37"/>
      <c r="DT351" s="37"/>
      <c r="DU351" s="37"/>
      <c r="DV351" s="37"/>
      <c r="DW351" s="37"/>
      <c r="DX351" s="37"/>
      <c r="DY351" s="37"/>
      <c r="DZ351" s="37"/>
    </row>
    <row r="352" spans="1:130" ht="12.75" hidden="1" customHeight="1" outlineLevel="1">
      <c r="A352" s="35" t="s">
        <v>290</v>
      </c>
      <c r="B352" s="298"/>
      <c r="C352" s="298"/>
      <c r="D352" s="298"/>
      <c r="E352" s="298"/>
      <c r="F352" s="298"/>
      <c r="G352" s="298"/>
      <c r="H352" s="298"/>
      <c r="I352" s="298"/>
      <c r="J352" s="298"/>
      <c r="K352" s="298"/>
      <c r="L352" s="298"/>
      <c r="M352" s="298">
        <f>M327+M339</f>
        <v>1005</v>
      </c>
      <c r="N352" s="306"/>
      <c r="O352" s="35"/>
      <c r="P352" s="35"/>
      <c r="Q352" s="35"/>
      <c r="R352" s="35"/>
      <c r="S352" s="35"/>
      <c r="T352" s="35"/>
      <c r="U352" s="35"/>
      <c r="V352" s="35"/>
      <c r="W352" s="35"/>
      <c r="X352" s="35"/>
      <c r="Y352" s="35"/>
      <c r="Z352" s="35"/>
      <c r="AA352" s="35"/>
      <c r="AB352" s="42"/>
      <c r="AC352" s="42"/>
      <c r="AD352" s="42"/>
      <c r="AE352" s="42"/>
      <c r="AF352" s="42"/>
      <c r="AG352" s="42"/>
      <c r="AH352" s="42"/>
      <c r="AI352" s="42"/>
      <c r="AJ352" s="42"/>
      <c r="AK352" s="42"/>
      <c r="AL352" s="42"/>
      <c r="AM352" s="42"/>
      <c r="AN352" s="42"/>
      <c r="AO352" s="42"/>
      <c r="AP352" s="42"/>
      <c r="AQ352" s="42"/>
      <c r="AR352" s="42"/>
      <c r="AS352" s="42"/>
      <c r="AT352" s="42"/>
      <c r="AU352" s="42"/>
      <c r="AV352" s="42"/>
      <c r="AW352" s="42"/>
      <c r="AX352" s="42"/>
      <c r="AY352" s="42"/>
      <c r="AZ352" s="42"/>
      <c r="BA352" s="42"/>
      <c r="BB352" s="42"/>
      <c r="BC352" s="42"/>
      <c r="BD352" s="42"/>
      <c r="BE352" s="42"/>
      <c r="BF352" s="37"/>
      <c r="BG352" s="37"/>
      <c r="BH352" s="37"/>
      <c r="BI352" s="37"/>
      <c r="BJ352" s="37"/>
      <c r="BK352" s="37"/>
      <c r="BL352" s="37"/>
      <c r="BM352" s="37"/>
      <c r="BN352" s="37"/>
      <c r="BO352" s="37"/>
      <c r="BP352" s="37"/>
      <c r="BQ352" s="37"/>
      <c r="BR352" s="37"/>
      <c r="BS352" s="37"/>
      <c r="BT352" s="37"/>
      <c r="BU352" s="37"/>
      <c r="BV352" s="37"/>
      <c r="BW352" s="37"/>
      <c r="BX352" s="37"/>
      <c r="BY352" s="37"/>
      <c r="BZ352" s="37"/>
      <c r="CA352" s="37"/>
      <c r="CB352" s="37"/>
      <c r="CC352" s="37"/>
      <c r="CD352" s="37"/>
      <c r="CE352" s="37"/>
      <c r="CF352" s="37"/>
      <c r="CG352" s="37"/>
      <c r="CH352" s="37"/>
      <c r="CI352" s="37"/>
      <c r="CJ352" s="37"/>
      <c r="CO352" s="37"/>
      <c r="DK352" s="37"/>
      <c r="DL352" s="37"/>
      <c r="DM352" s="37"/>
      <c r="DN352" s="37"/>
      <c r="DO352" s="37"/>
      <c r="DP352" s="37"/>
      <c r="DQ352" s="37"/>
      <c r="DR352" s="37"/>
      <c r="DS352" s="37"/>
      <c r="DT352" s="37"/>
      <c r="DU352" s="37"/>
      <c r="DV352" s="37"/>
      <c r="DW352" s="37"/>
      <c r="DX352" s="37"/>
      <c r="DY352" s="37"/>
      <c r="DZ352" s="37"/>
    </row>
    <row r="353" spans="1:130" ht="12.75" hidden="1" customHeight="1" outlineLevel="1">
      <c r="A353" s="35" t="s">
        <v>291</v>
      </c>
      <c r="B353" s="298"/>
      <c r="C353" s="298"/>
      <c r="D353" s="298"/>
      <c r="E353" s="298"/>
      <c r="F353" s="298"/>
      <c r="G353" s="298"/>
      <c r="H353" s="298"/>
      <c r="I353" s="298"/>
      <c r="J353" s="298"/>
      <c r="K353" s="298"/>
      <c r="L353" s="298"/>
      <c r="M353" s="298">
        <f>M328+M340</f>
        <v>397</v>
      </c>
      <c r="N353" s="306"/>
      <c r="O353" s="35"/>
      <c r="P353" s="35"/>
      <c r="Q353" s="35"/>
      <c r="R353" s="35"/>
      <c r="S353" s="35"/>
      <c r="T353" s="35"/>
      <c r="U353" s="35"/>
      <c r="V353" s="35"/>
      <c r="W353" s="35"/>
      <c r="X353" s="35"/>
      <c r="Y353" s="35"/>
      <c r="Z353" s="35"/>
      <c r="AA353" s="35"/>
      <c r="AB353" s="42"/>
      <c r="AC353" s="42"/>
      <c r="AD353" s="42"/>
      <c r="AE353" s="42"/>
      <c r="AF353" s="42"/>
      <c r="AG353" s="42"/>
      <c r="AH353" s="42"/>
      <c r="AI353" s="42"/>
      <c r="AJ353" s="42"/>
      <c r="AK353" s="42"/>
      <c r="AL353" s="42"/>
      <c r="AM353" s="42"/>
      <c r="AN353" s="42"/>
      <c r="AO353" s="42"/>
      <c r="AP353" s="42"/>
      <c r="AQ353" s="42"/>
      <c r="AR353" s="42"/>
      <c r="AS353" s="42"/>
      <c r="AT353" s="42"/>
      <c r="AU353" s="42"/>
      <c r="AV353" s="42"/>
      <c r="AW353" s="42"/>
      <c r="AX353" s="42"/>
      <c r="AY353" s="42"/>
      <c r="AZ353" s="42"/>
      <c r="BA353" s="42"/>
      <c r="BB353" s="42"/>
      <c r="BC353" s="42"/>
      <c r="BD353" s="42"/>
      <c r="BE353" s="42"/>
      <c r="BF353" s="37"/>
      <c r="BG353" s="37"/>
      <c r="BH353" s="37"/>
      <c r="BI353" s="37"/>
      <c r="BJ353" s="37"/>
      <c r="BK353" s="37"/>
      <c r="BL353" s="37"/>
      <c r="BM353" s="37"/>
      <c r="BN353" s="37"/>
      <c r="BO353" s="37"/>
      <c r="BP353" s="37"/>
      <c r="BQ353" s="37"/>
      <c r="BR353" s="37"/>
      <c r="BS353" s="37"/>
      <c r="BT353" s="37"/>
      <c r="BU353" s="37"/>
      <c r="BV353" s="37"/>
      <c r="BW353" s="37"/>
      <c r="BX353" s="37"/>
      <c r="BY353" s="37"/>
      <c r="BZ353" s="37"/>
      <c r="CA353" s="37"/>
      <c r="CB353" s="37"/>
      <c r="CC353" s="37"/>
      <c r="CD353" s="37"/>
      <c r="CE353" s="37"/>
      <c r="CF353" s="37"/>
      <c r="CG353" s="37"/>
      <c r="CH353" s="37"/>
      <c r="CI353" s="37"/>
      <c r="CJ353" s="37"/>
      <c r="CO353" s="37"/>
      <c r="DK353" s="37"/>
      <c r="DL353" s="37"/>
      <c r="DM353" s="37"/>
      <c r="DN353" s="37"/>
      <c r="DO353" s="37"/>
      <c r="DP353" s="37"/>
      <c r="DQ353" s="37"/>
      <c r="DR353" s="37"/>
      <c r="DS353" s="37"/>
      <c r="DT353" s="37"/>
      <c r="DU353" s="37"/>
      <c r="DV353" s="37"/>
      <c r="DW353" s="37"/>
      <c r="DX353" s="37"/>
      <c r="DY353" s="37"/>
      <c r="DZ353" s="37"/>
    </row>
    <row r="354" spans="1:130" ht="12.75" hidden="1" customHeight="1" outlineLevel="1">
      <c r="A354" s="35" t="s">
        <v>299</v>
      </c>
      <c r="B354" s="298"/>
      <c r="C354" s="298"/>
      <c r="D354" s="298"/>
      <c r="E354" s="298"/>
      <c r="F354" s="298"/>
      <c r="G354" s="298"/>
      <c r="H354" s="298"/>
      <c r="I354" s="298"/>
      <c r="J354" s="298"/>
      <c r="K354" s="298"/>
      <c r="L354" s="298"/>
      <c r="M354" s="298">
        <v>1395.8251458410969</v>
      </c>
      <c r="N354" s="306"/>
      <c r="O354" s="35"/>
      <c r="P354" s="35"/>
      <c r="Q354" s="35"/>
      <c r="R354" s="35"/>
      <c r="S354" s="35"/>
      <c r="T354" s="35"/>
      <c r="U354" s="35"/>
      <c r="V354" s="35"/>
      <c r="W354" s="35"/>
      <c r="X354" s="35"/>
      <c r="Y354" s="35"/>
      <c r="Z354" s="35"/>
      <c r="AA354" s="35"/>
      <c r="AB354" s="42"/>
      <c r="AC354" s="42"/>
      <c r="AD354" s="42"/>
      <c r="AE354" s="42"/>
      <c r="AF354" s="42"/>
      <c r="AG354" s="42"/>
      <c r="AH354" s="42"/>
      <c r="AI354" s="42"/>
      <c r="AJ354" s="42"/>
      <c r="AK354" s="42"/>
      <c r="AL354" s="42"/>
      <c r="AM354" s="42"/>
      <c r="AN354" s="42"/>
      <c r="AO354" s="42"/>
      <c r="AP354" s="42"/>
      <c r="AQ354" s="42"/>
      <c r="AR354" s="42"/>
      <c r="AS354" s="42"/>
      <c r="AT354" s="42"/>
      <c r="AU354" s="42"/>
      <c r="AV354" s="42"/>
      <c r="AW354" s="42"/>
      <c r="AX354" s="42"/>
      <c r="AY354" s="42"/>
      <c r="AZ354" s="42"/>
      <c r="BA354" s="42"/>
      <c r="BB354" s="42"/>
      <c r="BC354" s="42"/>
      <c r="BD354" s="42"/>
      <c r="BE354" s="42"/>
      <c r="BF354" s="37"/>
      <c r="BG354" s="37"/>
      <c r="BH354" s="37"/>
      <c r="BI354" s="37"/>
      <c r="BJ354" s="37"/>
      <c r="BK354" s="37"/>
      <c r="BL354" s="37"/>
      <c r="BM354" s="37"/>
      <c r="BN354" s="37"/>
      <c r="BO354" s="37"/>
      <c r="BP354" s="37"/>
      <c r="BQ354" s="37"/>
      <c r="BR354" s="37"/>
      <c r="BS354" s="37"/>
      <c r="BT354" s="37"/>
      <c r="BU354" s="37"/>
      <c r="BV354" s="37"/>
      <c r="BW354" s="37"/>
      <c r="BX354" s="37"/>
      <c r="BY354" s="37"/>
      <c r="BZ354" s="37"/>
      <c r="CA354" s="37"/>
      <c r="CB354" s="37"/>
      <c r="CC354" s="37"/>
      <c r="CD354" s="37"/>
      <c r="CE354" s="37"/>
      <c r="CF354" s="37"/>
      <c r="CG354" s="37"/>
      <c r="CH354" s="37"/>
      <c r="CI354" s="37"/>
      <c r="CJ354" s="37"/>
      <c r="CO354" s="37"/>
      <c r="DK354" s="37"/>
      <c r="DL354" s="37"/>
      <c r="DM354" s="37"/>
      <c r="DN354" s="37"/>
      <c r="DO354" s="37"/>
      <c r="DP354" s="37"/>
      <c r="DQ354" s="37"/>
      <c r="DR354" s="37"/>
      <c r="DS354" s="37"/>
      <c r="DT354" s="37"/>
      <c r="DU354" s="37"/>
      <c r="DV354" s="37"/>
      <c r="DW354" s="37"/>
      <c r="DX354" s="37"/>
      <c r="DY354" s="37"/>
      <c r="DZ354" s="37"/>
    </row>
    <row r="355" spans="1:130" ht="12.75" hidden="1" customHeight="1" outlineLevel="1">
      <c r="A355" s="35"/>
      <c r="B355" s="298"/>
      <c r="C355" s="298"/>
      <c r="D355" s="298"/>
      <c r="E355" s="298"/>
      <c r="F355" s="298"/>
      <c r="G355" s="298"/>
      <c r="H355" s="298"/>
      <c r="I355" s="298"/>
      <c r="J355" s="298"/>
      <c r="K355" s="298"/>
      <c r="L355" s="298"/>
      <c r="M355" s="298"/>
      <c r="N355" s="306"/>
      <c r="O355" s="35"/>
      <c r="P355" s="35"/>
      <c r="Q355" s="35"/>
      <c r="R355" s="35"/>
      <c r="S355" s="35"/>
      <c r="T355" s="35"/>
      <c r="U355" s="35"/>
      <c r="V355" s="35"/>
      <c r="W355" s="35"/>
      <c r="X355" s="35"/>
      <c r="Y355" s="35"/>
      <c r="Z355" s="35"/>
      <c r="AA355" s="35"/>
      <c r="AB355" s="42"/>
      <c r="AC355" s="42"/>
      <c r="AD355" s="42"/>
      <c r="AE355" s="42"/>
      <c r="AF355" s="42"/>
      <c r="AG355" s="42"/>
      <c r="AH355" s="42"/>
      <c r="AI355" s="42"/>
      <c r="AJ355" s="42"/>
      <c r="AK355" s="42"/>
      <c r="AL355" s="42"/>
      <c r="AM355" s="42"/>
      <c r="AN355" s="42"/>
      <c r="AO355" s="42"/>
      <c r="AP355" s="42"/>
      <c r="AQ355" s="42"/>
      <c r="AR355" s="42"/>
      <c r="AS355" s="42"/>
      <c r="AT355" s="42"/>
      <c r="AU355" s="42"/>
      <c r="AV355" s="42"/>
      <c r="AW355" s="42"/>
      <c r="AX355" s="42"/>
      <c r="AY355" s="42"/>
      <c r="AZ355" s="42"/>
      <c r="BA355" s="42"/>
      <c r="BB355" s="42"/>
      <c r="BC355" s="42"/>
      <c r="BD355" s="42"/>
      <c r="BE355" s="42"/>
      <c r="BF355" s="37"/>
      <c r="BG355" s="37"/>
      <c r="BH355" s="37"/>
      <c r="BI355" s="37"/>
      <c r="BJ355" s="37"/>
      <c r="BK355" s="37"/>
      <c r="BL355" s="37"/>
      <c r="BM355" s="37"/>
      <c r="BN355" s="37"/>
      <c r="BO355" s="37"/>
      <c r="BP355" s="37"/>
      <c r="BQ355" s="37"/>
      <c r="BR355" s="37"/>
      <c r="BS355" s="37"/>
      <c r="BT355" s="37"/>
      <c r="BU355" s="37"/>
      <c r="BV355" s="37"/>
      <c r="BW355" s="37"/>
      <c r="BX355" s="37"/>
      <c r="BY355" s="37"/>
      <c r="BZ355" s="37"/>
      <c r="CA355" s="37"/>
      <c r="CB355" s="37"/>
      <c r="CC355" s="37"/>
      <c r="CD355" s="37"/>
      <c r="CE355" s="37"/>
      <c r="CF355" s="37"/>
      <c r="CG355" s="37"/>
      <c r="CH355" s="37"/>
      <c r="CI355" s="37"/>
      <c r="CJ355" s="37"/>
      <c r="CO355" s="37"/>
      <c r="DK355" s="37"/>
      <c r="DL355" s="37"/>
      <c r="DM355" s="37"/>
      <c r="DN355" s="37"/>
      <c r="DO355" s="37"/>
      <c r="DP355" s="37"/>
      <c r="DQ355" s="37"/>
      <c r="DR355" s="37"/>
      <c r="DS355" s="37"/>
      <c r="DT355" s="37"/>
      <c r="DU355" s="37"/>
      <c r="DV355" s="37"/>
      <c r="DW355" s="37"/>
      <c r="DX355" s="37"/>
      <c r="DY355" s="37"/>
      <c r="DZ355" s="37"/>
    </row>
    <row r="356" spans="1:130" ht="12.75" hidden="1" customHeight="1" outlineLevel="1">
      <c r="A356" s="35" t="s">
        <v>292</v>
      </c>
      <c r="B356" s="298"/>
      <c r="C356" s="298"/>
      <c r="D356" s="298"/>
      <c r="E356" s="298"/>
      <c r="F356" s="298"/>
      <c r="G356" s="298"/>
      <c r="H356" s="298"/>
      <c r="I356" s="298"/>
      <c r="J356" s="298"/>
      <c r="K356" s="298" t="e">
        <f>#REF!</f>
        <v>#REF!</v>
      </c>
      <c r="L356" s="298"/>
      <c r="M356" s="298">
        <v>10041.541018774697</v>
      </c>
      <c r="N356" s="306"/>
      <c r="O356" s="35"/>
      <c r="P356" s="35"/>
      <c r="Q356" s="35"/>
      <c r="R356" s="35"/>
      <c r="S356" s="35"/>
      <c r="T356" s="35"/>
      <c r="U356" s="35"/>
      <c r="V356" s="35"/>
      <c r="W356" s="35"/>
      <c r="X356" s="35"/>
      <c r="Y356" s="35"/>
      <c r="Z356" s="35"/>
      <c r="AA356" s="35"/>
      <c r="AB356" s="42"/>
      <c r="AC356" s="42"/>
      <c r="AD356" s="42"/>
      <c r="AE356" s="42"/>
      <c r="AF356" s="42"/>
      <c r="AG356" s="42"/>
      <c r="AH356" s="42"/>
      <c r="AI356" s="42"/>
      <c r="AJ356" s="42"/>
      <c r="AK356" s="42"/>
      <c r="AL356" s="42"/>
      <c r="AM356" s="42"/>
      <c r="AN356" s="42"/>
      <c r="AO356" s="42"/>
      <c r="AP356" s="42"/>
      <c r="AQ356" s="42"/>
      <c r="AR356" s="42"/>
      <c r="AS356" s="42"/>
      <c r="AT356" s="42"/>
      <c r="AU356" s="42"/>
      <c r="AV356" s="42"/>
      <c r="AW356" s="42"/>
      <c r="AX356" s="42"/>
      <c r="AY356" s="42"/>
      <c r="AZ356" s="42"/>
      <c r="BA356" s="42"/>
      <c r="BB356" s="42"/>
      <c r="BC356" s="42"/>
      <c r="BD356" s="42"/>
      <c r="BE356" s="42"/>
      <c r="BF356" s="37"/>
      <c r="BG356" s="37"/>
      <c r="BH356" s="37"/>
      <c r="BI356" s="37"/>
      <c r="BJ356" s="37"/>
      <c r="BK356" s="37"/>
      <c r="BL356" s="37"/>
      <c r="BM356" s="37"/>
      <c r="BN356" s="37"/>
      <c r="BO356" s="37"/>
      <c r="BP356" s="37"/>
      <c r="BQ356" s="37"/>
      <c r="BR356" s="37"/>
      <c r="BS356" s="37"/>
      <c r="BT356" s="37"/>
      <c r="BU356" s="37"/>
      <c r="BV356" s="37"/>
      <c r="BW356" s="37"/>
      <c r="BX356" s="37"/>
      <c r="BY356" s="37"/>
      <c r="BZ356" s="37"/>
      <c r="CA356" s="37"/>
      <c r="CB356" s="37"/>
      <c r="CC356" s="37"/>
      <c r="CD356" s="37"/>
      <c r="CE356" s="37"/>
      <c r="CF356" s="37"/>
      <c r="CG356" s="37"/>
      <c r="CH356" s="37"/>
      <c r="CI356" s="37"/>
      <c r="CJ356" s="37"/>
      <c r="CO356" s="37"/>
      <c r="DK356" s="37"/>
      <c r="DL356" s="37"/>
      <c r="DM356" s="37"/>
      <c r="DN356" s="37"/>
      <c r="DO356" s="37"/>
      <c r="DP356" s="37"/>
      <c r="DQ356" s="37"/>
      <c r="DR356" s="37"/>
      <c r="DS356" s="37"/>
      <c r="DT356" s="37"/>
      <c r="DU356" s="37"/>
      <c r="DV356" s="37"/>
      <c r="DW356" s="37"/>
      <c r="DX356" s="37"/>
      <c r="DY356" s="37"/>
      <c r="DZ356" s="37"/>
    </row>
    <row r="357" spans="1:130" ht="12.75" hidden="1" customHeight="1" outlineLevel="1">
      <c r="A357" s="261" t="s">
        <v>300</v>
      </c>
      <c r="B357" s="305"/>
      <c r="C357" s="305"/>
      <c r="D357" s="305"/>
      <c r="E357" s="305"/>
      <c r="F357" s="305"/>
      <c r="G357" s="305"/>
      <c r="H357" s="305"/>
      <c r="I357" s="305"/>
      <c r="J357" s="305"/>
      <c r="K357" s="305"/>
      <c r="L357" s="305"/>
      <c r="M357" s="305">
        <v>0.27831322114120555</v>
      </c>
      <c r="N357" s="306"/>
      <c r="O357" s="35"/>
      <c r="P357" s="35"/>
      <c r="Q357" s="35"/>
      <c r="R357" s="35"/>
      <c r="S357" s="35"/>
      <c r="T357" s="35"/>
      <c r="U357" s="35"/>
      <c r="V357" s="35"/>
      <c r="W357" s="35"/>
      <c r="X357" s="35"/>
      <c r="Y357" s="35"/>
      <c r="Z357" s="35"/>
      <c r="AA357" s="35"/>
      <c r="AB357" s="206"/>
      <c r="AC357" s="42"/>
      <c r="AD357" s="42"/>
      <c r="AE357" s="42"/>
      <c r="AF357" s="42"/>
      <c r="AG357" s="42"/>
      <c r="AH357" s="42"/>
      <c r="AI357" s="42"/>
      <c r="AJ357" s="42"/>
      <c r="AK357" s="42"/>
      <c r="AL357" s="42"/>
      <c r="AM357" s="42"/>
      <c r="AN357" s="42"/>
      <c r="AO357" s="42"/>
      <c r="AP357" s="42"/>
      <c r="AQ357" s="42"/>
      <c r="AR357" s="42"/>
      <c r="AS357" s="42"/>
      <c r="AT357" s="42"/>
      <c r="AU357" s="42"/>
      <c r="AV357" s="42"/>
      <c r="AW357" s="42"/>
      <c r="AX357" s="42"/>
      <c r="AY357" s="42"/>
      <c r="AZ357" s="42"/>
      <c r="BA357" s="42"/>
      <c r="BB357" s="42"/>
      <c r="BC357" s="42"/>
      <c r="BD357" s="42"/>
      <c r="BE357" s="42"/>
      <c r="BF357" s="37"/>
      <c r="BG357" s="37"/>
      <c r="BH357" s="37"/>
      <c r="BI357" s="37"/>
      <c r="BJ357" s="37"/>
      <c r="BK357" s="37"/>
      <c r="BL357" s="37"/>
      <c r="BM357" s="37"/>
      <c r="BN357" s="37"/>
      <c r="BO357" s="37"/>
      <c r="BP357" s="37"/>
      <c r="BQ357" s="37"/>
      <c r="BR357" s="37"/>
      <c r="BS357" s="37"/>
      <c r="BT357" s="37"/>
      <c r="BU357" s="37"/>
      <c r="BV357" s="37"/>
      <c r="BW357" s="37"/>
      <c r="BX357" s="37"/>
      <c r="BY357" s="37"/>
      <c r="BZ357" s="37"/>
      <c r="CA357" s="37"/>
      <c r="CB357" s="37"/>
      <c r="CC357" s="37"/>
      <c r="CD357" s="37"/>
      <c r="CE357" s="37"/>
      <c r="CF357" s="37"/>
      <c r="CG357" s="37"/>
      <c r="CH357" s="37"/>
      <c r="CI357" s="37"/>
      <c r="CJ357" s="37"/>
      <c r="CO357" s="37"/>
      <c r="DK357" s="37"/>
      <c r="DL357" s="37"/>
      <c r="DM357" s="37"/>
      <c r="DN357" s="37"/>
      <c r="DO357" s="37"/>
      <c r="DP357" s="37"/>
      <c r="DQ357" s="37"/>
      <c r="DR357" s="37"/>
      <c r="DS357" s="37"/>
      <c r="DT357" s="37"/>
      <c r="DU357" s="37"/>
      <c r="DV357" s="37"/>
      <c r="DW357" s="37"/>
      <c r="DX357" s="37"/>
      <c r="DY357" s="37"/>
      <c r="DZ357" s="37"/>
    </row>
    <row r="358" spans="1:130" ht="12.75" hidden="1" customHeight="1" outlineLevel="1">
      <c r="A358" s="261" t="s">
        <v>300</v>
      </c>
      <c r="B358" s="305"/>
      <c r="C358" s="305"/>
      <c r="D358" s="305"/>
      <c r="E358" s="305"/>
      <c r="F358" s="305"/>
      <c r="G358" s="305"/>
      <c r="H358" s="305"/>
      <c r="I358" s="305"/>
      <c r="J358" s="305"/>
      <c r="K358" s="305"/>
      <c r="L358" s="305"/>
      <c r="M358" s="305">
        <v>0.28040145295200747</v>
      </c>
      <c r="N358" s="306"/>
      <c r="O358" s="35"/>
      <c r="P358" s="35"/>
      <c r="Q358" s="35"/>
      <c r="R358" s="35"/>
      <c r="S358" s="35"/>
      <c r="T358" s="35"/>
      <c r="U358" s="35"/>
      <c r="V358" s="35"/>
      <c r="W358" s="35"/>
      <c r="X358" s="35"/>
      <c r="Y358" s="35"/>
      <c r="Z358" s="35"/>
      <c r="AA358" s="35"/>
      <c r="AB358" s="206"/>
      <c r="AC358" s="42"/>
      <c r="AD358" s="42"/>
      <c r="AE358" s="42"/>
      <c r="AF358" s="42"/>
      <c r="AG358" s="42"/>
      <c r="AH358" s="42"/>
      <c r="AI358" s="42"/>
      <c r="AJ358" s="42"/>
      <c r="AK358" s="42"/>
      <c r="AL358" s="42"/>
      <c r="AM358" s="42"/>
      <c r="AN358" s="42"/>
      <c r="AO358" s="42"/>
      <c r="AP358" s="42"/>
      <c r="AQ358" s="42"/>
      <c r="AR358" s="42"/>
      <c r="AS358" s="42"/>
      <c r="AT358" s="42"/>
      <c r="AU358" s="42"/>
      <c r="AV358" s="42"/>
      <c r="AW358" s="42"/>
      <c r="AX358" s="42"/>
      <c r="AY358" s="42"/>
      <c r="AZ358" s="42"/>
      <c r="BA358" s="42"/>
      <c r="BB358" s="42"/>
      <c r="BC358" s="42"/>
      <c r="BD358" s="42"/>
      <c r="BE358" s="42"/>
      <c r="BF358" s="37"/>
      <c r="BG358" s="37"/>
      <c r="BH358" s="37"/>
      <c r="BI358" s="37"/>
      <c r="BJ358" s="37"/>
      <c r="BK358" s="37"/>
      <c r="BL358" s="37"/>
      <c r="BM358" s="37"/>
      <c r="BN358" s="37"/>
      <c r="BO358" s="37"/>
      <c r="BP358" s="37"/>
      <c r="BQ358" s="37"/>
      <c r="BR358" s="37"/>
      <c r="BS358" s="37"/>
      <c r="BT358" s="37"/>
      <c r="BU358" s="37"/>
      <c r="BV358" s="37"/>
      <c r="BW358" s="37"/>
      <c r="BX358" s="37"/>
      <c r="BY358" s="37"/>
      <c r="BZ358" s="37"/>
      <c r="CA358" s="37"/>
      <c r="CB358" s="37"/>
      <c r="CC358" s="37"/>
      <c r="CD358" s="37"/>
      <c r="CE358" s="37"/>
      <c r="CF358" s="37"/>
      <c r="CG358" s="37"/>
      <c r="CH358" s="37"/>
      <c r="CI358" s="37"/>
      <c r="CJ358" s="37"/>
      <c r="CO358" s="37"/>
      <c r="DK358" s="37"/>
      <c r="DL358" s="37"/>
      <c r="DM358" s="37"/>
      <c r="DN358" s="37"/>
      <c r="DO358" s="37"/>
      <c r="DP358" s="37"/>
      <c r="DQ358" s="37"/>
      <c r="DR358" s="37"/>
      <c r="DS358" s="37"/>
      <c r="DT358" s="37"/>
      <c r="DU358" s="37"/>
      <c r="DV358" s="37"/>
      <c r="DW358" s="37"/>
      <c r="DX358" s="37"/>
      <c r="DY358" s="37"/>
      <c r="DZ358" s="37"/>
    </row>
    <row r="359" spans="1:130" ht="12.75" hidden="1" customHeight="1" outlineLevel="1">
      <c r="A359" s="35"/>
      <c r="B359" s="162"/>
      <c r="C359" s="162"/>
      <c r="D359" s="162"/>
      <c r="E359" s="162"/>
      <c r="F359" s="162"/>
      <c r="G359" s="162"/>
      <c r="H359" s="162"/>
      <c r="I359" s="162"/>
      <c r="J359" s="162"/>
      <c r="K359" s="162"/>
      <c r="L359" s="162"/>
      <c r="M359" s="162"/>
      <c r="N359" s="35"/>
      <c r="O359" s="35"/>
      <c r="P359" s="35"/>
      <c r="Q359" s="35"/>
      <c r="R359" s="35"/>
      <c r="S359" s="35"/>
      <c r="T359" s="35"/>
      <c r="U359" s="35"/>
      <c r="V359" s="35"/>
      <c r="W359" s="35"/>
      <c r="X359" s="35"/>
      <c r="Y359" s="35"/>
      <c r="Z359" s="35"/>
      <c r="AA359" s="35"/>
      <c r="AB359" s="42"/>
      <c r="AC359" s="42"/>
      <c r="AD359" s="42"/>
      <c r="AE359" s="42"/>
      <c r="AF359" s="42"/>
      <c r="AG359" s="42"/>
      <c r="AH359" s="42"/>
      <c r="AI359" s="42"/>
      <c r="AJ359" s="42"/>
      <c r="AK359" s="42"/>
      <c r="AL359" s="42"/>
      <c r="AM359" s="42"/>
      <c r="AN359" s="42"/>
      <c r="AO359" s="42"/>
      <c r="AP359" s="42"/>
      <c r="AQ359" s="42"/>
      <c r="AR359" s="42"/>
      <c r="AS359" s="42"/>
      <c r="AT359" s="42"/>
      <c r="AU359" s="42"/>
      <c r="AV359" s="42"/>
      <c r="AW359" s="42"/>
      <c r="AX359" s="42"/>
      <c r="AY359" s="42"/>
      <c r="AZ359" s="42"/>
      <c r="BA359" s="42"/>
      <c r="BB359" s="42"/>
      <c r="BC359" s="42"/>
      <c r="BD359" s="42"/>
      <c r="BE359" s="42"/>
      <c r="BF359" s="37"/>
      <c r="BG359" s="37"/>
      <c r="BH359" s="37"/>
      <c r="BI359" s="37"/>
      <c r="BJ359" s="37"/>
      <c r="BK359" s="37"/>
      <c r="BL359" s="37"/>
      <c r="BM359" s="37"/>
      <c r="BN359" s="37"/>
      <c r="BO359" s="37"/>
      <c r="BP359" s="37"/>
      <c r="BQ359" s="37"/>
      <c r="BR359" s="37"/>
      <c r="BS359" s="37"/>
      <c r="BT359" s="37"/>
      <c r="BU359" s="37"/>
      <c r="BV359" s="37"/>
      <c r="BW359" s="37"/>
      <c r="BX359" s="37"/>
      <c r="BY359" s="37"/>
      <c r="BZ359" s="37"/>
      <c r="CA359" s="37"/>
      <c r="CB359" s="37"/>
      <c r="CC359" s="37"/>
      <c r="CD359" s="37"/>
      <c r="CE359" s="37"/>
      <c r="CF359" s="37"/>
      <c r="CG359" s="37"/>
      <c r="CH359" s="37"/>
      <c r="CI359" s="37"/>
      <c r="CJ359" s="37"/>
      <c r="CO359" s="37"/>
      <c r="DK359" s="37"/>
      <c r="DL359" s="37"/>
      <c r="DM359" s="37"/>
      <c r="DN359" s="37"/>
      <c r="DO359" s="37"/>
      <c r="DP359" s="37"/>
      <c r="DQ359" s="37"/>
      <c r="DR359" s="37"/>
      <c r="DS359" s="37"/>
      <c r="DT359" s="37"/>
      <c r="DU359" s="37"/>
      <c r="DV359" s="37"/>
      <c r="DW359" s="37"/>
      <c r="DX359" s="37"/>
      <c r="DY359" s="37"/>
      <c r="DZ359" s="37"/>
    </row>
    <row r="360" spans="1:130" ht="12.75" hidden="1" customHeight="1" outlineLevel="1">
      <c r="A360" s="296" t="s">
        <v>287</v>
      </c>
      <c r="B360" s="162"/>
      <c r="C360" s="162"/>
      <c r="D360" s="162"/>
      <c r="E360" s="162"/>
      <c r="F360" s="162"/>
      <c r="G360" s="162"/>
      <c r="H360" s="162"/>
      <c r="I360" s="162"/>
      <c r="J360" s="162"/>
      <c r="K360" s="162"/>
      <c r="L360" s="162"/>
      <c r="M360" s="162"/>
      <c r="N360" s="35"/>
      <c r="O360" s="35"/>
      <c r="P360" s="35"/>
      <c r="Q360" s="35"/>
      <c r="R360" s="35"/>
      <c r="S360" s="35"/>
      <c r="T360" s="35"/>
      <c r="U360" s="35"/>
      <c r="V360" s="35"/>
      <c r="W360" s="35"/>
      <c r="X360" s="35"/>
      <c r="Y360" s="35"/>
      <c r="Z360" s="35"/>
      <c r="AA360" s="35"/>
      <c r="AB360" s="297"/>
      <c r="AC360" s="42"/>
      <c r="AD360" s="42"/>
      <c r="AE360" s="42"/>
      <c r="AF360" s="42"/>
      <c r="AG360" s="42"/>
      <c r="AH360" s="42"/>
      <c r="AI360" s="42"/>
      <c r="AJ360" s="42"/>
      <c r="AK360" s="42"/>
      <c r="AL360" s="42"/>
      <c r="AM360" s="42"/>
      <c r="AN360" s="42"/>
      <c r="AO360" s="42"/>
      <c r="AP360" s="42"/>
      <c r="AQ360" s="42"/>
      <c r="AR360" s="42"/>
      <c r="AS360" s="42"/>
      <c r="AT360" s="42"/>
      <c r="AU360" s="42"/>
      <c r="AV360" s="42"/>
      <c r="AW360" s="42"/>
      <c r="AX360" s="42"/>
      <c r="AY360" s="42"/>
      <c r="AZ360" s="42"/>
      <c r="BA360" s="42"/>
      <c r="BB360" s="42"/>
      <c r="BC360" s="42"/>
      <c r="BD360" s="42"/>
      <c r="BE360" s="42"/>
      <c r="BF360" s="37"/>
      <c r="BG360" s="37"/>
      <c r="BH360" s="37"/>
      <c r="BI360" s="37"/>
      <c r="BJ360" s="37"/>
      <c r="BK360" s="37"/>
      <c r="BL360" s="37"/>
      <c r="BM360" s="37"/>
      <c r="BN360" s="37"/>
      <c r="BO360" s="37"/>
      <c r="BP360" s="37"/>
      <c r="BQ360" s="37"/>
      <c r="BR360" s="37"/>
      <c r="BS360" s="37"/>
      <c r="BT360" s="37"/>
      <c r="BU360" s="37"/>
      <c r="BV360" s="37"/>
      <c r="BW360" s="37"/>
      <c r="BX360" s="37"/>
      <c r="BY360" s="37"/>
      <c r="BZ360" s="37"/>
      <c r="CA360" s="37"/>
      <c r="CB360" s="37"/>
      <c r="CC360" s="37"/>
      <c r="CD360" s="37"/>
      <c r="CE360" s="37"/>
      <c r="CF360" s="37"/>
      <c r="CG360" s="37"/>
      <c r="CH360" s="37"/>
      <c r="CI360" s="37"/>
      <c r="CJ360" s="37"/>
      <c r="CO360" s="37"/>
      <c r="DK360" s="37"/>
      <c r="DL360" s="37"/>
      <c r="DM360" s="37"/>
      <c r="DN360" s="37"/>
      <c r="DO360" s="37"/>
      <c r="DP360" s="37"/>
      <c r="DQ360" s="37"/>
      <c r="DR360" s="37"/>
      <c r="DS360" s="37"/>
      <c r="DT360" s="37"/>
      <c r="DU360" s="37"/>
      <c r="DV360" s="37"/>
      <c r="DW360" s="37"/>
      <c r="DX360" s="37"/>
      <c r="DY360" s="37"/>
      <c r="DZ360" s="37"/>
    </row>
    <row r="361" spans="1:130" ht="12.75" hidden="1" customHeight="1" outlineLevel="1">
      <c r="A361" s="35" t="s">
        <v>63</v>
      </c>
      <c r="B361" s="307"/>
      <c r="C361" s="307"/>
      <c r="D361" s="307"/>
      <c r="E361" s="307"/>
      <c r="F361" s="307"/>
      <c r="G361" s="307"/>
      <c r="H361" s="307"/>
      <c r="I361" s="307"/>
      <c r="J361" s="307"/>
      <c r="K361" s="307">
        <f t="shared" ref="K361:M367" si="313">+K310/K$316</f>
        <v>0.25546981389014978</v>
      </c>
      <c r="L361" s="307">
        <f t="shared" si="313"/>
        <v>0.23558374363681883</v>
      </c>
      <c r="M361" s="307">
        <f t="shared" si="313"/>
        <v>0.24003493727171668</v>
      </c>
      <c r="N361" s="35"/>
      <c r="O361" s="35"/>
      <c r="P361" s="35"/>
      <c r="Q361" s="35"/>
      <c r="R361" s="35"/>
      <c r="S361" s="35"/>
      <c r="T361" s="35"/>
      <c r="U361" s="35"/>
      <c r="V361" s="35"/>
      <c r="W361" s="35"/>
      <c r="X361" s="35"/>
      <c r="Y361" s="35"/>
      <c r="Z361" s="35"/>
      <c r="AA361" s="35"/>
      <c r="AB361" s="42"/>
      <c r="AC361" s="42"/>
      <c r="AD361" s="42"/>
      <c r="AE361" s="42"/>
      <c r="AF361" s="42"/>
      <c r="AG361" s="42"/>
      <c r="AH361" s="42"/>
      <c r="AI361" s="42"/>
      <c r="AJ361" s="42"/>
      <c r="AK361" s="42"/>
      <c r="AL361" s="42"/>
      <c r="AM361" s="42"/>
      <c r="AN361" s="42"/>
      <c r="AO361" s="42"/>
      <c r="AP361" s="42"/>
      <c r="AQ361" s="42"/>
      <c r="AR361" s="42"/>
      <c r="AS361" s="42"/>
      <c r="AT361" s="42"/>
      <c r="AU361" s="42"/>
      <c r="AV361" s="42"/>
      <c r="AW361" s="42"/>
      <c r="AX361" s="42"/>
      <c r="AY361" s="42"/>
      <c r="AZ361" s="42"/>
      <c r="BA361" s="42"/>
      <c r="BB361" s="42"/>
      <c r="BC361" s="42"/>
      <c r="BD361" s="42"/>
      <c r="BE361" s="42"/>
      <c r="BF361" s="37"/>
      <c r="BG361" s="37"/>
      <c r="BH361" s="37"/>
      <c r="BI361" s="37"/>
      <c r="BJ361" s="37"/>
      <c r="BK361" s="37"/>
      <c r="BL361" s="37"/>
      <c r="BM361" s="37"/>
      <c r="BN361" s="37"/>
      <c r="BO361" s="37"/>
      <c r="BP361" s="37"/>
      <c r="BQ361" s="37"/>
      <c r="BR361" s="37"/>
      <c r="BS361" s="37"/>
      <c r="BT361" s="37"/>
      <c r="BU361" s="37"/>
      <c r="BV361" s="37"/>
      <c r="BW361" s="37"/>
      <c r="BX361" s="37"/>
      <c r="BY361" s="37"/>
      <c r="BZ361" s="37"/>
      <c r="CA361" s="37"/>
      <c r="CB361" s="37"/>
      <c r="CC361" s="37"/>
      <c r="CD361" s="37"/>
      <c r="CE361" s="37"/>
      <c r="CF361" s="37"/>
      <c r="CG361" s="37"/>
      <c r="CH361" s="37"/>
      <c r="CI361" s="37"/>
      <c r="CJ361" s="37"/>
      <c r="CO361" s="37"/>
      <c r="DK361" s="37"/>
      <c r="DL361" s="37"/>
      <c r="DM361" s="37"/>
      <c r="DN361" s="37"/>
      <c r="DO361" s="37"/>
      <c r="DP361" s="37"/>
      <c r="DQ361" s="37"/>
      <c r="DR361" s="37"/>
      <c r="DS361" s="37"/>
      <c r="DT361" s="37"/>
      <c r="DU361" s="37"/>
      <c r="DV361" s="37"/>
      <c r="DW361" s="37"/>
      <c r="DX361" s="37"/>
      <c r="DY361" s="37"/>
      <c r="DZ361" s="37"/>
    </row>
    <row r="362" spans="1:130" ht="12.75" hidden="1" customHeight="1" outlineLevel="1">
      <c r="A362" s="35" t="s">
        <v>288</v>
      </c>
      <c r="B362" s="307"/>
      <c r="C362" s="307"/>
      <c r="D362" s="307"/>
      <c r="E362" s="307"/>
      <c r="F362" s="307"/>
      <c r="G362" s="307"/>
      <c r="H362" s="307"/>
      <c r="I362" s="307"/>
      <c r="J362" s="307"/>
      <c r="K362" s="307">
        <f t="shared" si="313"/>
        <v>1.3663186563776668E-2</v>
      </c>
      <c r="L362" s="307">
        <f t="shared" si="313"/>
        <v>7.539848118167404E-2</v>
      </c>
      <c r="M362" s="307">
        <f t="shared" si="313"/>
        <v>7.6067968874067013E-2</v>
      </c>
      <c r="N362" s="35"/>
      <c r="O362" s="35"/>
      <c r="P362" s="35"/>
      <c r="Q362" s="35"/>
      <c r="R362" s="35"/>
      <c r="S362" s="35"/>
      <c r="T362" s="35"/>
      <c r="U362" s="35"/>
      <c r="V362" s="35"/>
      <c r="W362" s="35"/>
      <c r="X362" s="35"/>
      <c r="Y362" s="35"/>
      <c r="Z362" s="35"/>
      <c r="AA362" s="35"/>
      <c r="AB362" s="42"/>
      <c r="AC362" s="42"/>
      <c r="AD362" s="42"/>
      <c r="AE362" s="42"/>
      <c r="AF362" s="42"/>
      <c r="AG362" s="42"/>
      <c r="AH362" s="42"/>
      <c r="AI362" s="42"/>
      <c r="AJ362" s="42"/>
      <c r="AK362" s="42"/>
      <c r="AL362" s="42"/>
      <c r="AM362" s="42"/>
      <c r="AN362" s="42"/>
      <c r="AO362" s="42"/>
      <c r="AP362" s="42"/>
      <c r="AQ362" s="42"/>
      <c r="AR362" s="42"/>
      <c r="AS362" s="42"/>
      <c r="AT362" s="42"/>
      <c r="AU362" s="42"/>
      <c r="AV362" s="42"/>
      <c r="AW362" s="42"/>
      <c r="AX362" s="42"/>
      <c r="AY362" s="42"/>
      <c r="AZ362" s="42"/>
      <c r="BA362" s="42"/>
      <c r="BB362" s="42"/>
      <c r="BC362" s="42"/>
      <c r="BD362" s="42"/>
      <c r="BE362" s="42"/>
      <c r="BF362" s="37"/>
      <c r="BG362" s="37"/>
      <c r="BH362" s="37"/>
      <c r="BI362" s="37"/>
      <c r="BJ362" s="37"/>
      <c r="BK362" s="37"/>
      <c r="BL362" s="37"/>
      <c r="BM362" s="37"/>
      <c r="BN362" s="37"/>
      <c r="BO362" s="37"/>
      <c r="BP362" s="37"/>
      <c r="BQ362" s="37"/>
      <c r="BR362" s="37"/>
      <c r="BS362" s="37"/>
      <c r="BT362" s="37"/>
      <c r="BU362" s="37"/>
      <c r="BV362" s="37"/>
      <c r="BW362" s="37"/>
      <c r="BX362" s="37"/>
      <c r="BY362" s="37"/>
      <c r="BZ362" s="37"/>
      <c r="CA362" s="37"/>
      <c r="CB362" s="37"/>
      <c r="CC362" s="37"/>
      <c r="CD362" s="37"/>
      <c r="CE362" s="37"/>
      <c r="CF362" s="37"/>
      <c r="CG362" s="37"/>
      <c r="CH362" s="37"/>
      <c r="CI362" s="37"/>
      <c r="CJ362" s="37"/>
      <c r="CO362" s="37"/>
      <c r="DK362" s="37"/>
      <c r="DL362" s="37"/>
      <c r="DM362" s="37"/>
      <c r="DN362" s="37"/>
      <c r="DO362" s="37"/>
      <c r="DP362" s="37"/>
      <c r="DQ362" s="37"/>
      <c r="DR362" s="37"/>
      <c r="DS362" s="37"/>
      <c r="DT362" s="37"/>
      <c r="DU362" s="37"/>
      <c r="DV362" s="37"/>
      <c r="DW362" s="37"/>
      <c r="DX362" s="37"/>
      <c r="DY362" s="37"/>
      <c r="DZ362" s="37"/>
    </row>
    <row r="363" spans="1:130" ht="12.75" hidden="1" customHeight="1" outlineLevel="1">
      <c r="A363" s="35" t="s">
        <v>66</v>
      </c>
      <c r="B363" s="307"/>
      <c r="C363" s="307"/>
      <c r="D363" s="307"/>
      <c r="E363" s="307"/>
      <c r="F363" s="307"/>
      <c r="G363" s="307"/>
      <c r="H363" s="307"/>
      <c r="I363" s="307"/>
      <c r="J363" s="307"/>
      <c r="K363" s="307">
        <f t="shared" si="313"/>
        <v>0.16091693145710395</v>
      </c>
      <c r="L363" s="307">
        <f t="shared" si="313"/>
        <v>0.15609613619293999</v>
      </c>
      <c r="M363" s="307">
        <f t="shared" si="313"/>
        <v>0.14284579958710497</v>
      </c>
      <c r="N363" s="35"/>
      <c r="O363" s="35"/>
      <c r="P363" s="35"/>
      <c r="Q363" s="35"/>
      <c r="R363" s="35"/>
      <c r="S363" s="35"/>
      <c r="T363" s="35"/>
      <c r="U363" s="35"/>
      <c r="V363" s="35"/>
      <c r="W363" s="35"/>
      <c r="X363" s="35"/>
      <c r="Y363" s="35"/>
      <c r="Z363" s="35"/>
      <c r="AA363" s="35"/>
      <c r="AB363" s="42"/>
      <c r="AC363" s="42"/>
      <c r="AD363" s="42"/>
      <c r="AE363" s="42"/>
      <c r="AF363" s="42"/>
      <c r="AG363" s="42"/>
      <c r="AH363" s="42"/>
      <c r="AI363" s="42"/>
      <c r="AJ363" s="42"/>
      <c r="AK363" s="42"/>
      <c r="AL363" s="42"/>
      <c r="AM363" s="42"/>
      <c r="AN363" s="42"/>
      <c r="AO363" s="42"/>
      <c r="AP363" s="42"/>
      <c r="AQ363" s="42"/>
      <c r="AR363" s="42"/>
      <c r="AS363" s="42"/>
      <c r="AT363" s="42"/>
      <c r="AU363" s="42"/>
      <c r="AV363" s="42"/>
      <c r="AW363" s="42"/>
      <c r="AX363" s="42"/>
      <c r="AY363" s="42"/>
      <c r="AZ363" s="42"/>
      <c r="BA363" s="42"/>
      <c r="BB363" s="42"/>
      <c r="BC363" s="42"/>
      <c r="BD363" s="42"/>
      <c r="BE363" s="42"/>
      <c r="BF363" s="37"/>
      <c r="BG363" s="37"/>
      <c r="BH363" s="37"/>
      <c r="BI363" s="37"/>
      <c r="BJ363" s="37"/>
      <c r="BK363" s="37"/>
      <c r="BL363" s="37"/>
      <c r="BM363" s="37"/>
      <c r="BN363" s="37"/>
      <c r="BO363" s="37"/>
      <c r="BP363" s="37"/>
      <c r="BQ363" s="37"/>
      <c r="BR363" s="37"/>
      <c r="BS363" s="37"/>
      <c r="BT363" s="37"/>
      <c r="BU363" s="37"/>
      <c r="BV363" s="37"/>
      <c r="BW363" s="37"/>
      <c r="BX363" s="37"/>
      <c r="BY363" s="37"/>
      <c r="BZ363" s="37"/>
      <c r="CA363" s="37"/>
      <c r="CB363" s="37"/>
      <c r="CC363" s="37"/>
      <c r="CD363" s="37"/>
      <c r="CE363" s="37"/>
      <c r="CF363" s="37"/>
      <c r="CG363" s="37"/>
      <c r="CH363" s="37"/>
      <c r="CI363" s="37"/>
      <c r="CJ363" s="37"/>
      <c r="CO363" s="37"/>
      <c r="DK363" s="37"/>
      <c r="DL363" s="37"/>
      <c r="DM363" s="37"/>
      <c r="DN363" s="37"/>
      <c r="DO363" s="37"/>
      <c r="DP363" s="37"/>
      <c r="DQ363" s="37"/>
      <c r="DR363" s="37"/>
      <c r="DS363" s="37"/>
      <c r="DT363" s="37"/>
      <c r="DU363" s="37"/>
      <c r="DV363" s="37"/>
      <c r="DW363" s="37"/>
      <c r="DX363" s="37"/>
      <c r="DY363" s="37"/>
      <c r="DZ363" s="37"/>
    </row>
    <row r="364" spans="1:130" ht="12.75" hidden="1" customHeight="1" outlineLevel="1">
      <c r="A364" s="35" t="s">
        <v>289</v>
      </c>
      <c r="B364" s="307"/>
      <c r="C364" s="307"/>
      <c r="D364" s="307"/>
      <c r="E364" s="307"/>
      <c r="F364" s="307"/>
      <c r="G364" s="307"/>
      <c r="H364" s="307"/>
      <c r="I364" s="307"/>
      <c r="J364" s="307"/>
      <c r="K364" s="307">
        <f t="shared" si="313"/>
        <v>0.22605537902859738</v>
      </c>
      <c r="L364" s="307">
        <f t="shared" si="313"/>
        <v>0.21234248518734875</v>
      </c>
      <c r="M364" s="307">
        <f t="shared" si="313"/>
        <v>0.21974749880895664</v>
      </c>
      <c r="N364" s="35"/>
      <c r="O364" s="35"/>
      <c r="P364" s="35"/>
      <c r="Q364" s="35"/>
      <c r="R364" s="35"/>
      <c r="S364" s="35"/>
      <c r="T364" s="35"/>
      <c r="U364" s="35"/>
      <c r="V364" s="35"/>
      <c r="W364" s="35"/>
      <c r="X364" s="35"/>
      <c r="Y364" s="35"/>
      <c r="Z364" s="35"/>
      <c r="AA364" s="35"/>
      <c r="AB364" s="42"/>
      <c r="AC364" s="42"/>
      <c r="AD364" s="42"/>
      <c r="AE364" s="42"/>
      <c r="AF364" s="42"/>
      <c r="AG364" s="42"/>
      <c r="AH364" s="42"/>
      <c r="AI364" s="42"/>
      <c r="AJ364" s="42"/>
      <c r="AK364" s="42"/>
      <c r="AL364" s="42"/>
      <c r="AM364" s="42"/>
      <c r="AN364" s="42"/>
      <c r="AO364" s="42"/>
      <c r="AP364" s="42"/>
      <c r="AQ364" s="42"/>
      <c r="AR364" s="42"/>
      <c r="AS364" s="42"/>
      <c r="AT364" s="42"/>
      <c r="AU364" s="42"/>
      <c r="AV364" s="42"/>
      <c r="AW364" s="42"/>
      <c r="AX364" s="42"/>
      <c r="AY364" s="42"/>
      <c r="AZ364" s="42"/>
      <c r="BA364" s="42"/>
      <c r="BB364" s="42"/>
      <c r="BC364" s="42"/>
      <c r="BD364" s="42"/>
      <c r="BE364" s="42"/>
      <c r="BF364" s="37"/>
      <c r="BG364" s="37"/>
      <c r="BH364" s="37"/>
      <c r="BI364" s="37"/>
      <c r="BJ364" s="37"/>
      <c r="BK364" s="37"/>
      <c r="BL364" s="37"/>
      <c r="BM364" s="37"/>
      <c r="BN364" s="37"/>
      <c r="BO364" s="37"/>
      <c r="BP364" s="37"/>
      <c r="BQ364" s="37"/>
      <c r="BR364" s="37"/>
      <c r="BS364" s="37"/>
      <c r="BT364" s="37"/>
      <c r="BU364" s="37"/>
      <c r="BV364" s="37"/>
      <c r="BW364" s="37"/>
      <c r="BX364" s="37"/>
      <c r="BY364" s="37"/>
      <c r="BZ364" s="37"/>
      <c r="CA364" s="37"/>
      <c r="CB364" s="37"/>
      <c r="CC364" s="37"/>
      <c r="CD364" s="37"/>
      <c r="CE364" s="37"/>
      <c r="CF364" s="37"/>
      <c r="CG364" s="37"/>
      <c r="CH364" s="37"/>
      <c r="CI364" s="37"/>
      <c r="CJ364" s="37"/>
      <c r="CO364" s="37"/>
      <c r="DK364" s="37"/>
      <c r="DL364" s="37"/>
      <c r="DM364" s="37"/>
      <c r="DN364" s="37"/>
      <c r="DO364" s="37"/>
      <c r="DP364" s="37"/>
      <c r="DQ364" s="37"/>
      <c r="DR364" s="37"/>
      <c r="DS364" s="37"/>
      <c r="DT364" s="37"/>
      <c r="DU364" s="37"/>
      <c r="DV364" s="37"/>
      <c r="DW364" s="37"/>
      <c r="DX364" s="37"/>
      <c r="DY364" s="37"/>
      <c r="DZ364" s="37"/>
    </row>
    <row r="365" spans="1:130" ht="12.75" hidden="1" customHeight="1" outlineLevel="1">
      <c r="A365" s="35" t="s">
        <v>290</v>
      </c>
      <c r="B365" s="307"/>
      <c r="C365" s="307"/>
      <c r="D365" s="307"/>
      <c r="E365" s="307"/>
      <c r="F365" s="307"/>
      <c r="G365" s="307"/>
      <c r="H365" s="307"/>
      <c r="I365" s="307"/>
      <c r="J365" s="307"/>
      <c r="K365" s="307">
        <f t="shared" si="313"/>
        <v>0.14235133908306855</v>
      </c>
      <c r="L365" s="307">
        <f t="shared" si="313"/>
        <v>0.12884920303763664</v>
      </c>
      <c r="M365" s="307">
        <f t="shared" si="313"/>
        <v>0.1265682070827378</v>
      </c>
      <c r="N365" s="35"/>
      <c r="O365" s="35"/>
      <c r="P365" s="35"/>
      <c r="Q365" s="35"/>
      <c r="R365" s="35"/>
      <c r="S365" s="35"/>
      <c r="T365" s="35"/>
      <c r="U365" s="35"/>
      <c r="V365" s="35"/>
      <c r="W365" s="35"/>
      <c r="X365" s="35"/>
      <c r="Y365" s="35"/>
      <c r="Z365" s="35"/>
      <c r="AA365" s="35"/>
      <c r="AB365" s="42"/>
      <c r="AC365" s="42"/>
      <c r="AD365" s="42"/>
      <c r="AE365" s="42"/>
      <c r="AF365" s="42"/>
      <c r="AG365" s="42"/>
      <c r="AH365" s="42"/>
      <c r="AI365" s="42"/>
      <c r="AJ365" s="42"/>
      <c r="AK365" s="42"/>
      <c r="AL365" s="42"/>
      <c r="AM365" s="42"/>
      <c r="AN365" s="42"/>
      <c r="AO365" s="42"/>
      <c r="AP365" s="42"/>
      <c r="AQ365" s="42"/>
      <c r="AR365" s="42"/>
      <c r="AS365" s="42"/>
      <c r="AT365" s="42"/>
      <c r="AU365" s="42"/>
      <c r="AV365" s="42"/>
      <c r="AW365" s="42"/>
      <c r="AX365" s="42"/>
      <c r="AY365" s="42"/>
      <c r="AZ365" s="42"/>
      <c r="BA365" s="42"/>
      <c r="BB365" s="42"/>
      <c r="BC365" s="42"/>
      <c r="BD365" s="42"/>
      <c r="BE365" s="42"/>
      <c r="BF365" s="37"/>
      <c r="BG365" s="37"/>
      <c r="BH365" s="37"/>
      <c r="BI365" s="37"/>
      <c r="BJ365" s="37"/>
      <c r="BK365" s="37"/>
      <c r="BL365" s="37"/>
      <c r="BM365" s="37"/>
      <c r="BN365" s="37"/>
      <c r="BO365" s="37"/>
      <c r="BP365" s="37"/>
      <c r="BQ365" s="37"/>
      <c r="BR365" s="37"/>
      <c r="BS365" s="37"/>
      <c r="BT365" s="37"/>
      <c r="BU365" s="37"/>
      <c r="BV365" s="37"/>
      <c r="BW365" s="37"/>
      <c r="BX365" s="37"/>
      <c r="BY365" s="37"/>
      <c r="BZ365" s="37"/>
      <c r="CA365" s="37"/>
      <c r="CB365" s="37"/>
      <c r="CC365" s="37"/>
      <c r="CD365" s="37"/>
      <c r="CE365" s="37"/>
      <c r="CF365" s="37"/>
      <c r="CG365" s="37"/>
      <c r="CH365" s="37"/>
      <c r="CI365" s="37"/>
      <c r="CJ365" s="37"/>
      <c r="CO365" s="37"/>
      <c r="DK365" s="37"/>
      <c r="DL365" s="37"/>
      <c r="DM365" s="37"/>
      <c r="DN365" s="37"/>
      <c r="DO365" s="37"/>
      <c r="DP365" s="37"/>
      <c r="DQ365" s="37"/>
      <c r="DR365" s="37"/>
      <c r="DS365" s="37"/>
      <c r="DT365" s="37"/>
      <c r="DU365" s="37"/>
      <c r="DV365" s="37"/>
      <c r="DW365" s="37"/>
      <c r="DX365" s="37"/>
      <c r="DY365" s="37"/>
      <c r="DZ365" s="37"/>
    </row>
    <row r="366" spans="1:130" ht="12.75" hidden="1" customHeight="1" outlineLevel="1">
      <c r="A366" s="35" t="s">
        <v>291</v>
      </c>
      <c r="B366" s="307"/>
      <c r="C366" s="307"/>
      <c r="D366" s="307"/>
      <c r="E366" s="307"/>
      <c r="F366" s="307"/>
      <c r="G366" s="307"/>
      <c r="H366" s="307"/>
      <c r="I366" s="307"/>
      <c r="J366" s="307"/>
      <c r="K366" s="307">
        <f t="shared" si="313"/>
        <v>0.20154334997730367</v>
      </c>
      <c r="L366" s="307">
        <f t="shared" si="313"/>
        <v>0.19172995076358174</v>
      </c>
      <c r="M366" s="307">
        <f t="shared" si="313"/>
        <v>0.19473558837541685</v>
      </c>
      <c r="N366" s="35"/>
      <c r="O366" s="35"/>
      <c r="P366" s="35"/>
      <c r="Q366" s="35"/>
      <c r="R366" s="35"/>
      <c r="S366" s="35"/>
      <c r="T366" s="35"/>
      <c r="U366" s="35"/>
      <c r="V366" s="35"/>
      <c r="W366" s="35"/>
      <c r="X366" s="35"/>
      <c r="Y366" s="35"/>
      <c r="Z366" s="35"/>
      <c r="AA366" s="35"/>
      <c r="AB366" s="42"/>
      <c r="AC366" s="42"/>
      <c r="AD366" s="42"/>
      <c r="AE366" s="42"/>
      <c r="AF366" s="42"/>
      <c r="AG366" s="42"/>
      <c r="AH366" s="42"/>
      <c r="AI366" s="42"/>
      <c r="AJ366" s="42"/>
      <c r="AK366" s="42"/>
      <c r="AL366" s="42"/>
      <c r="AM366" s="42"/>
      <c r="AN366" s="42"/>
      <c r="AO366" s="42"/>
      <c r="AP366" s="42"/>
      <c r="AQ366" s="42"/>
      <c r="AR366" s="42"/>
      <c r="AS366" s="42"/>
      <c r="AT366" s="42"/>
      <c r="AU366" s="42"/>
      <c r="AV366" s="42"/>
      <c r="AW366" s="42"/>
      <c r="AX366" s="42"/>
      <c r="AY366" s="42"/>
      <c r="AZ366" s="42"/>
      <c r="BA366" s="42"/>
      <c r="BB366" s="42"/>
      <c r="BC366" s="42"/>
      <c r="BD366" s="42"/>
      <c r="BE366" s="42"/>
      <c r="BF366" s="37"/>
      <c r="BG366" s="37"/>
      <c r="BH366" s="37"/>
      <c r="BI366" s="37"/>
      <c r="BJ366" s="37"/>
      <c r="BK366" s="37"/>
      <c r="BL366" s="37"/>
      <c r="BM366" s="37"/>
      <c r="BN366" s="37"/>
      <c r="BO366" s="37"/>
      <c r="BP366" s="37"/>
      <c r="BQ366" s="37"/>
      <c r="BR366" s="37"/>
      <c r="BS366" s="37"/>
      <c r="BT366" s="37"/>
      <c r="BU366" s="37"/>
      <c r="BV366" s="37"/>
      <c r="BW366" s="37"/>
      <c r="BX366" s="37"/>
      <c r="BY366" s="37"/>
      <c r="BZ366" s="37"/>
      <c r="CA366" s="37"/>
      <c r="CB366" s="37"/>
      <c r="CC366" s="37"/>
      <c r="CD366" s="37"/>
      <c r="CE366" s="37"/>
      <c r="CF366" s="37"/>
      <c r="CG366" s="37"/>
      <c r="CH366" s="37"/>
      <c r="CI366" s="37"/>
      <c r="CJ366" s="37"/>
      <c r="CO366" s="37"/>
      <c r="DK366" s="37"/>
      <c r="DL366" s="37"/>
      <c r="DM366" s="37"/>
      <c r="DN366" s="37"/>
      <c r="DO366" s="37"/>
      <c r="DP366" s="37"/>
      <c r="DQ366" s="37"/>
      <c r="DR366" s="37"/>
      <c r="DS366" s="37"/>
      <c r="DT366" s="37"/>
      <c r="DU366" s="37"/>
      <c r="DV366" s="37"/>
      <c r="DW366" s="37"/>
      <c r="DX366" s="37"/>
      <c r="DY366" s="37"/>
      <c r="DZ366" s="37"/>
    </row>
    <row r="367" spans="1:130" ht="12.75" hidden="1" customHeight="1" outlineLevel="1">
      <c r="A367" s="256" t="s">
        <v>189</v>
      </c>
      <c r="B367" s="308"/>
      <c r="C367" s="308"/>
      <c r="D367" s="308"/>
      <c r="E367" s="308"/>
      <c r="F367" s="308"/>
      <c r="G367" s="308"/>
      <c r="H367" s="308"/>
      <c r="I367" s="308"/>
      <c r="J367" s="308"/>
      <c r="K367" s="308">
        <f t="shared" si="313"/>
        <v>1</v>
      </c>
      <c r="L367" s="308">
        <f t="shared" si="313"/>
        <v>1</v>
      </c>
      <c r="M367" s="308">
        <f t="shared" si="313"/>
        <v>1</v>
      </c>
      <c r="N367" s="35"/>
      <c r="O367" s="35"/>
      <c r="P367" s="35"/>
      <c r="Q367" s="35"/>
      <c r="R367" s="35"/>
      <c r="S367" s="35"/>
      <c r="T367" s="35"/>
      <c r="U367" s="35"/>
      <c r="V367" s="35"/>
      <c r="W367" s="35"/>
      <c r="X367" s="35"/>
      <c r="Y367" s="35"/>
      <c r="Z367" s="35"/>
      <c r="AA367" s="35"/>
      <c r="AB367" s="228"/>
      <c r="AC367" s="42"/>
      <c r="AD367" s="42"/>
      <c r="AE367" s="42"/>
      <c r="AF367" s="42"/>
      <c r="AG367" s="42"/>
      <c r="AH367" s="42"/>
      <c r="AI367" s="42"/>
      <c r="AJ367" s="42"/>
      <c r="AK367" s="42"/>
      <c r="AL367" s="42"/>
      <c r="AM367" s="42"/>
      <c r="AN367" s="42"/>
      <c r="AO367" s="42"/>
      <c r="AP367" s="42"/>
      <c r="AQ367" s="42"/>
      <c r="AR367" s="42"/>
      <c r="AS367" s="42"/>
      <c r="AT367" s="42"/>
      <c r="AU367" s="42"/>
      <c r="AV367" s="42"/>
      <c r="AW367" s="42"/>
      <c r="AX367" s="42"/>
      <c r="AY367" s="42"/>
      <c r="AZ367" s="42"/>
      <c r="BA367" s="42"/>
      <c r="BB367" s="42"/>
      <c r="BC367" s="42"/>
      <c r="BD367" s="42"/>
      <c r="BE367" s="42"/>
      <c r="BF367" s="37"/>
      <c r="BG367" s="37"/>
      <c r="BH367" s="37"/>
      <c r="BI367" s="37"/>
      <c r="BJ367" s="37"/>
      <c r="BK367" s="37"/>
      <c r="BL367" s="37"/>
      <c r="BM367" s="37"/>
      <c r="BN367" s="37"/>
      <c r="BO367" s="37"/>
      <c r="BP367" s="37"/>
      <c r="BQ367" s="37"/>
      <c r="BR367" s="37"/>
      <c r="BS367" s="37"/>
      <c r="BT367" s="37"/>
      <c r="BU367" s="37"/>
      <c r="BV367" s="37"/>
      <c r="BW367" s="37"/>
      <c r="BX367" s="37"/>
      <c r="BY367" s="37"/>
      <c r="BZ367" s="37"/>
      <c r="CA367" s="37"/>
      <c r="CB367" s="37"/>
      <c r="CC367" s="37"/>
      <c r="CD367" s="37"/>
      <c r="CE367" s="37"/>
      <c r="CF367" s="37"/>
      <c r="CG367" s="37"/>
      <c r="CH367" s="37"/>
      <c r="CI367" s="37"/>
      <c r="CJ367" s="37"/>
      <c r="CO367" s="37"/>
      <c r="DK367" s="37"/>
      <c r="DL367" s="37"/>
      <c r="DM367" s="37"/>
      <c r="DN367" s="37"/>
      <c r="DO367" s="37"/>
      <c r="DP367" s="37"/>
      <c r="DQ367" s="37"/>
      <c r="DR367" s="37"/>
      <c r="DS367" s="37"/>
      <c r="DT367" s="37"/>
      <c r="DU367" s="37"/>
      <c r="DV367" s="37"/>
      <c r="DW367" s="37"/>
      <c r="DX367" s="37"/>
      <c r="DY367" s="37"/>
      <c r="DZ367" s="37"/>
    </row>
    <row r="368" spans="1:130" ht="12.75" hidden="1" customHeight="1" outlineLevel="1">
      <c r="A368" s="35"/>
      <c r="B368" s="309"/>
      <c r="C368" s="309"/>
      <c r="D368" s="309"/>
      <c r="E368" s="309"/>
      <c r="F368" s="309"/>
      <c r="G368" s="309"/>
      <c r="H368" s="309"/>
      <c r="I368" s="309"/>
      <c r="J368" s="309"/>
      <c r="K368" s="309"/>
      <c r="L368" s="309"/>
      <c r="M368" s="309"/>
      <c r="N368" s="35"/>
      <c r="O368" s="35"/>
      <c r="P368" s="35"/>
      <c r="Q368" s="35"/>
      <c r="R368" s="35"/>
      <c r="S368" s="35"/>
      <c r="T368" s="35"/>
      <c r="U368" s="35"/>
      <c r="V368" s="35"/>
      <c r="W368" s="35"/>
      <c r="X368" s="35"/>
      <c r="Y368" s="35"/>
      <c r="Z368" s="35"/>
      <c r="AA368" s="35"/>
      <c r="AB368" s="42"/>
      <c r="AC368" s="42"/>
      <c r="AD368" s="42"/>
      <c r="AE368" s="42"/>
      <c r="AF368" s="42"/>
      <c r="AG368" s="42"/>
      <c r="AH368" s="42"/>
      <c r="AI368" s="42"/>
      <c r="AJ368" s="42"/>
      <c r="AK368" s="42"/>
      <c r="AL368" s="42"/>
      <c r="AM368" s="42"/>
      <c r="AN368" s="42"/>
      <c r="AO368" s="42"/>
      <c r="AP368" s="42"/>
      <c r="AQ368" s="42"/>
      <c r="AR368" s="42"/>
      <c r="AS368" s="42"/>
      <c r="AT368" s="42"/>
      <c r="AU368" s="42"/>
      <c r="AV368" s="42"/>
      <c r="AW368" s="42"/>
      <c r="AX368" s="42"/>
      <c r="AY368" s="42"/>
      <c r="AZ368" s="42"/>
      <c r="BA368" s="42"/>
      <c r="BB368" s="42"/>
      <c r="BC368" s="42"/>
      <c r="BD368" s="42"/>
      <c r="BE368" s="42"/>
      <c r="BF368" s="37"/>
      <c r="BG368" s="37"/>
      <c r="BH368" s="37"/>
      <c r="BI368" s="37"/>
      <c r="BJ368" s="37"/>
      <c r="BK368" s="37"/>
      <c r="BL368" s="37"/>
      <c r="BM368" s="37"/>
      <c r="BN368" s="37"/>
      <c r="BO368" s="37"/>
      <c r="BP368" s="37"/>
      <c r="BQ368" s="37"/>
      <c r="BR368" s="37"/>
      <c r="BS368" s="37"/>
      <c r="BT368" s="37"/>
      <c r="BU368" s="37"/>
      <c r="BV368" s="37"/>
      <c r="BW368" s="37"/>
      <c r="BX368" s="37"/>
      <c r="BY368" s="37"/>
      <c r="BZ368" s="37"/>
      <c r="CA368" s="37"/>
      <c r="CB368" s="37"/>
      <c r="CC368" s="37"/>
      <c r="CD368" s="37"/>
      <c r="CE368" s="37"/>
      <c r="CF368" s="37"/>
      <c r="CG368" s="37"/>
      <c r="CH368" s="37"/>
      <c r="CI368" s="37"/>
      <c r="CJ368" s="37"/>
      <c r="CO368" s="37"/>
      <c r="DK368" s="37"/>
      <c r="DL368" s="37"/>
      <c r="DM368" s="37"/>
      <c r="DN368" s="37"/>
      <c r="DO368" s="37"/>
      <c r="DP368" s="37"/>
      <c r="DQ368" s="37"/>
      <c r="DR368" s="37"/>
      <c r="DS368" s="37"/>
      <c r="DT368" s="37"/>
      <c r="DU368" s="37"/>
      <c r="DV368" s="37"/>
      <c r="DW368" s="37"/>
      <c r="DX368" s="37"/>
      <c r="DY368" s="37"/>
      <c r="DZ368" s="37"/>
    </row>
    <row r="369" spans="1:130" ht="12.75" hidden="1" customHeight="1" outlineLevel="1">
      <c r="A369" s="296" t="s">
        <v>295</v>
      </c>
      <c r="B369" s="309"/>
      <c r="C369" s="309"/>
      <c r="D369" s="309"/>
      <c r="E369" s="309"/>
      <c r="F369" s="309"/>
      <c r="G369" s="309"/>
      <c r="H369" s="309"/>
      <c r="I369" s="309"/>
      <c r="J369" s="309"/>
      <c r="K369" s="309"/>
      <c r="L369" s="309"/>
      <c r="M369" s="309"/>
      <c r="N369" s="35"/>
      <c r="O369" s="35"/>
      <c r="P369" s="35"/>
      <c r="Q369" s="35"/>
      <c r="R369" s="35"/>
      <c r="S369" s="35"/>
      <c r="T369" s="35"/>
      <c r="U369" s="35"/>
      <c r="V369" s="35"/>
      <c r="W369" s="35"/>
      <c r="X369" s="35"/>
      <c r="Y369" s="35"/>
      <c r="Z369" s="35"/>
      <c r="AA369" s="35"/>
      <c r="AB369" s="297"/>
      <c r="AC369" s="42"/>
      <c r="AD369" s="42"/>
      <c r="AE369" s="42"/>
      <c r="AF369" s="42"/>
      <c r="AG369" s="42"/>
      <c r="AH369" s="42"/>
      <c r="AI369" s="42"/>
      <c r="AJ369" s="42"/>
      <c r="AK369" s="42"/>
      <c r="AL369" s="42"/>
      <c r="AM369" s="42"/>
      <c r="AN369" s="42"/>
      <c r="AO369" s="42"/>
      <c r="AP369" s="42"/>
      <c r="AQ369" s="42"/>
      <c r="AR369" s="42"/>
      <c r="AS369" s="42"/>
      <c r="AT369" s="42"/>
      <c r="AU369" s="42"/>
      <c r="AV369" s="42"/>
      <c r="AW369" s="42"/>
      <c r="AX369" s="42"/>
      <c r="AY369" s="42"/>
      <c r="AZ369" s="42"/>
      <c r="BA369" s="42"/>
      <c r="BB369" s="42"/>
      <c r="BC369" s="42"/>
      <c r="BD369" s="42"/>
      <c r="BE369" s="42"/>
      <c r="BF369" s="37"/>
      <c r="BG369" s="37"/>
      <c r="BH369" s="37"/>
      <c r="BI369" s="37"/>
      <c r="BJ369" s="37"/>
      <c r="BK369" s="37"/>
      <c r="BL369" s="37"/>
      <c r="BM369" s="37"/>
      <c r="BN369" s="37"/>
      <c r="BO369" s="37"/>
      <c r="BP369" s="37"/>
      <c r="BQ369" s="37"/>
      <c r="BR369" s="37"/>
      <c r="BS369" s="37"/>
      <c r="BT369" s="37"/>
      <c r="BU369" s="37"/>
      <c r="BV369" s="37"/>
      <c r="BW369" s="37"/>
      <c r="BX369" s="37"/>
      <c r="BY369" s="37"/>
      <c r="BZ369" s="37"/>
      <c r="CA369" s="37"/>
      <c r="CB369" s="37"/>
      <c r="CC369" s="37"/>
      <c r="CD369" s="37"/>
      <c r="CE369" s="37"/>
      <c r="CF369" s="37"/>
      <c r="CG369" s="37"/>
      <c r="CH369" s="37"/>
      <c r="CI369" s="37"/>
      <c r="CJ369" s="37"/>
      <c r="CO369" s="37"/>
      <c r="DK369" s="37"/>
      <c r="DL369" s="37"/>
      <c r="DM369" s="37"/>
      <c r="DN369" s="37"/>
      <c r="DO369" s="37"/>
      <c r="DP369" s="37"/>
      <c r="DQ369" s="37"/>
      <c r="DR369" s="37"/>
      <c r="DS369" s="37"/>
      <c r="DT369" s="37"/>
      <c r="DU369" s="37"/>
      <c r="DV369" s="37"/>
      <c r="DW369" s="37"/>
      <c r="DX369" s="37"/>
      <c r="DY369" s="37"/>
      <c r="DZ369" s="37"/>
    </row>
    <row r="370" spans="1:130" ht="12.75" hidden="1" customHeight="1" outlineLevel="1">
      <c r="A370" s="35" t="s">
        <v>63</v>
      </c>
      <c r="B370" s="307"/>
      <c r="C370" s="307"/>
      <c r="D370" s="307"/>
      <c r="E370" s="307"/>
      <c r="F370" s="307"/>
      <c r="G370" s="307"/>
      <c r="H370" s="307"/>
      <c r="I370" s="307"/>
      <c r="J370" s="307"/>
      <c r="K370" s="307">
        <f t="shared" ref="K370:M376" si="314">+K323/K$329</f>
        <v>0.26573905109489049</v>
      </c>
      <c r="L370" s="307">
        <f t="shared" si="314"/>
        <v>0.1997764017887857</v>
      </c>
      <c r="M370" s="307">
        <f t="shared" si="314"/>
        <v>0.1945193171608266</v>
      </c>
      <c r="N370" s="35"/>
      <c r="O370" s="35"/>
      <c r="P370" s="35"/>
      <c r="Q370" s="35"/>
      <c r="R370" s="35"/>
      <c r="S370" s="35"/>
      <c r="T370" s="35"/>
      <c r="U370" s="35"/>
      <c r="V370" s="35"/>
      <c r="W370" s="35"/>
      <c r="X370" s="35"/>
      <c r="Y370" s="35"/>
      <c r="Z370" s="35"/>
      <c r="AA370" s="35"/>
      <c r="AB370" s="42"/>
      <c r="AC370" s="42"/>
      <c r="AD370" s="42"/>
      <c r="AE370" s="42"/>
      <c r="AF370" s="42"/>
      <c r="AG370" s="42"/>
      <c r="AH370" s="42"/>
      <c r="AI370" s="42"/>
      <c r="AJ370" s="42"/>
      <c r="AK370" s="42"/>
      <c r="AL370" s="42"/>
      <c r="AM370" s="42"/>
      <c r="AN370" s="42"/>
      <c r="AO370" s="42"/>
      <c r="AP370" s="42"/>
      <c r="AQ370" s="42"/>
      <c r="AR370" s="42"/>
      <c r="AS370" s="42"/>
      <c r="AT370" s="42"/>
      <c r="AU370" s="42"/>
      <c r="AV370" s="42"/>
      <c r="AW370" s="42"/>
      <c r="AX370" s="42"/>
      <c r="AY370" s="42"/>
      <c r="AZ370" s="42"/>
      <c r="BA370" s="42"/>
      <c r="BB370" s="42"/>
      <c r="BC370" s="42"/>
      <c r="BD370" s="42"/>
      <c r="BE370" s="42"/>
      <c r="BF370" s="37"/>
      <c r="BG370" s="37"/>
      <c r="BH370" s="37"/>
      <c r="BI370" s="37"/>
      <c r="BJ370" s="37"/>
      <c r="BK370" s="37"/>
      <c r="BL370" s="37"/>
      <c r="BM370" s="37"/>
      <c r="BN370" s="37"/>
      <c r="BO370" s="37"/>
      <c r="BP370" s="37"/>
      <c r="BQ370" s="37"/>
      <c r="BR370" s="37"/>
      <c r="BS370" s="37"/>
      <c r="BT370" s="37"/>
      <c r="BU370" s="37"/>
      <c r="BV370" s="37"/>
      <c r="BW370" s="37"/>
      <c r="BX370" s="37"/>
      <c r="BY370" s="37"/>
      <c r="BZ370" s="37"/>
      <c r="CA370" s="37"/>
      <c r="CB370" s="37"/>
      <c r="CC370" s="37"/>
      <c r="CD370" s="37"/>
      <c r="CE370" s="37"/>
      <c r="CF370" s="37"/>
      <c r="CG370" s="37"/>
      <c r="CH370" s="37"/>
      <c r="CI370" s="37"/>
      <c r="CJ370" s="37"/>
      <c r="CO370" s="37"/>
      <c r="DK370" s="37"/>
      <c r="DL370" s="37"/>
      <c r="DM370" s="37"/>
      <c r="DN370" s="37"/>
      <c r="DO370" s="37"/>
      <c r="DP370" s="37"/>
      <c r="DQ370" s="37"/>
      <c r="DR370" s="37"/>
      <c r="DS370" s="37"/>
      <c r="DT370" s="37"/>
      <c r="DU370" s="37"/>
      <c r="DV370" s="37"/>
      <c r="DW370" s="37"/>
      <c r="DX370" s="37"/>
      <c r="DY370" s="37"/>
      <c r="DZ370" s="37"/>
    </row>
    <row r="371" spans="1:130" ht="12.75" hidden="1" customHeight="1" outlineLevel="1">
      <c r="A371" s="35" t="s">
        <v>288</v>
      </c>
      <c r="B371" s="307"/>
      <c r="C371" s="307"/>
      <c r="D371" s="307"/>
      <c r="E371" s="307"/>
      <c r="F371" s="307"/>
      <c r="G371" s="307"/>
      <c r="H371" s="307"/>
      <c r="I371" s="307"/>
      <c r="J371" s="307"/>
      <c r="K371" s="307">
        <f t="shared" si="314"/>
        <v>0.27896897810218979</v>
      </c>
      <c r="L371" s="307">
        <f t="shared" si="314"/>
        <v>0.45012039903680773</v>
      </c>
      <c r="M371" s="307">
        <f t="shared" si="314"/>
        <v>0.43313866427073971</v>
      </c>
      <c r="N371" s="35"/>
      <c r="O371" s="35"/>
      <c r="P371" s="35"/>
      <c r="Q371" s="35"/>
      <c r="R371" s="35"/>
      <c r="S371" s="35"/>
      <c r="T371" s="35"/>
      <c r="U371" s="35"/>
      <c r="V371" s="35"/>
      <c r="W371" s="35"/>
      <c r="X371" s="35"/>
      <c r="Y371" s="35"/>
      <c r="Z371" s="35"/>
      <c r="AA371" s="35"/>
      <c r="AB371" s="42"/>
      <c r="AC371" s="42"/>
      <c r="AD371" s="42"/>
      <c r="AE371" s="42"/>
      <c r="AF371" s="42"/>
      <c r="AG371" s="42"/>
      <c r="AH371" s="42"/>
      <c r="AI371" s="42"/>
      <c r="AJ371" s="42"/>
      <c r="AK371" s="42"/>
      <c r="AL371" s="42"/>
      <c r="AM371" s="42"/>
      <c r="AN371" s="42"/>
      <c r="AO371" s="42"/>
      <c r="AP371" s="42"/>
      <c r="AQ371" s="42"/>
      <c r="AR371" s="42"/>
      <c r="AS371" s="42"/>
      <c r="AT371" s="42"/>
      <c r="AU371" s="42"/>
      <c r="AV371" s="42"/>
      <c r="AW371" s="42"/>
      <c r="AX371" s="42"/>
      <c r="AY371" s="42"/>
      <c r="AZ371" s="42"/>
      <c r="BA371" s="42"/>
      <c r="BB371" s="42"/>
      <c r="BC371" s="42"/>
      <c r="BD371" s="42"/>
      <c r="BE371" s="42"/>
      <c r="BF371" s="37"/>
      <c r="BG371" s="37"/>
      <c r="BH371" s="37"/>
      <c r="BI371" s="37"/>
      <c r="BJ371" s="37"/>
      <c r="BK371" s="37"/>
      <c r="BL371" s="37"/>
      <c r="BM371" s="37"/>
      <c r="BN371" s="37"/>
      <c r="BO371" s="37"/>
      <c r="BP371" s="37"/>
      <c r="BQ371" s="37"/>
      <c r="BR371" s="37"/>
      <c r="BS371" s="37"/>
      <c r="BT371" s="37"/>
      <c r="BU371" s="37"/>
      <c r="BV371" s="37"/>
      <c r="BW371" s="37"/>
      <c r="BX371" s="37"/>
      <c r="BY371" s="37"/>
      <c r="BZ371" s="37"/>
      <c r="CA371" s="37"/>
      <c r="CB371" s="37"/>
      <c r="CC371" s="37"/>
      <c r="CD371" s="37"/>
      <c r="CE371" s="37"/>
      <c r="CF371" s="37"/>
      <c r="CG371" s="37"/>
      <c r="CH371" s="37"/>
      <c r="CI371" s="37"/>
      <c r="CJ371" s="37"/>
      <c r="CO371" s="37"/>
      <c r="DK371" s="37"/>
      <c r="DL371" s="37"/>
      <c r="DM371" s="37"/>
      <c r="DN371" s="37"/>
      <c r="DO371" s="37"/>
      <c r="DP371" s="37"/>
      <c r="DQ371" s="37"/>
      <c r="DR371" s="37"/>
      <c r="DS371" s="37"/>
      <c r="DT371" s="37"/>
      <c r="DU371" s="37"/>
      <c r="DV371" s="37"/>
      <c r="DW371" s="37"/>
      <c r="DX371" s="37"/>
      <c r="DY371" s="37"/>
      <c r="DZ371" s="37"/>
    </row>
    <row r="372" spans="1:130" ht="12.75" hidden="1" customHeight="1" outlineLevel="1">
      <c r="A372" s="35" t="s">
        <v>66</v>
      </c>
      <c r="B372" s="307"/>
      <c r="C372" s="307"/>
      <c r="D372" s="307"/>
      <c r="E372" s="307"/>
      <c r="F372" s="307"/>
      <c r="G372" s="307"/>
      <c r="H372" s="307"/>
      <c r="I372" s="307"/>
      <c r="J372" s="307"/>
      <c r="K372" s="307">
        <f t="shared" si="314"/>
        <v>0.27258211678832117</v>
      </c>
      <c r="L372" s="307">
        <f t="shared" si="314"/>
        <v>0.21594427244582043</v>
      </c>
      <c r="M372" s="307">
        <f t="shared" si="314"/>
        <v>0.2364480383348308</v>
      </c>
      <c r="N372" s="35"/>
      <c r="O372" s="35"/>
      <c r="P372" s="35"/>
      <c r="Q372" s="35"/>
      <c r="R372" s="35"/>
      <c r="S372" s="35"/>
      <c r="T372" s="35"/>
      <c r="U372" s="35"/>
      <c r="V372" s="35"/>
      <c r="W372" s="35"/>
      <c r="X372" s="35"/>
      <c r="Y372" s="35"/>
      <c r="Z372" s="35"/>
      <c r="AA372" s="35"/>
      <c r="AB372" s="42"/>
      <c r="AC372" s="42"/>
      <c r="AD372" s="42"/>
      <c r="AE372" s="42"/>
      <c r="AF372" s="42"/>
      <c r="AG372" s="42"/>
      <c r="AH372" s="42"/>
      <c r="AI372" s="42"/>
      <c r="AJ372" s="42"/>
      <c r="AK372" s="42"/>
      <c r="AL372" s="42"/>
      <c r="AM372" s="42"/>
      <c r="AN372" s="42"/>
      <c r="AO372" s="42"/>
      <c r="AP372" s="42"/>
      <c r="AQ372" s="42"/>
      <c r="AR372" s="42"/>
      <c r="AS372" s="42"/>
      <c r="AT372" s="42"/>
      <c r="AU372" s="42"/>
      <c r="AV372" s="42"/>
      <c r="AW372" s="42"/>
      <c r="AX372" s="42"/>
      <c r="AY372" s="42"/>
      <c r="AZ372" s="42"/>
      <c r="BA372" s="42"/>
      <c r="BB372" s="42"/>
      <c r="BC372" s="42"/>
      <c r="BD372" s="42"/>
      <c r="BE372" s="42"/>
      <c r="BF372" s="37"/>
      <c r="BG372" s="37"/>
      <c r="BH372" s="37"/>
      <c r="BI372" s="37"/>
      <c r="BJ372" s="37"/>
      <c r="BK372" s="37"/>
      <c r="BL372" s="37"/>
      <c r="BM372" s="37"/>
      <c r="BN372" s="37"/>
      <c r="BO372" s="37"/>
      <c r="BP372" s="37"/>
      <c r="BQ372" s="37"/>
      <c r="BR372" s="37"/>
      <c r="BS372" s="37"/>
      <c r="BT372" s="37"/>
      <c r="BU372" s="37"/>
      <c r="BV372" s="37"/>
      <c r="BW372" s="37"/>
      <c r="BX372" s="37"/>
      <c r="BY372" s="37"/>
      <c r="BZ372" s="37"/>
      <c r="CA372" s="37"/>
      <c r="CB372" s="37"/>
      <c r="CC372" s="37"/>
      <c r="CD372" s="37"/>
      <c r="CE372" s="37"/>
      <c r="CF372" s="37"/>
      <c r="CG372" s="37"/>
      <c r="CH372" s="37"/>
      <c r="CI372" s="37"/>
      <c r="CJ372" s="37"/>
      <c r="CO372" s="37"/>
      <c r="DK372" s="37"/>
      <c r="DL372" s="37"/>
      <c r="DM372" s="37"/>
      <c r="DN372" s="37"/>
      <c r="DO372" s="37"/>
      <c r="DP372" s="37"/>
      <c r="DQ372" s="37"/>
      <c r="DR372" s="37"/>
      <c r="DS372" s="37"/>
      <c r="DT372" s="37"/>
      <c r="DU372" s="37"/>
      <c r="DV372" s="37"/>
      <c r="DW372" s="37"/>
      <c r="DX372" s="37"/>
      <c r="DY372" s="37"/>
      <c r="DZ372" s="37"/>
    </row>
    <row r="373" spans="1:130" ht="12.75" hidden="1" customHeight="1" outlineLevel="1">
      <c r="A373" s="35" t="s">
        <v>289</v>
      </c>
      <c r="B373" s="307"/>
      <c r="C373" s="307"/>
      <c r="D373" s="307"/>
      <c r="E373" s="307"/>
      <c r="F373" s="307"/>
      <c r="G373" s="307"/>
      <c r="H373" s="307"/>
      <c r="I373" s="307"/>
      <c r="J373" s="307"/>
      <c r="K373" s="307">
        <f t="shared" si="314"/>
        <v>0.11085766423357664</v>
      </c>
      <c r="L373" s="307">
        <f t="shared" si="314"/>
        <v>8.4451324389404892E-2</v>
      </c>
      <c r="M373" s="307">
        <f t="shared" si="314"/>
        <v>8.8499550763701709E-2</v>
      </c>
      <c r="N373" s="35"/>
      <c r="O373" s="35"/>
      <c r="P373" s="35"/>
      <c r="Q373" s="35"/>
      <c r="R373" s="35"/>
      <c r="S373" s="35"/>
      <c r="T373" s="35"/>
      <c r="U373" s="35"/>
      <c r="V373" s="35"/>
      <c r="W373" s="35"/>
      <c r="X373" s="35"/>
      <c r="Y373" s="35"/>
      <c r="Z373" s="35"/>
      <c r="AA373" s="35"/>
      <c r="AB373" s="42"/>
      <c r="AC373" s="42"/>
      <c r="AD373" s="42"/>
      <c r="AE373" s="42"/>
      <c r="AF373" s="42"/>
      <c r="AG373" s="42"/>
      <c r="AH373" s="42"/>
      <c r="AI373" s="42"/>
      <c r="AJ373" s="42"/>
      <c r="AK373" s="42"/>
      <c r="AL373" s="42"/>
      <c r="AM373" s="42"/>
      <c r="AN373" s="42"/>
      <c r="AO373" s="42"/>
      <c r="AP373" s="42"/>
      <c r="AQ373" s="42"/>
      <c r="AR373" s="42"/>
      <c r="AS373" s="42"/>
      <c r="AT373" s="42"/>
      <c r="AU373" s="42"/>
      <c r="AV373" s="42"/>
      <c r="AW373" s="42"/>
      <c r="AX373" s="42"/>
      <c r="AY373" s="42"/>
      <c r="AZ373" s="42"/>
      <c r="BA373" s="42"/>
      <c r="BB373" s="42"/>
      <c r="BC373" s="42"/>
      <c r="BD373" s="42"/>
      <c r="BE373" s="42"/>
      <c r="BF373" s="37"/>
      <c r="BG373" s="37"/>
      <c r="BH373" s="37"/>
      <c r="BI373" s="37"/>
      <c r="BJ373" s="37"/>
      <c r="BK373" s="37"/>
      <c r="BL373" s="37"/>
      <c r="BM373" s="37"/>
      <c r="BN373" s="37"/>
      <c r="BO373" s="37"/>
      <c r="BP373" s="37"/>
      <c r="BQ373" s="37"/>
      <c r="BR373" s="37"/>
      <c r="BS373" s="37"/>
      <c r="BT373" s="37"/>
      <c r="BU373" s="37"/>
      <c r="BV373" s="37"/>
      <c r="BW373" s="37"/>
      <c r="BX373" s="37"/>
      <c r="BY373" s="37"/>
      <c r="BZ373" s="37"/>
      <c r="CA373" s="37"/>
      <c r="CB373" s="37"/>
      <c r="CC373" s="37"/>
      <c r="CD373" s="37"/>
      <c r="CE373" s="37"/>
      <c r="CF373" s="37"/>
      <c r="CG373" s="37"/>
      <c r="CH373" s="37"/>
      <c r="CI373" s="37"/>
      <c r="CJ373" s="37"/>
      <c r="CO373" s="37"/>
      <c r="DK373" s="37"/>
      <c r="DL373" s="37"/>
      <c r="DM373" s="37"/>
      <c r="DN373" s="37"/>
      <c r="DO373" s="37"/>
      <c r="DP373" s="37"/>
      <c r="DQ373" s="37"/>
      <c r="DR373" s="37"/>
      <c r="DS373" s="37"/>
      <c r="DT373" s="37"/>
      <c r="DU373" s="37"/>
      <c r="DV373" s="37"/>
      <c r="DW373" s="37"/>
      <c r="DX373" s="37"/>
      <c r="DY373" s="37"/>
      <c r="DZ373" s="37"/>
    </row>
    <row r="374" spans="1:130" ht="12.75" hidden="1" customHeight="1" outlineLevel="1">
      <c r="A374" s="35" t="s">
        <v>290</v>
      </c>
      <c r="B374" s="307"/>
      <c r="C374" s="307"/>
      <c r="D374" s="307"/>
      <c r="E374" s="307"/>
      <c r="F374" s="307"/>
      <c r="G374" s="307"/>
      <c r="H374" s="307"/>
      <c r="I374" s="307"/>
      <c r="J374" s="307"/>
      <c r="K374" s="307">
        <f t="shared" si="314"/>
        <v>4.2084854014598543E-2</v>
      </c>
      <c r="L374" s="307">
        <f t="shared" si="314"/>
        <v>2.8723770209838323E-2</v>
      </c>
      <c r="M374" s="307">
        <f t="shared" si="314"/>
        <v>2.7178796046720573E-2</v>
      </c>
      <c r="N374" s="35"/>
      <c r="O374" s="35"/>
      <c r="P374" s="35"/>
      <c r="Q374" s="35"/>
      <c r="R374" s="35"/>
      <c r="S374" s="35"/>
      <c r="T374" s="35"/>
      <c r="U374" s="35"/>
      <c r="V374" s="35"/>
      <c r="W374" s="35"/>
      <c r="X374" s="35"/>
      <c r="Y374" s="35"/>
      <c r="Z374" s="35"/>
      <c r="AA374" s="35"/>
      <c r="AB374" s="42"/>
      <c r="AC374" s="42"/>
      <c r="AD374" s="42"/>
      <c r="AE374" s="42"/>
      <c r="AF374" s="42"/>
      <c r="AG374" s="42"/>
      <c r="AH374" s="42"/>
      <c r="AI374" s="42"/>
      <c r="AJ374" s="42"/>
      <c r="AK374" s="42"/>
      <c r="AL374" s="42"/>
      <c r="AM374" s="42"/>
      <c r="AN374" s="42"/>
      <c r="AO374" s="42"/>
      <c r="AP374" s="42"/>
      <c r="AQ374" s="42"/>
      <c r="AR374" s="42"/>
      <c r="AS374" s="42"/>
      <c r="AT374" s="42"/>
      <c r="AU374" s="42"/>
      <c r="AV374" s="42"/>
      <c r="AW374" s="42"/>
      <c r="AX374" s="42"/>
      <c r="AY374" s="42"/>
      <c r="AZ374" s="42"/>
      <c r="BA374" s="42"/>
      <c r="BB374" s="42"/>
      <c r="BC374" s="42"/>
      <c r="BD374" s="42"/>
      <c r="BE374" s="42"/>
      <c r="BF374" s="37"/>
      <c r="BG374" s="37"/>
      <c r="BH374" s="37"/>
      <c r="BI374" s="37"/>
      <c r="BJ374" s="37"/>
      <c r="BK374" s="37"/>
      <c r="BL374" s="37"/>
      <c r="BM374" s="37"/>
      <c r="BN374" s="37"/>
      <c r="BO374" s="37"/>
      <c r="BP374" s="37"/>
      <c r="BQ374" s="37"/>
      <c r="BR374" s="37"/>
      <c r="BS374" s="37"/>
      <c r="BT374" s="37"/>
      <c r="BU374" s="37"/>
      <c r="BV374" s="37"/>
      <c r="BW374" s="37"/>
      <c r="BX374" s="37"/>
      <c r="BY374" s="37"/>
      <c r="BZ374" s="37"/>
      <c r="CA374" s="37"/>
      <c r="CB374" s="37"/>
      <c r="CC374" s="37"/>
      <c r="CD374" s="37"/>
      <c r="CE374" s="37"/>
      <c r="CF374" s="37"/>
      <c r="CG374" s="37"/>
      <c r="CH374" s="37"/>
      <c r="CI374" s="37"/>
      <c r="CJ374" s="37"/>
      <c r="CO374" s="37"/>
      <c r="DK374" s="37"/>
      <c r="DL374" s="37"/>
      <c r="DM374" s="37"/>
      <c r="DN374" s="37"/>
      <c r="DO374" s="37"/>
      <c r="DP374" s="37"/>
      <c r="DQ374" s="37"/>
      <c r="DR374" s="37"/>
      <c r="DS374" s="37"/>
      <c r="DT374" s="37"/>
      <c r="DU374" s="37"/>
      <c r="DV374" s="37"/>
      <c r="DW374" s="37"/>
      <c r="DX374" s="37"/>
      <c r="DY374" s="37"/>
      <c r="DZ374" s="37"/>
    </row>
    <row r="375" spans="1:130" ht="12.75" hidden="1" customHeight="1" outlineLevel="1">
      <c r="A375" s="35" t="s">
        <v>291</v>
      </c>
      <c r="B375" s="307"/>
      <c r="C375" s="307"/>
      <c r="D375" s="307"/>
      <c r="E375" s="307"/>
      <c r="F375" s="307"/>
      <c r="G375" s="307"/>
      <c r="H375" s="307"/>
      <c r="I375" s="307"/>
      <c r="J375" s="307"/>
      <c r="K375" s="307">
        <f t="shared" si="314"/>
        <v>2.9767335766423358E-2</v>
      </c>
      <c r="L375" s="307">
        <f t="shared" si="314"/>
        <v>2.0983832129342964E-2</v>
      </c>
      <c r="M375" s="307">
        <f t="shared" si="314"/>
        <v>2.0215633423180591E-2</v>
      </c>
      <c r="N375" s="35"/>
      <c r="O375" s="35"/>
      <c r="P375" s="35"/>
      <c r="Q375" s="35"/>
      <c r="R375" s="35"/>
      <c r="S375" s="35"/>
      <c r="T375" s="35"/>
      <c r="U375" s="35"/>
      <c r="V375" s="35"/>
      <c r="W375" s="35"/>
      <c r="X375" s="35"/>
      <c r="Y375" s="35"/>
      <c r="Z375" s="35"/>
      <c r="AA375" s="35"/>
      <c r="AB375" s="42"/>
      <c r="AC375" s="42"/>
      <c r="AD375" s="42"/>
      <c r="AE375" s="42"/>
      <c r="AF375" s="42"/>
      <c r="AG375" s="42"/>
      <c r="AH375" s="42"/>
      <c r="AI375" s="42"/>
      <c r="AJ375" s="42"/>
      <c r="AK375" s="42"/>
      <c r="AL375" s="42"/>
      <c r="AM375" s="42"/>
      <c r="AN375" s="42"/>
      <c r="AO375" s="42"/>
      <c r="AP375" s="42"/>
      <c r="AQ375" s="42"/>
      <c r="AR375" s="42"/>
      <c r="AS375" s="42"/>
      <c r="AT375" s="42"/>
      <c r="AU375" s="42"/>
      <c r="AV375" s="42"/>
      <c r="AW375" s="42"/>
      <c r="AX375" s="42"/>
      <c r="AY375" s="42"/>
      <c r="AZ375" s="42"/>
      <c r="BA375" s="42"/>
      <c r="BB375" s="42"/>
      <c r="BC375" s="42"/>
      <c r="BD375" s="42"/>
      <c r="BE375" s="42"/>
      <c r="BF375" s="37"/>
      <c r="BG375" s="37"/>
      <c r="BH375" s="37"/>
      <c r="BI375" s="37"/>
      <c r="BJ375" s="37"/>
      <c r="BK375" s="37"/>
      <c r="BL375" s="37"/>
      <c r="BM375" s="37"/>
      <c r="BN375" s="37"/>
      <c r="BO375" s="37"/>
      <c r="BP375" s="37"/>
      <c r="BQ375" s="37"/>
      <c r="BR375" s="37"/>
      <c r="BS375" s="37"/>
      <c r="BT375" s="37"/>
      <c r="BU375" s="37"/>
      <c r="BV375" s="37"/>
      <c r="BW375" s="37"/>
      <c r="BX375" s="37"/>
      <c r="BY375" s="37"/>
      <c r="BZ375" s="37"/>
      <c r="CA375" s="37"/>
      <c r="CB375" s="37"/>
      <c r="CC375" s="37"/>
      <c r="CD375" s="37"/>
      <c r="CE375" s="37"/>
      <c r="CF375" s="37"/>
      <c r="CG375" s="37"/>
      <c r="CH375" s="37"/>
      <c r="CI375" s="37"/>
      <c r="CJ375" s="37"/>
      <c r="CO375" s="37"/>
      <c r="DK375" s="37"/>
      <c r="DL375" s="37"/>
      <c r="DM375" s="37"/>
      <c r="DN375" s="37"/>
      <c r="DO375" s="37"/>
      <c r="DP375" s="37"/>
      <c r="DQ375" s="37"/>
      <c r="DR375" s="37"/>
      <c r="DS375" s="37"/>
      <c r="DT375" s="37"/>
      <c r="DU375" s="37"/>
      <c r="DV375" s="37"/>
      <c r="DW375" s="37"/>
      <c r="DX375" s="37"/>
      <c r="DY375" s="37"/>
      <c r="DZ375" s="37"/>
    </row>
    <row r="376" spans="1:130" ht="12.75" hidden="1" customHeight="1" outlineLevel="1">
      <c r="A376" s="35" t="s">
        <v>189</v>
      </c>
      <c r="B376" s="308"/>
      <c r="C376" s="308"/>
      <c r="D376" s="308"/>
      <c r="E376" s="308"/>
      <c r="F376" s="308"/>
      <c r="G376" s="308"/>
      <c r="H376" s="308"/>
      <c r="I376" s="308"/>
      <c r="J376" s="308"/>
      <c r="K376" s="308">
        <f t="shared" si="314"/>
        <v>1</v>
      </c>
      <c r="L376" s="308">
        <f t="shared" si="314"/>
        <v>1</v>
      </c>
      <c r="M376" s="308">
        <f t="shared" si="314"/>
        <v>1</v>
      </c>
      <c r="N376" s="35"/>
      <c r="O376" s="35"/>
      <c r="P376" s="35"/>
      <c r="Q376" s="35"/>
      <c r="R376" s="35"/>
      <c r="S376" s="35"/>
      <c r="T376" s="35"/>
      <c r="U376" s="35"/>
      <c r="V376" s="35"/>
      <c r="W376" s="35"/>
      <c r="X376" s="35"/>
      <c r="Y376" s="35"/>
      <c r="Z376" s="35"/>
      <c r="AA376" s="35"/>
      <c r="AB376" s="42"/>
      <c r="AC376" s="42"/>
      <c r="AD376" s="42"/>
      <c r="AE376" s="42"/>
      <c r="AF376" s="42"/>
      <c r="AG376" s="42"/>
      <c r="AH376" s="42"/>
      <c r="AI376" s="42"/>
      <c r="AJ376" s="42"/>
      <c r="AK376" s="42"/>
      <c r="AL376" s="42"/>
      <c r="AM376" s="42"/>
      <c r="AN376" s="42"/>
      <c r="AO376" s="42"/>
      <c r="AP376" s="42"/>
      <c r="AQ376" s="42"/>
      <c r="AR376" s="42"/>
      <c r="AS376" s="42"/>
      <c r="AT376" s="42"/>
      <c r="AU376" s="42"/>
      <c r="AV376" s="42"/>
      <c r="AW376" s="42"/>
      <c r="AX376" s="42"/>
      <c r="AY376" s="42"/>
      <c r="AZ376" s="42"/>
      <c r="BA376" s="42"/>
      <c r="BB376" s="42"/>
      <c r="BC376" s="42"/>
      <c r="BD376" s="42"/>
      <c r="BE376" s="42"/>
      <c r="BF376" s="37"/>
      <c r="BG376" s="37"/>
      <c r="BH376" s="37"/>
      <c r="BI376" s="37"/>
      <c r="BJ376" s="37"/>
      <c r="BK376" s="37"/>
      <c r="BL376" s="37"/>
      <c r="BM376" s="37"/>
      <c r="BN376" s="37"/>
      <c r="BO376" s="37"/>
      <c r="BP376" s="37"/>
      <c r="BQ376" s="37"/>
      <c r="BR376" s="37"/>
      <c r="BS376" s="37"/>
      <c r="BT376" s="37"/>
      <c r="BU376" s="37"/>
      <c r="BV376" s="37"/>
      <c r="BW376" s="37"/>
      <c r="BX376" s="37"/>
      <c r="BY376" s="37"/>
      <c r="BZ376" s="37"/>
      <c r="CA376" s="37"/>
      <c r="CB376" s="37"/>
      <c r="CC376" s="37"/>
      <c r="CD376" s="37"/>
      <c r="CE376" s="37"/>
      <c r="CF376" s="37"/>
      <c r="CG376" s="37"/>
      <c r="CH376" s="37"/>
      <c r="CI376" s="37"/>
      <c r="CJ376" s="37"/>
      <c r="CO376" s="37"/>
      <c r="DK376" s="37"/>
      <c r="DL376" s="37"/>
      <c r="DM376" s="37"/>
      <c r="DN376" s="37"/>
      <c r="DO376" s="37"/>
      <c r="DP376" s="37"/>
      <c r="DQ376" s="37"/>
      <c r="DR376" s="37"/>
      <c r="DS376" s="37"/>
      <c r="DT376" s="37"/>
      <c r="DU376" s="37"/>
      <c r="DV376" s="37"/>
      <c r="DW376" s="37"/>
      <c r="DX376" s="37"/>
      <c r="DY376" s="37"/>
      <c r="DZ376" s="37"/>
    </row>
    <row r="377" spans="1:130" ht="12.75" hidden="1" customHeight="1" outlineLevel="1">
      <c r="A377" s="35"/>
      <c r="B377" s="309"/>
      <c r="C377" s="309"/>
      <c r="D377" s="309"/>
      <c r="E377" s="309"/>
      <c r="F377" s="309"/>
      <c r="G377" s="309"/>
      <c r="H377" s="309"/>
      <c r="I377" s="309"/>
      <c r="J377" s="309"/>
      <c r="K377" s="309"/>
      <c r="L377" s="309"/>
      <c r="M377" s="309"/>
      <c r="N377" s="35"/>
      <c r="O377" s="35"/>
      <c r="P377" s="35"/>
      <c r="Q377" s="35"/>
      <c r="R377" s="35"/>
      <c r="S377" s="35"/>
      <c r="T377" s="35"/>
      <c r="U377" s="35"/>
      <c r="V377" s="35"/>
      <c r="W377" s="35"/>
      <c r="X377" s="35"/>
      <c r="Y377" s="35"/>
      <c r="Z377" s="35"/>
      <c r="AA377" s="35"/>
      <c r="AB377" s="42"/>
      <c r="AC377" s="42"/>
      <c r="AD377" s="42"/>
      <c r="AE377" s="42"/>
      <c r="AF377" s="42"/>
      <c r="AG377" s="42"/>
      <c r="AH377" s="42"/>
      <c r="AI377" s="42"/>
      <c r="AJ377" s="42"/>
      <c r="AK377" s="42"/>
      <c r="AL377" s="42"/>
      <c r="AM377" s="42"/>
      <c r="AN377" s="42"/>
      <c r="AO377" s="42"/>
      <c r="AP377" s="42"/>
      <c r="AQ377" s="42"/>
      <c r="AR377" s="42"/>
      <c r="AS377" s="42"/>
      <c r="AT377" s="42"/>
      <c r="AU377" s="42"/>
      <c r="AV377" s="42"/>
      <c r="AW377" s="42"/>
      <c r="AX377" s="42"/>
      <c r="AY377" s="42"/>
      <c r="AZ377" s="42"/>
      <c r="BA377" s="42"/>
      <c r="BB377" s="42"/>
      <c r="BC377" s="42"/>
      <c r="BD377" s="42"/>
      <c r="BE377" s="42"/>
      <c r="BF377" s="37"/>
      <c r="BG377" s="37"/>
      <c r="BH377" s="37"/>
      <c r="BI377" s="37"/>
      <c r="BJ377" s="37"/>
      <c r="BK377" s="37"/>
      <c r="BL377" s="37"/>
      <c r="BM377" s="37"/>
      <c r="BN377" s="37"/>
      <c r="BO377" s="37"/>
      <c r="BP377" s="37"/>
      <c r="BQ377" s="37"/>
      <c r="BR377" s="37"/>
      <c r="BS377" s="37"/>
      <c r="BT377" s="37"/>
      <c r="BU377" s="37"/>
      <c r="BV377" s="37"/>
      <c r="BW377" s="37"/>
      <c r="BX377" s="37"/>
      <c r="BY377" s="37"/>
      <c r="BZ377" s="37"/>
      <c r="CA377" s="37"/>
      <c r="CB377" s="37"/>
      <c r="CC377" s="37"/>
      <c r="CD377" s="37"/>
      <c r="CE377" s="37"/>
      <c r="CF377" s="37"/>
      <c r="CG377" s="37"/>
      <c r="CH377" s="37"/>
      <c r="CI377" s="37"/>
      <c r="CJ377" s="37"/>
      <c r="CO377" s="37"/>
      <c r="DK377" s="37"/>
      <c r="DL377" s="37"/>
      <c r="DM377" s="37"/>
      <c r="DN377" s="37"/>
      <c r="DO377" s="37"/>
      <c r="DP377" s="37"/>
      <c r="DQ377" s="37"/>
      <c r="DR377" s="37"/>
      <c r="DS377" s="37"/>
      <c r="DT377" s="37"/>
      <c r="DU377" s="37"/>
      <c r="DV377" s="37"/>
      <c r="DW377" s="37"/>
      <c r="DX377" s="37"/>
      <c r="DY377" s="37"/>
      <c r="DZ377" s="37"/>
    </row>
    <row r="378" spans="1:130" ht="12.75" hidden="1" customHeight="1" outlineLevel="1">
      <c r="A378" s="296" t="s">
        <v>296</v>
      </c>
      <c r="B378" s="309"/>
      <c r="C378" s="309"/>
      <c r="D378" s="309"/>
      <c r="E378" s="309"/>
      <c r="F378" s="309"/>
      <c r="G378" s="309"/>
      <c r="H378" s="309"/>
      <c r="I378" s="309"/>
      <c r="J378" s="309"/>
      <c r="K378" s="309"/>
      <c r="L378" s="309"/>
      <c r="M378" s="309"/>
      <c r="N378" s="35"/>
      <c r="O378" s="35"/>
      <c r="P378" s="35"/>
      <c r="Q378" s="35"/>
      <c r="R378" s="35"/>
      <c r="S378" s="35"/>
      <c r="T378" s="35"/>
      <c r="U378" s="35"/>
      <c r="V378" s="35"/>
      <c r="W378" s="35"/>
      <c r="X378" s="35"/>
      <c r="Y378" s="35"/>
      <c r="Z378" s="35"/>
      <c r="AA378" s="35"/>
      <c r="AB378" s="297"/>
      <c r="AC378" s="42"/>
      <c r="AD378" s="42"/>
      <c r="AE378" s="42"/>
      <c r="AF378" s="42"/>
      <c r="AG378" s="42"/>
      <c r="AH378" s="42"/>
      <c r="AI378" s="42"/>
      <c r="AJ378" s="42"/>
      <c r="AK378" s="42"/>
      <c r="AL378" s="42"/>
      <c r="AM378" s="42"/>
      <c r="AN378" s="42"/>
      <c r="AO378" s="42"/>
      <c r="AP378" s="42"/>
      <c r="AQ378" s="42"/>
      <c r="AR378" s="42"/>
      <c r="AS378" s="42"/>
      <c r="AT378" s="42"/>
      <c r="AU378" s="42"/>
      <c r="AV378" s="42"/>
      <c r="AW378" s="42"/>
      <c r="AX378" s="42"/>
      <c r="AY378" s="42"/>
      <c r="AZ378" s="42"/>
      <c r="BA378" s="42"/>
      <c r="BB378" s="42"/>
      <c r="BC378" s="42"/>
      <c r="BD378" s="42"/>
      <c r="BE378" s="42"/>
      <c r="BF378" s="37"/>
      <c r="BG378" s="37"/>
      <c r="BH378" s="37"/>
      <c r="BI378" s="37"/>
      <c r="BJ378" s="37"/>
      <c r="BK378" s="37"/>
      <c r="BL378" s="37"/>
      <c r="BM378" s="37"/>
      <c r="BN378" s="37"/>
      <c r="BO378" s="37"/>
      <c r="BP378" s="37"/>
      <c r="BQ378" s="37"/>
      <c r="BR378" s="37"/>
      <c r="BS378" s="37"/>
      <c r="BT378" s="37"/>
      <c r="BU378" s="37"/>
      <c r="BV378" s="37"/>
      <c r="BW378" s="37"/>
      <c r="BX378" s="37"/>
      <c r="BY378" s="37"/>
      <c r="BZ378" s="37"/>
      <c r="CA378" s="37"/>
      <c r="CB378" s="37"/>
      <c r="CC378" s="37"/>
      <c r="CD378" s="37"/>
      <c r="CE378" s="37"/>
      <c r="CF378" s="37"/>
      <c r="CG378" s="37"/>
      <c r="CH378" s="37"/>
      <c r="CI378" s="37"/>
      <c r="CJ378" s="37"/>
      <c r="CO378" s="37"/>
      <c r="DK378" s="37"/>
      <c r="DL378" s="37"/>
      <c r="DM378" s="37"/>
      <c r="DN378" s="37"/>
      <c r="DO378" s="37"/>
      <c r="DP378" s="37"/>
      <c r="DQ378" s="37"/>
      <c r="DR378" s="37"/>
      <c r="DS378" s="37"/>
      <c r="DT378" s="37"/>
      <c r="DU378" s="37"/>
      <c r="DV378" s="37"/>
      <c r="DW378" s="37"/>
      <c r="DX378" s="37"/>
      <c r="DY378" s="37"/>
      <c r="DZ378" s="37"/>
    </row>
    <row r="379" spans="1:130" ht="12.75" hidden="1" customHeight="1" outlineLevel="1">
      <c r="A379" s="35" t="s">
        <v>63</v>
      </c>
      <c r="B379" s="307"/>
      <c r="C379" s="307"/>
      <c r="D379" s="307"/>
      <c r="E379" s="307"/>
      <c r="F379" s="307"/>
      <c r="G379" s="307"/>
      <c r="H379" s="307"/>
      <c r="I379" s="307"/>
      <c r="J379" s="307"/>
      <c r="K379" s="307">
        <f t="shared" ref="K379:M385" si="315">+K335/K$341</f>
        <v>0.30744092508798393</v>
      </c>
      <c r="L379" s="307">
        <f t="shared" si="315"/>
        <v>0.20612649673106589</v>
      </c>
      <c r="M379" s="307">
        <f t="shared" si="315"/>
        <v>0.2127551987864231</v>
      </c>
      <c r="N379" s="35"/>
      <c r="O379" s="35"/>
      <c r="P379" s="35"/>
      <c r="Q379" s="35"/>
      <c r="R379" s="35"/>
      <c r="S379" s="35"/>
      <c r="T379" s="35"/>
      <c r="U379" s="35"/>
      <c r="V379" s="35"/>
      <c r="W379" s="35"/>
      <c r="X379" s="35"/>
      <c r="Y379" s="35"/>
      <c r="Z379" s="35"/>
      <c r="AA379" s="35"/>
      <c r="AB379" s="42"/>
      <c r="AC379" s="42"/>
      <c r="AD379" s="42"/>
      <c r="AE379" s="42"/>
      <c r="AF379" s="42"/>
      <c r="AG379" s="42"/>
      <c r="AH379" s="42"/>
      <c r="AI379" s="42"/>
      <c r="AJ379" s="42"/>
      <c r="AK379" s="42"/>
      <c r="AL379" s="42"/>
      <c r="AM379" s="42"/>
      <c r="AN379" s="42"/>
      <c r="AO379" s="42"/>
      <c r="AP379" s="42"/>
      <c r="AQ379" s="42"/>
      <c r="AR379" s="42"/>
      <c r="AS379" s="42"/>
      <c r="AT379" s="42"/>
      <c r="AU379" s="42"/>
      <c r="AV379" s="42"/>
      <c r="AW379" s="42"/>
      <c r="AX379" s="42"/>
      <c r="AY379" s="42"/>
      <c r="AZ379" s="42"/>
      <c r="BA379" s="42"/>
      <c r="BB379" s="42"/>
      <c r="BC379" s="42"/>
      <c r="BD379" s="42"/>
      <c r="BE379" s="42"/>
      <c r="BF379" s="37"/>
      <c r="BG379" s="37"/>
      <c r="BH379" s="37"/>
      <c r="BI379" s="37"/>
      <c r="BJ379" s="37"/>
      <c r="BK379" s="37"/>
      <c r="BL379" s="37"/>
      <c r="BM379" s="37"/>
      <c r="BN379" s="37"/>
      <c r="BO379" s="37"/>
      <c r="BP379" s="37"/>
      <c r="BQ379" s="37"/>
      <c r="BR379" s="37"/>
      <c r="BS379" s="37"/>
      <c r="BT379" s="37"/>
      <c r="BU379" s="37"/>
      <c r="BV379" s="37"/>
      <c r="BW379" s="37"/>
      <c r="BX379" s="37"/>
      <c r="BY379" s="37"/>
      <c r="BZ379" s="37"/>
      <c r="CA379" s="37"/>
      <c r="CB379" s="37"/>
      <c r="CC379" s="37"/>
      <c r="CD379" s="37"/>
      <c r="CE379" s="37"/>
      <c r="CF379" s="37"/>
      <c r="CG379" s="37"/>
      <c r="CH379" s="37"/>
      <c r="CI379" s="37"/>
      <c r="CJ379" s="37"/>
      <c r="CO379" s="37"/>
      <c r="DK379" s="37"/>
      <c r="DL379" s="37"/>
      <c r="DM379" s="37"/>
      <c r="DN379" s="37"/>
      <c r="DO379" s="37"/>
      <c r="DP379" s="37"/>
      <c r="DQ379" s="37"/>
      <c r="DR379" s="37"/>
      <c r="DS379" s="37"/>
      <c r="DT379" s="37"/>
      <c r="DU379" s="37"/>
      <c r="DV379" s="37"/>
      <c r="DW379" s="37"/>
      <c r="DX379" s="37"/>
      <c r="DY379" s="37"/>
      <c r="DZ379" s="37"/>
    </row>
    <row r="380" spans="1:130" ht="12.75" hidden="1" customHeight="1" outlineLevel="1">
      <c r="A380" s="35" t="s">
        <v>288</v>
      </c>
      <c r="B380" s="307"/>
      <c r="C380" s="307"/>
      <c r="D380" s="307"/>
      <c r="E380" s="307"/>
      <c r="F380" s="307"/>
      <c r="G380" s="307"/>
      <c r="H380" s="307"/>
      <c r="I380" s="307"/>
      <c r="J380" s="307"/>
      <c r="K380" s="307">
        <f t="shared" si="315"/>
        <v>0.23768225238813473</v>
      </c>
      <c r="L380" s="307">
        <f t="shared" si="315"/>
        <v>0.48967898332476312</v>
      </c>
      <c r="M380" s="307">
        <f t="shared" si="315"/>
        <v>0.49137222678718162</v>
      </c>
      <c r="N380" s="35"/>
      <c r="O380" s="35"/>
      <c r="P380" s="35"/>
      <c r="Q380" s="35"/>
      <c r="R380" s="35"/>
      <c r="S380" s="35"/>
      <c r="T380" s="35"/>
      <c r="U380" s="35"/>
      <c r="V380" s="35"/>
      <c r="W380" s="35"/>
      <c r="X380" s="35"/>
      <c r="Y380" s="35"/>
      <c r="Z380" s="35"/>
      <c r="AA380" s="35"/>
      <c r="AB380" s="42"/>
      <c r="AC380" s="42"/>
      <c r="AD380" s="42"/>
      <c r="AE380" s="42"/>
      <c r="AF380" s="42"/>
      <c r="AG380" s="42"/>
      <c r="AH380" s="42"/>
      <c r="AI380" s="42"/>
      <c r="AJ380" s="42"/>
      <c r="AK380" s="42"/>
      <c r="AL380" s="42"/>
      <c r="AM380" s="42"/>
      <c r="AN380" s="42"/>
      <c r="AO380" s="42"/>
      <c r="AP380" s="42"/>
      <c r="AQ380" s="42"/>
      <c r="AR380" s="42"/>
      <c r="AS380" s="42"/>
      <c r="AT380" s="42"/>
      <c r="AU380" s="42"/>
      <c r="AV380" s="42"/>
      <c r="AW380" s="42"/>
      <c r="AX380" s="42"/>
      <c r="AY380" s="42"/>
      <c r="AZ380" s="42"/>
      <c r="BA380" s="42"/>
      <c r="BB380" s="42"/>
      <c r="BC380" s="42"/>
      <c r="BD380" s="42"/>
      <c r="BE380" s="42"/>
      <c r="BF380" s="37"/>
      <c r="BG380" s="37"/>
      <c r="BH380" s="37"/>
      <c r="BI380" s="37"/>
      <c r="BJ380" s="37"/>
      <c r="BK380" s="37"/>
      <c r="BL380" s="37"/>
      <c r="BM380" s="37"/>
      <c r="BN380" s="37"/>
      <c r="BO380" s="37"/>
      <c r="BP380" s="37"/>
      <c r="BQ380" s="37"/>
      <c r="BR380" s="37"/>
      <c r="BS380" s="37"/>
      <c r="BT380" s="37"/>
      <c r="BU380" s="37"/>
      <c r="BV380" s="37"/>
      <c r="BW380" s="37"/>
      <c r="BX380" s="37"/>
      <c r="BY380" s="37"/>
      <c r="BZ380" s="37"/>
      <c r="CA380" s="37"/>
      <c r="CB380" s="37"/>
      <c r="CC380" s="37"/>
      <c r="CD380" s="37"/>
      <c r="CE380" s="37"/>
      <c r="CF380" s="37"/>
      <c r="CG380" s="37"/>
      <c r="CH380" s="37"/>
      <c r="CI380" s="37"/>
      <c r="CJ380" s="37"/>
      <c r="CO380" s="37"/>
      <c r="DK380" s="37"/>
      <c r="DL380" s="37"/>
      <c r="DM380" s="37"/>
      <c r="DN380" s="37"/>
      <c r="DO380" s="37"/>
      <c r="DP380" s="37"/>
      <c r="DQ380" s="37"/>
      <c r="DR380" s="37"/>
      <c r="DS380" s="37"/>
      <c r="DT380" s="37"/>
      <c r="DU380" s="37"/>
      <c r="DV380" s="37"/>
      <c r="DW380" s="37"/>
      <c r="DX380" s="37"/>
      <c r="DY380" s="37"/>
      <c r="DZ380" s="37"/>
    </row>
    <row r="381" spans="1:130" ht="12.75" hidden="1" customHeight="1" outlineLevel="1">
      <c r="A381" s="35" t="s">
        <v>66</v>
      </c>
      <c r="B381" s="307"/>
      <c r="C381" s="307"/>
      <c r="D381" s="307"/>
      <c r="E381" s="307"/>
      <c r="F381" s="307"/>
      <c r="G381" s="307"/>
      <c r="H381" s="307"/>
      <c r="I381" s="307"/>
      <c r="J381" s="307"/>
      <c r="K381" s="307">
        <f t="shared" si="315"/>
        <v>0.2631975867269985</v>
      </c>
      <c r="L381" s="307">
        <f t="shared" si="315"/>
        <v>0.1862925145081907</v>
      </c>
      <c r="M381" s="307">
        <f t="shared" si="315"/>
        <v>0.18437519752228052</v>
      </c>
      <c r="N381" s="35"/>
      <c r="O381" s="35"/>
      <c r="P381" s="35"/>
      <c r="Q381" s="35"/>
      <c r="R381" s="35"/>
      <c r="S381" s="35"/>
      <c r="T381" s="35"/>
      <c r="U381" s="35"/>
      <c r="V381" s="35"/>
      <c r="W381" s="35"/>
      <c r="X381" s="35"/>
      <c r="Y381" s="35"/>
      <c r="Z381" s="35"/>
      <c r="AA381" s="35"/>
      <c r="AB381" s="42"/>
      <c r="AC381" s="42"/>
      <c r="AD381" s="42"/>
      <c r="AE381" s="42"/>
      <c r="AF381" s="42"/>
      <c r="AG381" s="42"/>
      <c r="AH381" s="42"/>
      <c r="AI381" s="42"/>
      <c r="AJ381" s="42"/>
      <c r="AK381" s="42"/>
      <c r="AL381" s="42"/>
      <c r="AM381" s="42"/>
      <c r="AN381" s="42"/>
      <c r="AO381" s="42"/>
      <c r="AP381" s="42"/>
      <c r="AQ381" s="42"/>
      <c r="AR381" s="42"/>
      <c r="AS381" s="42"/>
      <c r="AT381" s="42"/>
      <c r="AU381" s="42"/>
      <c r="AV381" s="42"/>
      <c r="AW381" s="42"/>
      <c r="AX381" s="42"/>
      <c r="AY381" s="42"/>
      <c r="AZ381" s="42"/>
      <c r="BA381" s="42"/>
      <c r="BB381" s="42"/>
      <c r="BC381" s="42"/>
      <c r="BD381" s="42"/>
      <c r="BE381" s="42"/>
      <c r="BF381" s="37"/>
      <c r="BG381" s="37"/>
      <c r="BH381" s="37"/>
      <c r="BI381" s="37"/>
      <c r="BJ381" s="37"/>
      <c r="BK381" s="37"/>
      <c r="BL381" s="37"/>
      <c r="BM381" s="37"/>
      <c r="BN381" s="37"/>
      <c r="BO381" s="37"/>
      <c r="BP381" s="37"/>
      <c r="BQ381" s="37"/>
      <c r="BR381" s="37"/>
      <c r="BS381" s="37"/>
      <c r="BT381" s="37"/>
      <c r="BU381" s="37"/>
      <c r="BV381" s="37"/>
      <c r="BW381" s="37"/>
      <c r="BX381" s="37"/>
      <c r="BY381" s="37"/>
      <c r="BZ381" s="37"/>
      <c r="CA381" s="37"/>
      <c r="CB381" s="37"/>
      <c r="CC381" s="37"/>
      <c r="CD381" s="37"/>
      <c r="CE381" s="37"/>
      <c r="CF381" s="37"/>
      <c r="CG381" s="37"/>
      <c r="CH381" s="37"/>
      <c r="CI381" s="37"/>
      <c r="CJ381" s="37"/>
      <c r="CO381" s="37"/>
      <c r="DK381" s="37"/>
      <c r="DL381" s="37"/>
      <c r="DM381" s="37"/>
      <c r="DN381" s="37"/>
      <c r="DO381" s="37"/>
      <c r="DP381" s="37"/>
      <c r="DQ381" s="37"/>
      <c r="DR381" s="37"/>
      <c r="DS381" s="37"/>
      <c r="DT381" s="37"/>
      <c r="DU381" s="37"/>
      <c r="DV381" s="37"/>
      <c r="DW381" s="37"/>
      <c r="DX381" s="37"/>
      <c r="DY381" s="37"/>
      <c r="DZ381" s="37"/>
    </row>
    <row r="382" spans="1:130" ht="12.75" hidden="1" customHeight="1" outlineLevel="1">
      <c r="A382" s="35" t="s">
        <v>289</v>
      </c>
      <c r="B382" s="307"/>
      <c r="C382" s="307"/>
      <c r="D382" s="307"/>
      <c r="E382" s="307"/>
      <c r="F382" s="307"/>
      <c r="G382" s="307"/>
      <c r="H382" s="307"/>
      <c r="I382" s="307"/>
      <c r="J382" s="307"/>
      <c r="K382" s="307">
        <f t="shared" si="315"/>
        <v>0.10608345902463549</v>
      </c>
      <c r="L382" s="307">
        <f t="shared" si="315"/>
        <v>6.6407110849922873E-2</v>
      </c>
      <c r="M382" s="307">
        <f t="shared" si="315"/>
        <v>6.2891094115416213E-2</v>
      </c>
      <c r="N382" s="35"/>
      <c r="O382" s="35"/>
      <c r="P382" s="35"/>
      <c r="Q382" s="35"/>
      <c r="R382" s="35"/>
      <c r="S382" s="35"/>
      <c r="T382" s="35"/>
      <c r="U382" s="35"/>
      <c r="V382" s="35"/>
      <c r="W382" s="35"/>
      <c r="X382" s="35"/>
      <c r="Y382" s="35"/>
      <c r="Z382" s="35"/>
      <c r="AA382" s="35"/>
      <c r="AB382" s="42"/>
      <c r="AC382" s="42"/>
      <c r="AD382" s="42"/>
      <c r="AE382" s="42"/>
      <c r="AF382" s="42"/>
      <c r="AG382" s="42"/>
      <c r="AH382" s="42"/>
      <c r="AI382" s="42"/>
      <c r="AJ382" s="42"/>
      <c r="AK382" s="42"/>
      <c r="AL382" s="42"/>
      <c r="AM382" s="42"/>
      <c r="AN382" s="42"/>
      <c r="AO382" s="42"/>
      <c r="AP382" s="42"/>
      <c r="AQ382" s="42"/>
      <c r="AR382" s="42"/>
      <c r="AS382" s="42"/>
      <c r="AT382" s="42"/>
      <c r="AU382" s="42"/>
      <c r="AV382" s="42"/>
      <c r="AW382" s="42"/>
      <c r="AX382" s="42"/>
      <c r="AY382" s="42"/>
      <c r="AZ382" s="42"/>
      <c r="BA382" s="42"/>
      <c r="BB382" s="42"/>
      <c r="BC382" s="42"/>
      <c r="BD382" s="42"/>
      <c r="BE382" s="42"/>
      <c r="BF382" s="37"/>
      <c r="BG382" s="37"/>
      <c r="BH382" s="37"/>
      <c r="BI382" s="37"/>
      <c r="BJ382" s="37"/>
      <c r="BK382" s="37"/>
      <c r="BL382" s="37"/>
      <c r="BM382" s="37"/>
      <c r="BN382" s="37"/>
      <c r="BO382" s="37"/>
      <c r="BP382" s="37"/>
      <c r="BQ382" s="37"/>
      <c r="BR382" s="37"/>
      <c r="BS382" s="37"/>
      <c r="BT382" s="37"/>
      <c r="BU382" s="37"/>
      <c r="BV382" s="37"/>
      <c r="BW382" s="37"/>
      <c r="BX382" s="37"/>
      <c r="BY382" s="37"/>
      <c r="BZ382" s="37"/>
      <c r="CA382" s="37"/>
      <c r="CB382" s="37"/>
      <c r="CC382" s="37"/>
      <c r="CD382" s="37"/>
      <c r="CE382" s="37"/>
      <c r="CF382" s="37"/>
      <c r="CG382" s="37"/>
      <c r="CH382" s="37"/>
      <c r="CI382" s="37"/>
      <c r="CJ382" s="37"/>
      <c r="CO382" s="37"/>
      <c r="DK382" s="37"/>
      <c r="DL382" s="37"/>
      <c r="DM382" s="37"/>
      <c r="DN382" s="37"/>
      <c r="DO382" s="37"/>
      <c r="DP382" s="37"/>
      <c r="DQ382" s="37"/>
      <c r="DR382" s="37"/>
      <c r="DS382" s="37"/>
      <c r="DT382" s="37"/>
      <c r="DU382" s="37"/>
      <c r="DV382" s="37"/>
      <c r="DW382" s="37"/>
      <c r="DX382" s="37"/>
      <c r="DY382" s="37"/>
      <c r="DZ382" s="37"/>
    </row>
    <row r="383" spans="1:130" ht="12.75" hidden="1" customHeight="1" outlineLevel="1">
      <c r="A383" s="35" t="s">
        <v>290</v>
      </c>
      <c r="B383" s="307"/>
      <c r="C383" s="307"/>
      <c r="D383" s="307"/>
      <c r="E383" s="307"/>
      <c r="F383" s="307"/>
      <c r="G383" s="307"/>
      <c r="H383" s="307"/>
      <c r="I383" s="307"/>
      <c r="J383" s="307"/>
      <c r="K383" s="307">
        <f t="shared" si="315"/>
        <v>7.1141277023629962E-2</v>
      </c>
      <c r="L383" s="307">
        <f t="shared" si="315"/>
        <v>4.2532872989054581E-2</v>
      </c>
      <c r="M383" s="307">
        <f t="shared" si="315"/>
        <v>4.0578977308640414E-2</v>
      </c>
      <c r="N383" s="35"/>
      <c r="O383" s="35"/>
      <c r="P383" s="35"/>
      <c r="Q383" s="35"/>
      <c r="R383" s="35"/>
      <c r="S383" s="35"/>
      <c r="T383" s="35"/>
      <c r="U383" s="35"/>
      <c r="V383" s="35"/>
      <c r="W383" s="35"/>
      <c r="X383" s="35"/>
      <c r="Y383" s="35"/>
      <c r="Z383" s="35"/>
      <c r="AA383" s="35"/>
      <c r="AB383" s="42"/>
      <c r="AC383" s="42"/>
      <c r="AD383" s="42"/>
      <c r="AE383" s="42"/>
      <c r="AF383" s="42"/>
      <c r="AG383" s="42"/>
      <c r="AH383" s="42"/>
      <c r="AI383" s="42"/>
      <c r="AJ383" s="42"/>
      <c r="AK383" s="42"/>
      <c r="AL383" s="42"/>
      <c r="AM383" s="42"/>
      <c r="AN383" s="42"/>
      <c r="AO383" s="42"/>
      <c r="AP383" s="42"/>
      <c r="AQ383" s="42"/>
      <c r="AR383" s="42"/>
      <c r="AS383" s="42"/>
      <c r="AT383" s="42"/>
      <c r="AU383" s="42"/>
      <c r="AV383" s="42"/>
      <c r="AW383" s="42"/>
      <c r="AX383" s="42"/>
      <c r="AY383" s="42"/>
      <c r="AZ383" s="42"/>
      <c r="BA383" s="42"/>
      <c r="BB383" s="42"/>
      <c r="BC383" s="42"/>
      <c r="BD383" s="42"/>
      <c r="BE383" s="42"/>
      <c r="BF383" s="37"/>
      <c r="BG383" s="37"/>
      <c r="BH383" s="37"/>
      <c r="BI383" s="37"/>
      <c r="BJ383" s="37"/>
      <c r="BK383" s="37"/>
      <c r="BL383" s="37"/>
      <c r="BM383" s="37"/>
      <c r="BN383" s="37"/>
      <c r="BO383" s="37"/>
      <c r="BP383" s="37"/>
      <c r="BQ383" s="37"/>
      <c r="BR383" s="37"/>
      <c r="BS383" s="37"/>
      <c r="BT383" s="37"/>
      <c r="BU383" s="37"/>
      <c r="BV383" s="37"/>
      <c r="BW383" s="37"/>
      <c r="BX383" s="37"/>
      <c r="BY383" s="37"/>
      <c r="BZ383" s="37"/>
      <c r="CA383" s="37"/>
      <c r="CB383" s="37"/>
      <c r="CC383" s="37"/>
      <c r="CD383" s="37"/>
      <c r="CE383" s="37"/>
      <c r="CF383" s="37"/>
      <c r="CG383" s="37"/>
      <c r="CH383" s="37"/>
      <c r="CI383" s="37"/>
      <c r="CJ383" s="37"/>
      <c r="CO383" s="37"/>
      <c r="DK383" s="37"/>
      <c r="DL383" s="37"/>
      <c r="DM383" s="37"/>
      <c r="DN383" s="37"/>
      <c r="DO383" s="37"/>
      <c r="DP383" s="37"/>
      <c r="DQ383" s="37"/>
      <c r="DR383" s="37"/>
      <c r="DS383" s="37"/>
      <c r="DT383" s="37"/>
      <c r="DU383" s="37"/>
      <c r="DV383" s="37"/>
      <c r="DW383" s="37"/>
      <c r="DX383" s="37"/>
      <c r="DY383" s="37"/>
      <c r="DZ383" s="37"/>
    </row>
    <row r="384" spans="1:130" ht="12.75" hidden="1" customHeight="1" outlineLevel="1">
      <c r="A384" s="35" t="s">
        <v>291</v>
      </c>
      <c r="B384" s="307"/>
      <c r="C384" s="307"/>
      <c r="D384" s="307"/>
      <c r="E384" s="307"/>
      <c r="F384" s="307"/>
      <c r="G384" s="307"/>
      <c r="H384" s="307"/>
      <c r="I384" s="307"/>
      <c r="J384" s="307"/>
      <c r="K384" s="307">
        <f t="shared" si="315"/>
        <v>1.4454499748617396E-2</v>
      </c>
      <c r="L384" s="307">
        <f t="shared" si="315"/>
        <v>8.9620215970028644E-3</v>
      </c>
      <c r="M384" s="307">
        <f t="shared" si="315"/>
        <v>8.0273054800581514E-3</v>
      </c>
      <c r="N384" s="35"/>
      <c r="O384" s="35"/>
      <c r="P384" s="35"/>
      <c r="Q384" s="35"/>
      <c r="R384" s="35"/>
      <c r="S384" s="35"/>
      <c r="T384" s="35"/>
      <c r="U384" s="35"/>
      <c r="V384" s="35"/>
      <c r="W384" s="35"/>
      <c r="X384" s="35"/>
      <c r="Y384" s="35"/>
      <c r="Z384" s="35"/>
      <c r="AA384" s="35"/>
      <c r="AB384" s="42"/>
      <c r="AC384" s="42"/>
      <c r="AD384" s="42"/>
      <c r="AE384" s="42"/>
      <c r="AF384" s="42"/>
      <c r="AG384" s="42"/>
      <c r="AH384" s="42"/>
      <c r="AI384" s="42"/>
      <c r="AJ384" s="42"/>
      <c r="AK384" s="42"/>
      <c r="AL384" s="42"/>
      <c r="AM384" s="42"/>
      <c r="AN384" s="42"/>
      <c r="AO384" s="42"/>
      <c r="AP384" s="42"/>
      <c r="AQ384" s="42"/>
      <c r="AR384" s="42"/>
      <c r="AS384" s="42"/>
      <c r="AT384" s="42"/>
      <c r="AU384" s="42"/>
      <c r="AV384" s="42"/>
      <c r="AW384" s="42"/>
      <c r="AX384" s="42"/>
      <c r="AY384" s="42"/>
      <c r="AZ384" s="42"/>
      <c r="BA384" s="42"/>
      <c r="BB384" s="42"/>
      <c r="BC384" s="42"/>
      <c r="BD384" s="42"/>
      <c r="BE384" s="42"/>
      <c r="BF384" s="37"/>
      <c r="BG384" s="37"/>
      <c r="BH384" s="37"/>
      <c r="BI384" s="37"/>
      <c r="BJ384" s="37"/>
      <c r="BK384" s="37"/>
      <c r="BL384" s="37"/>
      <c r="BM384" s="37"/>
      <c r="BN384" s="37"/>
      <c r="BO384" s="37"/>
      <c r="BP384" s="37"/>
      <c r="BQ384" s="37"/>
      <c r="BR384" s="37"/>
      <c r="BS384" s="37"/>
      <c r="BT384" s="37"/>
      <c r="BU384" s="37"/>
      <c r="BV384" s="37"/>
      <c r="BW384" s="37"/>
      <c r="BX384" s="37"/>
      <c r="BY384" s="37"/>
      <c r="BZ384" s="37"/>
      <c r="CA384" s="37"/>
      <c r="CB384" s="37"/>
      <c r="CC384" s="37"/>
      <c r="CD384" s="37"/>
      <c r="CE384" s="37"/>
      <c r="CF384" s="37"/>
      <c r="CG384" s="37"/>
      <c r="CH384" s="37"/>
      <c r="CI384" s="37"/>
      <c r="CJ384" s="37"/>
      <c r="CO384" s="37"/>
      <c r="DK384" s="37"/>
      <c r="DL384" s="37"/>
      <c r="DM384" s="37"/>
      <c r="DN384" s="37"/>
      <c r="DO384" s="37"/>
      <c r="DP384" s="37"/>
      <c r="DQ384" s="37"/>
      <c r="DR384" s="37"/>
      <c r="DS384" s="37"/>
      <c r="DT384" s="37"/>
      <c r="DU384" s="37"/>
      <c r="DV384" s="37"/>
      <c r="DW384" s="37"/>
      <c r="DX384" s="37"/>
      <c r="DY384" s="37"/>
      <c r="DZ384" s="37"/>
    </row>
    <row r="385" spans="1:130" ht="12.75" hidden="1" customHeight="1" outlineLevel="1">
      <c r="A385" s="35" t="s">
        <v>189</v>
      </c>
      <c r="B385" s="308"/>
      <c r="C385" s="308"/>
      <c r="D385" s="308"/>
      <c r="E385" s="308"/>
      <c r="F385" s="308"/>
      <c r="G385" s="308"/>
      <c r="H385" s="308"/>
      <c r="I385" s="308"/>
      <c r="J385" s="308"/>
      <c r="K385" s="308">
        <f t="shared" si="315"/>
        <v>1</v>
      </c>
      <c r="L385" s="308">
        <f t="shared" si="315"/>
        <v>1</v>
      </c>
      <c r="M385" s="308">
        <f t="shared" si="315"/>
        <v>1</v>
      </c>
      <c r="N385" s="35"/>
      <c r="O385" s="35"/>
      <c r="P385" s="35"/>
      <c r="Q385" s="35"/>
      <c r="R385" s="35"/>
      <c r="S385" s="35"/>
      <c r="T385" s="35"/>
      <c r="U385" s="35"/>
      <c r="V385" s="35"/>
      <c r="W385" s="35"/>
      <c r="X385" s="35"/>
      <c r="Y385" s="35"/>
      <c r="Z385" s="35"/>
      <c r="AA385" s="35"/>
      <c r="AB385" s="42"/>
      <c r="AC385" s="42"/>
      <c r="AD385" s="42"/>
      <c r="AE385" s="42"/>
      <c r="AF385" s="42"/>
      <c r="AG385" s="42"/>
      <c r="AH385" s="42"/>
      <c r="AI385" s="42"/>
      <c r="AJ385" s="42"/>
      <c r="AK385" s="42"/>
      <c r="AL385" s="42"/>
      <c r="AM385" s="42"/>
      <c r="AN385" s="42"/>
      <c r="AO385" s="42"/>
      <c r="AP385" s="42"/>
      <c r="AQ385" s="42"/>
      <c r="AR385" s="42"/>
      <c r="AS385" s="42"/>
      <c r="AT385" s="42"/>
      <c r="AU385" s="42"/>
      <c r="AV385" s="42"/>
      <c r="AW385" s="42"/>
      <c r="AX385" s="42"/>
      <c r="AY385" s="42"/>
      <c r="AZ385" s="42"/>
      <c r="BA385" s="42"/>
      <c r="BB385" s="42"/>
      <c r="BC385" s="42"/>
      <c r="BD385" s="42"/>
      <c r="BE385" s="42"/>
      <c r="BF385" s="37"/>
      <c r="BG385" s="37"/>
      <c r="BH385" s="37"/>
      <c r="BI385" s="37"/>
      <c r="BJ385" s="37"/>
      <c r="BK385" s="37"/>
      <c r="BL385" s="37"/>
      <c r="BM385" s="37"/>
      <c r="BN385" s="37"/>
      <c r="BO385" s="37"/>
      <c r="BP385" s="37"/>
      <c r="BQ385" s="37"/>
      <c r="BR385" s="37"/>
      <c r="BS385" s="37"/>
      <c r="BT385" s="37"/>
      <c r="BU385" s="37"/>
      <c r="BV385" s="37"/>
      <c r="BW385" s="37"/>
      <c r="BX385" s="37"/>
      <c r="BY385" s="37"/>
      <c r="BZ385" s="37"/>
      <c r="CA385" s="37"/>
      <c r="CB385" s="37"/>
      <c r="CC385" s="37"/>
      <c r="CD385" s="37"/>
      <c r="CE385" s="37"/>
      <c r="CF385" s="37"/>
      <c r="CG385" s="37"/>
      <c r="CH385" s="37"/>
      <c r="CI385" s="37"/>
      <c r="CJ385" s="37"/>
      <c r="CO385" s="37"/>
      <c r="DK385" s="37"/>
      <c r="DL385" s="37"/>
      <c r="DM385" s="37"/>
      <c r="DN385" s="37"/>
      <c r="DO385" s="37"/>
      <c r="DP385" s="37"/>
      <c r="DQ385" s="37"/>
      <c r="DR385" s="37"/>
      <c r="DS385" s="37"/>
      <c r="DT385" s="37"/>
      <c r="DU385" s="37"/>
      <c r="DV385" s="37"/>
      <c r="DW385" s="37"/>
      <c r="DX385" s="37"/>
      <c r="DY385" s="37"/>
      <c r="DZ385" s="37"/>
    </row>
    <row r="386" spans="1:130" ht="12.75" hidden="1" customHeight="1" outlineLevel="1">
      <c r="A386" s="35"/>
      <c r="B386" s="162"/>
      <c r="C386" s="162"/>
      <c r="D386" s="162"/>
      <c r="E386" s="162"/>
      <c r="F386" s="162"/>
      <c r="G386" s="162"/>
      <c r="H386" s="162"/>
      <c r="I386" s="162"/>
      <c r="J386" s="162"/>
      <c r="K386" s="162"/>
      <c r="L386" s="162"/>
      <c r="M386" s="162"/>
      <c r="N386" s="35"/>
      <c r="O386" s="35"/>
      <c r="P386" s="35"/>
      <c r="Q386" s="35"/>
      <c r="R386" s="35"/>
      <c r="S386" s="35"/>
      <c r="T386" s="35"/>
      <c r="U386" s="35"/>
      <c r="V386" s="35"/>
      <c r="W386" s="35"/>
      <c r="X386" s="35"/>
      <c r="Y386" s="35"/>
      <c r="Z386" s="35"/>
      <c r="AA386" s="35"/>
      <c r="AB386" s="42"/>
      <c r="AC386" s="42"/>
      <c r="AD386" s="42"/>
      <c r="AE386" s="42"/>
      <c r="AF386" s="42"/>
      <c r="AG386" s="42"/>
      <c r="AH386" s="42"/>
      <c r="AI386" s="42"/>
      <c r="AJ386" s="42"/>
      <c r="AK386" s="42"/>
      <c r="AL386" s="42"/>
      <c r="AM386" s="42"/>
      <c r="AN386" s="42"/>
      <c r="AO386" s="42"/>
      <c r="AP386" s="42"/>
      <c r="AQ386" s="42"/>
      <c r="AR386" s="42"/>
      <c r="AS386" s="42"/>
      <c r="AT386" s="42"/>
      <c r="AU386" s="42"/>
      <c r="AV386" s="42"/>
      <c r="AW386" s="42"/>
      <c r="AX386" s="42"/>
      <c r="AY386" s="42"/>
      <c r="AZ386" s="42"/>
      <c r="BA386" s="42"/>
      <c r="BB386" s="42"/>
      <c r="BC386" s="42"/>
      <c r="BD386" s="42"/>
      <c r="BE386" s="42"/>
      <c r="BF386" s="37"/>
      <c r="BG386" s="37"/>
      <c r="BH386" s="37"/>
      <c r="BI386" s="37"/>
      <c r="BJ386" s="37"/>
      <c r="BK386" s="37"/>
      <c r="BL386" s="37"/>
      <c r="BM386" s="37"/>
      <c r="BN386" s="37"/>
      <c r="BO386" s="37"/>
      <c r="BP386" s="37"/>
      <c r="BQ386" s="37"/>
      <c r="BR386" s="37"/>
      <c r="BS386" s="37"/>
      <c r="BT386" s="37"/>
      <c r="BU386" s="37"/>
      <c r="BV386" s="37"/>
      <c r="BW386" s="37"/>
      <c r="BX386" s="37"/>
      <c r="BY386" s="37"/>
      <c r="BZ386" s="37"/>
      <c r="CA386" s="37"/>
      <c r="CB386" s="37"/>
      <c r="CC386" s="37"/>
      <c r="CD386" s="37"/>
      <c r="CE386" s="37"/>
      <c r="CF386" s="37"/>
      <c r="CG386" s="37"/>
      <c r="CH386" s="37"/>
      <c r="CI386" s="37"/>
      <c r="CJ386" s="37"/>
      <c r="CO386" s="37"/>
      <c r="DK386" s="37"/>
      <c r="DL386" s="37"/>
      <c r="DM386" s="37"/>
      <c r="DN386" s="37"/>
      <c r="DO386" s="37"/>
      <c r="DP386" s="37"/>
      <c r="DQ386" s="37"/>
      <c r="DR386" s="37"/>
      <c r="DS386" s="37"/>
      <c r="DT386" s="37"/>
      <c r="DU386" s="37"/>
      <c r="DV386" s="37"/>
      <c r="DW386" s="37"/>
      <c r="DX386" s="37"/>
      <c r="DY386" s="37"/>
      <c r="DZ386" s="37"/>
    </row>
    <row r="387" spans="1:130" ht="12.75" hidden="1" customHeight="1" outlineLevel="1">
      <c r="A387" s="256" t="s">
        <v>301</v>
      </c>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c r="AA387" s="40"/>
      <c r="AB387" s="228"/>
      <c r="AC387" s="152"/>
      <c r="AD387" s="152"/>
      <c r="AE387" s="152"/>
      <c r="AF387" s="152"/>
      <c r="AG387" s="152"/>
      <c r="AH387" s="152"/>
      <c r="AI387" s="152"/>
      <c r="AJ387" s="152"/>
      <c r="AK387" s="152"/>
      <c r="AL387" s="152"/>
      <c r="AM387" s="152"/>
      <c r="AN387" s="152"/>
      <c r="AO387" s="152"/>
      <c r="AP387" s="152"/>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52"/>
      <c r="BP387" s="152"/>
      <c r="BQ387" s="152"/>
      <c r="BR387" s="152"/>
      <c r="BS387" s="152"/>
      <c r="BT387" s="152"/>
      <c r="BU387" s="152"/>
      <c r="BV387" s="152"/>
      <c r="BW387" s="152"/>
      <c r="BX387" s="152"/>
      <c r="BY387" s="152"/>
      <c r="BZ387" s="152"/>
      <c r="CA387" s="152"/>
      <c r="CB387" s="152"/>
      <c r="CC387" s="152"/>
      <c r="CD387" s="152"/>
      <c r="CE387" s="152"/>
      <c r="CF387" s="152"/>
      <c r="CG387" s="152"/>
      <c r="CH387" s="152"/>
      <c r="CI387" s="152"/>
      <c r="CJ387" s="152"/>
      <c r="CO387" s="50"/>
      <c r="DK387" s="50"/>
      <c r="DL387" s="37"/>
      <c r="DM387" s="37"/>
      <c r="DN387" s="37"/>
      <c r="DO387" s="37"/>
      <c r="DP387" s="37"/>
      <c r="DQ387" s="37"/>
      <c r="DR387" s="37"/>
      <c r="DS387" s="37"/>
      <c r="DT387" s="37"/>
      <c r="DU387" s="37"/>
      <c r="DV387" s="37"/>
      <c r="DW387" s="37"/>
      <c r="DX387" s="37"/>
      <c r="DY387" s="37"/>
      <c r="DZ387" s="37"/>
    </row>
    <row r="388" spans="1:130" ht="12.75" hidden="1" customHeight="1" outlineLevel="1">
      <c r="A388" s="261" t="s">
        <v>302</v>
      </c>
      <c r="B388" s="310"/>
      <c r="C388" s="310"/>
      <c r="D388" s="310"/>
      <c r="E388" s="310"/>
      <c r="F388" s="310"/>
      <c r="G388" s="310"/>
      <c r="H388" s="310">
        <v>0</v>
      </c>
      <c r="I388" s="310"/>
      <c r="J388" s="310"/>
      <c r="K388" s="310"/>
      <c r="L388" s="310">
        <v>0.28999999999999998</v>
      </c>
      <c r="M388" s="310"/>
      <c r="N388" s="40"/>
      <c r="O388" s="40"/>
      <c r="P388" s="40"/>
      <c r="Q388" s="40"/>
      <c r="R388" s="40"/>
      <c r="S388" s="40"/>
      <c r="T388" s="40"/>
      <c r="U388" s="40"/>
      <c r="V388" s="40"/>
      <c r="W388" s="40"/>
      <c r="X388" s="40"/>
      <c r="Y388" s="40"/>
      <c r="Z388" s="40"/>
      <c r="AA388" s="40"/>
      <c r="AB388" s="206"/>
      <c r="AC388" s="152"/>
      <c r="AD388" s="152"/>
      <c r="AE388" s="152"/>
      <c r="AF388" s="152"/>
      <c r="AG388" s="152"/>
      <c r="AH388" s="152"/>
      <c r="AI388" s="152"/>
      <c r="AJ388" s="152"/>
      <c r="AK388" s="152"/>
      <c r="AL388" s="152"/>
      <c r="AM388" s="152"/>
      <c r="AN388" s="152"/>
      <c r="AO388" s="152"/>
      <c r="AP388" s="152"/>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52"/>
      <c r="BP388" s="152"/>
      <c r="BQ388" s="152"/>
      <c r="BR388" s="152"/>
      <c r="BS388" s="152"/>
      <c r="BT388" s="152"/>
      <c r="BU388" s="152"/>
      <c r="BV388" s="152"/>
      <c r="BW388" s="152"/>
      <c r="BX388" s="152"/>
      <c r="BY388" s="152"/>
      <c r="BZ388" s="152"/>
      <c r="CA388" s="152"/>
      <c r="CB388" s="152"/>
      <c r="CC388" s="152"/>
      <c r="CD388" s="152"/>
      <c r="CE388" s="152"/>
      <c r="CF388" s="152"/>
      <c r="CG388" s="152"/>
      <c r="CH388" s="152"/>
      <c r="CI388" s="152"/>
      <c r="CJ388" s="152"/>
      <c r="CO388" s="50"/>
      <c r="DK388" s="50"/>
      <c r="DL388" s="37"/>
      <c r="DM388" s="37"/>
      <c r="DN388" s="37"/>
      <c r="DO388" s="37"/>
      <c r="DP388" s="37"/>
      <c r="DQ388" s="37"/>
      <c r="DR388" s="37"/>
      <c r="DS388" s="37"/>
      <c r="DT388" s="37"/>
      <c r="DU388" s="37"/>
      <c r="DV388" s="37"/>
      <c r="DW388" s="37"/>
      <c r="DX388" s="37"/>
      <c r="DY388" s="37"/>
      <c r="DZ388" s="37"/>
    </row>
    <row r="389" spans="1:130" ht="12.75" hidden="1" customHeight="1" outlineLevel="1">
      <c r="A389" s="261" t="s">
        <v>303</v>
      </c>
      <c r="B389" s="310"/>
      <c r="C389" s="310"/>
      <c r="D389" s="310"/>
      <c r="E389" s="310"/>
      <c r="F389" s="310"/>
      <c r="G389" s="310"/>
      <c r="H389" s="310">
        <v>0.28999999999999998</v>
      </c>
      <c r="I389" s="310"/>
      <c r="J389" s="310"/>
      <c r="K389" s="310"/>
      <c r="L389" s="310">
        <v>0.21</v>
      </c>
      <c r="M389" s="310"/>
      <c r="N389" s="40"/>
      <c r="O389" s="40"/>
      <c r="P389" s="40"/>
      <c r="Q389" s="40"/>
      <c r="R389" s="40"/>
      <c r="S389" s="40"/>
      <c r="T389" s="40"/>
      <c r="U389" s="40"/>
      <c r="V389" s="40"/>
      <c r="W389" s="40"/>
      <c r="X389" s="40"/>
      <c r="Y389" s="40"/>
      <c r="Z389" s="40"/>
      <c r="AA389" s="40"/>
      <c r="AB389" s="206"/>
      <c r="AC389" s="152"/>
      <c r="AD389" s="152"/>
      <c r="AE389" s="152"/>
      <c r="AF389" s="152"/>
      <c r="AG389" s="152"/>
      <c r="AH389" s="152"/>
      <c r="AI389" s="152"/>
      <c r="AJ389" s="152"/>
      <c r="AK389" s="152"/>
      <c r="AL389" s="152"/>
      <c r="AM389" s="152"/>
      <c r="AN389" s="152"/>
      <c r="AO389" s="152"/>
      <c r="AP389" s="152"/>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52"/>
      <c r="BP389" s="152"/>
      <c r="BQ389" s="152"/>
      <c r="BR389" s="152"/>
      <c r="BS389" s="152"/>
      <c r="BT389" s="152"/>
      <c r="BU389" s="152"/>
      <c r="BV389" s="152"/>
      <c r="BW389" s="152"/>
      <c r="BX389" s="152"/>
      <c r="BY389" s="152"/>
      <c r="BZ389" s="152"/>
      <c r="CA389" s="152"/>
      <c r="CB389" s="152"/>
      <c r="CC389" s="152"/>
      <c r="CD389" s="152"/>
      <c r="CE389" s="152"/>
      <c r="CF389" s="152"/>
      <c r="CG389" s="152"/>
      <c r="CH389" s="152"/>
      <c r="CI389" s="152"/>
      <c r="CJ389" s="152"/>
      <c r="CO389" s="50"/>
      <c r="DK389" s="50"/>
      <c r="DL389" s="37"/>
      <c r="DM389" s="37"/>
      <c r="DN389" s="37"/>
      <c r="DO389" s="37"/>
      <c r="DP389" s="37"/>
      <c r="DQ389" s="37"/>
      <c r="DR389" s="37"/>
      <c r="DS389" s="37"/>
      <c r="DT389" s="37"/>
      <c r="DU389" s="37"/>
      <c r="DV389" s="37"/>
      <c r="DW389" s="37"/>
      <c r="DX389" s="37"/>
      <c r="DY389" s="37"/>
      <c r="DZ389" s="37"/>
    </row>
    <row r="390" spans="1:130" ht="12.75" hidden="1" customHeight="1" outlineLevel="1">
      <c r="A390" s="261" t="s">
        <v>304</v>
      </c>
      <c r="B390" s="310"/>
      <c r="C390" s="310"/>
      <c r="D390" s="310"/>
      <c r="E390" s="310"/>
      <c r="F390" s="310"/>
      <c r="G390" s="310"/>
      <c r="H390" s="310">
        <v>0.21</v>
      </c>
      <c r="I390" s="310"/>
      <c r="J390" s="310"/>
      <c r="K390" s="310"/>
      <c r="L390" s="310">
        <v>0.18</v>
      </c>
      <c r="M390" s="310"/>
      <c r="N390" s="40"/>
      <c r="O390" s="40"/>
      <c r="P390" s="40"/>
      <c r="Q390" s="40"/>
      <c r="R390" s="40"/>
      <c r="S390" s="40"/>
      <c r="T390" s="40"/>
      <c r="U390" s="40"/>
      <c r="V390" s="40"/>
      <c r="W390" s="40"/>
      <c r="X390" s="40"/>
      <c r="Y390" s="40"/>
      <c r="Z390" s="40"/>
      <c r="AA390" s="40"/>
      <c r="AB390" s="206"/>
      <c r="AC390" s="152"/>
      <c r="AD390" s="152"/>
      <c r="AE390" s="152"/>
      <c r="AF390" s="152"/>
      <c r="AG390" s="152"/>
      <c r="AH390" s="152"/>
      <c r="AI390" s="152"/>
      <c r="AJ390" s="152"/>
      <c r="AK390" s="152"/>
      <c r="AL390" s="152"/>
      <c r="AM390" s="152"/>
      <c r="AN390" s="152"/>
      <c r="AO390" s="152"/>
      <c r="AP390" s="152"/>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52"/>
      <c r="BP390" s="152"/>
      <c r="BQ390" s="152"/>
      <c r="BR390" s="152"/>
      <c r="BS390" s="152"/>
      <c r="BT390" s="152"/>
      <c r="BU390" s="152"/>
      <c r="BV390" s="152"/>
      <c r="BW390" s="152"/>
      <c r="BX390" s="152"/>
      <c r="BY390" s="152"/>
      <c r="BZ390" s="152"/>
      <c r="CA390" s="152"/>
      <c r="CB390" s="152"/>
      <c r="CC390" s="152"/>
      <c r="CD390" s="152"/>
      <c r="CE390" s="152"/>
      <c r="CF390" s="152"/>
      <c r="CG390" s="152"/>
      <c r="CH390" s="152"/>
      <c r="CI390" s="152"/>
      <c r="CJ390" s="152"/>
      <c r="CO390" s="50"/>
      <c r="DK390" s="50"/>
      <c r="DL390" s="37"/>
      <c r="DM390" s="37"/>
      <c r="DN390" s="37"/>
      <c r="DO390" s="37"/>
      <c r="DP390" s="37"/>
      <c r="DQ390" s="37"/>
      <c r="DR390" s="37"/>
      <c r="DS390" s="37"/>
      <c r="DT390" s="37"/>
      <c r="DU390" s="37"/>
      <c r="DV390" s="37"/>
      <c r="DW390" s="37"/>
      <c r="DX390" s="37"/>
      <c r="DY390" s="37"/>
      <c r="DZ390" s="37"/>
    </row>
    <row r="391" spans="1:130" ht="13.5" hidden="1" customHeight="1" outlineLevel="1">
      <c r="A391" s="261" t="s">
        <v>305</v>
      </c>
      <c r="B391" s="310"/>
      <c r="C391" s="310"/>
      <c r="D391" s="310"/>
      <c r="E391" s="310"/>
      <c r="F391" s="310"/>
      <c r="G391" s="310"/>
      <c r="H391" s="310">
        <v>0.19</v>
      </c>
      <c r="I391" s="310"/>
      <c r="J391" s="310"/>
      <c r="K391" s="310"/>
      <c r="L391" s="310">
        <v>0.14000000000000001</v>
      </c>
      <c r="M391" s="310"/>
      <c r="N391" s="40"/>
      <c r="O391" s="40"/>
      <c r="P391" s="40"/>
      <c r="Q391" s="40"/>
      <c r="R391" s="40"/>
      <c r="S391" s="40"/>
      <c r="T391" s="40"/>
      <c r="U391" s="40"/>
      <c r="V391" s="40"/>
      <c r="W391" s="40"/>
      <c r="X391" s="40"/>
      <c r="Y391" s="40"/>
      <c r="Z391" s="40"/>
      <c r="AA391" s="40"/>
      <c r="AB391" s="206"/>
      <c r="AC391" s="152"/>
      <c r="AD391" s="152"/>
      <c r="AE391" s="152"/>
      <c r="AF391" s="152"/>
      <c r="AG391" s="152"/>
      <c r="AH391" s="152"/>
      <c r="AI391" s="152"/>
      <c r="AJ391" s="152"/>
      <c r="AK391" s="152"/>
      <c r="AL391" s="152"/>
      <c r="AM391" s="152"/>
      <c r="AN391" s="152"/>
      <c r="AO391" s="152"/>
      <c r="AP391" s="152"/>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52"/>
      <c r="BP391" s="152"/>
      <c r="BQ391" s="152"/>
      <c r="BR391" s="152"/>
      <c r="BS391" s="152"/>
      <c r="BT391" s="152"/>
      <c r="BU391" s="152"/>
      <c r="BV391" s="152"/>
      <c r="BW391" s="152"/>
      <c r="BX391" s="152"/>
      <c r="BY391" s="152"/>
      <c r="BZ391" s="152"/>
      <c r="CA391" s="152"/>
      <c r="CB391" s="152"/>
      <c r="CC391" s="152"/>
      <c r="CD391" s="152"/>
      <c r="CE391" s="152"/>
      <c r="CF391" s="152"/>
      <c r="CG391" s="152"/>
      <c r="CH391" s="152"/>
      <c r="CI391" s="152"/>
      <c r="CJ391" s="152"/>
      <c r="CO391" s="50"/>
      <c r="DK391" s="50"/>
      <c r="DL391" s="37"/>
      <c r="DM391" s="37"/>
      <c r="DN391" s="37"/>
      <c r="DO391" s="37"/>
      <c r="DP391" s="37"/>
      <c r="DQ391" s="37"/>
      <c r="DR391" s="37"/>
      <c r="DS391" s="37"/>
      <c r="DT391" s="37"/>
      <c r="DU391" s="37"/>
      <c r="DV391" s="37"/>
      <c r="DW391" s="37"/>
      <c r="DX391" s="37"/>
      <c r="DY391" s="37"/>
      <c r="DZ391" s="37"/>
    </row>
    <row r="392" spans="1:130" ht="13.5" hidden="1" customHeight="1" outlineLevel="1">
      <c r="A392" s="261" t="s">
        <v>306</v>
      </c>
      <c r="B392" s="310"/>
      <c r="C392" s="310"/>
      <c r="D392" s="310"/>
      <c r="E392" s="310"/>
      <c r="F392" s="310"/>
      <c r="G392" s="310"/>
      <c r="H392" s="310">
        <v>0.16</v>
      </c>
      <c r="I392" s="310"/>
      <c r="J392" s="310"/>
      <c r="K392" s="310"/>
      <c r="L392" s="310">
        <v>0.1</v>
      </c>
      <c r="M392" s="310"/>
      <c r="N392" s="40"/>
      <c r="O392" s="40"/>
      <c r="P392" s="40"/>
      <c r="Q392" s="40"/>
      <c r="R392" s="40"/>
      <c r="S392" s="40"/>
      <c r="T392" s="40"/>
      <c r="U392" s="40"/>
      <c r="V392" s="40"/>
      <c r="W392" s="40"/>
      <c r="X392" s="40"/>
      <c r="Y392" s="40"/>
      <c r="Z392" s="40"/>
      <c r="AA392" s="40"/>
      <c r="AB392" s="206"/>
      <c r="AC392" s="152"/>
      <c r="AD392" s="152"/>
      <c r="AE392" s="152"/>
      <c r="AF392" s="152"/>
      <c r="AG392" s="152"/>
      <c r="AH392" s="152"/>
      <c r="AI392" s="152"/>
      <c r="AJ392" s="152"/>
      <c r="AK392" s="152"/>
      <c r="AL392" s="152"/>
      <c r="AM392" s="152"/>
      <c r="AN392" s="152"/>
      <c r="AO392" s="152"/>
      <c r="AP392" s="152"/>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52"/>
      <c r="BP392" s="152"/>
      <c r="BQ392" s="152"/>
      <c r="BR392" s="152"/>
      <c r="BS392" s="152"/>
      <c r="BT392" s="152"/>
      <c r="BU392" s="152"/>
      <c r="BV392" s="152"/>
      <c r="BW392" s="152"/>
      <c r="BX392" s="152"/>
      <c r="BY392" s="152"/>
      <c r="BZ392" s="152"/>
      <c r="CA392" s="152"/>
      <c r="CB392" s="152"/>
      <c r="CC392" s="152"/>
      <c r="CD392" s="152"/>
      <c r="CE392" s="152"/>
      <c r="CF392" s="152"/>
      <c r="CG392" s="152"/>
      <c r="CH392" s="152"/>
      <c r="CI392" s="152"/>
      <c r="CJ392" s="152"/>
      <c r="CO392" s="50"/>
      <c r="DK392" s="50"/>
      <c r="DL392" s="37"/>
      <c r="DM392" s="37"/>
      <c r="DN392" s="37"/>
      <c r="DO392" s="37"/>
      <c r="DP392" s="37"/>
      <c r="DQ392" s="37"/>
      <c r="DR392" s="37"/>
      <c r="DS392" s="37"/>
      <c r="DT392" s="37"/>
      <c r="DU392" s="37"/>
      <c r="DV392" s="37"/>
      <c r="DW392" s="37"/>
      <c r="DX392" s="37"/>
      <c r="DY392" s="37"/>
      <c r="DZ392" s="37"/>
    </row>
    <row r="393" spans="1:130" ht="12.75" hidden="1" customHeight="1" outlineLevel="1">
      <c r="A393" s="261" t="s">
        <v>307</v>
      </c>
      <c r="B393" s="310"/>
      <c r="C393" s="310"/>
      <c r="D393" s="310"/>
      <c r="E393" s="310"/>
      <c r="F393" s="310"/>
      <c r="G393" s="310"/>
      <c r="H393" s="310">
        <v>0.15</v>
      </c>
      <c r="I393" s="310"/>
      <c r="J393" s="310"/>
      <c r="K393" s="310"/>
      <c r="L393" s="310">
        <v>0.08</v>
      </c>
      <c r="M393" s="310"/>
      <c r="N393" s="40"/>
      <c r="O393" s="40"/>
      <c r="P393" s="40"/>
      <c r="Q393" s="40"/>
      <c r="R393" s="40"/>
      <c r="S393" s="40"/>
      <c r="T393" s="40"/>
      <c r="U393" s="40"/>
      <c r="V393" s="40"/>
      <c r="W393" s="40"/>
      <c r="X393" s="40"/>
      <c r="Y393" s="40"/>
      <c r="Z393" s="40"/>
      <c r="AA393" s="40"/>
      <c r="AB393" s="206"/>
      <c r="AC393" s="152"/>
      <c r="AD393" s="152"/>
      <c r="AE393" s="152"/>
      <c r="AF393" s="152"/>
      <c r="AG393" s="152"/>
      <c r="AH393" s="152"/>
      <c r="AI393" s="152"/>
      <c r="AJ393" s="152"/>
      <c r="AK393" s="152"/>
      <c r="AL393" s="152"/>
      <c r="AM393" s="152"/>
      <c r="AN393" s="152"/>
      <c r="AO393" s="152"/>
      <c r="AP393" s="152"/>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52"/>
      <c r="BP393" s="152"/>
      <c r="BQ393" s="152"/>
      <c r="BR393" s="152"/>
      <c r="BS393" s="152"/>
      <c r="BT393" s="152"/>
      <c r="BU393" s="152"/>
      <c r="BV393" s="152"/>
      <c r="BW393" s="152"/>
      <c r="BX393" s="152"/>
      <c r="BY393" s="152"/>
      <c r="BZ393" s="152"/>
      <c r="CA393" s="152"/>
      <c r="CB393" s="152"/>
      <c r="CC393" s="152"/>
      <c r="CD393" s="152"/>
      <c r="CE393" s="152"/>
      <c r="CF393" s="152"/>
      <c r="CG393" s="152"/>
      <c r="CH393" s="152"/>
      <c r="CI393" s="152"/>
      <c r="CJ393" s="152"/>
      <c r="CO393" s="50"/>
      <c r="DK393" s="50"/>
      <c r="DL393" s="37"/>
      <c r="DM393" s="37"/>
      <c r="DN393" s="37"/>
      <c r="DO393" s="37"/>
      <c r="DP393" s="37"/>
      <c r="DQ393" s="37"/>
      <c r="DR393" s="37"/>
      <c r="DS393" s="37"/>
      <c r="DT393" s="37"/>
      <c r="DU393" s="37"/>
      <c r="DV393" s="37"/>
      <c r="DW393" s="37"/>
      <c r="DX393" s="37"/>
      <c r="DY393" s="37"/>
      <c r="DZ393" s="37"/>
    </row>
    <row r="394" spans="1:130" ht="12.75" hidden="1" customHeight="1" outlineLevel="1">
      <c r="A394" s="261"/>
      <c r="B394" s="311"/>
      <c r="C394" s="311"/>
      <c r="D394" s="311"/>
      <c r="E394" s="311"/>
      <c r="F394" s="311"/>
      <c r="G394" s="311"/>
      <c r="H394" s="311"/>
      <c r="I394" s="311"/>
      <c r="J394" s="311"/>
      <c r="K394" s="311"/>
      <c r="L394" s="311"/>
      <c r="M394" s="311"/>
      <c r="N394" s="40"/>
      <c r="O394" s="40"/>
      <c r="P394" s="40"/>
      <c r="Q394" s="40"/>
      <c r="R394" s="40"/>
      <c r="S394" s="40"/>
      <c r="T394" s="40"/>
      <c r="U394" s="40"/>
      <c r="V394" s="40"/>
      <c r="W394" s="40"/>
      <c r="X394" s="40"/>
      <c r="Y394" s="40"/>
      <c r="Z394" s="40"/>
      <c r="AA394" s="40"/>
      <c r="AB394" s="206"/>
      <c r="AC394" s="152"/>
      <c r="AD394" s="152"/>
      <c r="AE394" s="152"/>
      <c r="AF394" s="152"/>
      <c r="AG394" s="152"/>
      <c r="AH394" s="152"/>
      <c r="AI394" s="152"/>
      <c r="AJ394" s="152"/>
      <c r="AK394" s="152"/>
      <c r="AL394" s="152"/>
      <c r="AM394" s="152"/>
      <c r="AN394" s="152"/>
      <c r="AO394" s="152"/>
      <c r="AP394" s="152"/>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52"/>
      <c r="BP394" s="152"/>
      <c r="BQ394" s="152"/>
      <c r="BR394" s="152"/>
      <c r="BS394" s="152"/>
      <c r="BT394" s="152"/>
      <c r="BU394" s="152"/>
      <c r="BV394" s="152"/>
      <c r="BW394" s="152"/>
      <c r="BX394" s="152"/>
      <c r="BY394" s="152"/>
      <c r="BZ394" s="152"/>
      <c r="CA394" s="152"/>
      <c r="CB394" s="152"/>
      <c r="CC394" s="152"/>
      <c r="CD394" s="152"/>
      <c r="CE394" s="152"/>
      <c r="CF394" s="152"/>
      <c r="CG394" s="152"/>
      <c r="CH394" s="152"/>
      <c r="CI394" s="152"/>
      <c r="CJ394" s="152"/>
      <c r="CO394" s="50"/>
      <c r="DK394" s="50"/>
      <c r="DL394" s="37"/>
      <c r="DM394" s="37"/>
      <c r="DN394" s="37"/>
      <c r="DO394" s="37"/>
      <c r="DP394" s="37"/>
      <c r="DQ394" s="37"/>
      <c r="DR394" s="37"/>
      <c r="DS394" s="37"/>
      <c r="DT394" s="37"/>
      <c r="DU394" s="37"/>
      <c r="DV394" s="37"/>
      <c r="DW394" s="37"/>
      <c r="DX394" s="37"/>
      <c r="DY394" s="37"/>
      <c r="DZ394" s="37"/>
    </row>
    <row r="395" spans="1:130" ht="12.75" hidden="1" customHeight="1" outlineLevel="1">
      <c r="A395" s="256" t="s">
        <v>308</v>
      </c>
      <c r="B395" s="311"/>
      <c r="C395" s="311"/>
      <c r="D395" s="311"/>
      <c r="E395" s="311"/>
      <c r="F395" s="311"/>
      <c r="G395" s="311"/>
      <c r="H395" s="311"/>
      <c r="I395" s="311"/>
      <c r="J395" s="311"/>
      <c r="K395" s="311"/>
      <c r="L395" s="311"/>
      <c r="M395" s="311"/>
      <c r="N395" s="40"/>
      <c r="O395" s="40"/>
      <c r="P395" s="40"/>
      <c r="Q395" s="40"/>
      <c r="R395" s="40"/>
      <c r="S395" s="40"/>
      <c r="T395" s="40"/>
      <c r="U395" s="40"/>
      <c r="V395" s="40"/>
      <c r="W395" s="40"/>
      <c r="X395" s="40"/>
      <c r="Y395" s="40"/>
      <c r="Z395" s="40"/>
      <c r="AA395" s="40"/>
      <c r="AB395" s="228"/>
      <c r="AC395" s="152"/>
      <c r="AD395" s="152"/>
      <c r="AE395" s="152"/>
      <c r="AF395" s="152"/>
      <c r="AG395" s="152"/>
      <c r="AH395" s="152"/>
      <c r="AI395" s="152"/>
      <c r="AJ395" s="152"/>
      <c r="AK395" s="152"/>
      <c r="AL395" s="152"/>
      <c r="AM395" s="152"/>
      <c r="AN395" s="152"/>
      <c r="AO395" s="152"/>
      <c r="AP395" s="152"/>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52"/>
      <c r="BP395" s="152"/>
      <c r="BQ395" s="152"/>
      <c r="BR395" s="152"/>
      <c r="BS395" s="152"/>
      <c r="BT395" s="152"/>
      <c r="BU395" s="152"/>
      <c r="BV395" s="152"/>
      <c r="BW395" s="152"/>
      <c r="BX395" s="152"/>
      <c r="BY395" s="152"/>
      <c r="BZ395" s="152"/>
      <c r="CA395" s="152"/>
      <c r="CB395" s="152"/>
      <c r="CC395" s="152"/>
      <c r="CD395" s="152"/>
      <c r="CE395" s="152"/>
      <c r="CF395" s="152"/>
      <c r="CG395" s="152"/>
      <c r="CH395" s="152"/>
      <c r="CI395" s="152"/>
      <c r="CJ395" s="152"/>
      <c r="CO395" s="50"/>
      <c r="DK395" s="50"/>
      <c r="DL395" s="37"/>
      <c r="DM395" s="37"/>
      <c r="DN395" s="37"/>
      <c r="DO395" s="37"/>
      <c r="DP395" s="37"/>
      <c r="DQ395" s="37"/>
      <c r="DR395" s="37"/>
      <c r="DS395" s="37"/>
      <c r="DT395" s="37"/>
      <c r="DU395" s="37"/>
      <c r="DV395" s="37"/>
      <c r="DW395" s="37"/>
      <c r="DX395" s="37"/>
      <c r="DY395" s="37"/>
      <c r="DZ395" s="37"/>
    </row>
    <row r="396" spans="1:130" ht="12.75" hidden="1" customHeight="1" outlineLevel="1">
      <c r="A396" s="261" t="s">
        <v>302</v>
      </c>
      <c r="B396" s="310"/>
      <c r="C396" s="310"/>
      <c r="D396" s="310"/>
      <c r="E396" s="310"/>
      <c r="F396" s="310"/>
      <c r="G396" s="310"/>
      <c r="H396" s="310"/>
      <c r="I396" s="310"/>
      <c r="J396" s="310"/>
      <c r="K396" s="310"/>
      <c r="L396" s="310">
        <v>0.45</v>
      </c>
      <c r="M396" s="310">
        <v>0.43</v>
      </c>
      <c r="N396" s="40"/>
      <c r="O396" s="40"/>
      <c r="P396" s="40"/>
      <c r="Q396" s="40"/>
      <c r="R396" s="40"/>
      <c r="S396" s="40"/>
      <c r="T396" s="40"/>
      <c r="U396" s="40"/>
      <c r="V396" s="40"/>
      <c r="W396" s="40"/>
      <c r="X396" s="40"/>
      <c r="Y396" s="40"/>
      <c r="Z396" s="40"/>
      <c r="AA396" s="40"/>
      <c r="AB396" s="206"/>
      <c r="AC396" s="152"/>
      <c r="AD396" s="152"/>
      <c r="AE396" s="152"/>
      <c r="AF396" s="152"/>
      <c r="AG396" s="152"/>
      <c r="AH396" s="152"/>
      <c r="AI396" s="152"/>
      <c r="AJ396" s="152"/>
      <c r="AK396" s="152"/>
      <c r="AL396" s="152"/>
      <c r="AM396" s="152"/>
      <c r="AN396" s="152"/>
      <c r="AO396" s="152"/>
      <c r="AP396" s="152"/>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52"/>
      <c r="BP396" s="152"/>
      <c r="BQ396" s="152"/>
      <c r="BR396" s="152"/>
      <c r="BS396" s="152"/>
      <c r="BT396" s="152"/>
      <c r="BU396" s="152"/>
      <c r="BV396" s="152"/>
      <c r="BW396" s="152"/>
      <c r="BX396" s="152"/>
      <c r="BY396" s="152"/>
      <c r="BZ396" s="152"/>
      <c r="CA396" s="152"/>
      <c r="CB396" s="152"/>
      <c r="CC396" s="152"/>
      <c r="CD396" s="152"/>
      <c r="CE396" s="152"/>
      <c r="CF396" s="152"/>
      <c r="CG396" s="152"/>
      <c r="CH396" s="152"/>
      <c r="CI396" s="152"/>
      <c r="CJ396" s="152"/>
      <c r="CO396" s="50"/>
      <c r="DK396" s="50"/>
      <c r="DL396" s="37"/>
      <c r="DM396" s="37"/>
      <c r="DN396" s="37"/>
      <c r="DO396" s="37"/>
      <c r="DP396" s="37"/>
      <c r="DQ396" s="37"/>
      <c r="DR396" s="37"/>
      <c r="DS396" s="37"/>
      <c r="DT396" s="37"/>
      <c r="DU396" s="37"/>
      <c r="DV396" s="37"/>
      <c r="DW396" s="37"/>
      <c r="DX396" s="37"/>
      <c r="DY396" s="37"/>
      <c r="DZ396" s="37"/>
    </row>
    <row r="397" spans="1:130" ht="12.75" hidden="1" customHeight="1" outlineLevel="1">
      <c r="A397" s="261" t="s">
        <v>303</v>
      </c>
      <c r="B397" s="310"/>
      <c r="C397" s="310"/>
      <c r="D397" s="310"/>
      <c r="E397" s="310"/>
      <c r="F397" s="310"/>
      <c r="G397" s="310"/>
      <c r="H397" s="310"/>
      <c r="I397" s="310"/>
      <c r="J397" s="310"/>
      <c r="K397" s="310"/>
      <c r="L397" s="310">
        <v>0.2</v>
      </c>
      <c r="M397" s="310">
        <v>0.19</v>
      </c>
      <c r="N397" s="40"/>
      <c r="O397" s="40"/>
      <c r="P397" s="40"/>
      <c r="Q397" s="40"/>
      <c r="R397" s="40"/>
      <c r="S397" s="40"/>
      <c r="T397" s="40"/>
      <c r="U397" s="40"/>
      <c r="V397" s="40"/>
      <c r="W397" s="40"/>
      <c r="X397" s="40"/>
      <c r="Y397" s="40"/>
      <c r="Z397" s="40"/>
      <c r="AA397" s="40"/>
      <c r="AB397" s="206"/>
      <c r="AC397" s="152"/>
      <c r="AD397" s="152"/>
      <c r="AE397" s="152"/>
      <c r="AF397" s="152"/>
      <c r="AG397" s="152"/>
      <c r="AH397" s="152"/>
      <c r="AI397" s="152"/>
      <c r="AJ397" s="152"/>
      <c r="AK397" s="152"/>
      <c r="AL397" s="152"/>
      <c r="AM397" s="152"/>
      <c r="AN397" s="152"/>
      <c r="AO397" s="152"/>
      <c r="AP397" s="152"/>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52"/>
      <c r="BP397" s="152"/>
      <c r="BQ397" s="152"/>
      <c r="BR397" s="152"/>
      <c r="BS397" s="152"/>
      <c r="BT397" s="152"/>
      <c r="BU397" s="152"/>
      <c r="BV397" s="152"/>
      <c r="BW397" s="152"/>
      <c r="BX397" s="152"/>
      <c r="BY397" s="152"/>
      <c r="BZ397" s="152"/>
      <c r="CA397" s="152"/>
      <c r="CB397" s="152"/>
      <c r="CC397" s="152"/>
      <c r="CD397" s="152"/>
      <c r="CE397" s="152"/>
      <c r="CF397" s="152"/>
      <c r="CG397" s="152"/>
      <c r="CH397" s="152"/>
      <c r="CI397" s="152"/>
      <c r="CJ397" s="152"/>
      <c r="CO397" s="50"/>
      <c r="DK397" s="50"/>
      <c r="DL397" s="37"/>
      <c r="DM397" s="37"/>
      <c r="DN397" s="37"/>
      <c r="DO397" s="37"/>
      <c r="DP397" s="37"/>
      <c r="DQ397" s="37"/>
      <c r="DR397" s="37"/>
      <c r="DS397" s="37"/>
      <c r="DT397" s="37"/>
      <c r="DU397" s="37"/>
      <c r="DV397" s="37"/>
      <c r="DW397" s="37"/>
      <c r="DX397" s="37"/>
      <c r="DY397" s="37"/>
      <c r="DZ397" s="37"/>
    </row>
    <row r="398" spans="1:130" ht="12.75" hidden="1" customHeight="1" outlineLevel="1">
      <c r="A398" s="261" t="s">
        <v>309</v>
      </c>
      <c r="B398" s="310"/>
      <c r="C398" s="310"/>
      <c r="D398" s="310"/>
      <c r="E398" s="310"/>
      <c r="F398" s="310"/>
      <c r="G398" s="310"/>
      <c r="H398" s="310"/>
      <c r="I398" s="310"/>
      <c r="J398" s="310"/>
      <c r="K398" s="310"/>
      <c r="L398" s="310">
        <v>0.22</v>
      </c>
      <c r="M398" s="310">
        <v>0.22</v>
      </c>
      <c r="N398" s="40"/>
      <c r="O398" s="40"/>
      <c r="P398" s="40"/>
      <c r="Q398" s="40"/>
      <c r="R398" s="40"/>
      <c r="S398" s="40"/>
      <c r="T398" s="40"/>
      <c r="U398" s="40"/>
      <c r="V398" s="40"/>
      <c r="W398" s="40"/>
      <c r="X398" s="40"/>
      <c r="Y398" s="40"/>
      <c r="Z398" s="40"/>
      <c r="AA398" s="40"/>
      <c r="AB398" s="206"/>
      <c r="AC398" s="152"/>
      <c r="AD398" s="152"/>
      <c r="AE398" s="152"/>
      <c r="AF398" s="152"/>
      <c r="AG398" s="152"/>
      <c r="AH398" s="152"/>
      <c r="AI398" s="152"/>
      <c r="AJ398" s="152"/>
      <c r="AK398" s="152"/>
      <c r="AL398" s="152"/>
      <c r="AM398" s="152"/>
      <c r="AN398" s="152"/>
      <c r="AO398" s="152"/>
      <c r="AP398" s="152"/>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52"/>
      <c r="BP398" s="152"/>
      <c r="BQ398" s="152"/>
      <c r="BR398" s="152"/>
      <c r="BS398" s="152"/>
      <c r="BT398" s="152"/>
      <c r="BU398" s="152"/>
      <c r="BV398" s="152"/>
      <c r="BW398" s="152"/>
      <c r="BX398" s="152"/>
      <c r="BY398" s="152"/>
      <c r="BZ398" s="152"/>
      <c r="CA398" s="152"/>
      <c r="CB398" s="152"/>
      <c r="CC398" s="152"/>
      <c r="CD398" s="152"/>
      <c r="CE398" s="152"/>
      <c r="CF398" s="152"/>
      <c r="CG398" s="152"/>
      <c r="CH398" s="152"/>
      <c r="CI398" s="152"/>
      <c r="CJ398" s="152"/>
      <c r="CO398" s="50"/>
      <c r="DK398" s="50"/>
      <c r="DL398" s="37"/>
      <c r="DM398" s="37"/>
      <c r="DN398" s="37"/>
      <c r="DO398" s="37"/>
      <c r="DP398" s="37"/>
      <c r="DQ398" s="37"/>
      <c r="DR398" s="37"/>
      <c r="DS398" s="37"/>
      <c r="DT398" s="37"/>
      <c r="DU398" s="37"/>
      <c r="DV398" s="37"/>
      <c r="DW398" s="37"/>
      <c r="DX398" s="37"/>
      <c r="DY398" s="37"/>
      <c r="DZ398" s="37"/>
    </row>
    <row r="399" spans="1:130" ht="12.75" hidden="1" customHeight="1" outlineLevel="1">
      <c r="A399" s="261" t="s">
        <v>305</v>
      </c>
      <c r="B399" s="310"/>
      <c r="C399" s="310"/>
      <c r="D399" s="310"/>
      <c r="E399" s="310"/>
      <c r="F399" s="310"/>
      <c r="G399" s="310"/>
      <c r="H399" s="310"/>
      <c r="I399" s="310"/>
      <c r="J399" s="310"/>
      <c r="K399" s="310"/>
      <c r="L399" s="310">
        <v>0.08</v>
      </c>
      <c r="M399" s="310">
        <v>0.09</v>
      </c>
      <c r="N399" s="40"/>
      <c r="O399" s="40"/>
      <c r="P399" s="40"/>
      <c r="Q399" s="40"/>
      <c r="R399" s="40"/>
      <c r="S399" s="40"/>
      <c r="T399" s="40"/>
      <c r="U399" s="40"/>
      <c r="V399" s="40"/>
      <c r="W399" s="40"/>
      <c r="X399" s="40"/>
      <c r="Y399" s="40"/>
      <c r="Z399" s="40"/>
      <c r="AA399" s="40"/>
      <c r="AB399" s="206"/>
      <c r="AC399" s="152"/>
      <c r="AD399" s="152"/>
      <c r="AE399" s="152"/>
      <c r="AF399" s="152"/>
      <c r="AG399" s="152"/>
      <c r="AH399" s="152"/>
      <c r="AI399" s="152"/>
      <c r="AJ399" s="152"/>
      <c r="AK399" s="152"/>
      <c r="AL399" s="152"/>
      <c r="AM399" s="152"/>
      <c r="AN399" s="152"/>
      <c r="AO399" s="152"/>
      <c r="AP399" s="152"/>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52"/>
      <c r="BP399" s="152"/>
      <c r="BQ399" s="152"/>
      <c r="BR399" s="152"/>
      <c r="BS399" s="152"/>
      <c r="BT399" s="152"/>
      <c r="BU399" s="152"/>
      <c r="BV399" s="152"/>
      <c r="BW399" s="152"/>
      <c r="BX399" s="152"/>
      <c r="BY399" s="152"/>
      <c r="BZ399" s="152"/>
      <c r="CA399" s="152"/>
      <c r="CB399" s="152"/>
      <c r="CC399" s="152"/>
      <c r="CD399" s="152"/>
      <c r="CE399" s="152"/>
      <c r="CF399" s="152"/>
      <c r="CG399" s="152"/>
      <c r="CH399" s="152"/>
      <c r="CI399" s="152"/>
      <c r="CJ399" s="152"/>
      <c r="CO399" s="50"/>
      <c r="DK399" s="50"/>
      <c r="DL399" s="37"/>
      <c r="DM399" s="37"/>
      <c r="DN399" s="37"/>
      <c r="DO399" s="37"/>
      <c r="DP399" s="37"/>
      <c r="DQ399" s="37"/>
      <c r="DR399" s="37"/>
      <c r="DS399" s="37"/>
      <c r="DT399" s="37"/>
      <c r="DU399" s="37"/>
      <c r="DV399" s="37"/>
      <c r="DW399" s="37"/>
      <c r="DX399" s="37"/>
      <c r="DY399" s="37"/>
      <c r="DZ399" s="37"/>
    </row>
    <row r="400" spans="1:130" ht="12.75" hidden="1" customHeight="1" outlineLevel="1">
      <c r="A400" s="261" t="s">
        <v>307</v>
      </c>
      <c r="B400" s="310"/>
      <c r="C400" s="310"/>
      <c r="D400" s="310"/>
      <c r="E400" s="310"/>
      <c r="F400" s="310"/>
      <c r="G400" s="310"/>
      <c r="H400" s="310"/>
      <c r="I400" s="310"/>
      <c r="J400" s="310"/>
      <c r="K400" s="310"/>
      <c r="L400" s="310">
        <v>0.05</v>
      </c>
      <c r="M400" s="310">
        <v>7.0000000000000007E-2</v>
      </c>
      <c r="N400" s="40"/>
      <c r="O400" s="40"/>
      <c r="P400" s="40"/>
      <c r="Q400" s="40"/>
      <c r="R400" s="40"/>
      <c r="S400" s="40"/>
      <c r="T400" s="40"/>
      <c r="U400" s="40"/>
      <c r="V400" s="40"/>
      <c r="W400" s="40"/>
      <c r="X400" s="40"/>
      <c r="Y400" s="40"/>
      <c r="Z400" s="40"/>
      <c r="AA400" s="40"/>
      <c r="AB400" s="206"/>
      <c r="AC400" s="152"/>
      <c r="AD400" s="152"/>
      <c r="AE400" s="152"/>
      <c r="AF400" s="152"/>
      <c r="AG400" s="152"/>
      <c r="AH400" s="152"/>
      <c r="AI400" s="152"/>
      <c r="AJ400" s="152"/>
      <c r="AK400" s="152"/>
      <c r="AL400" s="152"/>
      <c r="AM400" s="152"/>
      <c r="AN400" s="152"/>
      <c r="AO400" s="152"/>
      <c r="AP400" s="152"/>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52"/>
      <c r="BP400" s="152"/>
      <c r="BQ400" s="152"/>
      <c r="BR400" s="152"/>
      <c r="BS400" s="152"/>
      <c r="BT400" s="152"/>
      <c r="BU400" s="152"/>
      <c r="BV400" s="152"/>
      <c r="BW400" s="152"/>
      <c r="BX400" s="152"/>
      <c r="BY400" s="152"/>
      <c r="BZ400" s="152"/>
      <c r="CA400" s="152"/>
      <c r="CB400" s="152"/>
      <c r="CC400" s="152"/>
      <c r="CD400" s="152"/>
      <c r="CE400" s="152"/>
      <c r="CF400" s="152"/>
      <c r="CG400" s="152"/>
      <c r="CH400" s="152"/>
      <c r="CI400" s="152"/>
      <c r="CJ400" s="152"/>
      <c r="CO400" s="50"/>
      <c r="DK400" s="50"/>
      <c r="DL400" s="37"/>
      <c r="DM400" s="37"/>
      <c r="DN400" s="37"/>
      <c r="DO400" s="37"/>
      <c r="DP400" s="37"/>
      <c r="DQ400" s="37"/>
      <c r="DR400" s="37"/>
      <c r="DS400" s="37"/>
      <c r="DT400" s="37"/>
      <c r="DU400" s="37"/>
      <c r="DV400" s="37"/>
      <c r="DW400" s="37"/>
      <c r="DX400" s="37"/>
      <c r="DY400" s="37"/>
      <c r="DZ400" s="37"/>
    </row>
    <row r="401" spans="1:130" ht="12.75" hidden="1" customHeight="1" outlineLevel="1">
      <c r="A401" s="261"/>
      <c r="B401" s="310"/>
      <c r="C401" s="310"/>
      <c r="D401" s="310"/>
      <c r="E401" s="310"/>
      <c r="F401" s="310"/>
      <c r="G401" s="310"/>
      <c r="H401" s="310"/>
      <c r="I401" s="310"/>
      <c r="J401" s="310"/>
      <c r="K401" s="310"/>
      <c r="L401" s="310"/>
      <c r="M401" s="310"/>
      <c r="N401" s="40"/>
      <c r="O401" s="40"/>
      <c r="P401" s="40"/>
      <c r="Q401" s="40"/>
      <c r="R401" s="40"/>
      <c r="S401" s="40"/>
      <c r="T401" s="40"/>
      <c r="U401" s="40"/>
      <c r="V401" s="40"/>
      <c r="W401" s="40"/>
      <c r="X401" s="40"/>
      <c r="Y401" s="40"/>
      <c r="Z401" s="40"/>
      <c r="AA401" s="40"/>
      <c r="AB401" s="206"/>
      <c r="AC401" s="152"/>
      <c r="AD401" s="152"/>
      <c r="AE401" s="152"/>
      <c r="AF401" s="152"/>
      <c r="AG401" s="152"/>
      <c r="AH401" s="152"/>
      <c r="AI401" s="152"/>
      <c r="AJ401" s="152"/>
      <c r="AK401" s="152"/>
      <c r="AL401" s="152"/>
      <c r="AM401" s="152"/>
      <c r="AN401" s="152"/>
      <c r="AO401" s="152"/>
      <c r="AP401" s="152"/>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52"/>
      <c r="BP401" s="152"/>
      <c r="BQ401" s="152"/>
      <c r="BR401" s="152"/>
      <c r="BS401" s="152"/>
      <c r="BT401" s="152"/>
      <c r="BU401" s="152"/>
      <c r="BV401" s="152"/>
      <c r="BW401" s="152"/>
      <c r="BX401" s="152"/>
      <c r="BY401" s="152"/>
      <c r="BZ401" s="152"/>
      <c r="CA401" s="152"/>
      <c r="CB401" s="152"/>
      <c r="CC401" s="152"/>
      <c r="CD401" s="152"/>
      <c r="CE401" s="152"/>
      <c r="CF401" s="152"/>
      <c r="CG401" s="152"/>
      <c r="CH401" s="152"/>
      <c r="CI401" s="152"/>
      <c r="CJ401" s="152"/>
      <c r="CO401" s="50"/>
      <c r="DK401" s="50"/>
      <c r="DL401" s="37"/>
      <c r="DM401" s="37"/>
      <c r="DN401" s="37"/>
      <c r="DO401" s="37"/>
      <c r="DP401" s="37"/>
      <c r="DQ401" s="37"/>
      <c r="DR401" s="37"/>
      <c r="DS401" s="37"/>
      <c r="DT401" s="37"/>
      <c r="DU401" s="37"/>
      <c r="DV401" s="37"/>
      <c r="DW401" s="37"/>
      <c r="DX401" s="37"/>
      <c r="DY401" s="37"/>
      <c r="DZ401" s="37"/>
    </row>
    <row r="402" spans="1:130" ht="12.75" hidden="1" customHeight="1" outlineLevel="1">
      <c r="A402" s="256" t="s">
        <v>310</v>
      </c>
      <c r="B402" s="310"/>
      <c r="C402" s="310"/>
      <c r="D402" s="310"/>
      <c r="E402" s="310"/>
      <c r="F402" s="310"/>
      <c r="G402" s="310"/>
      <c r="H402" s="310"/>
      <c r="I402" s="310"/>
      <c r="J402" s="310"/>
      <c r="K402" s="310"/>
      <c r="L402" s="310"/>
      <c r="M402" s="310"/>
      <c r="N402" s="40"/>
      <c r="O402" s="40"/>
      <c r="P402" s="40"/>
      <c r="Q402" s="40"/>
      <c r="R402" s="40"/>
      <c r="S402" s="40"/>
      <c r="T402" s="40"/>
      <c r="U402" s="40"/>
      <c r="V402" s="40"/>
      <c r="W402" s="40"/>
      <c r="X402" s="40"/>
      <c r="Y402" s="40"/>
      <c r="Z402" s="40"/>
      <c r="AA402" s="40"/>
      <c r="AB402" s="228"/>
      <c r="AC402" s="152"/>
      <c r="AD402" s="152"/>
      <c r="AE402" s="152"/>
      <c r="AF402" s="152"/>
      <c r="AG402" s="152"/>
      <c r="AH402" s="152"/>
      <c r="AI402" s="152"/>
      <c r="AJ402" s="152"/>
      <c r="AK402" s="152"/>
      <c r="AL402" s="152"/>
      <c r="AM402" s="152"/>
      <c r="AN402" s="152"/>
      <c r="AO402" s="152"/>
      <c r="AP402" s="152"/>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52"/>
      <c r="BP402" s="152"/>
      <c r="BQ402" s="152"/>
      <c r="BR402" s="152"/>
      <c r="BS402" s="152"/>
      <c r="BT402" s="152"/>
      <c r="BU402" s="152"/>
      <c r="BV402" s="152"/>
      <c r="BW402" s="152"/>
      <c r="BX402" s="152"/>
      <c r="BY402" s="152"/>
      <c r="BZ402" s="152"/>
      <c r="CA402" s="152"/>
      <c r="CB402" s="152"/>
      <c r="CC402" s="152"/>
      <c r="CD402" s="152"/>
      <c r="CE402" s="152"/>
      <c r="CF402" s="152"/>
      <c r="CG402" s="152"/>
      <c r="CH402" s="152"/>
      <c r="CI402" s="152"/>
      <c r="CJ402" s="152"/>
      <c r="CO402" s="50"/>
      <c r="DK402" s="50"/>
      <c r="DL402" s="37"/>
      <c r="DM402" s="37"/>
      <c r="DN402" s="37"/>
      <c r="DO402" s="37"/>
      <c r="DP402" s="37"/>
      <c r="DQ402" s="37"/>
      <c r="DR402" s="37"/>
      <c r="DS402" s="37"/>
      <c r="DT402" s="37"/>
      <c r="DU402" s="37"/>
      <c r="DV402" s="37"/>
      <c r="DW402" s="37"/>
      <c r="DX402" s="37"/>
      <c r="DY402" s="37"/>
      <c r="DZ402" s="37"/>
    </row>
    <row r="403" spans="1:130" ht="12.75" hidden="1" customHeight="1" outlineLevel="1">
      <c r="A403" s="261" t="s">
        <v>307</v>
      </c>
      <c r="B403" s="310"/>
      <c r="C403" s="310"/>
      <c r="D403" s="310"/>
      <c r="E403" s="310"/>
      <c r="F403" s="310"/>
      <c r="G403" s="310"/>
      <c r="H403" s="310">
        <v>0.65</v>
      </c>
      <c r="I403" s="310"/>
      <c r="J403" s="310"/>
      <c r="K403" s="310"/>
      <c r="L403" s="310">
        <v>0.55000000000000004</v>
      </c>
      <c r="M403" s="310"/>
      <c r="N403" s="40"/>
      <c r="O403" s="40"/>
      <c r="P403" s="40"/>
      <c r="Q403" s="40"/>
      <c r="R403" s="40"/>
      <c r="S403" s="40"/>
      <c r="T403" s="40"/>
      <c r="U403" s="40"/>
      <c r="V403" s="40"/>
      <c r="W403" s="40"/>
      <c r="X403" s="40"/>
      <c r="Y403" s="40"/>
      <c r="Z403" s="40"/>
      <c r="AA403" s="40"/>
      <c r="AB403" s="206"/>
      <c r="AC403" s="152"/>
      <c r="AD403" s="152"/>
      <c r="AE403" s="152"/>
      <c r="AF403" s="152"/>
      <c r="AG403" s="152"/>
      <c r="AH403" s="152"/>
      <c r="AI403" s="152"/>
      <c r="AJ403" s="152"/>
      <c r="AK403" s="152"/>
      <c r="AL403" s="152"/>
      <c r="AM403" s="152"/>
      <c r="AN403" s="152"/>
      <c r="AO403" s="152"/>
      <c r="AP403" s="152"/>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52"/>
      <c r="BP403" s="152"/>
      <c r="BQ403" s="152"/>
      <c r="BR403" s="152"/>
      <c r="BS403" s="152"/>
      <c r="BT403" s="152"/>
      <c r="BU403" s="152"/>
      <c r="BV403" s="152"/>
      <c r="BW403" s="152"/>
      <c r="BX403" s="152"/>
      <c r="BY403" s="152"/>
      <c r="BZ403" s="152"/>
      <c r="CA403" s="152"/>
      <c r="CB403" s="152"/>
      <c r="CC403" s="152"/>
      <c r="CD403" s="152"/>
      <c r="CE403" s="152"/>
      <c r="CF403" s="152"/>
      <c r="CG403" s="152"/>
      <c r="CH403" s="152"/>
      <c r="CI403" s="152"/>
      <c r="CJ403" s="152"/>
      <c r="CO403" s="50"/>
      <c r="DK403" s="50"/>
      <c r="DL403" s="37"/>
      <c r="DM403" s="37"/>
      <c r="DN403" s="37"/>
      <c r="DO403" s="37"/>
      <c r="DP403" s="37"/>
      <c r="DQ403" s="37"/>
      <c r="DR403" s="37"/>
      <c r="DS403" s="37"/>
      <c r="DT403" s="37"/>
      <c r="DU403" s="37"/>
      <c r="DV403" s="37"/>
      <c r="DW403" s="37"/>
      <c r="DX403" s="37"/>
      <c r="DY403" s="37"/>
      <c r="DZ403" s="37"/>
    </row>
    <row r="404" spans="1:130" ht="12.75" hidden="1" customHeight="1" outlineLevel="1">
      <c r="A404" s="261" t="s">
        <v>311</v>
      </c>
      <c r="B404" s="310"/>
      <c r="C404" s="310"/>
      <c r="D404" s="310"/>
      <c r="E404" s="310"/>
      <c r="F404" s="310"/>
      <c r="G404" s="310"/>
      <c r="H404" s="310">
        <v>0.25</v>
      </c>
      <c r="I404" s="310"/>
      <c r="J404" s="310"/>
      <c r="K404" s="310"/>
      <c r="L404" s="310">
        <v>0.25</v>
      </c>
      <c r="M404" s="310"/>
      <c r="N404" s="40"/>
      <c r="O404" s="40"/>
      <c r="P404" s="40"/>
      <c r="Q404" s="40"/>
      <c r="R404" s="40"/>
      <c r="S404" s="40"/>
      <c r="T404" s="40"/>
      <c r="U404" s="40"/>
      <c r="V404" s="40"/>
      <c r="W404" s="40"/>
      <c r="X404" s="40"/>
      <c r="Y404" s="40"/>
      <c r="Z404" s="40"/>
      <c r="AA404" s="40"/>
      <c r="AB404" s="206"/>
      <c r="AC404" s="152"/>
      <c r="AD404" s="152"/>
      <c r="AE404" s="152"/>
      <c r="AF404" s="152"/>
      <c r="AG404" s="152"/>
      <c r="AH404" s="152"/>
      <c r="AI404" s="152"/>
      <c r="AJ404" s="152"/>
      <c r="AK404" s="152"/>
      <c r="AL404" s="152"/>
      <c r="AM404" s="152"/>
      <c r="AN404" s="152"/>
      <c r="AO404" s="152"/>
      <c r="AP404" s="152"/>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52"/>
      <c r="BP404" s="152"/>
      <c r="BQ404" s="152"/>
      <c r="BR404" s="152"/>
      <c r="BS404" s="152"/>
      <c r="BT404" s="152"/>
      <c r="BU404" s="152"/>
      <c r="BV404" s="152"/>
      <c r="BW404" s="152"/>
      <c r="BX404" s="152"/>
      <c r="BY404" s="152"/>
      <c r="BZ404" s="152"/>
      <c r="CA404" s="152"/>
      <c r="CB404" s="152"/>
      <c r="CC404" s="152"/>
      <c r="CD404" s="152"/>
      <c r="CE404" s="152"/>
      <c r="CF404" s="152"/>
      <c r="CG404" s="152"/>
      <c r="CH404" s="152"/>
      <c r="CI404" s="152"/>
      <c r="CJ404" s="152"/>
      <c r="CO404" s="50"/>
      <c r="DK404" s="50"/>
      <c r="DL404" s="37"/>
      <c r="DM404" s="37"/>
      <c r="DN404" s="37"/>
      <c r="DO404" s="37"/>
      <c r="DP404" s="37"/>
      <c r="DQ404" s="37"/>
      <c r="DR404" s="37"/>
      <c r="DS404" s="37"/>
      <c r="DT404" s="37"/>
      <c r="DU404" s="37"/>
      <c r="DV404" s="37"/>
      <c r="DW404" s="37"/>
      <c r="DX404" s="37"/>
      <c r="DY404" s="37"/>
      <c r="DZ404" s="37"/>
    </row>
    <row r="405" spans="1:130" ht="12.75" hidden="1" customHeight="1" outlineLevel="1">
      <c r="A405" s="261" t="s">
        <v>312</v>
      </c>
      <c r="B405" s="310"/>
      <c r="C405" s="310"/>
      <c r="D405" s="310"/>
      <c r="E405" s="310"/>
      <c r="F405" s="310"/>
      <c r="G405" s="310"/>
      <c r="H405" s="310">
        <v>0.1</v>
      </c>
      <c r="I405" s="310"/>
      <c r="J405" s="310"/>
      <c r="K405" s="310"/>
      <c r="L405" s="310">
        <v>0.2</v>
      </c>
      <c r="M405" s="311"/>
      <c r="N405" s="40"/>
      <c r="O405" s="40"/>
      <c r="P405" s="40"/>
      <c r="Q405" s="40"/>
      <c r="R405" s="40"/>
      <c r="S405" s="40"/>
      <c r="T405" s="40"/>
      <c r="U405" s="40"/>
      <c r="V405" s="40"/>
      <c r="W405" s="40"/>
      <c r="X405" s="40"/>
      <c r="Y405" s="40"/>
      <c r="Z405" s="40"/>
      <c r="AA405" s="40"/>
      <c r="AB405" s="206"/>
      <c r="AC405" s="152"/>
      <c r="AD405" s="152"/>
      <c r="AE405" s="152"/>
      <c r="AF405" s="152"/>
      <c r="AG405" s="152"/>
      <c r="AH405" s="152"/>
      <c r="AI405" s="152"/>
      <c r="AJ405" s="152"/>
      <c r="AK405" s="152"/>
      <c r="AL405" s="152"/>
      <c r="AM405" s="152"/>
      <c r="AN405" s="152"/>
      <c r="AO405" s="152"/>
      <c r="AP405" s="152"/>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52"/>
      <c r="BP405" s="152"/>
      <c r="BQ405" s="152"/>
      <c r="BR405" s="152"/>
      <c r="BS405" s="152"/>
      <c r="BT405" s="152"/>
      <c r="BU405" s="152"/>
      <c r="BV405" s="152"/>
      <c r="BW405" s="152"/>
      <c r="BX405" s="152"/>
      <c r="BY405" s="152"/>
      <c r="BZ405" s="152"/>
      <c r="CA405" s="152"/>
      <c r="CB405" s="152"/>
      <c r="CC405" s="152"/>
      <c r="CD405" s="152"/>
      <c r="CE405" s="152"/>
      <c r="CF405" s="152"/>
      <c r="CG405" s="152"/>
      <c r="CH405" s="152"/>
      <c r="CI405" s="152"/>
      <c r="CJ405" s="152"/>
      <c r="CO405" s="50"/>
      <c r="DK405" s="50"/>
      <c r="DL405" s="37"/>
      <c r="DM405" s="37"/>
      <c r="DN405" s="37"/>
      <c r="DO405" s="37"/>
      <c r="DP405" s="37"/>
      <c r="DQ405" s="37"/>
      <c r="DR405" s="37"/>
      <c r="DS405" s="37"/>
      <c r="DT405" s="37"/>
      <c r="DU405" s="37"/>
      <c r="DV405" s="37"/>
      <c r="DW405" s="37"/>
      <c r="DX405" s="37"/>
      <c r="DY405" s="37"/>
      <c r="DZ405" s="37"/>
    </row>
    <row r="406" spans="1:130" ht="12.75" hidden="1" customHeight="1" outlineLevel="1">
      <c r="A406" s="35"/>
      <c r="B406" s="162"/>
      <c r="C406" s="162"/>
      <c r="D406" s="162"/>
      <c r="E406" s="162"/>
      <c r="F406" s="162"/>
      <c r="G406" s="162"/>
      <c r="H406" s="162"/>
      <c r="I406" s="162"/>
      <c r="J406" s="162"/>
      <c r="K406" s="162"/>
      <c r="L406" s="162"/>
      <c r="M406" s="162"/>
      <c r="N406" s="35"/>
      <c r="O406" s="35"/>
      <c r="P406" s="35"/>
      <c r="Q406" s="35"/>
      <c r="R406" s="35"/>
      <c r="S406" s="35"/>
      <c r="T406" s="35"/>
      <c r="U406" s="35"/>
      <c r="V406" s="35"/>
      <c r="W406" s="35"/>
      <c r="X406" s="35"/>
      <c r="Y406" s="35"/>
      <c r="Z406" s="35"/>
      <c r="AA406" s="35"/>
      <c r="AB406" s="42"/>
      <c r="AC406" s="42"/>
      <c r="AD406" s="42"/>
      <c r="AE406" s="42"/>
      <c r="AF406" s="42"/>
      <c r="AG406" s="42"/>
      <c r="AH406" s="42"/>
      <c r="AI406" s="42"/>
      <c r="AJ406" s="42"/>
      <c r="AK406" s="42"/>
      <c r="AL406" s="42"/>
      <c r="AM406" s="42"/>
      <c r="AN406" s="42"/>
      <c r="AO406" s="42"/>
      <c r="AP406" s="42"/>
      <c r="AQ406" s="42"/>
      <c r="AR406" s="42"/>
      <c r="AS406" s="42"/>
      <c r="AT406" s="42"/>
      <c r="AU406" s="42"/>
      <c r="AV406" s="42"/>
      <c r="AW406" s="42"/>
      <c r="AX406" s="42"/>
      <c r="AY406" s="42"/>
      <c r="AZ406" s="42"/>
      <c r="BA406" s="42"/>
      <c r="BB406" s="42"/>
      <c r="BC406" s="42"/>
      <c r="BD406" s="42"/>
      <c r="BE406" s="42"/>
      <c r="BF406" s="37"/>
      <c r="BG406" s="37"/>
      <c r="BH406" s="37"/>
      <c r="BI406" s="37"/>
      <c r="BJ406" s="37"/>
      <c r="BK406" s="37"/>
      <c r="BL406" s="37"/>
      <c r="BM406" s="37"/>
      <c r="BN406" s="37"/>
      <c r="BO406" s="37"/>
      <c r="BP406" s="37"/>
      <c r="BQ406" s="37"/>
      <c r="BR406" s="37"/>
      <c r="BS406" s="37"/>
      <c r="BT406" s="37"/>
      <c r="BU406" s="37"/>
      <c r="BV406" s="37"/>
      <c r="BW406" s="37"/>
      <c r="BX406" s="37"/>
      <c r="BY406" s="37"/>
      <c r="BZ406" s="37"/>
      <c r="CA406" s="37"/>
      <c r="CB406" s="37"/>
      <c r="CC406" s="37"/>
      <c r="CD406" s="37"/>
      <c r="CE406" s="37"/>
      <c r="CF406" s="37"/>
      <c r="CG406" s="37"/>
      <c r="CH406" s="37"/>
      <c r="CI406" s="37"/>
      <c r="CJ406" s="37"/>
      <c r="CO406" s="37"/>
      <c r="DK406" s="37"/>
      <c r="DL406" s="37"/>
      <c r="DM406" s="37"/>
      <c r="DN406" s="37"/>
      <c r="DO406" s="37"/>
      <c r="DP406" s="37"/>
      <c r="DQ406" s="37"/>
      <c r="DR406" s="37"/>
      <c r="DS406" s="37"/>
      <c r="DT406" s="37"/>
      <c r="DU406" s="37"/>
      <c r="DV406" s="37"/>
      <c r="DW406" s="37"/>
      <c r="DX406" s="37"/>
      <c r="DY406" s="37"/>
      <c r="DZ406" s="37"/>
    </row>
    <row r="407" spans="1:130" ht="12.75" hidden="1" customHeight="1" outlineLevel="1">
      <c r="A407" s="35"/>
      <c r="B407" s="162"/>
      <c r="C407" s="162"/>
      <c r="D407" s="162"/>
      <c r="E407" s="162"/>
      <c r="F407" s="162"/>
      <c r="G407" s="162"/>
      <c r="H407" s="162"/>
      <c r="I407" s="162"/>
      <c r="J407" s="162"/>
      <c r="K407" s="162"/>
      <c r="L407" s="162"/>
      <c r="M407" s="162"/>
      <c r="N407" s="35"/>
      <c r="O407" s="35"/>
      <c r="P407" s="35"/>
      <c r="Q407" s="35"/>
      <c r="R407" s="35"/>
      <c r="S407" s="35"/>
      <c r="T407" s="35"/>
      <c r="U407" s="35"/>
      <c r="V407" s="35"/>
      <c r="W407" s="35"/>
      <c r="X407" s="35"/>
      <c r="Y407" s="35"/>
      <c r="Z407" s="35"/>
      <c r="AA407" s="35"/>
      <c r="AB407" s="42"/>
      <c r="AC407" s="42"/>
      <c r="AD407" s="42"/>
      <c r="AE407" s="42"/>
      <c r="AF407" s="42"/>
      <c r="AG407" s="42"/>
      <c r="AH407" s="42"/>
      <c r="AI407" s="42"/>
      <c r="AJ407" s="42"/>
      <c r="AK407" s="42"/>
      <c r="AL407" s="42"/>
      <c r="AM407" s="42"/>
      <c r="AN407" s="42"/>
      <c r="AO407" s="42"/>
      <c r="AP407" s="42"/>
      <c r="AQ407" s="42"/>
      <c r="AR407" s="42"/>
      <c r="AS407" s="42"/>
      <c r="AT407" s="42"/>
      <c r="AU407" s="42"/>
      <c r="AV407" s="42"/>
      <c r="AW407" s="42"/>
      <c r="AX407" s="42"/>
      <c r="AY407" s="42"/>
      <c r="AZ407" s="42"/>
      <c r="BA407" s="42"/>
      <c r="BB407" s="42"/>
      <c r="BC407" s="42"/>
      <c r="BD407" s="42"/>
      <c r="BE407" s="42"/>
      <c r="BF407" s="37"/>
      <c r="BG407" s="37"/>
      <c r="BH407" s="37"/>
      <c r="BI407" s="37"/>
      <c r="BJ407" s="37"/>
      <c r="BK407" s="37"/>
      <c r="BL407" s="37"/>
      <c r="BM407" s="37"/>
      <c r="BN407" s="37"/>
      <c r="BO407" s="37"/>
      <c r="BP407" s="37"/>
      <c r="BQ407" s="37"/>
      <c r="BR407" s="37"/>
      <c r="BS407" s="37"/>
      <c r="BT407" s="37"/>
      <c r="BU407" s="37"/>
      <c r="BV407" s="37"/>
      <c r="BW407" s="37"/>
      <c r="BX407" s="37"/>
      <c r="BY407" s="37"/>
      <c r="BZ407" s="37"/>
      <c r="CA407" s="37"/>
      <c r="CB407" s="37"/>
      <c r="CC407" s="37"/>
      <c r="CD407" s="37"/>
      <c r="CE407" s="37"/>
      <c r="CF407" s="37"/>
      <c r="CG407" s="37"/>
      <c r="CH407" s="37"/>
      <c r="CI407" s="37"/>
      <c r="CJ407" s="37"/>
      <c r="CO407" s="37"/>
      <c r="DK407" s="37"/>
      <c r="DL407" s="37"/>
      <c r="DM407" s="37"/>
      <c r="DN407" s="37"/>
      <c r="DO407" s="37"/>
      <c r="DP407" s="37"/>
      <c r="DQ407" s="37"/>
      <c r="DR407" s="37"/>
      <c r="DS407" s="37"/>
      <c r="DT407" s="37"/>
      <c r="DU407" s="37"/>
      <c r="DV407" s="37"/>
      <c r="DW407" s="37"/>
      <c r="DX407" s="37"/>
      <c r="DY407" s="37"/>
      <c r="DZ407" s="37"/>
    </row>
    <row r="408" spans="1:130" ht="12.75" hidden="1" customHeight="1" outlineLevel="1">
      <c r="A408" s="35"/>
      <c r="B408" s="162"/>
      <c r="C408" s="162"/>
      <c r="D408" s="162"/>
      <c r="E408" s="162"/>
      <c r="F408" s="162"/>
      <c r="G408" s="162"/>
      <c r="H408" s="162"/>
      <c r="I408" s="162"/>
      <c r="J408" s="162"/>
      <c r="K408" s="162"/>
      <c r="L408" s="162"/>
      <c r="M408" s="162"/>
      <c r="N408" s="35"/>
      <c r="O408" s="35"/>
      <c r="P408" s="35"/>
      <c r="Q408" s="35"/>
      <c r="R408" s="35"/>
      <c r="S408" s="35"/>
      <c r="T408" s="35"/>
      <c r="U408" s="35"/>
      <c r="V408" s="35"/>
      <c r="W408" s="35"/>
      <c r="X408" s="35"/>
      <c r="Y408" s="35"/>
      <c r="Z408" s="35"/>
      <c r="AA408" s="35"/>
      <c r="AB408" s="42"/>
      <c r="AC408" s="42"/>
      <c r="AD408" s="42"/>
      <c r="AE408" s="42"/>
      <c r="AF408" s="42"/>
      <c r="AG408" s="42"/>
      <c r="AH408" s="42"/>
      <c r="AI408" s="42"/>
      <c r="AJ408" s="42"/>
      <c r="AK408" s="42"/>
      <c r="AL408" s="42"/>
      <c r="AM408" s="42"/>
      <c r="AN408" s="42"/>
      <c r="AO408" s="42"/>
      <c r="AP408" s="42"/>
      <c r="AQ408" s="42"/>
      <c r="AR408" s="42"/>
      <c r="AS408" s="42"/>
      <c r="AT408" s="42"/>
      <c r="AU408" s="42"/>
      <c r="AV408" s="42"/>
      <c r="AW408" s="42"/>
      <c r="AX408" s="42"/>
      <c r="AY408" s="42"/>
      <c r="AZ408" s="42"/>
      <c r="BA408" s="42"/>
      <c r="BB408" s="42"/>
      <c r="BC408" s="42"/>
      <c r="BD408" s="42"/>
      <c r="BE408" s="42"/>
      <c r="BF408" s="37"/>
      <c r="BG408" s="37"/>
      <c r="BH408" s="37"/>
      <c r="BI408" s="37"/>
      <c r="BJ408" s="37"/>
      <c r="BK408" s="37"/>
      <c r="BL408" s="37"/>
      <c r="BM408" s="37"/>
      <c r="BN408" s="37"/>
      <c r="BO408" s="37"/>
      <c r="BP408" s="37"/>
      <c r="BQ408" s="37"/>
      <c r="BR408" s="37"/>
      <c r="BS408" s="37"/>
      <c r="BT408" s="37"/>
      <c r="BU408" s="37"/>
      <c r="BV408" s="37"/>
      <c r="BW408" s="37"/>
      <c r="BX408" s="37"/>
      <c r="BY408" s="37"/>
      <c r="BZ408" s="37"/>
      <c r="CA408" s="37"/>
      <c r="CB408" s="37"/>
      <c r="CC408" s="37"/>
      <c r="CD408" s="37"/>
      <c r="CE408" s="37"/>
      <c r="CF408" s="37"/>
      <c r="CG408" s="37"/>
      <c r="CH408" s="37"/>
      <c r="CI408" s="37"/>
      <c r="CJ408" s="37"/>
      <c r="CO408" s="37"/>
      <c r="DK408" s="37"/>
      <c r="DL408" s="37"/>
      <c r="DM408" s="37"/>
      <c r="DN408" s="37"/>
      <c r="DO408" s="37"/>
      <c r="DP408" s="37"/>
      <c r="DQ408" s="37"/>
      <c r="DR408" s="37"/>
      <c r="DS408" s="37"/>
      <c r="DT408" s="37"/>
      <c r="DU408" s="37"/>
      <c r="DV408" s="37"/>
      <c r="DW408" s="37"/>
      <c r="DX408" s="37"/>
      <c r="DY408" s="37"/>
      <c r="DZ408" s="37"/>
    </row>
    <row r="409" spans="1:130" ht="12.75" hidden="1" customHeight="1" outlineLevel="1">
      <c r="A409" s="35" t="s">
        <v>75</v>
      </c>
      <c r="B409" s="162"/>
      <c r="C409" s="162"/>
      <c r="D409" s="162"/>
      <c r="E409" s="162"/>
      <c r="F409" s="162"/>
      <c r="G409" s="162"/>
      <c r="H409" s="162"/>
      <c r="I409" s="162">
        <v>1100</v>
      </c>
      <c r="J409" s="162">
        <v>400</v>
      </c>
      <c r="K409" s="162">
        <f t="shared" ref="K409:K416" si="316">SUM(I409:J409)</f>
        <v>1500</v>
      </c>
      <c r="L409" s="162">
        <f>K409*1.25</f>
        <v>1875</v>
      </c>
      <c r="M409" s="162">
        <f>L409*1.15</f>
        <v>2156.25</v>
      </c>
      <c r="N409" s="35"/>
      <c r="O409" s="35"/>
      <c r="P409" s="35"/>
      <c r="Q409" s="35"/>
      <c r="R409" s="35"/>
      <c r="S409" s="35"/>
      <c r="T409" s="35"/>
      <c r="U409" s="35"/>
      <c r="V409" s="35"/>
      <c r="W409" s="35"/>
      <c r="X409" s="35"/>
      <c r="Y409" s="35"/>
      <c r="Z409" s="35"/>
      <c r="AA409" s="35"/>
      <c r="AB409" s="42"/>
      <c r="AC409" s="42"/>
      <c r="AD409" s="42"/>
      <c r="AE409" s="42"/>
      <c r="AF409" s="42"/>
      <c r="AG409" s="42"/>
      <c r="AH409" s="42"/>
      <c r="AI409" s="42"/>
      <c r="AJ409" s="42"/>
      <c r="AK409" s="42"/>
      <c r="AL409" s="42"/>
      <c r="AM409" s="42"/>
      <c r="AN409" s="42"/>
      <c r="AO409" s="42"/>
      <c r="AP409" s="42"/>
      <c r="AQ409" s="42"/>
      <c r="AR409" s="42"/>
      <c r="AS409" s="42"/>
      <c r="AT409" s="42"/>
      <c r="AU409" s="42"/>
      <c r="AV409" s="42"/>
      <c r="AW409" s="42"/>
      <c r="AX409" s="42"/>
      <c r="AY409" s="42"/>
      <c r="AZ409" s="42"/>
      <c r="BA409" s="42"/>
      <c r="BB409" s="42"/>
      <c r="BC409" s="42"/>
      <c r="BD409" s="42"/>
      <c r="BE409" s="42"/>
      <c r="BF409" s="37"/>
      <c r="BG409" s="37"/>
      <c r="BH409" s="37"/>
      <c r="BI409" s="37"/>
      <c r="BJ409" s="37"/>
      <c r="BK409" s="37"/>
      <c r="BL409" s="37"/>
      <c r="BM409" s="37"/>
      <c r="BN409" s="37"/>
      <c r="BO409" s="37"/>
      <c r="BP409" s="37"/>
      <c r="BQ409" s="37"/>
      <c r="BR409" s="37"/>
      <c r="BS409" s="37"/>
      <c r="BT409" s="37"/>
      <c r="BU409" s="37"/>
      <c r="BV409" s="37"/>
      <c r="BW409" s="37"/>
      <c r="BX409" s="37"/>
      <c r="BY409" s="37"/>
      <c r="BZ409" s="37"/>
      <c r="CA409" s="37"/>
      <c r="CB409" s="37"/>
      <c r="CC409" s="37"/>
      <c r="CD409" s="37"/>
      <c r="CE409" s="37"/>
      <c r="CF409" s="37"/>
      <c r="CG409" s="37"/>
      <c r="CH409" s="37"/>
      <c r="CI409" s="37"/>
      <c r="CJ409" s="37"/>
      <c r="CO409" s="37"/>
      <c r="DK409" s="37"/>
      <c r="DL409" s="37"/>
      <c r="DM409" s="37"/>
      <c r="DN409" s="37"/>
      <c r="DO409" s="37"/>
      <c r="DP409" s="37"/>
      <c r="DQ409" s="37"/>
      <c r="DR409" s="37"/>
      <c r="DS409" s="37"/>
      <c r="DT409" s="37"/>
      <c r="DU409" s="37"/>
      <c r="DV409" s="37"/>
      <c r="DW409" s="37"/>
      <c r="DX409" s="37"/>
      <c r="DY409" s="37"/>
      <c r="DZ409" s="37"/>
    </row>
    <row r="410" spans="1:130" ht="12.75" hidden="1" customHeight="1" outlineLevel="1">
      <c r="A410" s="35" t="s">
        <v>79</v>
      </c>
      <c r="B410" s="162"/>
      <c r="C410" s="162"/>
      <c r="D410" s="162"/>
      <c r="E410" s="162"/>
      <c r="F410" s="162"/>
      <c r="G410" s="162"/>
      <c r="H410" s="162"/>
      <c r="I410" s="162">
        <v>800</v>
      </c>
      <c r="J410" s="162">
        <v>200</v>
      </c>
      <c r="K410" s="162">
        <f t="shared" si="316"/>
        <v>1000</v>
      </c>
      <c r="L410" s="162">
        <f>K410*1.085</f>
        <v>1085</v>
      </c>
      <c r="M410" s="162">
        <f>L410*1.2</f>
        <v>1302</v>
      </c>
      <c r="N410" s="312">
        <f>SUM(L409:L412)*0.19-(M409-L409)-(M412-L412)</f>
        <v>300.85000000000002</v>
      </c>
      <c r="O410" s="35"/>
      <c r="P410" s="35"/>
      <c r="Q410" s="35"/>
      <c r="R410" s="35"/>
      <c r="S410" s="35"/>
      <c r="T410" s="35"/>
      <c r="U410" s="35"/>
      <c r="V410" s="35"/>
      <c r="W410" s="35"/>
      <c r="X410" s="35"/>
      <c r="Y410" s="35"/>
      <c r="Z410" s="35"/>
      <c r="AA410" s="35"/>
      <c r="AB410" s="42"/>
      <c r="AC410" s="42"/>
      <c r="AD410" s="42"/>
      <c r="AE410" s="42"/>
      <c r="AF410" s="42"/>
      <c r="AG410" s="42"/>
      <c r="AH410" s="42"/>
      <c r="AI410" s="42"/>
      <c r="AJ410" s="42"/>
      <c r="AK410" s="42"/>
      <c r="AL410" s="42"/>
      <c r="AM410" s="42"/>
      <c r="AN410" s="42"/>
      <c r="AO410" s="42"/>
      <c r="AP410" s="42"/>
      <c r="AQ410" s="42"/>
      <c r="AR410" s="42"/>
      <c r="AS410" s="42"/>
      <c r="AT410" s="42"/>
      <c r="AU410" s="42"/>
      <c r="AV410" s="42"/>
      <c r="AW410" s="42"/>
      <c r="AX410" s="42"/>
      <c r="AY410" s="42"/>
      <c r="AZ410" s="42"/>
      <c r="BA410" s="42"/>
      <c r="BB410" s="42"/>
      <c r="BC410" s="42"/>
      <c r="BD410" s="42"/>
      <c r="BE410" s="42"/>
      <c r="BF410" s="37"/>
      <c r="BG410" s="37"/>
      <c r="BH410" s="37"/>
      <c r="BI410" s="37"/>
      <c r="BJ410" s="37"/>
      <c r="BK410" s="37"/>
      <c r="BL410" s="37"/>
      <c r="BM410" s="37"/>
      <c r="BN410" s="37"/>
      <c r="BO410" s="37"/>
      <c r="BP410" s="37"/>
      <c r="BQ410" s="37"/>
      <c r="BR410" s="37"/>
      <c r="BS410" s="37"/>
      <c r="BT410" s="37"/>
      <c r="BU410" s="37"/>
      <c r="BV410" s="37"/>
      <c r="BW410" s="37"/>
      <c r="BX410" s="37"/>
      <c r="BY410" s="37"/>
      <c r="BZ410" s="37"/>
      <c r="CA410" s="37"/>
      <c r="CB410" s="37"/>
      <c r="CC410" s="37"/>
      <c r="CD410" s="37"/>
      <c r="CE410" s="37"/>
      <c r="CF410" s="37"/>
      <c r="CG410" s="37"/>
      <c r="CH410" s="37"/>
      <c r="CI410" s="37"/>
      <c r="CJ410" s="37"/>
      <c r="CO410" s="37"/>
      <c r="DK410" s="37"/>
      <c r="DL410" s="37"/>
      <c r="DM410" s="37"/>
      <c r="DN410" s="37"/>
      <c r="DO410" s="37"/>
      <c r="DP410" s="37"/>
      <c r="DQ410" s="37"/>
      <c r="DR410" s="37"/>
      <c r="DS410" s="37"/>
      <c r="DT410" s="37"/>
      <c r="DU410" s="37"/>
      <c r="DV410" s="37"/>
      <c r="DW410" s="37"/>
      <c r="DX410" s="37"/>
      <c r="DY410" s="37"/>
      <c r="DZ410" s="37"/>
    </row>
    <row r="411" spans="1:130" ht="12.75" hidden="1" customHeight="1" outlineLevel="1">
      <c r="A411" s="35" t="s">
        <v>86</v>
      </c>
      <c r="B411" s="162"/>
      <c r="C411" s="162"/>
      <c r="D411" s="162"/>
      <c r="E411" s="162"/>
      <c r="F411" s="162"/>
      <c r="G411" s="162"/>
      <c r="H411" s="162"/>
      <c r="I411" s="162">
        <v>0</v>
      </c>
      <c r="J411" s="162">
        <v>400</v>
      </c>
      <c r="K411" s="162">
        <f t="shared" si="316"/>
        <v>400</v>
      </c>
      <c r="L411" s="162">
        <f>K411*1.2</f>
        <v>480</v>
      </c>
      <c r="M411" s="162">
        <f>SUM(L409:L412)*1.19-SUM(M409,M410,M412)</f>
        <v>563.84999999999945</v>
      </c>
      <c r="N411" s="35">
        <f>+M411*1.3</f>
        <v>733.00499999999931</v>
      </c>
      <c r="O411" s="35"/>
      <c r="P411" s="35"/>
      <c r="Q411" s="35"/>
      <c r="R411" s="35"/>
      <c r="S411" s="35"/>
      <c r="T411" s="35"/>
      <c r="U411" s="35"/>
      <c r="V411" s="35"/>
      <c r="W411" s="35"/>
      <c r="X411" s="35"/>
      <c r="Y411" s="35"/>
      <c r="Z411" s="35"/>
      <c r="AA411" s="35"/>
      <c r="AB411" s="42"/>
      <c r="AC411" s="42"/>
      <c r="AD411" s="42"/>
      <c r="AE411" s="42"/>
      <c r="AF411" s="42"/>
      <c r="AG411" s="42"/>
      <c r="AH411" s="42"/>
      <c r="AI411" s="42"/>
      <c r="AJ411" s="42"/>
      <c r="AK411" s="42"/>
      <c r="AL411" s="42"/>
      <c r="AM411" s="42"/>
      <c r="AN411" s="42"/>
      <c r="AO411" s="42"/>
      <c r="AP411" s="42"/>
      <c r="AQ411" s="42"/>
      <c r="AR411" s="42"/>
      <c r="AS411" s="42"/>
      <c r="AT411" s="42"/>
      <c r="AU411" s="42"/>
      <c r="AV411" s="42"/>
      <c r="AW411" s="42"/>
      <c r="AX411" s="42"/>
      <c r="AY411" s="42"/>
      <c r="AZ411" s="42"/>
      <c r="BA411" s="42"/>
      <c r="BB411" s="42"/>
      <c r="BC411" s="42"/>
      <c r="BD411" s="42"/>
      <c r="BE411" s="42"/>
      <c r="BF411" s="37"/>
      <c r="BG411" s="37"/>
      <c r="BH411" s="37"/>
      <c r="BI411" s="37"/>
      <c r="BJ411" s="37"/>
      <c r="BK411" s="37"/>
      <c r="BL411" s="37"/>
      <c r="BM411" s="37"/>
      <c r="BN411" s="37"/>
      <c r="BO411" s="37"/>
      <c r="BP411" s="37"/>
      <c r="BQ411" s="37"/>
      <c r="BR411" s="37"/>
      <c r="BS411" s="37"/>
      <c r="BT411" s="37"/>
      <c r="BU411" s="37"/>
      <c r="BV411" s="37"/>
      <c r="BW411" s="37"/>
      <c r="BX411" s="37"/>
      <c r="BY411" s="37"/>
      <c r="BZ411" s="37"/>
      <c r="CA411" s="37"/>
      <c r="CB411" s="37"/>
      <c r="CC411" s="37"/>
      <c r="CD411" s="37"/>
      <c r="CE411" s="37"/>
      <c r="CF411" s="37"/>
      <c r="CG411" s="37"/>
      <c r="CH411" s="37"/>
      <c r="CI411" s="37"/>
      <c r="CJ411" s="37"/>
      <c r="CO411" s="37"/>
      <c r="DK411" s="37"/>
      <c r="DL411" s="37"/>
      <c r="DM411" s="37"/>
      <c r="DN411" s="37"/>
      <c r="DO411" s="37"/>
      <c r="DP411" s="37"/>
      <c r="DQ411" s="37"/>
      <c r="DR411" s="37"/>
      <c r="DS411" s="37"/>
      <c r="DT411" s="37"/>
      <c r="DU411" s="37"/>
      <c r="DV411" s="37"/>
      <c r="DW411" s="37"/>
      <c r="DX411" s="37"/>
      <c r="DY411" s="37"/>
      <c r="DZ411" s="37"/>
    </row>
    <row r="412" spans="1:130" ht="12.75" hidden="1" customHeight="1" outlineLevel="1">
      <c r="A412" s="35" t="s">
        <v>83</v>
      </c>
      <c r="B412" s="162"/>
      <c r="C412" s="162"/>
      <c r="D412" s="162"/>
      <c r="E412" s="162"/>
      <c r="F412" s="162"/>
      <c r="G412" s="162"/>
      <c r="H412" s="162"/>
      <c r="I412" s="162">
        <v>450</v>
      </c>
      <c r="J412" s="162">
        <v>50</v>
      </c>
      <c r="K412" s="162">
        <f t="shared" si="316"/>
        <v>500</v>
      </c>
      <c r="L412" s="162">
        <f>K412*1.3</f>
        <v>650</v>
      </c>
      <c r="M412" s="162">
        <f>L412*1.3</f>
        <v>845</v>
      </c>
      <c r="N412" s="35">
        <f>+M412*1.25</f>
        <v>1056.25</v>
      </c>
      <c r="O412" s="35"/>
      <c r="P412" s="35"/>
      <c r="Q412" s="35"/>
      <c r="R412" s="35"/>
      <c r="S412" s="35"/>
      <c r="T412" s="35"/>
      <c r="U412" s="35"/>
      <c r="V412" s="35"/>
      <c r="W412" s="35"/>
      <c r="X412" s="35"/>
      <c r="Y412" s="35"/>
      <c r="Z412" s="35"/>
      <c r="AA412" s="35"/>
      <c r="AB412" s="42"/>
      <c r="AC412" s="42"/>
      <c r="AD412" s="42"/>
      <c r="AE412" s="42"/>
      <c r="AF412" s="42"/>
      <c r="AG412" s="42"/>
      <c r="AH412" s="42"/>
      <c r="AI412" s="42"/>
      <c r="AJ412" s="42"/>
      <c r="AK412" s="42"/>
      <c r="AL412" s="42"/>
      <c r="AM412" s="42"/>
      <c r="AN412" s="42"/>
      <c r="AO412" s="42"/>
      <c r="AP412" s="42"/>
      <c r="AQ412" s="42"/>
      <c r="AR412" s="42"/>
      <c r="AS412" s="42"/>
      <c r="AT412" s="42"/>
      <c r="AU412" s="42"/>
      <c r="AV412" s="42"/>
      <c r="AW412" s="42"/>
      <c r="AX412" s="42"/>
      <c r="AY412" s="42"/>
      <c r="AZ412" s="42"/>
      <c r="BA412" s="42"/>
      <c r="BB412" s="42"/>
      <c r="BC412" s="42"/>
      <c r="BD412" s="42"/>
      <c r="BE412" s="42"/>
      <c r="BF412" s="37"/>
      <c r="BG412" s="37"/>
      <c r="BH412" s="37"/>
      <c r="BI412" s="37"/>
      <c r="BJ412" s="37"/>
      <c r="BK412" s="37"/>
      <c r="BL412" s="37"/>
      <c r="BM412" s="37"/>
      <c r="BN412" s="37"/>
      <c r="BO412" s="37"/>
      <c r="BP412" s="37"/>
      <c r="BQ412" s="37"/>
      <c r="BR412" s="37"/>
      <c r="BS412" s="37"/>
      <c r="BT412" s="37"/>
      <c r="BU412" s="37"/>
      <c r="BV412" s="37"/>
      <c r="BW412" s="37"/>
      <c r="BX412" s="37"/>
      <c r="BY412" s="37"/>
      <c r="BZ412" s="37"/>
      <c r="CA412" s="37"/>
      <c r="CB412" s="37"/>
      <c r="CC412" s="37"/>
      <c r="CD412" s="37"/>
      <c r="CE412" s="37"/>
      <c r="CF412" s="37"/>
      <c r="CG412" s="37"/>
      <c r="CH412" s="37"/>
      <c r="CI412" s="37"/>
      <c r="CJ412" s="37"/>
      <c r="CO412" s="37"/>
      <c r="DK412" s="37"/>
      <c r="DL412" s="37"/>
      <c r="DM412" s="37"/>
      <c r="DN412" s="37"/>
      <c r="DO412" s="37"/>
      <c r="DP412" s="37"/>
      <c r="DQ412" s="37"/>
      <c r="DR412" s="37"/>
      <c r="DS412" s="37"/>
      <c r="DT412" s="37"/>
      <c r="DU412" s="37"/>
      <c r="DV412" s="37"/>
      <c r="DW412" s="37"/>
      <c r="DX412" s="37"/>
      <c r="DY412" s="37"/>
      <c r="DZ412" s="37"/>
    </row>
    <row r="413" spans="1:130" ht="12.75" hidden="1" customHeight="1" outlineLevel="1">
      <c r="A413" s="35" t="s">
        <v>313</v>
      </c>
      <c r="B413" s="162"/>
      <c r="C413" s="162"/>
      <c r="D413" s="162"/>
      <c r="E413" s="162"/>
      <c r="F413" s="162"/>
      <c r="G413" s="162"/>
      <c r="H413" s="162"/>
      <c r="I413" s="162">
        <v>325</v>
      </c>
      <c r="J413" s="162">
        <v>500</v>
      </c>
      <c r="K413" s="162">
        <f t="shared" si="316"/>
        <v>825</v>
      </c>
      <c r="L413" s="162">
        <f>K413*1.2</f>
        <v>990</v>
      </c>
      <c r="M413" s="162"/>
      <c r="N413" s="35"/>
      <c r="O413" s="35"/>
      <c r="P413" s="35"/>
      <c r="Q413" s="35"/>
      <c r="R413" s="35"/>
      <c r="S413" s="35"/>
      <c r="T413" s="35"/>
      <c r="U413" s="35"/>
      <c r="V413" s="35"/>
      <c r="W413" s="35"/>
      <c r="X413" s="35"/>
      <c r="Y413" s="35"/>
      <c r="Z413" s="35"/>
      <c r="AA413" s="35"/>
      <c r="AB413" s="42"/>
      <c r="AC413" s="42"/>
      <c r="AD413" s="42"/>
      <c r="AE413" s="42"/>
      <c r="AF413" s="42"/>
      <c r="AG413" s="42"/>
      <c r="AH413" s="42"/>
      <c r="AI413" s="42"/>
      <c r="AJ413" s="42"/>
      <c r="AK413" s="42"/>
      <c r="AL413" s="42"/>
      <c r="AM413" s="42"/>
      <c r="AN413" s="42"/>
      <c r="AO413" s="42"/>
      <c r="AP413" s="42"/>
      <c r="AQ413" s="42"/>
      <c r="AR413" s="42"/>
      <c r="AS413" s="42"/>
      <c r="AT413" s="42"/>
      <c r="AU413" s="42"/>
      <c r="AV413" s="42"/>
      <c r="AW413" s="42"/>
      <c r="AX413" s="42"/>
      <c r="AY413" s="42"/>
      <c r="AZ413" s="42"/>
      <c r="BA413" s="42"/>
      <c r="BB413" s="42"/>
      <c r="BC413" s="42"/>
      <c r="BD413" s="42"/>
      <c r="BE413" s="42"/>
      <c r="BF413" s="37"/>
      <c r="BG413" s="37"/>
      <c r="BH413" s="37"/>
      <c r="BI413" s="37"/>
      <c r="BJ413" s="37"/>
      <c r="BK413" s="37"/>
      <c r="BL413" s="37"/>
      <c r="BM413" s="37"/>
      <c r="BN413" s="37"/>
      <c r="BO413" s="37"/>
      <c r="BP413" s="37"/>
      <c r="BQ413" s="37"/>
      <c r="BR413" s="37"/>
      <c r="BS413" s="37"/>
      <c r="BT413" s="37"/>
      <c r="BU413" s="37"/>
      <c r="BV413" s="37"/>
      <c r="BW413" s="37"/>
      <c r="BX413" s="37"/>
      <c r="BY413" s="37"/>
      <c r="BZ413" s="37"/>
      <c r="CA413" s="37"/>
      <c r="CB413" s="37"/>
      <c r="CC413" s="37"/>
      <c r="CD413" s="37"/>
      <c r="CE413" s="37"/>
      <c r="CF413" s="37"/>
      <c r="CG413" s="37"/>
      <c r="CH413" s="37"/>
      <c r="CI413" s="37"/>
      <c r="CJ413" s="37"/>
      <c r="CO413" s="37"/>
      <c r="DK413" s="37"/>
      <c r="DL413" s="37"/>
      <c r="DM413" s="37"/>
      <c r="DN413" s="37"/>
      <c r="DO413" s="37"/>
      <c r="DP413" s="37"/>
      <c r="DQ413" s="37"/>
      <c r="DR413" s="37"/>
      <c r="DS413" s="37"/>
      <c r="DT413" s="37"/>
      <c r="DU413" s="37"/>
      <c r="DV413" s="37"/>
      <c r="DW413" s="37"/>
      <c r="DX413" s="37"/>
      <c r="DY413" s="37"/>
      <c r="DZ413" s="37"/>
    </row>
    <row r="414" spans="1:130" ht="12.75" hidden="1" customHeight="1" outlineLevel="1">
      <c r="A414" s="35" t="s">
        <v>314</v>
      </c>
      <c r="B414" s="162"/>
      <c r="C414" s="162"/>
      <c r="D414" s="162"/>
      <c r="E414" s="162"/>
      <c r="F414" s="162"/>
      <c r="G414" s="162"/>
      <c r="H414" s="162"/>
      <c r="I414" s="162">
        <v>400</v>
      </c>
      <c r="J414" s="162">
        <v>100</v>
      </c>
      <c r="K414" s="162">
        <f t="shared" si="316"/>
        <v>500</v>
      </c>
      <c r="L414" s="162">
        <f>K414*1.2</f>
        <v>600</v>
      </c>
      <c r="M414" s="162"/>
      <c r="N414" s="35"/>
      <c r="O414" s="35"/>
      <c r="P414" s="35"/>
      <c r="Q414" s="35"/>
      <c r="R414" s="35"/>
      <c r="S414" s="35"/>
      <c r="T414" s="35"/>
      <c r="U414" s="35"/>
      <c r="V414" s="35"/>
      <c r="W414" s="35"/>
      <c r="X414" s="35"/>
      <c r="Y414" s="35"/>
      <c r="Z414" s="35"/>
      <c r="AA414" s="35"/>
      <c r="AB414" s="42"/>
      <c r="AC414" s="42"/>
      <c r="AD414" s="42"/>
      <c r="AE414" s="42"/>
      <c r="AF414" s="42"/>
      <c r="AG414" s="42"/>
      <c r="AH414" s="42"/>
      <c r="AI414" s="42"/>
      <c r="AJ414" s="42"/>
      <c r="AK414" s="42"/>
      <c r="AL414" s="42"/>
      <c r="AM414" s="42"/>
      <c r="AN414" s="42"/>
      <c r="AO414" s="42"/>
      <c r="AP414" s="42"/>
      <c r="AQ414" s="42"/>
      <c r="AR414" s="42"/>
      <c r="AS414" s="42"/>
      <c r="AT414" s="42"/>
      <c r="AU414" s="42"/>
      <c r="AV414" s="42"/>
      <c r="AW414" s="42"/>
      <c r="AX414" s="42"/>
      <c r="AY414" s="42"/>
      <c r="AZ414" s="42"/>
      <c r="BA414" s="42"/>
      <c r="BB414" s="42"/>
      <c r="BC414" s="42"/>
      <c r="BD414" s="42"/>
      <c r="BE414" s="42"/>
      <c r="BF414" s="37"/>
      <c r="BG414" s="37"/>
      <c r="BH414" s="37"/>
      <c r="BI414" s="37"/>
      <c r="BJ414" s="37"/>
      <c r="BK414" s="37"/>
      <c r="BL414" s="37"/>
      <c r="BM414" s="37"/>
      <c r="BN414" s="37"/>
      <c r="BO414" s="37"/>
      <c r="BP414" s="37"/>
      <c r="BQ414" s="37"/>
      <c r="BR414" s="37"/>
      <c r="BS414" s="37"/>
      <c r="BT414" s="37"/>
      <c r="BU414" s="37"/>
      <c r="BV414" s="37"/>
      <c r="BW414" s="37"/>
      <c r="BX414" s="37"/>
      <c r="BY414" s="37"/>
      <c r="BZ414" s="37"/>
      <c r="CA414" s="37"/>
      <c r="CB414" s="37"/>
      <c r="CC414" s="37"/>
      <c r="CD414" s="37"/>
      <c r="CE414" s="37"/>
      <c r="CF414" s="37"/>
      <c r="CG414" s="37"/>
      <c r="CH414" s="37"/>
      <c r="CI414" s="37"/>
      <c r="CJ414" s="37"/>
      <c r="CO414" s="37"/>
      <c r="DK414" s="37"/>
      <c r="DL414" s="37"/>
      <c r="DM414" s="37"/>
      <c r="DN414" s="37"/>
      <c r="DO414" s="37"/>
      <c r="DP414" s="37"/>
      <c r="DQ414" s="37"/>
      <c r="DR414" s="37"/>
      <c r="DS414" s="37"/>
      <c r="DT414" s="37"/>
      <c r="DU414" s="37"/>
      <c r="DV414" s="37"/>
      <c r="DW414" s="37"/>
      <c r="DX414" s="37"/>
      <c r="DY414" s="37"/>
      <c r="DZ414" s="37"/>
    </row>
    <row r="415" spans="1:130" ht="12.75" hidden="1" customHeight="1" outlineLevel="1">
      <c r="A415" s="35" t="s">
        <v>315</v>
      </c>
      <c r="B415" s="162"/>
      <c r="C415" s="162"/>
      <c r="D415" s="162"/>
      <c r="E415" s="162"/>
      <c r="F415" s="162"/>
      <c r="G415" s="162"/>
      <c r="H415" s="162"/>
      <c r="I415" s="162">
        <v>150</v>
      </c>
      <c r="J415" s="162">
        <v>300</v>
      </c>
      <c r="K415" s="162">
        <f t="shared" si="316"/>
        <v>450</v>
      </c>
      <c r="L415" s="162">
        <f>K415*1.05</f>
        <v>472.5</v>
      </c>
      <c r="M415" s="162"/>
      <c r="N415" s="35"/>
      <c r="O415" s="35"/>
      <c r="P415" s="35"/>
      <c r="Q415" s="35"/>
      <c r="R415" s="35"/>
      <c r="S415" s="35"/>
      <c r="T415" s="35"/>
      <c r="U415" s="35"/>
      <c r="V415" s="35"/>
      <c r="W415" s="35"/>
      <c r="X415" s="35"/>
      <c r="Y415" s="35"/>
      <c r="Z415" s="35"/>
      <c r="AA415" s="35"/>
      <c r="AB415" s="42"/>
      <c r="AC415" s="42"/>
      <c r="AD415" s="42"/>
      <c r="AE415" s="42"/>
      <c r="AF415" s="42"/>
      <c r="AG415" s="42"/>
      <c r="AH415" s="42"/>
      <c r="AI415" s="42"/>
      <c r="AJ415" s="42"/>
      <c r="AK415" s="42"/>
      <c r="AL415" s="42"/>
      <c r="AM415" s="42"/>
      <c r="AN415" s="42"/>
      <c r="AO415" s="42"/>
      <c r="AP415" s="42"/>
      <c r="AQ415" s="42"/>
      <c r="AR415" s="42"/>
      <c r="AS415" s="42"/>
      <c r="AT415" s="42"/>
      <c r="AU415" s="42"/>
      <c r="AV415" s="42"/>
      <c r="AW415" s="42"/>
      <c r="AX415" s="42"/>
      <c r="AY415" s="42"/>
      <c r="AZ415" s="42"/>
      <c r="BA415" s="42"/>
      <c r="BB415" s="42"/>
      <c r="BC415" s="42"/>
      <c r="BD415" s="42"/>
      <c r="BE415" s="42"/>
      <c r="BF415" s="37"/>
      <c r="BG415" s="37"/>
      <c r="BH415" s="37"/>
      <c r="BI415" s="37"/>
      <c r="BJ415" s="37"/>
      <c r="BK415" s="37"/>
      <c r="BL415" s="37"/>
      <c r="BM415" s="37"/>
      <c r="BN415" s="37"/>
      <c r="BO415" s="37"/>
      <c r="BP415" s="37"/>
      <c r="BQ415" s="37"/>
      <c r="BR415" s="37"/>
      <c r="BS415" s="37"/>
      <c r="BT415" s="37"/>
      <c r="BU415" s="37"/>
      <c r="BV415" s="37"/>
      <c r="BW415" s="37"/>
      <c r="BX415" s="37"/>
      <c r="BY415" s="37"/>
      <c r="BZ415" s="37"/>
      <c r="CA415" s="37"/>
      <c r="CB415" s="37"/>
      <c r="CC415" s="37"/>
      <c r="CD415" s="37"/>
      <c r="CE415" s="37"/>
      <c r="CF415" s="37"/>
      <c r="CG415" s="37"/>
      <c r="CH415" s="37"/>
      <c r="CI415" s="37"/>
      <c r="CJ415" s="37"/>
      <c r="CO415" s="37"/>
      <c r="DK415" s="37"/>
      <c r="DL415" s="37"/>
      <c r="DM415" s="37"/>
      <c r="DN415" s="37"/>
      <c r="DO415" s="37"/>
      <c r="DP415" s="37"/>
      <c r="DQ415" s="37"/>
      <c r="DR415" s="37"/>
      <c r="DS415" s="37"/>
      <c r="DT415" s="37"/>
      <c r="DU415" s="37"/>
      <c r="DV415" s="37"/>
      <c r="DW415" s="37"/>
      <c r="DX415" s="37"/>
      <c r="DY415" s="37"/>
      <c r="DZ415" s="37"/>
    </row>
    <row r="416" spans="1:130" ht="12.75" hidden="1" customHeight="1" outlineLevel="1">
      <c r="A416" s="35" t="s">
        <v>316</v>
      </c>
      <c r="B416" s="162"/>
      <c r="C416" s="162"/>
      <c r="D416" s="162"/>
      <c r="E416" s="162"/>
      <c r="F416" s="162"/>
      <c r="G416" s="162"/>
      <c r="H416" s="162"/>
      <c r="I416" s="162">
        <v>75</v>
      </c>
      <c r="J416" s="162">
        <v>300</v>
      </c>
      <c r="K416" s="162">
        <f t="shared" si="316"/>
        <v>375</v>
      </c>
      <c r="L416" s="162">
        <f>K416*1.05</f>
        <v>393.75</v>
      </c>
      <c r="M416" s="162"/>
      <c r="N416" s="35"/>
      <c r="O416" s="35"/>
      <c r="P416" s="35"/>
      <c r="Q416" s="35"/>
      <c r="R416" s="35"/>
      <c r="S416" s="35"/>
      <c r="T416" s="35"/>
      <c r="U416" s="35"/>
      <c r="V416" s="35"/>
      <c r="W416" s="35"/>
      <c r="X416" s="35"/>
      <c r="Y416" s="35"/>
      <c r="Z416" s="35"/>
      <c r="AA416" s="35"/>
      <c r="AB416" s="42"/>
      <c r="AC416" s="42"/>
      <c r="AD416" s="42"/>
      <c r="AE416" s="42"/>
      <c r="AF416" s="42"/>
      <c r="AG416" s="42"/>
      <c r="AH416" s="42"/>
      <c r="AI416" s="42"/>
      <c r="AJ416" s="42"/>
      <c r="AK416" s="42"/>
      <c r="AL416" s="42"/>
      <c r="AM416" s="42"/>
      <c r="AN416" s="42"/>
      <c r="AO416" s="42"/>
      <c r="AP416" s="42"/>
      <c r="AQ416" s="42"/>
      <c r="AR416" s="42"/>
      <c r="AS416" s="42"/>
      <c r="AT416" s="42"/>
      <c r="AU416" s="42"/>
      <c r="AV416" s="42"/>
      <c r="AW416" s="42"/>
      <c r="AX416" s="42"/>
      <c r="AY416" s="42"/>
      <c r="AZ416" s="42"/>
      <c r="BA416" s="42"/>
      <c r="BB416" s="42"/>
      <c r="BC416" s="42"/>
      <c r="BD416" s="42"/>
      <c r="BE416" s="42"/>
      <c r="BF416" s="37"/>
      <c r="BG416" s="37"/>
      <c r="BH416" s="37"/>
      <c r="BI416" s="37"/>
      <c r="BJ416" s="37"/>
      <c r="BK416" s="37"/>
      <c r="BL416" s="37"/>
      <c r="BM416" s="37"/>
      <c r="BN416" s="37"/>
      <c r="BO416" s="37"/>
      <c r="BP416" s="37"/>
      <c r="BQ416" s="37"/>
      <c r="BR416" s="37"/>
      <c r="BS416" s="37"/>
      <c r="BT416" s="37"/>
      <c r="BU416" s="37"/>
      <c r="BV416" s="37"/>
      <c r="BW416" s="37"/>
      <c r="BX416" s="37"/>
      <c r="BY416" s="37"/>
      <c r="BZ416" s="37"/>
      <c r="CA416" s="37"/>
      <c r="CB416" s="37"/>
      <c r="CC416" s="37"/>
      <c r="CD416" s="37"/>
      <c r="CE416" s="37"/>
      <c r="CF416" s="37"/>
      <c r="CG416" s="37"/>
      <c r="CH416" s="37"/>
      <c r="CI416" s="37"/>
      <c r="CJ416" s="37"/>
      <c r="CO416" s="37"/>
      <c r="DK416" s="37"/>
      <c r="DL416" s="37"/>
      <c r="DM416" s="37"/>
      <c r="DN416" s="37"/>
      <c r="DO416" s="37"/>
      <c r="DP416" s="37"/>
      <c r="DQ416" s="37"/>
      <c r="DR416" s="37"/>
      <c r="DS416" s="37"/>
      <c r="DT416" s="37"/>
      <c r="DU416" s="37"/>
      <c r="DV416" s="37"/>
      <c r="DW416" s="37"/>
      <c r="DX416" s="37"/>
      <c r="DY416" s="37"/>
      <c r="DZ416" s="37"/>
    </row>
    <row r="417" spans="1:136" ht="12.75" hidden="1" customHeight="1" outlineLevel="1">
      <c r="A417" s="35"/>
      <c r="B417" s="35"/>
      <c r="C417" s="35"/>
      <c r="D417" s="35"/>
      <c r="E417" s="35"/>
      <c r="F417" s="35"/>
      <c r="G417" s="35"/>
      <c r="H417" s="35"/>
      <c r="I417" s="35"/>
      <c r="J417" s="35"/>
      <c r="K417" s="35"/>
      <c r="L417" s="35"/>
      <c r="M417" s="35"/>
      <c r="N417" s="35"/>
      <c r="O417" s="35"/>
      <c r="P417" s="35"/>
      <c r="Q417" s="35"/>
      <c r="R417" s="35"/>
      <c r="S417" s="35"/>
      <c r="T417" s="35"/>
      <c r="U417" s="35"/>
      <c r="V417" s="35"/>
      <c r="W417" s="35"/>
      <c r="X417" s="35"/>
      <c r="Y417" s="35"/>
      <c r="Z417" s="35"/>
      <c r="AA417" s="35"/>
      <c r="AB417" s="42"/>
      <c r="AC417" s="42"/>
      <c r="AD417" s="42"/>
      <c r="AE417" s="42"/>
      <c r="AF417" s="42"/>
      <c r="AG417" s="42"/>
      <c r="AH417" s="42"/>
      <c r="AI417" s="42"/>
      <c r="AJ417" s="42"/>
      <c r="AK417" s="42"/>
      <c r="AL417" s="42"/>
      <c r="AM417" s="42"/>
      <c r="AN417" s="42"/>
      <c r="AO417" s="42"/>
      <c r="AP417" s="42"/>
      <c r="AQ417" s="42"/>
      <c r="AR417" s="42"/>
      <c r="AS417" s="42"/>
      <c r="AT417" s="42"/>
      <c r="AU417" s="42"/>
      <c r="AV417" s="42"/>
      <c r="AW417" s="42"/>
      <c r="AX417" s="42"/>
      <c r="AY417" s="42"/>
      <c r="AZ417" s="42"/>
      <c r="BA417" s="42"/>
      <c r="BB417" s="42"/>
      <c r="BC417" s="42"/>
      <c r="BD417" s="42"/>
      <c r="BE417" s="42"/>
      <c r="BF417" s="37"/>
      <c r="BG417" s="37"/>
      <c r="BH417" s="37"/>
      <c r="BI417" s="37"/>
      <c r="BJ417" s="37"/>
      <c r="BK417" s="37"/>
      <c r="BL417" s="37"/>
      <c r="BM417" s="37"/>
      <c r="BN417" s="37"/>
      <c r="BO417" s="37"/>
      <c r="BP417" s="37"/>
      <c r="BQ417" s="37"/>
      <c r="BR417" s="37"/>
      <c r="BS417" s="37"/>
      <c r="BT417" s="37"/>
      <c r="BU417" s="37"/>
      <c r="BV417" s="37"/>
      <c r="BW417" s="37"/>
      <c r="BX417" s="37"/>
      <c r="BY417" s="37"/>
      <c r="BZ417" s="37"/>
      <c r="CA417" s="37"/>
      <c r="CB417" s="37"/>
      <c r="CC417" s="37"/>
      <c r="CD417" s="37"/>
      <c r="CE417" s="37"/>
      <c r="CF417" s="37"/>
      <c r="CG417" s="37"/>
      <c r="CH417" s="37"/>
      <c r="CI417" s="37"/>
      <c r="CJ417" s="37"/>
      <c r="CO417" s="37"/>
      <c r="DK417" s="37"/>
      <c r="DL417" s="37"/>
      <c r="DM417" s="37"/>
      <c r="DN417" s="37"/>
      <c r="DO417" s="37"/>
      <c r="DP417" s="37"/>
      <c r="DQ417" s="37"/>
      <c r="DR417" s="37"/>
      <c r="DS417" s="37"/>
      <c r="DT417" s="37"/>
      <c r="DU417" s="37"/>
      <c r="DV417" s="37"/>
      <c r="DW417" s="37"/>
      <c r="DX417" s="37"/>
      <c r="DY417" s="37"/>
      <c r="DZ417" s="37"/>
    </row>
    <row r="418" spans="1:136" ht="12.75" hidden="1" customHeight="1" outlineLevel="1">
      <c r="A418" s="35"/>
      <c r="B418" s="35"/>
      <c r="C418" s="35"/>
      <c r="D418" s="35"/>
      <c r="E418" s="35"/>
      <c r="F418" s="35"/>
      <c r="G418" s="35"/>
      <c r="H418" s="35"/>
      <c r="I418" s="35"/>
      <c r="J418" s="35"/>
      <c r="K418" s="35"/>
      <c r="L418" s="35"/>
      <c r="M418" s="35"/>
      <c r="N418" s="35"/>
      <c r="O418" s="35"/>
      <c r="P418" s="35"/>
      <c r="Q418" s="35"/>
      <c r="R418" s="35"/>
      <c r="S418" s="35"/>
      <c r="T418" s="35"/>
      <c r="U418" s="35"/>
      <c r="V418" s="35"/>
      <c r="W418" s="35"/>
      <c r="X418" s="35"/>
      <c r="Y418" s="35"/>
      <c r="Z418" s="35"/>
      <c r="AA418" s="35"/>
      <c r="AB418" s="42"/>
      <c r="AC418" s="37"/>
      <c r="AD418" s="37"/>
      <c r="AE418" s="37"/>
      <c r="AF418" s="37"/>
      <c r="AG418" s="37"/>
      <c r="AH418" s="37"/>
      <c r="AI418" s="37"/>
      <c r="AJ418" s="37"/>
      <c r="AK418" s="37"/>
      <c r="AL418" s="37"/>
      <c r="AM418" s="37"/>
      <c r="AN418" s="37"/>
      <c r="AO418" s="37"/>
      <c r="AP418" s="37"/>
      <c r="AQ418" s="37"/>
      <c r="AR418" s="37"/>
      <c r="AS418" s="37"/>
      <c r="AT418" s="37"/>
      <c r="AU418" s="37"/>
      <c r="AV418" s="37"/>
      <c r="AW418" s="37"/>
      <c r="AX418" s="37"/>
      <c r="AY418" s="37"/>
      <c r="AZ418" s="37"/>
      <c r="BA418" s="37"/>
      <c r="BB418" s="37"/>
      <c r="BC418" s="37"/>
      <c r="BD418" s="37"/>
      <c r="BE418" s="37"/>
      <c r="BF418" s="37"/>
      <c r="BG418" s="37"/>
      <c r="BH418" s="37"/>
      <c r="BI418" s="37"/>
      <c r="BJ418" s="37"/>
      <c r="BK418" s="37"/>
      <c r="BL418" s="37"/>
      <c r="BM418" s="37"/>
      <c r="BN418" s="37"/>
      <c r="BO418" s="37"/>
      <c r="BP418" s="37"/>
      <c r="BQ418" s="37"/>
      <c r="BR418" s="37"/>
      <c r="BS418" s="37"/>
      <c r="BT418" s="37"/>
      <c r="BU418" s="37"/>
      <c r="BV418" s="37"/>
      <c r="BW418" s="37"/>
      <c r="BX418" s="37"/>
      <c r="BY418" s="37"/>
      <c r="BZ418" s="37"/>
      <c r="CA418" s="37"/>
      <c r="CB418" s="37"/>
      <c r="CC418" s="37"/>
      <c r="CD418" s="37"/>
      <c r="CE418" s="37"/>
      <c r="CF418" s="37"/>
      <c r="CG418" s="37"/>
      <c r="CH418" s="37"/>
      <c r="CI418" s="37"/>
      <c r="CJ418" s="37"/>
      <c r="CO418" s="37"/>
      <c r="DK418" s="37"/>
      <c r="DL418" s="37"/>
      <c r="DM418" s="37"/>
      <c r="DN418" s="37"/>
      <c r="DO418" s="37"/>
      <c r="DP418" s="37"/>
      <c r="DQ418" s="37"/>
      <c r="DR418" s="37"/>
      <c r="DS418" s="37"/>
      <c r="DT418" s="37"/>
      <c r="DU418" s="37"/>
      <c r="DV418" s="37"/>
      <c r="DW418" s="37"/>
      <c r="DX418" s="37"/>
      <c r="DY418" s="37"/>
      <c r="DZ418" s="37"/>
    </row>
    <row r="419" spans="1:136" hidden="1" outlineLevel="1">
      <c r="A419" s="35"/>
      <c r="B419" s="35"/>
      <c r="C419" s="35"/>
      <c r="D419" s="35"/>
      <c r="E419" s="35"/>
      <c r="F419" s="35"/>
      <c r="G419" s="35"/>
      <c r="H419" s="35"/>
      <c r="I419" s="35"/>
      <c r="J419" s="35"/>
      <c r="K419" s="35"/>
      <c r="L419" s="35"/>
      <c r="M419" s="35"/>
      <c r="N419" s="35"/>
      <c r="O419" s="35"/>
      <c r="P419" s="35"/>
      <c r="Q419" s="35"/>
      <c r="R419" s="35"/>
      <c r="S419" s="35"/>
      <c r="T419" s="35"/>
      <c r="U419" s="35"/>
      <c r="V419" s="35"/>
      <c r="W419" s="35"/>
      <c r="X419" s="35"/>
      <c r="Y419" s="35"/>
      <c r="Z419" s="35"/>
      <c r="AA419" s="35"/>
      <c r="AB419" s="42"/>
      <c r="AC419" s="42"/>
      <c r="AD419" s="42"/>
      <c r="AE419" s="42"/>
      <c r="AF419" s="42"/>
      <c r="AG419" s="42"/>
      <c r="AH419" s="42"/>
      <c r="AI419" s="42"/>
      <c r="AJ419" s="42"/>
      <c r="AK419" s="42"/>
      <c r="AL419" s="42"/>
      <c r="AM419" s="42"/>
      <c r="AN419" s="42"/>
      <c r="AO419" s="42"/>
      <c r="AP419" s="42"/>
      <c r="AQ419" s="42"/>
      <c r="AR419" s="42"/>
      <c r="AS419" s="42"/>
      <c r="AT419" s="42"/>
      <c r="AU419" s="42"/>
      <c r="AV419" s="42"/>
      <c r="AW419" s="42"/>
      <c r="AX419" s="42"/>
      <c r="AY419" s="42"/>
      <c r="AZ419" s="42"/>
      <c r="BA419" s="42"/>
      <c r="BB419" s="42"/>
      <c r="BC419" s="42"/>
      <c r="BD419" s="42"/>
      <c r="BE419" s="42"/>
      <c r="BF419" s="37"/>
      <c r="BG419" s="37"/>
      <c r="BH419" s="37"/>
      <c r="BI419" s="37"/>
      <c r="BJ419" s="37"/>
      <c r="BK419" s="37"/>
      <c r="BL419" s="37"/>
      <c r="BM419" s="37"/>
      <c r="BN419" s="37"/>
      <c r="BO419" s="37"/>
      <c r="BP419" s="37"/>
      <c r="BQ419" s="37"/>
      <c r="BR419" s="37"/>
      <c r="BS419" s="37"/>
      <c r="BT419" s="37"/>
      <c r="BU419" s="37"/>
      <c r="BV419" s="37"/>
      <c r="BW419" s="37"/>
      <c r="BX419" s="37"/>
      <c r="BY419" s="37"/>
      <c r="BZ419" s="37"/>
      <c r="CA419" s="37"/>
      <c r="CB419" s="37"/>
      <c r="CC419" s="37"/>
      <c r="CD419" s="37"/>
      <c r="CE419" s="37"/>
      <c r="CF419" s="37"/>
      <c r="CG419" s="37"/>
      <c r="CH419" s="37"/>
      <c r="CI419" s="37"/>
      <c r="CJ419" s="37"/>
      <c r="CO419" s="37"/>
      <c r="DK419" s="37"/>
      <c r="DL419" s="37"/>
      <c r="DM419" s="37"/>
      <c r="DN419" s="37"/>
      <c r="DO419" s="37"/>
      <c r="DP419" s="37"/>
      <c r="DQ419" s="37"/>
      <c r="DR419" s="37"/>
      <c r="DS419" s="37"/>
      <c r="DT419" s="37"/>
      <c r="DU419" s="37"/>
      <c r="DV419" s="37"/>
      <c r="DW419" s="37"/>
      <c r="DX419" s="37"/>
      <c r="DY419" s="37"/>
      <c r="DZ419" s="37"/>
    </row>
    <row r="420" spans="1:136" ht="13.5" hidden="1" customHeight="1" outlineLevel="1">
      <c r="A420" s="42"/>
      <c r="B420" s="42"/>
      <c r="C420" s="42"/>
      <c r="D420" s="42"/>
      <c r="E420" s="42"/>
      <c r="F420" s="42"/>
      <c r="G420" s="42"/>
      <c r="H420" s="42"/>
      <c r="I420" s="42"/>
      <c r="J420" s="42"/>
      <c r="K420" s="42"/>
      <c r="L420" s="42"/>
      <c r="M420" s="42"/>
      <c r="N420" s="210"/>
      <c r="O420" s="210"/>
      <c r="P420" s="210"/>
      <c r="Q420" s="210"/>
      <c r="R420" s="210"/>
      <c r="S420" s="210"/>
      <c r="T420" s="313"/>
      <c r="U420" s="313"/>
      <c r="V420" s="313"/>
      <c r="W420" s="313"/>
      <c r="X420" s="313"/>
      <c r="Y420" s="313"/>
      <c r="Z420" s="313"/>
      <c r="AA420" s="313"/>
      <c r="AB420" s="42"/>
      <c r="AC420" s="42"/>
      <c r="AD420" s="42"/>
      <c r="AE420" s="42"/>
      <c r="AF420" s="42"/>
      <c r="AG420" s="42"/>
      <c r="AH420" s="42"/>
      <c r="AI420" s="42"/>
      <c r="AJ420" s="42"/>
      <c r="AK420" s="42"/>
      <c r="AL420" s="42"/>
      <c r="AM420" s="42"/>
      <c r="AN420" s="42"/>
      <c r="AO420" s="42"/>
      <c r="AP420" s="42"/>
      <c r="AQ420" s="42"/>
      <c r="AR420" s="42"/>
      <c r="AS420" s="42"/>
      <c r="AT420" s="42"/>
      <c r="AU420" s="42"/>
      <c r="AV420" s="42"/>
      <c r="AW420" s="42"/>
      <c r="AX420" s="42"/>
      <c r="AY420" s="42"/>
      <c r="AZ420" s="42"/>
      <c r="BA420" s="42"/>
      <c r="BB420" s="42"/>
      <c r="BC420" s="42"/>
      <c r="BD420" s="42"/>
      <c r="BE420" s="42"/>
      <c r="BF420" s="42"/>
      <c r="BG420" s="42"/>
      <c r="BH420" s="42"/>
      <c r="BI420" s="42"/>
      <c r="BJ420" s="42"/>
      <c r="BK420" s="42"/>
      <c r="BL420" s="42"/>
      <c r="BM420" s="42"/>
      <c r="BN420" s="42"/>
      <c r="BO420" s="42"/>
      <c r="BP420" s="42"/>
      <c r="BQ420" s="42"/>
      <c r="BR420" s="42"/>
      <c r="BS420" s="42"/>
      <c r="BT420" s="42"/>
      <c r="BU420" s="42"/>
      <c r="BV420" s="42"/>
      <c r="BW420" s="42"/>
      <c r="BX420" s="42"/>
      <c r="BY420" s="42"/>
      <c r="BZ420" s="42"/>
      <c r="CA420" s="42"/>
      <c r="CB420" s="42"/>
      <c r="CC420" s="42"/>
      <c r="CD420" s="42"/>
      <c r="CE420" s="42"/>
      <c r="CF420" s="42"/>
      <c r="CG420" s="42"/>
      <c r="CH420" s="42"/>
      <c r="CI420" s="42"/>
      <c r="CJ420" s="42"/>
      <c r="CO420" s="37"/>
      <c r="DK420" s="37"/>
      <c r="DL420" s="37"/>
      <c r="DM420" s="37"/>
      <c r="DN420" s="37"/>
      <c r="DO420" s="37"/>
      <c r="DP420" s="37"/>
      <c r="DQ420" s="37"/>
      <c r="DR420" s="37"/>
      <c r="DS420" s="37"/>
      <c r="DT420" s="37"/>
      <c r="DU420" s="37"/>
      <c r="DV420" s="37"/>
      <c r="DW420" s="37"/>
      <c r="DX420" s="37"/>
      <c r="DY420" s="37"/>
      <c r="DZ420" s="37"/>
    </row>
    <row r="421" spans="1:136" hidden="1" outlineLevel="1">
      <c r="DK421" s="37"/>
    </row>
    <row r="422" spans="1:136" hidden="1" outlineLevel="1">
      <c r="A422" s="239" t="s">
        <v>317</v>
      </c>
      <c r="B422" s="314"/>
      <c r="C422" s="314"/>
      <c r="D422" s="314"/>
      <c r="E422" s="314"/>
      <c r="F422" s="314"/>
      <c r="G422" s="314"/>
      <c r="H422" s="314"/>
      <c r="I422" s="314"/>
      <c r="J422" s="314"/>
      <c r="K422" s="314"/>
      <c r="L422" s="314"/>
      <c r="M422" s="314"/>
      <c r="N422" s="314"/>
      <c r="O422" s="314"/>
      <c r="P422" s="314"/>
      <c r="Q422" s="314"/>
      <c r="R422" s="314"/>
      <c r="S422" s="314"/>
      <c r="T422" s="35"/>
      <c r="U422" s="35"/>
      <c r="V422" s="35"/>
      <c r="W422" s="35"/>
      <c r="X422" s="35"/>
      <c r="Y422" s="35"/>
      <c r="Z422" s="35"/>
      <c r="AA422" s="35"/>
      <c r="AC422" s="314"/>
      <c r="AD422" s="314"/>
      <c r="AE422" s="314"/>
      <c r="AF422" s="314"/>
      <c r="AG422" s="314"/>
      <c r="AH422" s="314"/>
      <c r="AI422" s="314"/>
      <c r="AJ422" s="314"/>
      <c r="AK422" s="314"/>
      <c r="AL422" s="314"/>
      <c r="AM422" s="314"/>
      <c r="AN422" s="314"/>
      <c r="AO422" s="314"/>
      <c r="AP422" s="314"/>
      <c r="AQ422" s="314"/>
      <c r="AR422" s="314"/>
      <c r="AS422" s="314"/>
      <c r="AT422" s="314"/>
      <c r="AU422" s="314"/>
      <c r="AV422" s="314"/>
      <c r="AW422" s="314"/>
      <c r="AX422" s="314"/>
      <c r="AY422" s="314"/>
      <c r="AZ422" s="314"/>
      <c r="BA422" s="314"/>
      <c r="BB422" s="314"/>
      <c r="BC422" s="314"/>
      <c r="BD422" s="314"/>
      <c r="BE422" s="314"/>
      <c r="BF422" s="41"/>
      <c r="BG422" s="41"/>
      <c r="BH422" s="41"/>
      <c r="BI422" s="41"/>
      <c r="BJ422" s="41"/>
      <c r="BK422" s="41"/>
      <c r="BL422" s="41"/>
      <c r="BM422" s="41"/>
      <c r="BN422" s="41"/>
      <c r="BO422" s="41"/>
      <c r="BP422" s="41"/>
      <c r="BQ422" s="41"/>
      <c r="BR422" s="41"/>
      <c r="BS422" s="41"/>
      <c r="BT422" s="41"/>
      <c r="BU422" s="41"/>
      <c r="BV422" s="41"/>
      <c r="BW422" s="41"/>
      <c r="BX422" s="41"/>
      <c r="BY422" s="41"/>
      <c r="BZ422" s="41"/>
      <c r="CA422" s="41"/>
      <c r="CB422" s="41"/>
      <c r="CC422" s="41"/>
      <c r="CD422" s="41"/>
      <c r="CE422" s="41"/>
      <c r="CF422" s="41"/>
      <c r="CG422" s="41"/>
      <c r="CH422" s="41"/>
      <c r="CI422" s="41"/>
      <c r="CJ422" s="41"/>
      <c r="CO422" s="41"/>
      <c r="DK422" s="37"/>
      <c r="DL422" s="37"/>
      <c r="DM422" s="37"/>
      <c r="DN422" s="37"/>
      <c r="DO422" s="37"/>
      <c r="DP422" s="37"/>
      <c r="DQ422" s="37"/>
      <c r="DR422" s="37"/>
      <c r="DS422" s="37"/>
      <c r="DT422" s="37"/>
      <c r="DU422" s="37"/>
      <c r="DV422" s="37"/>
      <c r="DW422" s="37"/>
      <c r="DX422" s="37"/>
      <c r="DY422" s="37"/>
      <c r="DZ422" s="37"/>
    </row>
    <row r="423" spans="1:136" s="239" customFormat="1" hidden="1" outlineLevel="1">
      <c r="A423" s="314"/>
      <c r="B423" s="314"/>
      <c r="C423" s="314"/>
      <c r="D423" s="314"/>
      <c r="E423" s="314"/>
      <c r="F423" s="314"/>
      <c r="G423" s="314"/>
      <c r="H423" s="314"/>
      <c r="I423" s="314"/>
      <c r="J423" s="314"/>
      <c r="K423" s="314"/>
      <c r="L423" s="314"/>
      <c r="M423" s="314"/>
      <c r="N423" s="313"/>
      <c r="O423" s="313"/>
      <c r="P423" s="313"/>
      <c r="Q423" s="313"/>
      <c r="R423" s="313"/>
      <c r="S423" s="313"/>
      <c r="T423" s="313"/>
      <c r="U423" s="313"/>
      <c r="V423" s="313"/>
      <c r="W423" s="313"/>
      <c r="X423" s="313"/>
      <c r="Y423" s="313"/>
      <c r="Z423" s="313"/>
      <c r="AA423" s="313"/>
      <c r="AB423" s="42"/>
      <c r="AC423" s="314"/>
      <c r="AD423" s="314"/>
      <c r="AE423" s="314"/>
      <c r="AF423" s="314"/>
      <c r="AG423" s="314"/>
      <c r="AH423" s="314"/>
      <c r="AI423" s="314"/>
      <c r="AJ423" s="314"/>
      <c r="AK423" s="314"/>
      <c r="AL423" s="314"/>
      <c r="AM423" s="314"/>
      <c r="AN423" s="314"/>
      <c r="AO423" s="314"/>
      <c r="AP423" s="314"/>
      <c r="AQ423" s="314"/>
      <c r="AR423" s="314"/>
      <c r="AS423" s="314"/>
      <c r="AT423" s="314"/>
      <c r="AU423" s="314"/>
      <c r="AV423" s="314"/>
      <c r="AW423" s="314"/>
      <c r="AX423" s="314"/>
      <c r="AY423" s="314"/>
      <c r="AZ423" s="314"/>
      <c r="BA423" s="314"/>
      <c r="BB423" s="314"/>
      <c r="BC423" s="314"/>
      <c r="BD423" s="314"/>
      <c r="BE423" s="314"/>
      <c r="BF423" s="314"/>
      <c r="BG423" s="314"/>
      <c r="BH423" s="314"/>
      <c r="BI423" s="314"/>
      <c r="BJ423" s="314"/>
      <c r="BK423" s="314"/>
      <c r="BL423" s="314"/>
      <c r="BM423" s="314"/>
      <c r="BN423" s="314"/>
      <c r="BO423" s="314"/>
      <c r="BP423" s="314"/>
      <c r="BQ423" s="314"/>
      <c r="BR423" s="314"/>
      <c r="BS423" s="314"/>
      <c r="BT423" s="314"/>
      <c r="BU423" s="314"/>
      <c r="BV423" s="314"/>
      <c r="BW423" s="314"/>
      <c r="BX423" s="314"/>
      <c r="BY423" s="314"/>
      <c r="BZ423" s="314"/>
      <c r="CA423" s="314"/>
      <c r="CB423" s="314"/>
      <c r="CC423" s="314"/>
      <c r="CD423" s="314"/>
      <c r="CE423" s="314"/>
      <c r="CF423" s="314"/>
      <c r="CG423" s="314"/>
      <c r="CH423" s="314"/>
      <c r="CI423" s="314"/>
      <c r="CJ423" s="314"/>
      <c r="CO423" s="41"/>
      <c r="DK423" s="37"/>
      <c r="DL423" s="37"/>
      <c r="DM423" s="37"/>
      <c r="DN423" s="37"/>
      <c r="DO423" s="37"/>
      <c r="DP423" s="37"/>
      <c r="DQ423" s="37"/>
      <c r="DR423" s="37"/>
      <c r="DS423" s="37"/>
      <c r="DT423" s="37"/>
      <c r="DU423" s="37"/>
      <c r="DV423" s="37"/>
      <c r="DW423" s="37"/>
      <c r="DX423" s="37"/>
      <c r="DY423" s="37"/>
      <c r="DZ423" s="37"/>
      <c r="EA423"/>
      <c r="EB423"/>
      <c r="EC423"/>
      <c r="ED423"/>
      <c r="EE423"/>
      <c r="EF423"/>
    </row>
    <row r="424" spans="1:136" s="239" customFormat="1" hidden="1" outlineLevel="1">
      <c r="A424" s="239" t="s">
        <v>318</v>
      </c>
      <c r="L424" s="239">
        <v>0</v>
      </c>
      <c r="M424" s="239">
        <v>0</v>
      </c>
      <c r="N424" s="239">
        <v>0</v>
      </c>
      <c r="O424" s="239">
        <v>0</v>
      </c>
      <c r="P424" s="239">
        <v>0</v>
      </c>
      <c r="Q424" s="239">
        <v>0</v>
      </c>
      <c r="R424" s="239">
        <v>0</v>
      </c>
      <c r="S424" s="239">
        <v>0</v>
      </c>
      <c r="T424" s="239">
        <v>0</v>
      </c>
      <c r="U424" s="239">
        <v>0</v>
      </c>
      <c r="V424" s="239">
        <v>0</v>
      </c>
      <c r="W424" s="239">
        <v>0</v>
      </c>
      <c r="X424" s="239">
        <v>0</v>
      </c>
      <c r="Y424" s="239">
        <v>0</v>
      </c>
      <c r="Z424" s="239">
        <v>0</v>
      </c>
      <c r="AA424" s="239">
        <v>0</v>
      </c>
      <c r="AB424" s="69"/>
      <c r="BE424" s="239">
        <v>0</v>
      </c>
      <c r="BF424" s="239">
        <v>0</v>
      </c>
      <c r="BG424" s="239">
        <v>0</v>
      </c>
      <c r="BH424" s="239">
        <v>0</v>
      </c>
      <c r="BI424" s="239">
        <v>0</v>
      </c>
      <c r="BJ424" s="239">
        <v>0</v>
      </c>
      <c r="BK424" s="239">
        <v>0</v>
      </c>
      <c r="BL424" s="239">
        <v>0</v>
      </c>
      <c r="BM424" s="239">
        <v>0</v>
      </c>
      <c r="BN424" s="239">
        <v>0</v>
      </c>
      <c r="BO424" s="239">
        <v>0</v>
      </c>
      <c r="BP424" s="239">
        <v>0</v>
      </c>
      <c r="BQ424" s="239">
        <v>0</v>
      </c>
      <c r="BR424" s="239">
        <v>0</v>
      </c>
      <c r="BS424" s="239">
        <v>0</v>
      </c>
      <c r="BT424" s="239">
        <v>0</v>
      </c>
      <c r="BU424" s="239">
        <v>0</v>
      </c>
      <c r="BV424" s="239">
        <v>0</v>
      </c>
      <c r="BW424" s="239">
        <v>0</v>
      </c>
      <c r="BX424" s="239">
        <v>0</v>
      </c>
      <c r="BY424" s="239">
        <v>0</v>
      </c>
      <c r="BZ424" s="239">
        <v>0</v>
      </c>
      <c r="CA424" s="239">
        <v>0</v>
      </c>
      <c r="CB424" s="239">
        <v>0</v>
      </c>
      <c r="CC424" s="239">
        <v>0</v>
      </c>
      <c r="CD424" s="239">
        <v>0</v>
      </c>
      <c r="CE424" s="239">
        <v>0</v>
      </c>
      <c r="CF424" s="239">
        <v>0</v>
      </c>
      <c r="CG424" s="239">
        <v>0</v>
      </c>
      <c r="CH424" s="239">
        <v>0</v>
      </c>
      <c r="CI424" s="239">
        <v>0</v>
      </c>
      <c r="CJ424" s="239">
        <v>0</v>
      </c>
      <c r="DK424" s="37"/>
      <c r="DL424" s="238"/>
      <c r="DM424" s="238"/>
      <c r="DN424" s="238"/>
      <c r="DO424" s="238"/>
      <c r="DP424" s="238"/>
      <c r="DQ424" s="238"/>
      <c r="DR424" s="238"/>
      <c r="DS424" s="238"/>
      <c r="DT424" s="238"/>
      <c r="DU424" s="238"/>
      <c r="DV424" s="238"/>
      <c r="DW424" s="238"/>
      <c r="DX424" s="238"/>
      <c r="DY424" s="238"/>
      <c r="DZ424" s="238"/>
      <c r="EA424"/>
      <c r="EB424"/>
      <c r="EC424"/>
      <c r="ED424"/>
      <c r="EE424"/>
      <c r="EF424"/>
    </row>
    <row r="425" spans="1:136" s="239" customFormat="1" hidden="1" outlineLevel="1">
      <c r="A425" s="239" t="s">
        <v>319</v>
      </c>
      <c r="L425" s="239" t="s">
        <v>320</v>
      </c>
      <c r="M425" s="239" t="s">
        <v>320</v>
      </c>
      <c r="N425" s="239" t="s">
        <v>320</v>
      </c>
      <c r="O425" s="239" t="s">
        <v>320</v>
      </c>
      <c r="P425" s="239" t="s">
        <v>320</v>
      </c>
      <c r="Q425" s="239" t="s">
        <v>320</v>
      </c>
      <c r="R425" s="239" t="s">
        <v>320</v>
      </c>
      <c r="S425" s="239" t="s">
        <v>320</v>
      </c>
      <c r="T425" s="239" t="s">
        <v>320</v>
      </c>
      <c r="U425" s="239" t="s">
        <v>320</v>
      </c>
      <c r="V425" s="239" t="s">
        <v>320</v>
      </c>
      <c r="W425" s="239" t="s">
        <v>320</v>
      </c>
      <c r="X425" s="239" t="s">
        <v>320</v>
      </c>
      <c r="Y425" s="239" t="s">
        <v>320</v>
      </c>
      <c r="Z425" s="239" t="s">
        <v>320</v>
      </c>
      <c r="AA425" s="239" t="s">
        <v>320</v>
      </c>
      <c r="AB425" s="69"/>
      <c r="BE425" s="239" t="s">
        <v>320</v>
      </c>
      <c r="BF425" s="239" t="s">
        <v>320</v>
      </c>
      <c r="BG425" s="239" t="s">
        <v>320</v>
      </c>
      <c r="BH425" s="239" t="s">
        <v>320</v>
      </c>
      <c r="BI425" s="239" t="s">
        <v>320</v>
      </c>
      <c r="BJ425" s="239" t="s">
        <v>320</v>
      </c>
      <c r="BK425" s="239" t="s">
        <v>320</v>
      </c>
      <c r="BL425" s="239" t="s">
        <v>320</v>
      </c>
      <c r="BM425" s="239" t="s">
        <v>320</v>
      </c>
      <c r="BN425" s="239" t="s">
        <v>320</v>
      </c>
      <c r="BO425" s="239" t="s">
        <v>320</v>
      </c>
      <c r="BP425" s="239" t="s">
        <v>320</v>
      </c>
      <c r="BQ425" s="239" t="s">
        <v>320</v>
      </c>
      <c r="BR425" s="239" t="s">
        <v>320</v>
      </c>
      <c r="BS425" s="239" t="s">
        <v>320</v>
      </c>
      <c r="BT425" s="239" t="s">
        <v>320</v>
      </c>
      <c r="BU425" s="239" t="s">
        <v>320</v>
      </c>
      <c r="BV425" s="239" t="s">
        <v>320</v>
      </c>
      <c r="BW425" s="239" t="s">
        <v>320</v>
      </c>
      <c r="BX425" s="239" t="s">
        <v>320</v>
      </c>
      <c r="BY425" s="239" t="s">
        <v>320</v>
      </c>
      <c r="BZ425" s="239" t="s">
        <v>320</v>
      </c>
      <c r="CA425" s="239" t="s">
        <v>320</v>
      </c>
      <c r="CB425" s="239" t="s">
        <v>320</v>
      </c>
      <c r="CC425" s="239" t="s">
        <v>320</v>
      </c>
      <c r="CD425" s="239" t="s">
        <v>320</v>
      </c>
      <c r="CE425" s="239" t="s">
        <v>320</v>
      </c>
      <c r="CF425" s="239" t="s">
        <v>320</v>
      </c>
      <c r="CG425" s="239" t="s">
        <v>320</v>
      </c>
      <c r="CH425" s="239" t="s">
        <v>320</v>
      </c>
      <c r="CI425" s="239" t="s">
        <v>320</v>
      </c>
      <c r="CJ425" s="239" t="s">
        <v>320</v>
      </c>
      <c r="DK425" s="37"/>
      <c r="DL425" s="238"/>
      <c r="DM425" s="238"/>
      <c r="DN425" s="238"/>
      <c r="DO425" s="238"/>
      <c r="DP425" s="238"/>
      <c r="DQ425" s="238"/>
      <c r="DR425" s="238"/>
      <c r="DS425" s="238"/>
      <c r="DT425" s="238"/>
      <c r="DU425" s="238"/>
      <c r="DV425" s="238"/>
      <c r="DW425" s="238"/>
      <c r="DX425" s="238"/>
      <c r="DY425" s="238"/>
      <c r="DZ425" s="238"/>
      <c r="EA425"/>
      <c r="EB425"/>
      <c r="EC425"/>
      <c r="ED425"/>
      <c r="EE425"/>
      <c r="EF425"/>
    </row>
    <row r="426" spans="1:136" hidden="1" outlineLevel="1">
      <c r="A426" s="239" t="s">
        <v>321</v>
      </c>
      <c r="B426" s="239"/>
      <c r="C426" s="239"/>
      <c r="D426" s="239"/>
      <c r="E426" s="239"/>
      <c r="F426" s="239"/>
      <c r="G426" s="239"/>
      <c r="H426" s="239"/>
      <c r="I426" s="239"/>
      <c r="J426" s="239"/>
      <c r="K426" s="239"/>
      <c r="L426" s="239" t="s">
        <v>320</v>
      </c>
      <c r="M426" s="239" t="s">
        <v>320</v>
      </c>
      <c r="N426" s="239" t="s">
        <v>320</v>
      </c>
      <c r="O426" s="239" t="s">
        <v>320</v>
      </c>
      <c r="P426" s="239" t="s">
        <v>320</v>
      </c>
      <c r="Q426" s="239" t="s">
        <v>320</v>
      </c>
      <c r="R426" s="239" t="s">
        <v>320</v>
      </c>
      <c r="S426" s="239" t="s">
        <v>320</v>
      </c>
      <c r="T426" s="239" t="s">
        <v>320</v>
      </c>
      <c r="U426" s="239" t="s">
        <v>320</v>
      </c>
      <c r="V426" s="239" t="s">
        <v>320</v>
      </c>
      <c r="W426" s="239" t="s">
        <v>320</v>
      </c>
      <c r="X426" s="239" t="s">
        <v>320</v>
      </c>
      <c r="Y426" s="239" t="s">
        <v>320</v>
      </c>
      <c r="Z426" s="239" t="s">
        <v>320</v>
      </c>
      <c r="AA426" s="239" t="s">
        <v>320</v>
      </c>
      <c r="AC426" s="239"/>
      <c r="AD426" s="239"/>
      <c r="AE426" s="239"/>
      <c r="AF426" s="239"/>
      <c r="AG426" s="239"/>
      <c r="AH426" s="239"/>
      <c r="AI426" s="239"/>
      <c r="AJ426" s="239"/>
      <c r="AK426" s="239"/>
      <c r="AL426" s="239"/>
      <c r="AM426" s="239"/>
      <c r="AN426" s="239"/>
      <c r="AO426" s="239"/>
      <c r="AP426" s="239"/>
      <c r="AQ426" s="239"/>
      <c r="AR426" s="239"/>
      <c r="AS426" s="239"/>
      <c r="AT426" s="239"/>
      <c r="AU426" s="239"/>
      <c r="AV426" s="239"/>
      <c r="AW426" s="239"/>
      <c r="AX426" s="239"/>
      <c r="AY426" s="239"/>
      <c r="AZ426" s="239"/>
      <c r="BA426" s="239"/>
      <c r="BB426" s="239"/>
      <c r="BC426" s="239"/>
      <c r="BD426" s="239"/>
      <c r="BE426" s="239" t="s">
        <v>320</v>
      </c>
      <c r="BF426" s="239" t="s">
        <v>320</v>
      </c>
      <c r="BG426" s="239" t="s">
        <v>320</v>
      </c>
      <c r="BH426" s="239" t="s">
        <v>320</v>
      </c>
      <c r="BI426" s="239" t="s">
        <v>320</v>
      </c>
      <c r="BJ426" s="239" t="s">
        <v>320</v>
      </c>
      <c r="BK426" s="239" t="s">
        <v>320</v>
      </c>
      <c r="BL426" s="239" t="s">
        <v>320</v>
      </c>
      <c r="BM426" s="239" t="s">
        <v>320</v>
      </c>
      <c r="BN426" s="239" t="s">
        <v>320</v>
      </c>
      <c r="BO426" s="239" t="s">
        <v>320</v>
      </c>
      <c r="BP426" s="239" t="s">
        <v>320</v>
      </c>
      <c r="BQ426" s="239" t="s">
        <v>320</v>
      </c>
      <c r="BR426" s="239" t="s">
        <v>320</v>
      </c>
      <c r="BS426" s="239" t="s">
        <v>320</v>
      </c>
      <c r="BT426" s="239" t="s">
        <v>320</v>
      </c>
      <c r="BU426" s="239" t="s">
        <v>320</v>
      </c>
      <c r="BV426" s="239" t="s">
        <v>320</v>
      </c>
      <c r="BW426" s="239" t="s">
        <v>320</v>
      </c>
      <c r="BX426" s="239" t="s">
        <v>320</v>
      </c>
      <c r="BY426" s="239" t="s">
        <v>320</v>
      </c>
      <c r="BZ426" s="239" t="s">
        <v>320</v>
      </c>
      <c r="CA426" s="239" t="s">
        <v>320</v>
      </c>
      <c r="CB426" s="239" t="s">
        <v>320</v>
      </c>
      <c r="CC426" s="239" t="s">
        <v>320</v>
      </c>
      <c r="CD426" s="239" t="s">
        <v>320</v>
      </c>
      <c r="CE426" s="239" t="s">
        <v>320</v>
      </c>
      <c r="CF426" s="239" t="s">
        <v>320</v>
      </c>
      <c r="CG426" s="239" t="s">
        <v>320</v>
      </c>
      <c r="CH426" s="239" t="s">
        <v>320</v>
      </c>
      <c r="CI426" s="239" t="s">
        <v>320</v>
      </c>
      <c r="CJ426" s="239" t="s">
        <v>320</v>
      </c>
      <c r="CO426" s="239"/>
      <c r="DK426" s="37"/>
    </row>
    <row r="427" spans="1:136" hidden="1" outlineLevel="1">
      <c r="A427" s="239" t="s">
        <v>322</v>
      </c>
      <c r="B427" s="239"/>
      <c r="C427" s="239"/>
      <c r="D427" s="239"/>
      <c r="E427" s="239"/>
      <c r="F427" s="239"/>
      <c r="G427" s="239"/>
      <c r="H427" s="239"/>
      <c r="I427" s="239"/>
      <c r="J427" s="239"/>
      <c r="K427" s="239"/>
      <c r="L427" s="239" t="s">
        <v>320</v>
      </c>
      <c r="M427" s="239" t="s">
        <v>320</v>
      </c>
      <c r="N427" s="239" t="s">
        <v>320</v>
      </c>
      <c r="O427" s="239" t="s">
        <v>320</v>
      </c>
      <c r="P427" s="239" t="s">
        <v>320</v>
      </c>
      <c r="Q427" s="239" t="s">
        <v>320</v>
      </c>
      <c r="R427" s="239" t="s">
        <v>320</v>
      </c>
      <c r="S427" s="239" t="s">
        <v>320</v>
      </c>
      <c r="T427" s="239" t="s">
        <v>320</v>
      </c>
      <c r="U427" s="239" t="s">
        <v>320</v>
      </c>
      <c r="V427" s="239" t="s">
        <v>320</v>
      </c>
      <c r="W427" s="239" t="s">
        <v>320</v>
      </c>
      <c r="X427" s="239" t="s">
        <v>320</v>
      </c>
      <c r="Y427" s="239" t="s">
        <v>320</v>
      </c>
      <c r="Z427" s="239" t="s">
        <v>320</v>
      </c>
      <c r="AA427" s="239" t="s">
        <v>320</v>
      </c>
      <c r="AC427" s="239"/>
      <c r="AD427" s="239"/>
      <c r="AE427" s="239"/>
      <c r="AF427" s="239"/>
      <c r="AG427" s="239"/>
      <c r="AH427" s="239"/>
      <c r="AI427" s="239"/>
      <c r="AJ427" s="239"/>
      <c r="AK427" s="239"/>
      <c r="AL427" s="239"/>
      <c r="AM427" s="239"/>
      <c r="AN427" s="239"/>
      <c r="AO427" s="239"/>
      <c r="AP427" s="239"/>
      <c r="AQ427" s="239"/>
      <c r="AR427" s="239"/>
      <c r="AS427" s="239"/>
      <c r="AT427" s="239"/>
      <c r="AU427" s="239"/>
      <c r="AV427" s="239"/>
      <c r="AW427" s="239"/>
      <c r="AX427" s="239"/>
      <c r="AY427" s="239"/>
      <c r="AZ427" s="239"/>
      <c r="BA427" s="239"/>
      <c r="BB427" s="239"/>
      <c r="BC427" s="239"/>
      <c r="BD427" s="239"/>
      <c r="BE427" s="239" t="s">
        <v>320</v>
      </c>
      <c r="BF427" s="239" t="s">
        <v>320</v>
      </c>
      <c r="BG427" s="239" t="s">
        <v>320</v>
      </c>
      <c r="BH427" s="239" t="s">
        <v>320</v>
      </c>
      <c r="BI427" s="239" t="s">
        <v>320</v>
      </c>
      <c r="BJ427" s="239" t="s">
        <v>320</v>
      </c>
      <c r="BK427" s="239" t="s">
        <v>320</v>
      </c>
      <c r="BL427" s="239" t="s">
        <v>320</v>
      </c>
      <c r="BM427" s="239" t="s">
        <v>320</v>
      </c>
      <c r="BN427" s="239" t="s">
        <v>320</v>
      </c>
      <c r="BO427" s="239" t="s">
        <v>320</v>
      </c>
      <c r="BP427" s="239" t="s">
        <v>320</v>
      </c>
      <c r="BQ427" s="239" t="s">
        <v>320</v>
      </c>
      <c r="BR427" s="239" t="s">
        <v>320</v>
      </c>
      <c r="BS427" s="239" t="s">
        <v>320</v>
      </c>
      <c r="BT427" s="239" t="s">
        <v>320</v>
      </c>
      <c r="BU427" s="239" t="s">
        <v>320</v>
      </c>
      <c r="BV427" s="239" t="s">
        <v>320</v>
      </c>
      <c r="BW427" s="239" t="s">
        <v>320</v>
      </c>
      <c r="BX427" s="239" t="s">
        <v>320</v>
      </c>
      <c r="BY427" s="239" t="s">
        <v>320</v>
      </c>
      <c r="BZ427" s="239" t="s">
        <v>320</v>
      </c>
      <c r="CA427" s="239" t="s">
        <v>320</v>
      </c>
      <c r="CB427" s="239" t="s">
        <v>320</v>
      </c>
      <c r="CC427" s="239" t="s">
        <v>320</v>
      </c>
      <c r="CD427" s="239" t="s">
        <v>320</v>
      </c>
      <c r="CE427" s="239" t="s">
        <v>320</v>
      </c>
      <c r="CF427" s="239" t="s">
        <v>320</v>
      </c>
      <c r="CG427" s="239" t="s">
        <v>320</v>
      </c>
      <c r="CH427" s="239" t="s">
        <v>320</v>
      </c>
      <c r="CI427" s="239" t="s">
        <v>320</v>
      </c>
      <c r="CJ427" s="239" t="s">
        <v>320</v>
      </c>
      <c r="CO427" s="239"/>
      <c r="DK427" s="37"/>
    </row>
    <row r="428" spans="1:136" hidden="1" outlineLevel="1">
      <c r="A428" s="239" t="s">
        <v>60</v>
      </c>
      <c r="B428" s="239"/>
      <c r="C428" s="239"/>
      <c r="D428" s="239"/>
      <c r="E428" s="239"/>
      <c r="F428" s="239"/>
      <c r="G428" s="239"/>
      <c r="H428" s="239"/>
      <c r="I428" s="239"/>
      <c r="J428" s="239"/>
      <c r="K428" s="239"/>
      <c r="L428" s="239" t="s">
        <v>320</v>
      </c>
      <c r="M428" s="239" t="s">
        <v>320</v>
      </c>
      <c r="N428" s="239" t="s">
        <v>320</v>
      </c>
      <c r="O428" s="239" t="s">
        <v>320</v>
      </c>
      <c r="P428" s="239" t="s">
        <v>320</v>
      </c>
      <c r="Q428" s="239" t="s">
        <v>320</v>
      </c>
      <c r="R428" s="239" t="s">
        <v>320</v>
      </c>
      <c r="S428" s="239" t="s">
        <v>320</v>
      </c>
      <c r="T428" s="239" t="s">
        <v>320</v>
      </c>
      <c r="U428" s="239" t="s">
        <v>320</v>
      </c>
      <c r="V428" s="239" t="s">
        <v>320</v>
      </c>
      <c r="W428" s="239" t="s">
        <v>320</v>
      </c>
      <c r="X428" s="239" t="s">
        <v>320</v>
      </c>
      <c r="Y428" s="239" t="s">
        <v>320</v>
      </c>
      <c r="Z428" s="239" t="s">
        <v>320</v>
      </c>
      <c r="AA428" s="239" t="s">
        <v>320</v>
      </c>
      <c r="AC428" s="239"/>
      <c r="AD428" s="239"/>
      <c r="AE428" s="239"/>
      <c r="AF428" s="239"/>
      <c r="AG428" s="239"/>
      <c r="AH428" s="239"/>
      <c r="AI428" s="239"/>
      <c r="AJ428" s="239"/>
      <c r="AK428" s="239"/>
      <c r="AL428" s="239"/>
      <c r="AM428" s="239"/>
      <c r="AN428" s="239"/>
      <c r="AO428" s="239"/>
      <c r="AP428" s="239"/>
      <c r="AQ428" s="239"/>
      <c r="AR428" s="239"/>
      <c r="AS428" s="239"/>
      <c r="AT428" s="239"/>
      <c r="AU428" s="239"/>
      <c r="AV428" s="239"/>
      <c r="AW428" s="239"/>
      <c r="AX428" s="239"/>
      <c r="AY428" s="239"/>
      <c r="AZ428" s="239"/>
      <c r="BA428" s="239"/>
      <c r="BB428" s="239"/>
      <c r="BC428" s="239"/>
      <c r="BD428" s="239"/>
      <c r="BE428" s="239" t="s">
        <v>320</v>
      </c>
      <c r="BF428" s="239" t="s">
        <v>320</v>
      </c>
      <c r="BG428" s="239" t="s">
        <v>320</v>
      </c>
      <c r="BH428" s="239" t="s">
        <v>320</v>
      </c>
      <c r="BI428" s="239" t="s">
        <v>320</v>
      </c>
      <c r="BJ428" s="239" t="s">
        <v>320</v>
      </c>
      <c r="BK428" s="239" t="s">
        <v>320</v>
      </c>
      <c r="BL428" s="239" t="s">
        <v>320</v>
      </c>
      <c r="BM428" s="239" t="s">
        <v>320</v>
      </c>
      <c r="BN428" s="239" t="s">
        <v>320</v>
      </c>
      <c r="BO428" s="239" t="s">
        <v>320</v>
      </c>
      <c r="BP428" s="239" t="s">
        <v>320</v>
      </c>
      <c r="BQ428" s="239" t="s">
        <v>320</v>
      </c>
      <c r="BR428" s="239" t="s">
        <v>320</v>
      </c>
      <c r="BS428" s="239" t="s">
        <v>320</v>
      </c>
      <c r="BT428" s="239" t="s">
        <v>320</v>
      </c>
      <c r="BU428" s="239" t="s">
        <v>320</v>
      </c>
      <c r="BV428" s="239" t="s">
        <v>320</v>
      </c>
      <c r="BW428" s="239" t="s">
        <v>320</v>
      </c>
      <c r="BX428" s="239" t="s">
        <v>320</v>
      </c>
      <c r="BY428" s="239" t="s">
        <v>320</v>
      </c>
      <c r="BZ428" s="239" t="s">
        <v>320</v>
      </c>
      <c r="CA428" s="239" t="s">
        <v>320</v>
      </c>
      <c r="CB428" s="239" t="s">
        <v>320</v>
      </c>
      <c r="CC428" s="239" t="s">
        <v>320</v>
      </c>
      <c r="CD428" s="239" t="s">
        <v>320</v>
      </c>
      <c r="CE428" s="239" t="s">
        <v>320</v>
      </c>
      <c r="CF428" s="239" t="s">
        <v>320</v>
      </c>
      <c r="CG428" s="239" t="s">
        <v>320</v>
      </c>
      <c r="CH428" s="239" t="s">
        <v>320</v>
      </c>
      <c r="CI428" s="239" t="s">
        <v>320</v>
      </c>
      <c r="CJ428" s="239" t="s">
        <v>320</v>
      </c>
      <c r="CO428" s="239"/>
      <c r="DK428" s="37"/>
    </row>
    <row r="429" spans="1:136" s="316" customFormat="1" hidden="1" outlineLevel="1">
      <c r="A429" s="315" t="s">
        <v>323</v>
      </c>
      <c r="L429" s="316">
        <f t="shared" ref="L429:Q429" si="317">+L50+L52</f>
        <v>1471.5630000000001</v>
      </c>
      <c r="M429" s="316">
        <f t="shared" si="317"/>
        <v>2472</v>
      </c>
      <c r="N429" s="316">
        <f t="shared" si="317"/>
        <v>2516</v>
      </c>
      <c r="O429" s="316">
        <f t="shared" si="317"/>
        <v>2773</v>
      </c>
      <c r="P429" s="316">
        <f t="shared" si="317"/>
        <v>2924</v>
      </c>
      <c r="Q429" s="316">
        <f t="shared" si="317"/>
        <v>2570</v>
      </c>
      <c r="R429" s="316">
        <f>+R50+R52</f>
        <v>2918</v>
      </c>
      <c r="S429" s="316">
        <f>+S50+S52</f>
        <v>3266</v>
      </c>
      <c r="T429" s="316">
        <f ca="1">+T50+T52</f>
        <v>3690.6691693880102</v>
      </c>
      <c r="U429" s="316">
        <f t="shared" ref="U429:AA429" ca="1" si="318">+U50+U52</f>
        <v>3934.4929305477581</v>
      </c>
      <c r="V429" s="316">
        <f t="shared" ca="1" si="318"/>
        <v>4185.2586998476118</v>
      </c>
      <c r="W429" s="316">
        <f t="shared" ca="1" si="318"/>
        <v>4447.6031753008137</v>
      </c>
      <c r="X429" s="316">
        <f t="shared" ca="1" si="318"/>
        <v>4690.4994765981974</v>
      </c>
      <c r="Y429" s="316">
        <f t="shared" ca="1" si="318"/>
        <v>4922.2378992734139</v>
      </c>
      <c r="Z429" s="316">
        <f t="shared" ca="1" si="318"/>
        <v>5162.3953303894777</v>
      </c>
      <c r="AA429" s="316">
        <f t="shared" ca="1" si="318"/>
        <v>5409.8048971415637</v>
      </c>
      <c r="AB429" s="317"/>
      <c r="BI429" s="316">
        <f t="shared" ref="BI429:CB429" si="319">+BI50+BI52</f>
        <v>555</v>
      </c>
      <c r="BJ429" s="316">
        <f t="shared" si="319"/>
        <v>654</v>
      </c>
      <c r="BK429" s="316">
        <f t="shared" si="319"/>
        <v>646</v>
      </c>
      <c r="BL429" s="316">
        <f t="shared" si="319"/>
        <v>661</v>
      </c>
      <c r="BM429" s="316">
        <f t="shared" si="319"/>
        <v>637</v>
      </c>
      <c r="BN429" s="316">
        <f t="shared" si="319"/>
        <v>656</v>
      </c>
      <c r="BO429" s="316">
        <f t="shared" si="319"/>
        <v>731</v>
      </c>
      <c r="BP429" s="316">
        <f t="shared" si="319"/>
        <v>749</v>
      </c>
      <c r="BQ429" s="316">
        <f t="shared" si="319"/>
        <v>612</v>
      </c>
      <c r="BR429" s="316">
        <f t="shared" si="319"/>
        <v>732</v>
      </c>
      <c r="BS429" s="316">
        <f t="shared" si="319"/>
        <v>779</v>
      </c>
      <c r="BT429" s="316">
        <f t="shared" si="319"/>
        <v>801</v>
      </c>
      <c r="BU429" s="316">
        <f t="shared" si="319"/>
        <v>632</v>
      </c>
      <c r="BV429" s="316">
        <f t="shared" si="319"/>
        <v>683</v>
      </c>
      <c r="BW429" s="316">
        <f t="shared" si="319"/>
        <v>598</v>
      </c>
      <c r="BX429" s="316">
        <f t="shared" si="319"/>
        <v>657</v>
      </c>
      <c r="BY429" s="316">
        <f t="shared" si="319"/>
        <v>782</v>
      </c>
      <c r="BZ429" s="316">
        <f t="shared" si="319"/>
        <v>662</v>
      </c>
      <c r="CA429" s="316">
        <f t="shared" si="319"/>
        <v>787</v>
      </c>
      <c r="CB429" s="316">
        <f t="shared" si="319"/>
        <v>687</v>
      </c>
      <c r="CC429" s="316">
        <f t="shared" ref="CC429:CJ429" si="320">+CC50+CC52</f>
        <v>807</v>
      </c>
      <c r="CD429" s="316">
        <f t="shared" si="320"/>
        <v>724</v>
      </c>
      <c r="CE429" s="316">
        <f t="shared" si="320"/>
        <v>868</v>
      </c>
      <c r="CF429" s="316">
        <f t="shared" si="320"/>
        <v>867</v>
      </c>
      <c r="CG429" s="316">
        <f t="shared" ca="1" si="320"/>
        <v>914.21276166453777</v>
      </c>
      <c r="CH429" s="316">
        <f t="shared" ca="1" si="320"/>
        <v>860.37171737870563</v>
      </c>
      <c r="CI429" s="316">
        <f t="shared" ca="1" si="320"/>
        <v>939.50814366408827</v>
      </c>
      <c r="CJ429" s="316">
        <f t="shared" ca="1" si="320"/>
        <v>976.57654668067948</v>
      </c>
      <c r="DK429" s="318"/>
      <c r="DL429" s="319"/>
      <c r="DM429" s="319"/>
      <c r="DN429" s="319"/>
      <c r="DO429" s="319"/>
      <c r="DP429" s="319"/>
      <c r="DQ429" s="319"/>
      <c r="DR429" s="319"/>
      <c r="DS429" s="319"/>
      <c r="DT429" s="319"/>
      <c r="DU429" s="319"/>
      <c r="DV429" s="319"/>
      <c r="DW429" s="319"/>
      <c r="DX429" s="319"/>
      <c r="DY429" s="319"/>
      <c r="DZ429" s="319"/>
      <c r="EA429"/>
      <c r="EB429"/>
      <c r="EC429"/>
      <c r="ED429"/>
      <c r="EE429"/>
      <c r="EF429"/>
    </row>
    <row r="430" spans="1:136" collapsed="1">
      <c r="DK430" s="37"/>
    </row>
    <row r="431" spans="1:136">
      <c r="DK431" s="37"/>
    </row>
    <row r="432" spans="1:136">
      <c r="AB432"/>
      <c r="DL432"/>
      <c r="DM432"/>
      <c r="DN432"/>
      <c r="DO432"/>
      <c r="DP432"/>
      <c r="DQ432"/>
      <c r="DR432"/>
      <c r="DS432"/>
      <c r="DT432"/>
      <c r="DU432"/>
      <c r="DV432"/>
      <c r="DW432"/>
      <c r="DX432"/>
      <c r="DY432"/>
      <c r="DZ432"/>
    </row>
    <row r="433" spans="115:115">
      <c r="DK433" s="37"/>
    </row>
    <row r="434" spans="115:115">
      <c r="DK434" s="37"/>
    </row>
    <row r="435" spans="115:115">
      <c r="DK435" s="37"/>
    </row>
  </sheetData>
  <pageMargins left="0" right="0" top="0" bottom="0" header="0" footer="0"/>
  <pageSetup paperSize="5" scale="28" orientation="landscape" r:id="rId1"/>
  <headerFooter alignWithMargins="0"/>
  <rowBreaks count="1" manualBreakCount="1">
    <brk id="180" max="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0000FF"/>
    <pageSetUpPr fitToPage="1"/>
  </sheetPr>
  <dimension ref="A1:AT578"/>
  <sheetViews>
    <sheetView showGridLines="0" zoomScaleNormal="100" workbookViewId="0">
      <pane xSplit="1" ySplit="8" topLeftCell="R51" activePane="bottomRight" state="frozen"/>
      <selection activeCell="G31" sqref="G31"/>
      <selection pane="topRight" activeCell="G31" sqref="G31"/>
      <selection pane="bottomLeft" activeCell="G31" sqref="G31"/>
      <selection pane="bottomRight" activeCell="U81" sqref="U81"/>
    </sheetView>
  </sheetViews>
  <sheetFormatPr defaultRowHeight="12.75" outlineLevelRow="1" outlineLevelCol="1"/>
  <cols>
    <col min="1" max="1" width="43.1640625" customWidth="1"/>
    <col min="2" max="8" width="10.1640625" hidden="1" customWidth="1" outlineLevel="1"/>
    <col min="9" max="9" width="10.1640625" hidden="1" customWidth="1" outlineLevel="1" collapsed="1"/>
    <col min="10" max="14" width="10.1640625" hidden="1" customWidth="1" outlineLevel="1"/>
    <col min="15" max="17" width="10.1640625" hidden="1" customWidth="1" outlineLevel="1" collapsed="1"/>
    <col min="18" max="18" width="10.1640625" customWidth="1" collapsed="1"/>
    <col min="19" max="20" width="10.1640625" customWidth="1"/>
    <col min="21" max="21" width="9.1640625" customWidth="1"/>
    <col min="22" max="23" width="10.1640625" customWidth="1"/>
    <col min="24" max="24" width="10.6640625" bestFit="1" customWidth="1"/>
    <col min="25" max="29" width="10.1640625" customWidth="1" outlineLevel="1"/>
  </cols>
  <sheetData>
    <row r="1" spans="1:45">
      <c r="A1" s="1" t="s">
        <v>89</v>
      </c>
      <c r="B1" s="320"/>
      <c r="C1" s="320"/>
      <c r="D1" s="320"/>
      <c r="E1" s="320"/>
      <c r="F1" s="320"/>
      <c r="G1" s="320"/>
      <c r="H1" s="320"/>
      <c r="I1" s="320"/>
      <c r="J1" s="320"/>
      <c r="K1" s="320"/>
      <c r="L1" s="320"/>
      <c r="M1" s="320"/>
      <c r="N1" s="35"/>
      <c r="O1" s="35"/>
      <c r="P1" s="35"/>
      <c r="W1" s="4" t="s">
        <v>1</v>
      </c>
      <c r="X1" s="35"/>
      <c r="Y1" s="35"/>
      <c r="Z1" s="35"/>
      <c r="AA1" s="35"/>
      <c r="AB1" s="35"/>
      <c r="AC1" s="35"/>
    </row>
    <row r="2" spans="1:45">
      <c r="A2" s="2" t="s">
        <v>324</v>
      </c>
      <c r="B2" s="320"/>
      <c r="C2" s="320"/>
      <c r="D2" s="320"/>
      <c r="E2" s="320"/>
      <c r="F2" s="320"/>
      <c r="G2" s="320"/>
      <c r="H2" s="320"/>
      <c r="I2" s="320"/>
      <c r="J2" s="320"/>
      <c r="K2" s="320"/>
      <c r="L2" s="321"/>
      <c r="M2" s="320"/>
      <c r="N2" s="35"/>
      <c r="O2" s="35"/>
      <c r="P2" s="35"/>
      <c r="W2" s="6" t="s">
        <v>3</v>
      </c>
      <c r="X2" s="35"/>
      <c r="Y2" s="35"/>
      <c r="Z2" s="35"/>
      <c r="AA2" s="35"/>
      <c r="AB2" s="35"/>
      <c r="AC2" s="35"/>
    </row>
    <row r="3" spans="1:45">
      <c r="A3" s="52"/>
      <c r="B3" s="320"/>
      <c r="C3" s="320"/>
      <c r="D3" s="320"/>
      <c r="E3" s="320"/>
      <c r="F3" s="320"/>
      <c r="G3" s="320"/>
      <c r="H3" s="320"/>
      <c r="I3" s="320"/>
      <c r="J3" s="320"/>
      <c r="K3" s="320"/>
      <c r="L3" s="321"/>
      <c r="M3" s="320"/>
      <c r="N3" s="35"/>
      <c r="O3" s="35"/>
      <c r="P3" s="35"/>
      <c r="W3" s="7" t="s">
        <v>4</v>
      </c>
      <c r="X3" s="35"/>
      <c r="Y3" s="35"/>
      <c r="Z3" s="35"/>
      <c r="AA3" s="35"/>
      <c r="AB3" s="35"/>
      <c r="AC3" s="35"/>
    </row>
    <row r="4" spans="1:45">
      <c r="A4" s="61"/>
      <c r="B4" s="320"/>
      <c r="C4" s="320"/>
      <c r="D4" s="320"/>
      <c r="E4" s="320"/>
      <c r="F4" s="320"/>
      <c r="G4" s="320"/>
      <c r="H4" s="320"/>
      <c r="I4" s="320"/>
      <c r="J4" s="320"/>
      <c r="K4" s="320"/>
      <c r="L4" s="321"/>
      <c r="M4" s="320"/>
      <c r="N4" s="35"/>
      <c r="O4" s="35"/>
      <c r="P4" s="35"/>
      <c r="W4" s="6" t="s">
        <v>5</v>
      </c>
      <c r="X4" s="35"/>
      <c r="Y4" s="35"/>
      <c r="Z4" s="35"/>
      <c r="AA4" s="35"/>
      <c r="AB4" s="35"/>
      <c r="AC4" s="35"/>
    </row>
    <row r="5" spans="1:45">
      <c r="A5" s="35"/>
      <c r="B5" s="320"/>
      <c r="C5" s="320"/>
      <c r="D5" s="322" t="s">
        <v>325</v>
      </c>
      <c r="E5" s="320"/>
      <c r="F5" s="320"/>
      <c r="G5" s="320"/>
      <c r="H5" s="320"/>
      <c r="I5" s="320"/>
      <c r="J5" s="320"/>
      <c r="K5" s="323" t="s">
        <v>91</v>
      </c>
      <c r="L5" s="323" t="s">
        <v>91</v>
      </c>
      <c r="M5" s="320"/>
      <c r="N5" s="35"/>
      <c r="O5" s="35"/>
      <c r="P5" s="35"/>
      <c r="Q5" s="35"/>
      <c r="S5" s="324"/>
      <c r="T5" s="35"/>
      <c r="V5" s="9"/>
      <c r="W5" s="35"/>
      <c r="X5" s="35"/>
      <c r="Y5" s="35"/>
      <c r="Z5" s="35"/>
      <c r="AA5" s="35"/>
      <c r="AB5" s="35"/>
      <c r="AC5" s="35"/>
    </row>
    <row r="6" spans="1:45" ht="12.75" customHeight="1">
      <c r="A6" s="35"/>
      <c r="B6" s="325" t="s">
        <v>326</v>
      </c>
      <c r="C6" s="325" t="s">
        <v>326</v>
      </c>
      <c r="D6" s="325" t="e">
        <f>+#REF!</f>
        <v>#REF!</v>
      </c>
      <c r="E6" s="325" t="e">
        <f>+#REF!</f>
        <v>#REF!</v>
      </c>
      <c r="F6" s="325" t="e">
        <f>+#REF!</f>
        <v>#REF!</v>
      </c>
      <c r="G6" s="325" t="e">
        <f>+#REF!</f>
        <v>#REF!</v>
      </c>
      <c r="H6" s="325" t="e">
        <f>+#REF!</f>
        <v>#REF!</v>
      </c>
      <c r="I6" s="325" t="e">
        <f>+#REF!</f>
        <v>#REF!</v>
      </c>
      <c r="J6" s="325" t="e">
        <f>+#REF!</f>
        <v>#REF!</v>
      </c>
      <c r="K6" s="325" t="e">
        <f>+#REF!</f>
        <v>#REF!</v>
      </c>
      <c r="L6" s="326" t="e">
        <f>+#REF!</f>
        <v>#REF!</v>
      </c>
      <c r="M6" s="325" t="e">
        <f>+#REF!</f>
        <v>#REF!</v>
      </c>
      <c r="N6" s="327"/>
      <c r="O6" s="327"/>
      <c r="P6" s="327"/>
      <c r="Q6" s="327"/>
      <c r="R6" s="327"/>
      <c r="S6" s="327"/>
      <c r="T6" s="327"/>
      <c r="U6" s="327"/>
      <c r="V6" s="327"/>
      <c r="W6" s="327"/>
      <c r="X6" s="327"/>
      <c r="Y6" s="327"/>
      <c r="Z6" s="327"/>
      <c r="AA6" s="327"/>
      <c r="AB6" s="327"/>
      <c r="AC6" s="327"/>
    </row>
    <row r="7" spans="1:45" ht="12.75" hidden="1" customHeight="1" outlineLevel="1">
      <c r="A7" s="72"/>
      <c r="B7" s="328">
        <v>36525</v>
      </c>
      <c r="C7" s="328">
        <v>36891</v>
      </c>
      <c r="D7" s="328" t="e">
        <f>+#REF!</f>
        <v>#REF!</v>
      </c>
      <c r="E7" s="328" t="e">
        <f>+#REF!</f>
        <v>#REF!</v>
      </c>
      <c r="F7" s="328" t="e">
        <f>+#REF!</f>
        <v>#REF!</v>
      </c>
      <c r="G7" s="328" t="e">
        <f>+#REF!</f>
        <v>#REF!</v>
      </c>
      <c r="H7" s="328" t="e">
        <f>+#REF!</f>
        <v>#REF!</v>
      </c>
      <c r="I7" s="328" t="e">
        <f>+#REF!</f>
        <v>#REF!</v>
      </c>
      <c r="J7" s="328" t="e">
        <f>+#REF!</f>
        <v>#REF!</v>
      </c>
      <c r="K7" s="328" t="e">
        <f>+#REF!</f>
        <v>#REF!</v>
      </c>
      <c r="L7" s="329" t="e">
        <f>+#REF!</f>
        <v>#REF!</v>
      </c>
      <c r="M7" s="328" t="e">
        <f>+#REF!</f>
        <v>#REF!</v>
      </c>
      <c r="N7" s="73"/>
      <c r="O7" s="73"/>
      <c r="P7" s="73"/>
      <c r="Q7" s="73"/>
      <c r="R7" s="73"/>
      <c r="S7" s="73"/>
      <c r="T7" s="73"/>
      <c r="U7" s="73"/>
      <c r="V7" s="73"/>
      <c r="W7" s="73"/>
      <c r="X7" s="73"/>
      <c r="Y7" s="73"/>
      <c r="Z7" s="73"/>
      <c r="AA7" s="73"/>
      <c r="AB7" s="73"/>
      <c r="AC7" s="73"/>
    </row>
    <row r="8" spans="1:45" s="82" customFormat="1" collapsed="1">
      <c r="A8" s="330" t="s">
        <v>6</v>
      </c>
      <c r="B8" s="331">
        <v>1999</v>
      </c>
      <c r="C8" s="331">
        <v>2000</v>
      </c>
      <c r="D8" s="331">
        <v>2000</v>
      </c>
      <c r="E8" s="331">
        <v>2001</v>
      </c>
      <c r="F8" s="331">
        <v>2002</v>
      </c>
      <c r="G8" s="331">
        <v>2003</v>
      </c>
      <c r="H8" s="331">
        <v>2004</v>
      </c>
      <c r="I8" s="331">
        <v>2005</v>
      </c>
      <c r="J8" s="331">
        <v>2006</v>
      </c>
      <c r="K8" s="331">
        <v>2007</v>
      </c>
      <c r="L8" s="332">
        <v>2008</v>
      </c>
      <c r="M8" s="333" t="s">
        <v>104</v>
      </c>
      <c r="N8" s="13">
        <v>2010</v>
      </c>
      <c r="O8" s="13">
        <f>+IS!M8</f>
        <v>2011</v>
      </c>
      <c r="P8" s="13">
        <f>+IS!N8</f>
        <v>2012</v>
      </c>
      <c r="Q8" s="599">
        <f>+IS!O8</f>
        <v>2013</v>
      </c>
      <c r="R8" s="599">
        <f>+IS!P8</f>
        <v>2014</v>
      </c>
      <c r="S8" s="599">
        <f>+IS!Q8</f>
        <v>2015</v>
      </c>
      <c r="T8" s="599">
        <f>+IS!R8</f>
        <v>2016</v>
      </c>
      <c r="U8" s="599">
        <f>+IS!S8</f>
        <v>2017</v>
      </c>
      <c r="V8" s="599" t="str">
        <f>+IS!T8</f>
        <v>2018E</v>
      </c>
      <c r="W8" s="599" t="str">
        <f>+IS!U8</f>
        <v>2019E</v>
      </c>
      <c r="X8" s="13" t="str">
        <f>+IS!V8</f>
        <v>2020E</v>
      </c>
      <c r="Y8" s="13" t="str">
        <f>+IS!W8</f>
        <v>2021E</v>
      </c>
      <c r="Z8" s="13" t="str">
        <f>+IS!X8</f>
        <v>2022E</v>
      </c>
      <c r="AA8" s="13" t="str">
        <f>+IS!Y8</f>
        <v>2023E</v>
      </c>
      <c r="AB8" s="13" t="str">
        <f>+IS!Z8</f>
        <v>2024E</v>
      </c>
      <c r="AC8" s="13" t="str">
        <f>+IS!AA8</f>
        <v>2025E</v>
      </c>
      <c r="AN8"/>
      <c r="AO8"/>
      <c r="AP8"/>
      <c r="AQ8"/>
      <c r="AR8"/>
      <c r="AS8"/>
    </row>
    <row r="9" spans="1:45" ht="6" customHeight="1">
      <c r="A9" s="334"/>
      <c r="B9" s="42"/>
      <c r="C9" s="42"/>
      <c r="D9" s="42"/>
      <c r="E9" s="42"/>
      <c r="F9" s="42"/>
      <c r="G9" s="42"/>
      <c r="H9" s="42"/>
      <c r="I9" s="42"/>
      <c r="J9" s="42"/>
      <c r="K9" s="42"/>
      <c r="L9" s="37"/>
      <c r="M9" s="42"/>
      <c r="N9" s="42"/>
      <c r="O9" s="42"/>
      <c r="P9" s="42"/>
      <c r="Q9" s="42"/>
      <c r="R9" s="42"/>
      <c r="S9" s="42"/>
      <c r="T9" s="42"/>
      <c r="U9" s="42"/>
      <c r="V9" s="42"/>
      <c r="W9" s="35"/>
      <c r="X9" s="35"/>
      <c r="Y9" s="35"/>
      <c r="Z9" s="35"/>
      <c r="AA9" s="35"/>
      <c r="AB9" s="35"/>
      <c r="AC9" s="35"/>
    </row>
    <row r="10" spans="1:45">
      <c r="A10" s="334" t="s">
        <v>327</v>
      </c>
      <c r="B10" s="42"/>
      <c r="C10" s="42"/>
      <c r="D10" s="42"/>
      <c r="E10" s="42"/>
      <c r="F10" s="42"/>
      <c r="G10" s="42"/>
      <c r="H10" s="42"/>
      <c r="I10" s="42"/>
      <c r="J10" s="42"/>
      <c r="K10" s="42"/>
      <c r="L10" s="37"/>
      <c r="M10" s="42"/>
      <c r="N10" s="42"/>
      <c r="O10" s="42"/>
      <c r="P10" s="42"/>
      <c r="Q10" s="42"/>
      <c r="R10" s="42"/>
      <c r="S10" s="42"/>
      <c r="T10" s="42"/>
      <c r="U10" s="42"/>
      <c r="V10" s="42"/>
      <c r="W10" s="35"/>
      <c r="X10" s="35"/>
      <c r="Y10" s="35"/>
      <c r="Z10" s="35"/>
      <c r="AA10" s="35"/>
      <c r="AB10" s="35"/>
      <c r="AC10" s="35"/>
    </row>
    <row r="11" spans="1:45" ht="6" customHeight="1">
      <c r="A11" s="334"/>
      <c r="B11" s="42"/>
      <c r="C11" s="42"/>
      <c r="D11" s="42"/>
      <c r="E11" s="42"/>
      <c r="F11" s="42"/>
      <c r="G11" s="42"/>
      <c r="H11" s="42"/>
      <c r="I11" s="42"/>
      <c r="J11" s="42"/>
      <c r="K11" s="42"/>
      <c r="L11" s="37"/>
      <c r="M11" s="42"/>
      <c r="N11" s="42"/>
      <c r="O11" s="42"/>
      <c r="P11" s="42"/>
      <c r="Q11" s="42"/>
      <c r="R11" s="42"/>
      <c r="S11" s="42"/>
      <c r="T11" s="42"/>
      <c r="U11" s="42"/>
      <c r="V11" s="42"/>
      <c r="W11" s="35"/>
      <c r="X11" s="35"/>
      <c r="Y11" s="35"/>
      <c r="Z11" s="35"/>
      <c r="AA11" s="35"/>
      <c r="AB11" s="35"/>
      <c r="AC11" s="35"/>
    </row>
    <row r="12" spans="1:45">
      <c r="A12" s="334" t="s">
        <v>328</v>
      </c>
      <c r="B12" s="42"/>
      <c r="C12" s="42"/>
      <c r="D12" s="42"/>
      <c r="E12" s="42"/>
      <c r="F12" s="42"/>
      <c r="G12" s="42"/>
      <c r="H12" s="42"/>
      <c r="I12" s="42"/>
      <c r="J12" s="42"/>
      <c r="K12" s="42"/>
      <c r="L12" s="37"/>
      <c r="M12" s="42"/>
      <c r="N12" s="42"/>
      <c r="O12" s="42"/>
      <c r="P12" s="42"/>
      <c r="Q12" s="335"/>
      <c r="R12" s="42"/>
      <c r="S12" s="42"/>
      <c r="T12" s="42"/>
      <c r="U12" s="42"/>
      <c r="V12" s="42"/>
      <c r="W12" s="35"/>
      <c r="X12" s="35"/>
      <c r="Y12" s="35"/>
      <c r="Z12" s="35"/>
      <c r="AA12" s="35"/>
      <c r="AB12" s="35"/>
      <c r="AC12" s="35"/>
    </row>
    <row r="13" spans="1:45">
      <c r="A13" s="336" t="s">
        <v>329</v>
      </c>
      <c r="B13" s="335">
        <v>95</v>
      </c>
      <c r="C13" s="335">
        <v>191</v>
      </c>
      <c r="D13" s="335">
        <v>191</v>
      </c>
      <c r="E13" s="335">
        <v>162</v>
      </c>
      <c r="F13" s="335">
        <v>215</v>
      </c>
      <c r="G13" s="335">
        <v>514</v>
      </c>
      <c r="H13" s="335">
        <v>282</v>
      </c>
      <c r="I13" s="335">
        <v>316</v>
      </c>
      <c r="J13" s="335">
        <v>238.99941682847884</v>
      </c>
      <c r="K13" s="245">
        <v>566.99941682847884</v>
      </c>
      <c r="L13" s="245">
        <v>1244.1963478284792</v>
      </c>
      <c r="M13" s="335">
        <v>2101.1963478284792</v>
      </c>
      <c r="N13" s="335">
        <v>2481.1963478284792</v>
      </c>
      <c r="O13" s="337">
        <v>1974</v>
      </c>
      <c r="P13" s="337">
        <v>4475</v>
      </c>
      <c r="Q13" s="337">
        <v>2622</v>
      </c>
      <c r="R13" s="337">
        <v>1631</v>
      </c>
      <c r="S13" s="337">
        <v>1870</v>
      </c>
      <c r="T13" s="337">
        <v>1741</v>
      </c>
      <c r="U13" s="337">
        <v>761</v>
      </c>
      <c r="V13" s="335">
        <f ca="1">+CF!S52</f>
        <v>300.58687173760291</v>
      </c>
      <c r="W13" s="338">
        <f ca="1">+CF!T52</f>
        <v>531.90898653090107</v>
      </c>
      <c r="X13" s="338">
        <f ca="1">+CF!U52</f>
        <v>1016.1595011992727</v>
      </c>
      <c r="Y13" s="338">
        <f ca="1">+CF!V52</f>
        <v>1402.2371867059251</v>
      </c>
      <c r="Z13" s="338">
        <f ca="1">+CF!W52</f>
        <v>1625.0772591101936</v>
      </c>
      <c r="AA13" s="338">
        <f ca="1">+CF!X52</f>
        <v>1838.148599875813</v>
      </c>
      <c r="AB13" s="338">
        <f ca="1">+CF!Y52</f>
        <v>2025.2587127967286</v>
      </c>
      <c r="AC13" s="338">
        <f ca="1">+CF!Z52</f>
        <v>2181.2965080517647</v>
      </c>
      <c r="AD13" s="753"/>
      <c r="AE13" s="339"/>
      <c r="AF13" s="339"/>
      <c r="AG13" s="339"/>
      <c r="AH13" s="339"/>
      <c r="AI13" s="339"/>
      <c r="AJ13" s="339"/>
      <c r="AK13" s="339"/>
    </row>
    <row r="14" spans="1:45">
      <c r="A14" s="336" t="s">
        <v>330</v>
      </c>
      <c r="B14" s="335">
        <v>2755</v>
      </c>
      <c r="C14" s="335">
        <v>3231</v>
      </c>
      <c r="D14" s="335">
        <v>3231</v>
      </c>
      <c r="E14" s="335">
        <v>3131</v>
      </c>
      <c r="F14" s="335">
        <v>3116</v>
      </c>
      <c r="G14" s="335">
        <v>3369</v>
      </c>
      <c r="H14" s="335">
        <v>3541</v>
      </c>
      <c r="I14" s="335">
        <v>3385</v>
      </c>
      <c r="J14" s="335">
        <v>3869</v>
      </c>
      <c r="K14" s="337">
        <v>5197</v>
      </c>
      <c r="L14" s="244">
        <v>4704</v>
      </c>
      <c r="M14" s="337">
        <v>5197</v>
      </c>
      <c r="N14" s="335">
        <v>5343</v>
      </c>
      <c r="O14" s="337">
        <v>6361</v>
      </c>
      <c r="P14" s="337">
        <v>6129</v>
      </c>
      <c r="Q14" s="337">
        <v>5403</v>
      </c>
      <c r="R14" s="337">
        <f>3802+949</f>
        <v>4751</v>
      </c>
      <c r="S14" s="337">
        <f>2634+1212</f>
        <v>3846</v>
      </c>
      <c r="T14" s="337">
        <f>859+2611</f>
        <v>3470</v>
      </c>
      <c r="U14" s="337">
        <f>835+2691</f>
        <v>3526</v>
      </c>
      <c r="V14" s="335">
        <f ca="1">+IS!T10/(360/BS!V177)</f>
        <v>3513.8663286587912</v>
      </c>
      <c r="W14" s="338">
        <f ca="1">+IS!U10/(360/BS!W177)</f>
        <v>3598.4285598647443</v>
      </c>
      <c r="X14" s="338">
        <f ca="1">+IS!V10/(360/BS!X177)</f>
        <v>3701.7387344780609</v>
      </c>
      <c r="Y14" s="338">
        <f ca="1">+IS!W10/(360/BS!Y177)</f>
        <v>3820.6370411216371</v>
      </c>
      <c r="Z14" s="338">
        <f ca="1">+IS!X10/(360/BS!Z177)</f>
        <v>3939.4749530646186</v>
      </c>
      <c r="AA14" s="338">
        <f ca="1">+IS!Y10/(360/BS!AA177)</f>
        <v>4058.4838074942099</v>
      </c>
      <c r="AB14" s="338">
        <f ca="1">+IS!Z10/(360/BS!AB177)</f>
        <v>4177.8992519565936</v>
      </c>
      <c r="AC14" s="338">
        <f ca="1">+IS!AA10/(360/BS!AC177)</f>
        <v>4297.9596796519745</v>
      </c>
      <c r="AD14" s="753"/>
      <c r="AE14" s="339"/>
      <c r="AF14" s="339"/>
      <c r="AG14" s="339"/>
      <c r="AH14" s="339"/>
      <c r="AI14" s="339"/>
      <c r="AJ14" s="339"/>
      <c r="AK14" s="339"/>
    </row>
    <row r="15" spans="1:45">
      <c r="A15" s="336" t="s">
        <v>331</v>
      </c>
      <c r="B15" s="335">
        <v>2563</v>
      </c>
      <c r="C15" s="335">
        <v>3041</v>
      </c>
      <c r="D15" s="335">
        <v>3041</v>
      </c>
      <c r="E15" s="335">
        <v>3026</v>
      </c>
      <c r="F15" s="335">
        <v>3382</v>
      </c>
      <c r="G15" s="335">
        <v>3343</v>
      </c>
      <c r="H15" s="335">
        <v>3447</v>
      </c>
      <c r="I15" s="335">
        <v>3343</v>
      </c>
      <c r="J15" s="335">
        <v>3506</v>
      </c>
      <c r="K15" s="337">
        <v>4238</v>
      </c>
      <c r="L15" s="244">
        <v>3881</v>
      </c>
      <c r="M15" s="337">
        <v>3775</v>
      </c>
      <c r="N15" s="335">
        <v>3537</v>
      </c>
      <c r="O15" s="337">
        <v>5706</v>
      </c>
      <c r="P15" s="337">
        <v>3741</v>
      </c>
      <c r="Q15" s="337">
        <v>3743</v>
      </c>
      <c r="R15" s="337">
        <v>3480</v>
      </c>
      <c r="S15" s="337">
        <v>2609</v>
      </c>
      <c r="T15" s="337">
        <v>2469</v>
      </c>
      <c r="U15" s="337">
        <v>2557</v>
      </c>
      <c r="V15" s="335">
        <f ca="1">IS!T11/(360/BS!V178)</f>
        <v>2596.8315609671827</v>
      </c>
      <c r="W15" s="338">
        <f ca="1">IS!U11/(360/BS!W178)</f>
        <v>2637.1220097563196</v>
      </c>
      <c r="X15" s="338">
        <f ca="1">IS!V11/(360/BS!X178)</f>
        <v>2689.992747217907</v>
      </c>
      <c r="Y15" s="338">
        <f ca="1">IS!W11/(360/BS!Y178)</f>
        <v>2766.9645366920131</v>
      </c>
      <c r="Z15" s="338">
        <f ca="1">IS!X11/(360/BS!Z178)</f>
        <v>2845.7365740325936</v>
      </c>
      <c r="AA15" s="338">
        <f ca="1">IS!Y11/(360/BS!AA178)</f>
        <v>2924.1918245985985</v>
      </c>
      <c r="AB15" s="338">
        <f ca="1">IS!Z11/(360/BS!AB178)</f>
        <v>3005.0765428513832</v>
      </c>
      <c r="AC15" s="338">
        <f ca="1">IS!AA11/(360/BS!AC178)</f>
        <v>3086.1296607902268</v>
      </c>
      <c r="AD15" s="753"/>
      <c r="AE15" s="339"/>
      <c r="AF15" s="339"/>
      <c r="AG15" s="339"/>
      <c r="AH15" s="339"/>
      <c r="AI15" s="339"/>
      <c r="AJ15" s="339"/>
      <c r="AK15" s="339"/>
    </row>
    <row r="16" spans="1:45">
      <c r="A16" s="84" t="s">
        <v>332</v>
      </c>
      <c r="B16" s="245">
        <v>477</v>
      </c>
      <c r="C16" s="245">
        <v>689</v>
      </c>
      <c r="D16" s="245">
        <v>689</v>
      </c>
      <c r="E16" s="245">
        <v>687</v>
      </c>
      <c r="F16" s="245">
        <v>743</v>
      </c>
      <c r="G16" s="245">
        <v>898</v>
      </c>
      <c r="H16" s="245">
        <v>994</v>
      </c>
      <c r="I16" s="245">
        <v>1109</v>
      </c>
      <c r="J16" s="245">
        <v>640</v>
      </c>
      <c r="K16" s="245">
        <v>874</v>
      </c>
      <c r="L16" s="245">
        <v>1632</v>
      </c>
      <c r="M16" s="245">
        <v>1381</v>
      </c>
      <c r="N16" s="245">
        <v>1555</v>
      </c>
      <c r="O16" s="337">
        <v>1249</v>
      </c>
      <c r="P16" s="337">
        <v>735</v>
      </c>
      <c r="Q16" s="244">
        <v>889</v>
      </c>
      <c r="R16" s="244">
        <v>1408</v>
      </c>
      <c r="S16" s="244">
        <v>633</v>
      </c>
      <c r="T16" s="244">
        <v>800</v>
      </c>
      <c r="U16" s="244">
        <v>676</v>
      </c>
      <c r="V16" s="245">
        <f ca="1">+U16-CF!S20</f>
        <v>676</v>
      </c>
      <c r="W16" s="340">
        <f t="shared" ref="W16:AC16" ca="1" si="0">+V16</f>
        <v>676</v>
      </c>
      <c r="X16" s="340">
        <f t="shared" ca="1" si="0"/>
        <v>676</v>
      </c>
      <c r="Y16" s="340">
        <f t="shared" ca="1" si="0"/>
        <v>676</v>
      </c>
      <c r="Z16" s="340">
        <f t="shared" ca="1" si="0"/>
        <v>676</v>
      </c>
      <c r="AA16" s="340">
        <f t="shared" ca="1" si="0"/>
        <v>676</v>
      </c>
      <c r="AB16" s="340">
        <f t="shared" ca="1" si="0"/>
        <v>676</v>
      </c>
      <c r="AC16" s="340">
        <f t="shared" ca="1" si="0"/>
        <v>676</v>
      </c>
      <c r="AD16" s="753"/>
      <c r="AE16" s="339"/>
      <c r="AF16" s="339"/>
      <c r="AG16" s="339"/>
      <c r="AH16" s="339"/>
      <c r="AI16" s="339"/>
      <c r="AJ16" s="339"/>
      <c r="AK16" s="339"/>
    </row>
    <row r="17" spans="1:37">
      <c r="A17" s="84" t="s">
        <v>333</v>
      </c>
      <c r="B17" s="245">
        <v>356</v>
      </c>
      <c r="C17" s="245">
        <v>504</v>
      </c>
      <c r="D17" s="245">
        <v>504</v>
      </c>
      <c r="E17" s="245">
        <v>466</v>
      </c>
      <c r="F17" s="245">
        <v>511</v>
      </c>
      <c r="G17" s="245">
        <v>681</v>
      </c>
      <c r="H17" s="245">
        <v>749</v>
      </c>
      <c r="I17" s="245">
        <v>879</v>
      </c>
      <c r="J17" s="245">
        <v>387</v>
      </c>
      <c r="K17" s="244">
        <v>572</v>
      </c>
      <c r="L17" s="244">
        <v>804</v>
      </c>
      <c r="M17" s="244">
        <v>730</v>
      </c>
      <c r="N17" s="245"/>
      <c r="O17" s="337">
        <v>912</v>
      </c>
      <c r="P17" s="337">
        <v>542</v>
      </c>
      <c r="Q17" s="244">
        <v>517</v>
      </c>
      <c r="R17" s="244">
        <v>480</v>
      </c>
      <c r="S17" s="244">
        <v>0</v>
      </c>
      <c r="T17" s="244">
        <f t="shared" ref="T17:AC17" si="1">+S17*1.1</f>
        <v>0</v>
      </c>
      <c r="U17" s="244">
        <f t="shared" si="1"/>
        <v>0</v>
      </c>
      <c r="V17" s="245">
        <f t="shared" si="1"/>
        <v>0</v>
      </c>
      <c r="W17" s="340">
        <f t="shared" si="1"/>
        <v>0</v>
      </c>
      <c r="X17" s="340">
        <f t="shared" si="1"/>
        <v>0</v>
      </c>
      <c r="Y17" s="340">
        <f t="shared" si="1"/>
        <v>0</v>
      </c>
      <c r="Z17" s="340">
        <f t="shared" si="1"/>
        <v>0</v>
      </c>
      <c r="AA17" s="340">
        <f t="shared" si="1"/>
        <v>0</v>
      </c>
      <c r="AB17" s="340">
        <f t="shared" si="1"/>
        <v>0</v>
      </c>
      <c r="AC17" s="340">
        <f t="shared" si="1"/>
        <v>0</v>
      </c>
      <c r="AD17" s="339"/>
      <c r="AE17" s="339"/>
      <c r="AF17" s="339"/>
      <c r="AG17" s="339"/>
      <c r="AH17" s="339"/>
      <c r="AI17" s="339"/>
      <c r="AJ17" s="339"/>
      <c r="AK17" s="339"/>
    </row>
    <row r="18" spans="1:37">
      <c r="A18" s="84" t="s">
        <v>332</v>
      </c>
      <c r="B18" s="245">
        <v>121</v>
      </c>
      <c r="C18" s="245">
        <v>185</v>
      </c>
      <c r="D18" s="245">
        <v>185</v>
      </c>
      <c r="E18" s="245">
        <v>221</v>
      </c>
      <c r="F18" s="245">
        <v>232</v>
      </c>
      <c r="G18" s="245">
        <v>217</v>
      </c>
      <c r="H18" s="245">
        <v>245</v>
      </c>
      <c r="I18" s="245">
        <v>230</v>
      </c>
      <c r="J18" s="245">
        <v>253</v>
      </c>
      <c r="K18" s="244">
        <v>302</v>
      </c>
      <c r="L18" s="244">
        <v>828</v>
      </c>
      <c r="M18" s="244">
        <v>651</v>
      </c>
      <c r="N18" s="245"/>
      <c r="O18" s="337">
        <v>0</v>
      </c>
      <c r="P18" s="337">
        <v>0</v>
      </c>
      <c r="Q18" s="244">
        <v>0</v>
      </c>
      <c r="R18" s="244">
        <v>0</v>
      </c>
      <c r="S18" s="244"/>
      <c r="T18" s="244"/>
      <c r="U18" s="244"/>
      <c r="V18" s="245"/>
      <c r="W18" s="340"/>
      <c r="X18" s="340"/>
      <c r="Y18" s="340"/>
      <c r="Z18" s="340"/>
      <c r="AA18" s="340"/>
      <c r="AB18" s="340"/>
      <c r="AC18" s="340"/>
      <c r="AD18" s="339"/>
      <c r="AE18" s="339"/>
      <c r="AF18" s="339"/>
      <c r="AG18" s="339"/>
      <c r="AH18" s="339"/>
      <c r="AI18" s="339"/>
      <c r="AJ18" s="339"/>
      <c r="AK18" s="339"/>
    </row>
    <row r="19" spans="1:37">
      <c r="A19" s="84" t="s">
        <v>334</v>
      </c>
      <c r="B19" s="341">
        <v>5890</v>
      </c>
      <c r="C19" s="341">
        <v>7152</v>
      </c>
      <c r="D19" s="341">
        <v>7152</v>
      </c>
      <c r="E19" s="341">
        <v>7006</v>
      </c>
      <c r="F19" s="341">
        <v>7456</v>
      </c>
      <c r="G19" s="341">
        <v>8124</v>
      </c>
      <c r="H19" s="341">
        <v>8264</v>
      </c>
      <c r="I19" s="341">
        <v>8153</v>
      </c>
      <c r="J19" s="341">
        <v>8253.9994168284793</v>
      </c>
      <c r="K19" s="341">
        <v>10875.999416828479</v>
      </c>
      <c r="L19" s="341">
        <v>11461.19634782848</v>
      </c>
      <c r="M19" s="341">
        <v>12454.19634782848</v>
      </c>
      <c r="N19" s="341">
        <f>SUM(N13:N16)</f>
        <v>12916.19634782848</v>
      </c>
      <c r="O19" s="341">
        <f>SUM(O13:O18)</f>
        <v>16202</v>
      </c>
      <c r="P19" s="341">
        <f>SUM(P13:P18)</f>
        <v>15622</v>
      </c>
      <c r="Q19" s="341">
        <f>SUM(Q13:Q18)</f>
        <v>13174</v>
      </c>
      <c r="R19" s="341">
        <f>SUM(R13:R18)</f>
        <v>11750</v>
      </c>
      <c r="S19" s="341">
        <f t="shared" ref="S19:X19" si="2">SUM(S13:S17)</f>
        <v>8958</v>
      </c>
      <c r="T19" s="341">
        <f t="shared" si="2"/>
        <v>8480</v>
      </c>
      <c r="U19" s="341">
        <f>SUM(U13:U17)</f>
        <v>7520</v>
      </c>
      <c r="V19" s="341">
        <f t="shared" ca="1" si="2"/>
        <v>7087.2847613635768</v>
      </c>
      <c r="W19" s="342">
        <f t="shared" ca="1" si="2"/>
        <v>7443.4595561519654</v>
      </c>
      <c r="X19" s="342">
        <f t="shared" ca="1" si="2"/>
        <v>8083.890982895241</v>
      </c>
      <c r="Y19" s="342">
        <f ca="1">SUM(Y13:Y17)</f>
        <v>8665.8387645195762</v>
      </c>
      <c r="Z19" s="342">
        <f ca="1">SUM(Z13:Z17)</f>
        <v>9086.2887862074058</v>
      </c>
      <c r="AA19" s="342">
        <f ca="1">SUM(AA13:AA17)</f>
        <v>9496.8242319686215</v>
      </c>
      <c r="AB19" s="342">
        <f ca="1">SUM(AB13:AB17)</f>
        <v>9884.2345076047059</v>
      </c>
      <c r="AC19" s="342">
        <f ca="1">SUM(AC13:AC17)</f>
        <v>10241.385848493966</v>
      </c>
      <c r="AD19" s="339"/>
      <c r="AE19" s="339"/>
      <c r="AF19" s="339"/>
      <c r="AG19" s="339"/>
      <c r="AH19" s="339"/>
      <c r="AI19" s="339"/>
      <c r="AJ19" s="339"/>
      <c r="AK19" s="339"/>
    </row>
    <row r="20" spans="1:37">
      <c r="A20" s="84"/>
      <c r="B20" s="335"/>
      <c r="C20" s="335"/>
      <c r="D20" s="335"/>
      <c r="E20" s="335"/>
      <c r="F20" s="335"/>
      <c r="G20" s="335"/>
      <c r="H20" s="335"/>
      <c r="I20" s="335"/>
      <c r="J20" s="335"/>
      <c r="K20" s="335"/>
      <c r="L20" s="245"/>
      <c r="M20" s="335"/>
      <c r="N20" s="335"/>
      <c r="O20" s="335"/>
      <c r="P20" s="335"/>
      <c r="Q20" s="335"/>
      <c r="R20" s="335"/>
      <c r="S20" s="335"/>
      <c r="T20" s="335"/>
      <c r="U20" s="335"/>
      <c r="V20" s="335"/>
      <c r="W20" s="338"/>
      <c r="X20" s="338"/>
      <c r="Y20" s="338"/>
      <c r="Z20" s="338"/>
      <c r="AA20" s="338"/>
      <c r="AB20" s="338"/>
      <c r="AC20" s="338"/>
      <c r="AD20" s="339"/>
      <c r="AE20" s="339"/>
      <c r="AF20" s="339"/>
      <c r="AG20" s="339"/>
      <c r="AH20" s="339"/>
      <c r="AI20" s="339"/>
      <c r="AJ20" s="339"/>
      <c r="AK20" s="339"/>
    </row>
    <row r="21" spans="1:37" ht="12.75" hidden="1" customHeight="1" outlineLevel="1">
      <c r="A21" s="336" t="s">
        <v>335</v>
      </c>
      <c r="B21" s="335">
        <v>0</v>
      </c>
      <c r="C21" s="335">
        <v>302</v>
      </c>
      <c r="D21" s="335">
        <v>302</v>
      </c>
      <c r="E21" s="335">
        <v>0</v>
      </c>
      <c r="F21" s="335">
        <v>0</v>
      </c>
      <c r="G21" s="335">
        <v>0</v>
      </c>
      <c r="H21" s="335">
        <v>0</v>
      </c>
      <c r="I21" s="335">
        <v>0</v>
      </c>
      <c r="J21" s="335">
        <v>0</v>
      </c>
      <c r="K21" s="335">
        <v>0</v>
      </c>
      <c r="L21" s="245">
        <v>0</v>
      </c>
      <c r="M21" s="335">
        <v>0</v>
      </c>
      <c r="N21" s="245"/>
      <c r="O21" s="335"/>
      <c r="P21" s="335"/>
      <c r="Q21" s="335"/>
      <c r="R21" s="335"/>
      <c r="S21" s="335"/>
      <c r="T21" s="335"/>
      <c r="U21" s="335"/>
      <c r="V21" s="335"/>
      <c r="W21" s="338"/>
      <c r="X21" s="338"/>
      <c r="Y21" s="338"/>
      <c r="Z21" s="338"/>
      <c r="AA21" s="338"/>
      <c r="AB21" s="338"/>
      <c r="AC21" s="338"/>
      <c r="AD21" s="339"/>
      <c r="AE21" s="339"/>
      <c r="AF21" s="339"/>
      <c r="AG21" s="339"/>
      <c r="AH21" s="339"/>
      <c r="AI21" s="339"/>
      <c r="AJ21" s="339"/>
      <c r="AK21" s="339"/>
    </row>
    <row r="22" spans="1:37" ht="12.75" hidden="1" customHeight="1" outlineLevel="1">
      <c r="A22" s="336" t="s">
        <v>336</v>
      </c>
      <c r="B22" s="335">
        <v>0</v>
      </c>
      <c r="C22" s="335">
        <v>0</v>
      </c>
      <c r="D22" s="335">
        <v>0</v>
      </c>
      <c r="E22" s="335">
        <v>0</v>
      </c>
      <c r="F22" s="335">
        <v>0</v>
      </c>
      <c r="G22" s="335">
        <v>0</v>
      </c>
      <c r="H22" s="335">
        <v>0</v>
      </c>
      <c r="I22" s="335">
        <v>0</v>
      </c>
      <c r="J22" s="335">
        <v>0</v>
      </c>
      <c r="K22" s="335">
        <v>0</v>
      </c>
      <c r="L22" s="245">
        <v>0</v>
      </c>
      <c r="M22" s="335">
        <v>0</v>
      </c>
      <c r="N22" s="245"/>
      <c r="O22" s="335"/>
      <c r="P22" s="335"/>
      <c r="Q22" s="335"/>
      <c r="R22" s="335"/>
      <c r="S22" s="335"/>
      <c r="T22" s="335"/>
      <c r="U22" s="335"/>
      <c r="V22" s="335"/>
      <c r="W22" s="338"/>
      <c r="X22" s="338"/>
      <c r="Y22" s="338"/>
      <c r="Z22" s="338"/>
      <c r="AA22" s="338"/>
      <c r="AB22" s="338"/>
      <c r="AC22" s="338"/>
      <c r="AD22" s="339"/>
      <c r="AE22" s="339"/>
      <c r="AF22" s="339"/>
      <c r="AG22" s="339"/>
      <c r="AH22" s="339"/>
      <c r="AI22" s="339"/>
      <c r="AJ22" s="339"/>
      <c r="AK22" s="339"/>
    </row>
    <row r="23" spans="1:37" ht="12.75" hidden="1" customHeight="1" outlineLevel="1">
      <c r="A23" s="336" t="s">
        <v>337</v>
      </c>
      <c r="B23" s="335">
        <v>10091</v>
      </c>
      <c r="C23" s="335">
        <v>13042</v>
      </c>
      <c r="D23" s="335">
        <v>13042</v>
      </c>
      <c r="E23" s="335">
        <v>13272</v>
      </c>
      <c r="F23" s="335">
        <v>14431</v>
      </c>
      <c r="G23" s="335">
        <v>15805</v>
      </c>
      <c r="H23" s="335">
        <v>16483</v>
      </c>
      <c r="I23" s="335">
        <v>16598</v>
      </c>
      <c r="J23" s="335">
        <v>17050</v>
      </c>
      <c r="K23" s="337">
        <v>19204</v>
      </c>
      <c r="L23" s="244">
        <v>17815</v>
      </c>
      <c r="M23" s="337">
        <v>19423</v>
      </c>
      <c r="N23" s="245"/>
      <c r="O23" s="337">
        <v>23932</v>
      </c>
      <c r="P23" s="337">
        <v>16856</v>
      </c>
      <c r="Q23" s="337">
        <v>17614</v>
      </c>
      <c r="R23" s="337">
        <v>19256</v>
      </c>
      <c r="S23" s="337">
        <f t="shared" ref="S23:AC23" ca="1" si="3">+S97</f>
        <v>19256</v>
      </c>
      <c r="T23" s="337">
        <f>+T97</f>
        <v>14687</v>
      </c>
      <c r="U23" s="337">
        <f>+U97</f>
        <v>15680</v>
      </c>
      <c r="V23" s="335">
        <f t="shared" ca="1" si="3"/>
        <v>16891.162436686645</v>
      </c>
      <c r="W23" s="338">
        <f t="shared" ca="1" si="3"/>
        <v>18103.909423670848</v>
      </c>
      <c r="X23" s="338">
        <f t="shared" ca="1" si="3"/>
        <v>19323.120394090431</v>
      </c>
      <c r="Y23" s="338">
        <f t="shared" ca="1" si="3"/>
        <v>20552.227459234244</v>
      </c>
      <c r="Z23" s="338">
        <f t="shared" ca="1" si="3"/>
        <v>21789.390231728579</v>
      </c>
      <c r="AA23" s="338">
        <f t="shared" ca="1" si="3"/>
        <v>23063.926848720377</v>
      </c>
      <c r="AB23" s="338">
        <f t="shared" ca="1" si="3"/>
        <v>24375.96499678164</v>
      </c>
      <c r="AC23" s="338">
        <f t="shared" ca="1" si="3"/>
        <v>25725.707228093623</v>
      </c>
      <c r="AD23" s="753"/>
      <c r="AE23" s="339"/>
      <c r="AF23" s="339"/>
      <c r="AG23" s="339"/>
      <c r="AH23" s="339"/>
      <c r="AI23" s="339"/>
      <c r="AJ23" s="339"/>
      <c r="AK23" s="339"/>
    </row>
    <row r="24" spans="1:37" ht="12.75" hidden="1" customHeight="1" outlineLevel="1">
      <c r="A24" s="343" t="s">
        <v>338</v>
      </c>
      <c r="B24" s="344">
        <v>3565</v>
      </c>
      <c r="C24" s="344">
        <v>3637</v>
      </c>
      <c r="D24" s="344">
        <v>3637</v>
      </c>
      <c r="E24" s="344">
        <v>4163</v>
      </c>
      <c r="F24" s="344">
        <v>4872</v>
      </c>
      <c r="G24" s="344">
        <v>5650</v>
      </c>
      <c r="H24" s="344">
        <v>6498</v>
      </c>
      <c r="I24" s="344">
        <v>6781</v>
      </c>
      <c r="J24" s="344">
        <v>7357</v>
      </c>
      <c r="K24" s="345">
        <v>8426</v>
      </c>
      <c r="L24" s="345">
        <v>7898</v>
      </c>
      <c r="M24" s="345">
        <v>8730</v>
      </c>
      <c r="N24" s="344"/>
      <c r="O24" s="345">
        <v>-10119</v>
      </c>
      <c r="P24" s="345">
        <v>-6846</v>
      </c>
      <c r="Q24" s="344">
        <f>+Q25-Q23</f>
        <v>-7367</v>
      </c>
      <c r="R24" s="344">
        <f>+R25-R23</f>
        <v>-9429</v>
      </c>
      <c r="S24" s="344">
        <f ca="1">+S25-S23</f>
        <v>-10894</v>
      </c>
      <c r="T24" s="344">
        <f>+T25-T23</f>
        <v>-6458</v>
      </c>
      <c r="U24" s="344">
        <f>+U25-U23</f>
        <v>-7003</v>
      </c>
      <c r="V24" s="344">
        <f t="shared" ref="V24:AC24" ca="1" si="4">-V99</f>
        <v>-7678.6464974674655</v>
      </c>
      <c r="W24" s="346">
        <f t="shared" ca="1" si="4"/>
        <v>-8402.8028744142994</v>
      </c>
      <c r="X24" s="346">
        <f t="shared" ca="1" si="4"/>
        <v>-9175.7276901779169</v>
      </c>
      <c r="Y24" s="346">
        <f t="shared" ca="1" si="4"/>
        <v>-9997.8167885472867</v>
      </c>
      <c r="Z24" s="346">
        <f t="shared" ca="1" si="4"/>
        <v>-10869.392397816429</v>
      </c>
      <c r="AA24" s="346">
        <f t="shared" ca="1" si="4"/>
        <v>-11791.949471765245</v>
      </c>
      <c r="AB24" s="346">
        <f t="shared" ca="1" si="4"/>
        <v>-12766.988071636511</v>
      </c>
      <c r="AC24" s="346">
        <f t="shared" ca="1" si="4"/>
        <v>-13796.016360760255</v>
      </c>
      <c r="AD24" s="339"/>
      <c r="AE24" s="339"/>
      <c r="AF24" s="339"/>
      <c r="AG24" s="339"/>
      <c r="AH24" s="339"/>
      <c r="AI24" s="339"/>
      <c r="AJ24" s="339"/>
      <c r="AK24" s="339"/>
    </row>
    <row r="25" spans="1:37" collapsed="1">
      <c r="A25" s="336" t="s">
        <v>339</v>
      </c>
      <c r="B25" s="335">
        <v>6526</v>
      </c>
      <c r="C25" s="335">
        <v>9405</v>
      </c>
      <c r="D25" s="335">
        <v>9405</v>
      </c>
      <c r="E25" s="335">
        <v>9109</v>
      </c>
      <c r="F25" s="335">
        <v>9559</v>
      </c>
      <c r="G25" s="335">
        <v>10155</v>
      </c>
      <c r="H25" s="335">
        <v>9985</v>
      </c>
      <c r="I25" s="335">
        <v>9817</v>
      </c>
      <c r="J25" s="335">
        <v>9693</v>
      </c>
      <c r="K25" s="335">
        <v>10778</v>
      </c>
      <c r="L25" s="245">
        <v>9917</v>
      </c>
      <c r="M25" s="335">
        <v>10693</v>
      </c>
      <c r="N25" s="335">
        <v>9509</v>
      </c>
      <c r="O25" s="337">
        <v>13813</v>
      </c>
      <c r="P25" s="337">
        <v>10010</v>
      </c>
      <c r="Q25" s="337">
        <v>10247</v>
      </c>
      <c r="R25" s="337">
        <v>9827</v>
      </c>
      <c r="S25" s="337">
        <v>8362</v>
      </c>
      <c r="T25" s="337">
        <v>8229</v>
      </c>
      <c r="U25" s="337">
        <v>8677</v>
      </c>
      <c r="V25" s="335">
        <f t="shared" ref="V25:AC25" ca="1" si="5">+V23+V24</f>
        <v>9212.5159392191799</v>
      </c>
      <c r="W25" s="338">
        <f t="shared" ca="1" si="5"/>
        <v>9701.1065492565485</v>
      </c>
      <c r="X25" s="338">
        <f t="shared" ca="1" si="5"/>
        <v>10147.392703912514</v>
      </c>
      <c r="Y25" s="338">
        <f t="shared" ca="1" si="5"/>
        <v>10554.410670686957</v>
      </c>
      <c r="Z25" s="338">
        <f t="shared" ca="1" si="5"/>
        <v>10919.99783391215</v>
      </c>
      <c r="AA25" s="338">
        <f t="shared" ca="1" si="5"/>
        <v>11271.977376955132</v>
      </c>
      <c r="AB25" s="338">
        <f t="shared" ca="1" si="5"/>
        <v>11608.976925145129</v>
      </c>
      <c r="AC25" s="338">
        <f t="shared" ca="1" si="5"/>
        <v>11929.690867333367</v>
      </c>
      <c r="AD25" s="753"/>
      <c r="AE25" s="339"/>
      <c r="AF25" s="339"/>
      <c r="AG25" s="339"/>
      <c r="AH25" s="339"/>
      <c r="AI25" s="339"/>
      <c r="AJ25" s="339"/>
      <c r="AK25" s="339"/>
    </row>
    <row r="26" spans="1:37" ht="12.75" hidden="1" customHeight="1" outlineLevel="1">
      <c r="A26" s="347" t="s">
        <v>340</v>
      </c>
      <c r="B26" s="335">
        <v>0</v>
      </c>
      <c r="C26" s="335">
        <v>0</v>
      </c>
      <c r="D26" s="335">
        <v>0</v>
      </c>
      <c r="E26" s="335">
        <v>0</v>
      </c>
      <c r="F26" s="335">
        <v>24911</v>
      </c>
      <c r="G26" s="335">
        <v>25402</v>
      </c>
      <c r="H26" s="335">
        <v>25177</v>
      </c>
      <c r="I26" s="335">
        <v>24648</v>
      </c>
      <c r="J26" s="335">
        <v>25553</v>
      </c>
      <c r="K26" s="337">
        <v>31193</v>
      </c>
      <c r="L26" s="244">
        <v>27581</v>
      </c>
      <c r="M26" s="337">
        <v>28764</v>
      </c>
      <c r="N26" s="335">
        <v>26518</v>
      </c>
      <c r="O26" s="337">
        <v>37297</v>
      </c>
      <c r="P26" s="337">
        <v>25801</v>
      </c>
      <c r="Q26" s="337">
        <v>25597</v>
      </c>
      <c r="R26" s="337">
        <v>23389</v>
      </c>
      <c r="S26" s="337">
        <v>20664</v>
      </c>
      <c r="T26" s="337">
        <v>20276</v>
      </c>
      <c r="U26" s="337">
        <v>21085</v>
      </c>
      <c r="V26" s="335">
        <f t="shared" ref="V26:AC26" si="6">+U26</f>
        <v>21085</v>
      </c>
      <c r="W26" s="338">
        <f t="shared" si="6"/>
        <v>21085</v>
      </c>
      <c r="X26" s="338">
        <f t="shared" si="6"/>
        <v>21085</v>
      </c>
      <c r="Y26" s="338">
        <f t="shared" si="6"/>
        <v>21085</v>
      </c>
      <c r="Z26" s="338">
        <f t="shared" si="6"/>
        <v>21085</v>
      </c>
      <c r="AA26" s="338">
        <f t="shared" si="6"/>
        <v>21085</v>
      </c>
      <c r="AB26" s="338">
        <f t="shared" si="6"/>
        <v>21085</v>
      </c>
      <c r="AC26" s="338">
        <f t="shared" si="6"/>
        <v>21085</v>
      </c>
      <c r="AD26" s="753"/>
      <c r="AE26" s="339"/>
      <c r="AF26" s="339"/>
      <c r="AG26" s="339"/>
      <c r="AH26" s="339"/>
      <c r="AI26" s="339"/>
      <c r="AJ26" s="339"/>
      <c r="AK26" s="339"/>
    </row>
    <row r="27" spans="1:37" ht="12.75" hidden="1" customHeight="1" outlineLevel="1">
      <c r="A27" s="347" t="s">
        <v>341</v>
      </c>
      <c r="B27" s="335">
        <v>0</v>
      </c>
      <c r="C27" s="335">
        <v>0</v>
      </c>
      <c r="D27" s="335">
        <v>0</v>
      </c>
      <c r="E27" s="335">
        <v>0</v>
      </c>
      <c r="F27" s="335">
        <v>11485</v>
      </c>
      <c r="G27" s="335">
        <v>11432</v>
      </c>
      <c r="H27" s="335">
        <v>10589</v>
      </c>
      <c r="I27" s="335">
        <v>10482</v>
      </c>
      <c r="J27" s="335">
        <v>10150</v>
      </c>
      <c r="K27" s="337">
        <v>12065</v>
      </c>
      <c r="L27" s="244">
        <v>12758</v>
      </c>
      <c r="M27" s="337">
        <v>13262</v>
      </c>
      <c r="N27" s="335">
        <v>20721</v>
      </c>
      <c r="O27" s="337">
        <v>25186</v>
      </c>
      <c r="P27" s="337">
        <v>22552</v>
      </c>
      <c r="Q27" s="337">
        <v>21994</v>
      </c>
      <c r="R27" s="337">
        <v>20335</v>
      </c>
      <c r="S27" s="337">
        <v>18768</v>
      </c>
      <c r="T27" s="337">
        <v>18459</v>
      </c>
      <c r="U27" s="337">
        <f>18639+319</f>
        <v>18958</v>
      </c>
      <c r="V27" s="335">
        <f>+U27-CF!S13</f>
        <v>18783</v>
      </c>
      <c r="W27" s="338">
        <f>+V27-CF!T13</f>
        <v>18608</v>
      </c>
      <c r="X27" s="338">
        <f>+W27-CF!U13</f>
        <v>18433</v>
      </c>
      <c r="Y27" s="338">
        <f>+X27-CF!V13</f>
        <v>18258</v>
      </c>
      <c r="Z27" s="338">
        <f>+Y27-CF!W13</f>
        <v>18083</v>
      </c>
      <c r="AA27" s="338">
        <f>+Z27-CF!X13</f>
        <v>17908</v>
      </c>
      <c r="AB27" s="338">
        <f>+AA27-CF!Y13</f>
        <v>17733</v>
      </c>
      <c r="AC27" s="338">
        <f>+AB27-CF!Z13</f>
        <v>17558</v>
      </c>
      <c r="AD27" s="753"/>
      <c r="AE27" s="339"/>
      <c r="AF27" s="339"/>
      <c r="AG27" s="339"/>
      <c r="AH27" s="339"/>
      <c r="AI27" s="339"/>
      <c r="AJ27" s="339"/>
      <c r="AK27" s="339"/>
    </row>
    <row r="28" spans="1:37" ht="12.75" hidden="1" customHeight="1" outlineLevel="1">
      <c r="A28" s="347" t="s">
        <v>342</v>
      </c>
      <c r="B28" s="344">
        <v>0</v>
      </c>
      <c r="C28" s="344">
        <v>0</v>
      </c>
      <c r="D28" s="344">
        <v>0</v>
      </c>
      <c r="E28" s="344">
        <v>0</v>
      </c>
      <c r="F28" s="344">
        <v>24</v>
      </c>
      <c r="G28" s="344">
        <v>45</v>
      </c>
      <c r="H28" s="344">
        <v>45</v>
      </c>
      <c r="I28" s="344">
        <v>34</v>
      </c>
      <c r="J28" s="344">
        <v>27</v>
      </c>
      <c r="K28" s="345">
        <v>135</v>
      </c>
      <c r="L28" s="345">
        <v>168</v>
      </c>
      <c r="M28" s="345">
        <v>167</v>
      </c>
      <c r="N28" s="344">
        <v>2612</v>
      </c>
      <c r="O28" s="344"/>
      <c r="P28" s="344"/>
      <c r="Q28" s="344"/>
      <c r="R28" s="344"/>
      <c r="S28" s="344"/>
      <c r="T28" s="344"/>
      <c r="U28" s="344"/>
      <c r="V28" s="344"/>
      <c r="W28" s="346"/>
      <c r="X28" s="346"/>
      <c r="Y28" s="346"/>
      <c r="Z28" s="346"/>
      <c r="AA28" s="346"/>
      <c r="AB28" s="346"/>
      <c r="AC28" s="346"/>
      <c r="AD28" s="339"/>
      <c r="AE28" s="339"/>
      <c r="AF28" s="339"/>
      <c r="AG28" s="339"/>
      <c r="AH28" s="339"/>
      <c r="AI28" s="339"/>
      <c r="AJ28" s="339"/>
      <c r="AK28" s="339"/>
    </row>
    <row r="29" spans="1:37" collapsed="1">
      <c r="A29" s="336" t="s">
        <v>343</v>
      </c>
      <c r="B29" s="335">
        <v>15296</v>
      </c>
      <c r="C29" s="335">
        <v>31584</v>
      </c>
      <c r="D29" s="335">
        <v>31584</v>
      </c>
      <c r="E29" s="335">
        <v>35957</v>
      </c>
      <c r="F29" s="335">
        <v>36420</v>
      </c>
      <c r="G29" s="335">
        <v>36879</v>
      </c>
      <c r="H29" s="335">
        <v>35811</v>
      </c>
      <c r="I29" s="335">
        <v>35164</v>
      </c>
      <c r="J29" s="335">
        <v>35730</v>
      </c>
      <c r="K29" s="335">
        <v>43393</v>
      </c>
      <c r="L29" s="245">
        <v>40507</v>
      </c>
      <c r="M29" s="335">
        <v>42193</v>
      </c>
      <c r="N29" s="335">
        <f>SUM(N26:N28)</f>
        <v>49851</v>
      </c>
      <c r="O29" s="335">
        <f t="shared" ref="O29:X29" si="7">SUM(O26:O28)</f>
        <v>62483</v>
      </c>
      <c r="P29" s="335">
        <f t="shared" si="7"/>
        <v>48353</v>
      </c>
      <c r="Q29" s="335">
        <f t="shared" si="7"/>
        <v>47591</v>
      </c>
      <c r="R29" s="335">
        <f t="shared" si="7"/>
        <v>43724</v>
      </c>
      <c r="S29" s="335">
        <f t="shared" si="7"/>
        <v>39432</v>
      </c>
      <c r="T29" s="335">
        <f t="shared" si="7"/>
        <v>38735</v>
      </c>
      <c r="U29" s="335">
        <f>SUM(U26:U28)</f>
        <v>40043</v>
      </c>
      <c r="V29" s="335">
        <f t="shared" si="7"/>
        <v>39868</v>
      </c>
      <c r="W29" s="338">
        <f t="shared" si="7"/>
        <v>39693</v>
      </c>
      <c r="X29" s="338">
        <f t="shared" si="7"/>
        <v>39518</v>
      </c>
      <c r="Y29" s="338">
        <f>SUM(Y26:Y28)</f>
        <v>39343</v>
      </c>
      <c r="Z29" s="338">
        <f>SUM(Z26:Z28)</f>
        <v>39168</v>
      </c>
      <c r="AA29" s="338">
        <f>SUM(AA26:AA28)</f>
        <v>38993</v>
      </c>
      <c r="AB29" s="338">
        <f>SUM(AB26:AB28)</f>
        <v>38818</v>
      </c>
      <c r="AC29" s="338">
        <f>SUM(AC26:AC28)</f>
        <v>38643</v>
      </c>
      <c r="AD29" s="339"/>
      <c r="AE29" s="339"/>
      <c r="AF29" s="339"/>
      <c r="AG29" s="339"/>
      <c r="AH29" s="339"/>
      <c r="AI29" s="339"/>
      <c r="AJ29" s="339"/>
      <c r="AK29" s="339"/>
    </row>
    <row r="30" spans="1:37">
      <c r="A30" s="336" t="s">
        <v>344</v>
      </c>
      <c r="B30" s="335">
        <v>2254</v>
      </c>
      <c r="C30" s="335">
        <v>2623</v>
      </c>
      <c r="D30" s="335">
        <v>2623</v>
      </c>
      <c r="E30" s="335">
        <v>2675</v>
      </c>
      <c r="F30" s="335">
        <v>2814</v>
      </c>
      <c r="G30" s="335">
        <v>3243</v>
      </c>
      <c r="H30" s="335">
        <v>3569</v>
      </c>
      <c r="I30" s="335">
        <v>3617</v>
      </c>
      <c r="J30" s="335">
        <v>1168</v>
      </c>
      <c r="K30" s="337">
        <v>1648</v>
      </c>
      <c r="L30" s="244">
        <v>56</v>
      </c>
      <c r="M30" s="337">
        <v>115</v>
      </c>
      <c r="N30" s="335">
        <v>69</v>
      </c>
      <c r="O30" s="337">
        <v>31</v>
      </c>
      <c r="P30" s="337">
        <v>18</v>
      </c>
      <c r="Q30" s="337">
        <v>54</v>
      </c>
      <c r="R30" s="337">
        <v>53</v>
      </c>
      <c r="S30" s="337">
        <v>69</v>
      </c>
      <c r="T30" s="337">
        <v>159</v>
      </c>
      <c r="U30" s="337">
        <v>158</v>
      </c>
      <c r="V30" s="335">
        <f t="shared" ref="V30:X31" si="8">+U30</f>
        <v>158</v>
      </c>
      <c r="W30" s="338">
        <f t="shared" si="8"/>
        <v>158</v>
      </c>
      <c r="X30" s="338">
        <f t="shared" si="8"/>
        <v>158</v>
      </c>
      <c r="Y30" s="338">
        <f t="shared" ref="Y30:AC31" si="9">+X30</f>
        <v>158</v>
      </c>
      <c r="Z30" s="338">
        <f t="shared" si="9"/>
        <v>158</v>
      </c>
      <c r="AA30" s="338">
        <f t="shared" si="9"/>
        <v>158</v>
      </c>
      <c r="AB30" s="338">
        <f t="shared" si="9"/>
        <v>158</v>
      </c>
      <c r="AC30" s="338">
        <f t="shared" si="9"/>
        <v>158</v>
      </c>
      <c r="AD30" s="753"/>
      <c r="AE30" s="37"/>
      <c r="AF30" s="37"/>
      <c r="AG30" s="37"/>
      <c r="AH30" s="37"/>
      <c r="AI30" s="37"/>
      <c r="AJ30" s="37"/>
      <c r="AK30" s="37"/>
    </row>
    <row r="31" spans="1:37">
      <c r="A31" s="336" t="s">
        <v>345</v>
      </c>
      <c r="B31" s="335">
        <v>0</v>
      </c>
      <c r="C31" s="335">
        <v>276</v>
      </c>
      <c r="D31" s="335">
        <v>276</v>
      </c>
      <c r="E31" s="335">
        <v>0</v>
      </c>
      <c r="F31" s="335">
        <v>0</v>
      </c>
      <c r="G31" s="335">
        <v>0</v>
      </c>
      <c r="H31" s="335">
        <v>1458</v>
      </c>
      <c r="I31" s="335">
        <v>0</v>
      </c>
      <c r="J31" s="335">
        <v>0</v>
      </c>
      <c r="K31" s="337">
        <v>0</v>
      </c>
      <c r="L31" s="244">
        <v>0</v>
      </c>
      <c r="M31" s="337">
        <v>0</v>
      </c>
      <c r="N31" s="335"/>
      <c r="O31" s="337"/>
      <c r="P31" s="337"/>
      <c r="Q31" s="335"/>
      <c r="R31" s="335">
        <v>662</v>
      </c>
      <c r="S31" s="335">
        <v>5387</v>
      </c>
      <c r="T31" s="335">
        <v>5585</v>
      </c>
      <c r="U31" s="335">
        <v>6345</v>
      </c>
      <c r="V31" s="335">
        <f t="shared" si="8"/>
        <v>6345</v>
      </c>
      <c r="W31" s="335">
        <f>+V31</f>
        <v>6345</v>
      </c>
      <c r="X31" s="335">
        <f>+W31</f>
        <v>6345</v>
      </c>
      <c r="Y31" s="335">
        <f t="shared" si="9"/>
        <v>6345</v>
      </c>
      <c r="Z31" s="335">
        <f t="shared" si="9"/>
        <v>6345</v>
      </c>
      <c r="AA31" s="335">
        <f t="shared" si="9"/>
        <v>6345</v>
      </c>
      <c r="AB31" s="335">
        <f t="shared" si="9"/>
        <v>6345</v>
      </c>
      <c r="AC31" s="335">
        <f t="shared" si="9"/>
        <v>6345</v>
      </c>
      <c r="AD31" s="753"/>
      <c r="AE31" s="37"/>
      <c r="AF31" s="37"/>
      <c r="AG31" s="37"/>
      <c r="AH31" s="37"/>
      <c r="AI31" s="37"/>
      <c r="AJ31" s="37"/>
      <c r="AK31" s="37"/>
    </row>
    <row r="32" spans="1:37">
      <c r="A32" s="84" t="s">
        <v>213</v>
      </c>
      <c r="B32" s="344">
        <v>370</v>
      </c>
      <c r="C32" s="344">
        <v>729</v>
      </c>
      <c r="D32" s="344">
        <v>729</v>
      </c>
      <c r="E32" s="344">
        <v>1051</v>
      </c>
      <c r="F32" s="344">
        <v>851</v>
      </c>
      <c r="G32" s="344">
        <v>884</v>
      </c>
      <c r="H32" s="344">
        <v>841</v>
      </c>
      <c r="I32" s="344">
        <v>877</v>
      </c>
      <c r="J32" s="344">
        <v>729</v>
      </c>
      <c r="K32" s="345">
        <v>1437</v>
      </c>
      <c r="L32" s="345">
        <v>1232</v>
      </c>
      <c r="M32" s="345">
        <v>1259</v>
      </c>
      <c r="N32" s="344">
        <f>1345.563+0.2407</f>
        <v>1345.8037000000002</v>
      </c>
      <c r="O32" s="345">
        <v>1308</v>
      </c>
      <c r="P32" s="345">
        <v>1475</v>
      </c>
      <c r="Q32" s="345">
        <v>1449</v>
      </c>
      <c r="R32" s="345">
        <v>755</v>
      </c>
      <c r="S32" s="345">
        <v>635</v>
      </c>
      <c r="T32" s="345">
        <v>350</v>
      </c>
      <c r="U32" s="345">
        <v>366</v>
      </c>
      <c r="V32" s="344">
        <f>+U32-CF!S47</f>
        <v>366</v>
      </c>
      <c r="W32" s="344">
        <f>+V32-CF!T47</f>
        <v>366</v>
      </c>
      <c r="X32" s="344">
        <f>+W32-CF!U47</f>
        <v>366</v>
      </c>
      <c r="Y32" s="344">
        <f>+X32-CF!V47</f>
        <v>366</v>
      </c>
      <c r="Z32" s="344">
        <f>+Y32-CF!W47</f>
        <v>366</v>
      </c>
      <c r="AA32" s="344">
        <f>+Z32-CF!X47</f>
        <v>366</v>
      </c>
      <c r="AB32" s="344">
        <f>+AA32-CF!Y47</f>
        <v>366</v>
      </c>
      <c r="AC32" s="344">
        <f>+AB32-CF!Z47</f>
        <v>366</v>
      </c>
      <c r="AD32" s="753"/>
      <c r="AE32" s="339"/>
      <c r="AF32" s="339"/>
      <c r="AG32" s="339"/>
      <c r="AH32" s="339"/>
      <c r="AI32" s="339"/>
      <c r="AJ32" s="339"/>
      <c r="AK32" s="339"/>
    </row>
    <row r="33" spans="1:37">
      <c r="A33" s="336" t="s">
        <v>346</v>
      </c>
      <c r="B33" s="335">
        <v>24446</v>
      </c>
      <c r="C33" s="335">
        <v>44919</v>
      </c>
      <c r="D33" s="335">
        <v>44919</v>
      </c>
      <c r="E33" s="335">
        <v>48792</v>
      </c>
      <c r="F33" s="335">
        <v>49644</v>
      </c>
      <c r="G33" s="335">
        <v>51161</v>
      </c>
      <c r="H33" s="335">
        <v>51664</v>
      </c>
      <c r="I33" s="335">
        <v>49475</v>
      </c>
      <c r="J33" s="335">
        <v>47320</v>
      </c>
      <c r="K33" s="335">
        <v>57256</v>
      </c>
      <c r="L33" s="245">
        <v>51712</v>
      </c>
      <c r="M33" s="335">
        <v>54260</v>
      </c>
      <c r="N33" s="335">
        <f t="shared" ref="N33:X33" si="10">SUM(N21,N22,N25,N29,N30:N32)</f>
        <v>60774.803699999997</v>
      </c>
      <c r="O33" s="335">
        <f t="shared" si="10"/>
        <v>77635</v>
      </c>
      <c r="P33" s="335">
        <f t="shared" si="10"/>
        <v>59856</v>
      </c>
      <c r="Q33" s="335">
        <f t="shared" si="10"/>
        <v>59341</v>
      </c>
      <c r="R33" s="335">
        <f t="shared" si="10"/>
        <v>55021</v>
      </c>
      <c r="S33" s="335">
        <f t="shared" si="10"/>
        <v>53885</v>
      </c>
      <c r="T33" s="335">
        <f t="shared" si="10"/>
        <v>53058</v>
      </c>
      <c r="U33" s="335">
        <f>SUM(U21,U22,U25,U29,U30:U32)</f>
        <v>55589</v>
      </c>
      <c r="V33" s="335">
        <f t="shared" ca="1" si="10"/>
        <v>55949.515939219178</v>
      </c>
      <c r="W33" s="338">
        <f t="shared" ca="1" si="10"/>
        <v>56263.106549256547</v>
      </c>
      <c r="X33" s="338">
        <f t="shared" ca="1" si="10"/>
        <v>56534.392703912512</v>
      </c>
      <c r="Y33" s="338">
        <f ca="1">SUM(Y21,Y22,Y25,Y29,Y30:Y32)</f>
        <v>56766.410670686957</v>
      </c>
      <c r="Z33" s="338">
        <f ca="1">SUM(Z21,Z22,Z25,Z29,Z30:Z32)</f>
        <v>56956.997833912152</v>
      </c>
      <c r="AA33" s="338">
        <f ca="1">SUM(AA21,AA22,AA25,AA29,AA30:AA32)</f>
        <v>57133.977376955132</v>
      </c>
      <c r="AB33" s="338">
        <f ca="1">SUM(AB21,AB22,AB25,AB29,AB30:AB32)</f>
        <v>57295.976925145129</v>
      </c>
      <c r="AC33" s="338">
        <f ca="1">SUM(AC21,AC22,AC25,AC29,AC30:AC32)</f>
        <v>57441.690867333367</v>
      </c>
      <c r="AD33" s="339"/>
      <c r="AE33" s="339"/>
      <c r="AF33" s="339"/>
      <c r="AG33" s="339"/>
      <c r="AH33" s="339"/>
      <c r="AI33" s="339"/>
      <c r="AJ33" s="339"/>
      <c r="AK33" s="339"/>
    </row>
    <row r="34" spans="1:37">
      <c r="A34" s="42"/>
      <c r="B34" s="335"/>
      <c r="C34" s="335"/>
      <c r="D34" s="335">
        <v>13033</v>
      </c>
      <c r="E34" s="335">
        <v>12835</v>
      </c>
      <c r="F34" s="335">
        <v>49644</v>
      </c>
      <c r="G34" s="335"/>
      <c r="H34" s="335"/>
      <c r="I34" s="335"/>
      <c r="J34" s="335"/>
      <c r="K34" s="335"/>
      <c r="L34" s="245"/>
      <c r="M34" s="335"/>
      <c r="N34" s="335"/>
      <c r="O34" s="335"/>
      <c r="P34" s="335"/>
      <c r="Q34" s="335"/>
      <c r="R34" s="335"/>
      <c r="S34" s="335"/>
      <c r="T34" s="335"/>
      <c r="U34" s="335"/>
      <c r="V34" s="335"/>
      <c r="W34" s="338"/>
      <c r="X34" s="338"/>
      <c r="Y34" s="338"/>
      <c r="Z34" s="338"/>
      <c r="AA34" s="338"/>
      <c r="AB34" s="338"/>
      <c r="AC34" s="338"/>
      <c r="AD34" s="339"/>
      <c r="AE34" s="339"/>
      <c r="AF34" s="339"/>
      <c r="AG34" s="339"/>
      <c r="AH34" s="339"/>
      <c r="AI34" s="339"/>
      <c r="AJ34" s="339"/>
      <c r="AK34" s="339"/>
    </row>
    <row r="35" spans="1:37">
      <c r="A35" s="231" t="s">
        <v>347</v>
      </c>
      <c r="B35" s="348">
        <v>30336</v>
      </c>
      <c r="C35" s="348">
        <v>52071</v>
      </c>
      <c r="D35" s="348">
        <v>52071</v>
      </c>
      <c r="E35" s="348">
        <v>55798</v>
      </c>
      <c r="F35" s="348">
        <v>57100</v>
      </c>
      <c r="G35" s="348">
        <v>59285</v>
      </c>
      <c r="H35" s="348">
        <v>59928</v>
      </c>
      <c r="I35" s="348">
        <v>57628</v>
      </c>
      <c r="J35" s="348">
        <v>55573.999416828476</v>
      </c>
      <c r="K35" s="348">
        <v>68131.999416828476</v>
      </c>
      <c r="L35" s="348">
        <v>63173.196347828482</v>
      </c>
      <c r="M35" s="348">
        <v>66714.196347828474</v>
      </c>
      <c r="N35" s="348">
        <f t="shared" ref="N35:X35" si="11">SUM(N19,N33)</f>
        <v>73691.000047828478</v>
      </c>
      <c r="O35" s="348">
        <f t="shared" si="11"/>
        <v>93837</v>
      </c>
      <c r="P35" s="348">
        <f t="shared" si="11"/>
        <v>75478</v>
      </c>
      <c r="Q35" s="348">
        <f t="shared" si="11"/>
        <v>72515</v>
      </c>
      <c r="R35" s="348">
        <f t="shared" si="11"/>
        <v>66771</v>
      </c>
      <c r="S35" s="348">
        <f t="shared" si="11"/>
        <v>62843</v>
      </c>
      <c r="T35" s="348">
        <f t="shared" si="11"/>
        <v>61538</v>
      </c>
      <c r="U35" s="348">
        <f>SUM(U19,U33)</f>
        <v>63109</v>
      </c>
      <c r="V35" s="348">
        <f t="shared" ca="1" si="11"/>
        <v>63036.800700582753</v>
      </c>
      <c r="W35" s="349">
        <f t="shared" ca="1" si="11"/>
        <v>63706.566105408514</v>
      </c>
      <c r="X35" s="349">
        <f t="shared" ca="1" si="11"/>
        <v>64618.28368680775</v>
      </c>
      <c r="Y35" s="349">
        <f ca="1">SUM(Y19,Y33)</f>
        <v>65432.249435206533</v>
      </c>
      <c r="Z35" s="349">
        <f ca="1">SUM(Z19,Z33)</f>
        <v>66043.286620119557</v>
      </c>
      <c r="AA35" s="349">
        <f ca="1">SUM(AA19,AA33)</f>
        <v>66630.80160892375</v>
      </c>
      <c r="AB35" s="349">
        <f ca="1">SUM(AB19,AB33)</f>
        <v>67180.211432749842</v>
      </c>
      <c r="AC35" s="349">
        <f ca="1">SUM(AC19,AC33)</f>
        <v>67683.076715827337</v>
      </c>
      <c r="AD35" s="339"/>
      <c r="AE35" s="339"/>
      <c r="AF35" s="339"/>
      <c r="AG35" s="339"/>
      <c r="AH35" s="339"/>
      <c r="AI35" s="339"/>
      <c r="AJ35" s="339"/>
      <c r="AK35" s="339"/>
    </row>
    <row r="36" spans="1:37">
      <c r="A36" s="42"/>
      <c r="B36" s="335"/>
      <c r="C36" s="335"/>
      <c r="D36" s="335"/>
      <c r="E36" s="335"/>
      <c r="F36" s="335"/>
      <c r="G36" s="335"/>
      <c r="H36" s="335"/>
      <c r="I36" s="335"/>
      <c r="J36" s="335"/>
      <c r="K36" s="335"/>
      <c r="L36" s="245"/>
      <c r="M36" s="335"/>
      <c r="N36" s="335"/>
      <c r="O36" s="335"/>
      <c r="P36" s="335"/>
      <c r="Q36" s="335"/>
      <c r="R36" s="335"/>
      <c r="S36" s="335"/>
      <c r="T36" s="335"/>
      <c r="U36" s="335"/>
      <c r="V36" s="335"/>
      <c r="W36" s="338"/>
      <c r="X36" s="338"/>
      <c r="Y36" s="338"/>
      <c r="Z36" s="338"/>
      <c r="AA36" s="338"/>
      <c r="AB36" s="338"/>
      <c r="AC36" s="338"/>
      <c r="AD36" s="339"/>
      <c r="AE36" s="339"/>
      <c r="AF36" s="339"/>
      <c r="AG36" s="339"/>
      <c r="AH36" s="339"/>
      <c r="AI36" s="339"/>
      <c r="AJ36" s="339"/>
      <c r="AK36" s="339"/>
    </row>
    <row r="37" spans="1:37">
      <c r="A37" s="334" t="s">
        <v>348</v>
      </c>
      <c r="B37" s="335"/>
      <c r="C37" s="335"/>
      <c r="D37" s="335"/>
      <c r="E37" s="335"/>
      <c r="F37" s="335"/>
      <c r="G37" s="335"/>
      <c r="H37" s="335"/>
      <c r="I37" s="335"/>
      <c r="J37" s="335"/>
      <c r="K37" s="335"/>
      <c r="L37" s="245"/>
      <c r="M37" s="335"/>
      <c r="N37" s="335"/>
      <c r="O37" s="335"/>
      <c r="P37" s="335"/>
      <c r="Q37" s="335"/>
      <c r="R37" s="335"/>
      <c r="S37" s="335"/>
      <c r="T37" s="335"/>
      <c r="U37" s="335"/>
      <c r="V37" s="335"/>
      <c r="W37" s="338"/>
      <c r="X37" s="338"/>
      <c r="Y37" s="338"/>
      <c r="Z37" s="338"/>
      <c r="AA37" s="338"/>
      <c r="AB37" s="338"/>
      <c r="AC37" s="338"/>
      <c r="AD37" s="339"/>
      <c r="AE37" s="339"/>
      <c r="AF37" s="339"/>
      <c r="AG37" s="339"/>
      <c r="AH37" s="339"/>
      <c r="AI37" s="339"/>
      <c r="AJ37" s="339"/>
      <c r="AK37" s="339"/>
    </row>
    <row r="38" spans="1:37">
      <c r="A38" s="350" t="s">
        <v>349</v>
      </c>
      <c r="B38" s="335"/>
      <c r="C38" s="335"/>
      <c r="D38" s="335"/>
      <c r="E38" s="335"/>
      <c r="F38" s="335"/>
      <c r="G38" s="335"/>
      <c r="H38" s="335"/>
      <c r="I38" s="335"/>
      <c r="J38" s="335"/>
      <c r="K38" s="335"/>
      <c r="L38" s="245"/>
      <c r="M38" s="335"/>
      <c r="N38" s="335"/>
      <c r="O38" s="335"/>
      <c r="P38" s="335"/>
      <c r="Q38" s="335"/>
      <c r="R38" s="335"/>
      <c r="S38" s="335"/>
      <c r="T38" s="335"/>
      <c r="U38" s="335"/>
      <c r="V38" s="335"/>
      <c r="W38" s="338"/>
      <c r="X38" s="338"/>
      <c r="Y38" s="338"/>
      <c r="Z38" s="338"/>
      <c r="AA38" s="338"/>
      <c r="AB38" s="338"/>
      <c r="AC38" s="338"/>
      <c r="AD38" s="339"/>
      <c r="AE38" s="339"/>
      <c r="AF38" s="339"/>
      <c r="AG38" s="339"/>
      <c r="AH38" s="339"/>
      <c r="AI38" s="339"/>
      <c r="AJ38" s="339"/>
      <c r="AK38" s="339"/>
    </row>
    <row r="39" spans="1:37">
      <c r="A39" s="42" t="s">
        <v>350</v>
      </c>
      <c r="B39" s="335">
        <v>42</v>
      </c>
      <c r="C39" s="335">
        <v>146</v>
      </c>
      <c r="D39" s="335">
        <v>146</v>
      </c>
      <c r="E39" s="335">
        <v>681</v>
      </c>
      <c r="F39" s="335">
        <v>220</v>
      </c>
      <c r="G39" s="335">
        <v>553</v>
      </c>
      <c r="H39" s="335">
        <v>1818</v>
      </c>
      <c r="I39" s="335">
        <v>805</v>
      </c>
      <c r="J39" s="335">
        <v>1715</v>
      </c>
      <c r="K39" s="337">
        <v>7385</v>
      </c>
      <c r="L39" s="244">
        <v>897</v>
      </c>
      <c r="M39" s="337">
        <v>453</v>
      </c>
      <c r="N39" s="335">
        <v>750</v>
      </c>
      <c r="O39" s="337">
        <v>182</v>
      </c>
      <c r="P39" s="337">
        <v>274</v>
      </c>
      <c r="Q39" s="337">
        <v>1636</v>
      </c>
      <c r="R39" s="337">
        <v>1305</v>
      </c>
      <c r="S39" s="337">
        <v>236</v>
      </c>
      <c r="T39" s="337">
        <v>2531</v>
      </c>
      <c r="U39" s="337">
        <v>3517</v>
      </c>
      <c r="V39" s="335">
        <f>+U39+CF!S36</f>
        <v>3817</v>
      </c>
      <c r="W39" s="335">
        <f>+V39+CF!T36</f>
        <v>4717</v>
      </c>
      <c r="X39" s="335">
        <f>+W39+CF!U36</f>
        <v>5617</v>
      </c>
      <c r="Y39" s="335">
        <f>+X39+CF!V36</f>
        <v>6517</v>
      </c>
      <c r="Z39" s="335">
        <f>+Y39+CF!W36</f>
        <v>7417</v>
      </c>
      <c r="AA39" s="335">
        <f>+Z39+CF!X36</f>
        <v>8317</v>
      </c>
      <c r="AB39" s="335">
        <f>+AA39+CF!Y36</f>
        <v>9217</v>
      </c>
      <c r="AC39" s="335">
        <f>+AB39+CF!Z36</f>
        <v>10117</v>
      </c>
      <c r="AD39" s="339"/>
      <c r="AE39" s="339"/>
      <c r="AF39" s="339"/>
      <c r="AG39" s="339"/>
      <c r="AH39" s="339"/>
      <c r="AI39" s="339"/>
      <c r="AJ39" s="339"/>
      <c r="AK39" s="339"/>
    </row>
    <row r="40" spans="1:37">
      <c r="A40" s="42" t="s">
        <v>351</v>
      </c>
      <c r="B40" s="335">
        <v>63</v>
      </c>
      <c r="C40" s="335">
        <v>713</v>
      </c>
      <c r="D40" s="335">
        <v>713</v>
      </c>
      <c r="E40" s="335">
        <v>540</v>
      </c>
      <c r="F40" s="335">
        <v>352</v>
      </c>
      <c r="G40" s="335">
        <v>775</v>
      </c>
      <c r="H40" s="335">
        <v>750</v>
      </c>
      <c r="I40" s="335">
        <v>1268</v>
      </c>
      <c r="J40" s="335">
        <v>1418</v>
      </c>
      <c r="K40" s="337">
        <v>722</v>
      </c>
      <c r="L40" s="244">
        <v>765</v>
      </c>
      <c r="M40" s="337">
        <v>513</v>
      </c>
      <c r="N40" s="335">
        <v>1107</v>
      </c>
      <c r="O40" s="337">
        <v>3654</v>
      </c>
      <c r="P40" s="337">
        <v>3577</v>
      </c>
      <c r="Q40" s="337">
        <v>1003</v>
      </c>
      <c r="R40" s="337">
        <v>1530</v>
      </c>
      <c r="S40" s="337">
        <v>605</v>
      </c>
      <c r="T40" s="337">
        <v>1451</v>
      </c>
      <c r="U40" s="337">
        <v>1163</v>
      </c>
      <c r="V40" s="335">
        <f t="shared" ref="V40:AC40" si="12">+U40</f>
        <v>1163</v>
      </c>
      <c r="W40" s="338">
        <f t="shared" si="12"/>
        <v>1163</v>
      </c>
      <c r="X40" s="338">
        <f t="shared" si="12"/>
        <v>1163</v>
      </c>
      <c r="Y40" s="338">
        <f t="shared" si="12"/>
        <v>1163</v>
      </c>
      <c r="Z40" s="338">
        <f t="shared" si="12"/>
        <v>1163</v>
      </c>
      <c r="AA40" s="338">
        <f t="shared" si="12"/>
        <v>1163</v>
      </c>
      <c r="AB40" s="338">
        <f t="shared" si="12"/>
        <v>1163</v>
      </c>
      <c r="AC40" s="338">
        <f t="shared" si="12"/>
        <v>1163</v>
      </c>
      <c r="AD40" s="339"/>
      <c r="AE40" s="339"/>
      <c r="AF40" s="339"/>
      <c r="AG40" s="339"/>
      <c r="AH40" s="339"/>
      <c r="AI40" s="339"/>
      <c r="AJ40" s="339"/>
      <c r="AK40" s="339"/>
    </row>
    <row r="41" spans="1:37" ht="12.75" hidden="1" customHeight="1" outlineLevel="1">
      <c r="A41" s="42" t="s">
        <v>352</v>
      </c>
      <c r="B41" s="335">
        <v>688</v>
      </c>
      <c r="C41" s="335">
        <v>865</v>
      </c>
      <c r="D41" s="335">
        <v>865</v>
      </c>
      <c r="E41" s="335">
        <v>1652</v>
      </c>
      <c r="F41" s="335">
        <v>895</v>
      </c>
      <c r="G41" s="335">
        <v>543</v>
      </c>
      <c r="H41" s="335">
        <v>227</v>
      </c>
      <c r="I41" s="335">
        <v>652</v>
      </c>
      <c r="J41" s="335">
        <v>607</v>
      </c>
      <c r="K41" s="337">
        <v>0</v>
      </c>
      <c r="L41" s="245">
        <v>0</v>
      </c>
      <c r="M41" s="337">
        <v>0</v>
      </c>
      <c r="N41" s="335"/>
      <c r="O41" s="335"/>
      <c r="P41" s="335"/>
      <c r="Q41" s="335"/>
      <c r="R41" s="335"/>
      <c r="S41" s="335"/>
      <c r="T41" s="335"/>
      <c r="U41" s="335"/>
      <c r="V41" s="335"/>
      <c r="W41" s="338"/>
      <c r="X41" s="338"/>
      <c r="Y41" s="338"/>
      <c r="Z41" s="338"/>
      <c r="AA41" s="338"/>
      <c r="AB41" s="338"/>
      <c r="AC41" s="338"/>
      <c r="AD41" s="339"/>
      <c r="AE41" s="339"/>
      <c r="AF41" s="339"/>
      <c r="AG41" s="339"/>
      <c r="AH41" s="339"/>
      <c r="AI41" s="339"/>
      <c r="AJ41" s="339"/>
      <c r="AK41" s="339"/>
    </row>
    <row r="42" spans="1:37" ht="12.75" hidden="1" customHeight="1" outlineLevel="1">
      <c r="A42" s="206" t="s">
        <v>353</v>
      </c>
      <c r="B42" s="335">
        <v>1561</v>
      </c>
      <c r="C42" s="335">
        <v>1971</v>
      </c>
      <c r="D42" s="335">
        <v>1971</v>
      </c>
      <c r="E42" s="335">
        <v>1897</v>
      </c>
      <c r="F42" s="335">
        <v>1939</v>
      </c>
      <c r="G42" s="335">
        <v>2005</v>
      </c>
      <c r="H42" s="335">
        <v>2207</v>
      </c>
      <c r="I42" s="335">
        <v>2270</v>
      </c>
      <c r="J42" s="335">
        <v>2602</v>
      </c>
      <c r="K42" s="337">
        <v>4065</v>
      </c>
      <c r="L42" s="244">
        <v>3373</v>
      </c>
      <c r="M42" s="337">
        <v>3766</v>
      </c>
      <c r="N42" s="335">
        <v>4124</v>
      </c>
      <c r="O42" s="337">
        <v>5525</v>
      </c>
      <c r="P42" s="337">
        <v>4642</v>
      </c>
      <c r="Q42" s="337">
        <v>5345</v>
      </c>
      <c r="R42" s="337">
        <v>5299</v>
      </c>
      <c r="S42" s="337">
        <v>4890</v>
      </c>
      <c r="T42" s="337">
        <v>5318</v>
      </c>
      <c r="U42" s="337">
        <v>5705</v>
      </c>
      <c r="V42" s="335">
        <f ca="1">+IS!T11/(360/BS!V179)</f>
        <v>5596.6197434637561</v>
      </c>
      <c r="W42" s="338">
        <f ca="1">+IS!U11/(360/BS!W179)</f>
        <v>5683.4526072334484</v>
      </c>
      <c r="X42" s="338">
        <f ca="1">+IS!V11/(360/BS!X179)</f>
        <v>5797.3981621075582</v>
      </c>
      <c r="Y42" s="338">
        <f ca="1">+IS!W11/(360/BS!Y179)</f>
        <v>5963.2856394224418</v>
      </c>
      <c r="Z42" s="338">
        <f ca="1">+IS!X11/(360/BS!Z179)</f>
        <v>6133.0529612771415</v>
      </c>
      <c r="AA42" s="338">
        <f ca="1">+IS!Y11/(360/BS!AA179)</f>
        <v>6302.1375530142213</v>
      </c>
      <c r="AB42" s="338">
        <f ca="1">+IS!Z11/(360/BS!AB179)</f>
        <v>6476.4580664900504</v>
      </c>
      <c r="AC42" s="338">
        <f ca="1">+IS!AA11/(360/BS!AC179)</f>
        <v>6651.141510323765</v>
      </c>
      <c r="AD42" s="753"/>
      <c r="AE42" s="339"/>
      <c r="AF42" s="339"/>
      <c r="AG42" s="339"/>
      <c r="AH42" s="339"/>
      <c r="AI42" s="339"/>
      <c r="AJ42" s="339"/>
      <c r="AK42" s="339"/>
    </row>
    <row r="43" spans="1:37" ht="12.75" hidden="1" customHeight="1" outlineLevel="1">
      <c r="A43" s="206" t="s">
        <v>354</v>
      </c>
      <c r="B43" s="335">
        <v>1310</v>
      </c>
      <c r="C43" s="335">
        <v>1601</v>
      </c>
      <c r="D43" s="335">
        <v>1601</v>
      </c>
      <c r="E43" s="335">
        <v>1398</v>
      </c>
      <c r="F43" s="335">
        <v>1474</v>
      </c>
      <c r="G43" s="335">
        <v>1500</v>
      </c>
      <c r="H43" s="335">
        <v>1637</v>
      </c>
      <c r="I43" s="335">
        <v>1529</v>
      </c>
      <c r="J43" s="335">
        <v>1626</v>
      </c>
      <c r="K43" s="337">
        <v>1833</v>
      </c>
      <c r="L43" s="244">
        <v>1803</v>
      </c>
      <c r="M43" s="337">
        <v>2181</v>
      </c>
      <c r="N43" s="335">
        <v>1919</v>
      </c>
      <c r="O43" s="337">
        <v>2863</v>
      </c>
      <c r="P43" s="337">
        <v>2484</v>
      </c>
      <c r="Q43" s="337">
        <v>2318</v>
      </c>
      <c r="R43" s="337">
        <v>2047</v>
      </c>
      <c r="S43" s="337">
        <v>1634</v>
      </c>
      <c r="T43" s="337">
        <v>1745</v>
      </c>
      <c r="U43" s="337">
        <v>1728</v>
      </c>
      <c r="V43" s="335">
        <f ca="1">+IS!T16/(360/BS!V198)</f>
        <v>1787.1340506197764</v>
      </c>
      <c r="W43" s="338">
        <f ca="1">+IS!U16/(360/BS!W198)</f>
        <v>1819.9270355222598</v>
      </c>
      <c r="X43" s="338">
        <f ca="1">+IS!V16/(360/BS!X198)</f>
        <v>1868.3795680157373</v>
      </c>
      <c r="Y43" s="338">
        <f ca="1">+IS!W16/(360/BS!Y198)</f>
        <v>1911.9389404920748</v>
      </c>
      <c r="Z43" s="338">
        <f ca="1">+IS!X16/(360/BS!Z198)</f>
        <v>1963.1587768523066</v>
      </c>
      <c r="AA43" s="338">
        <f ca="1">+IS!Y16/(360/BS!AA198)</f>
        <v>2022.821519774468</v>
      </c>
      <c r="AB43" s="338">
        <f ca="1">+IS!Z16/(360/BS!AB198)</f>
        <v>2077.9124900505167</v>
      </c>
      <c r="AC43" s="338">
        <f ca="1">+IS!AA16/(360/BS!AC198)</f>
        <v>2133.9595549477749</v>
      </c>
      <c r="AD43" s="753"/>
      <c r="AE43" s="339"/>
      <c r="AF43" s="339"/>
      <c r="AG43" s="339"/>
      <c r="AH43" s="339"/>
      <c r="AI43" s="339"/>
      <c r="AJ43" s="339"/>
      <c r="AK43" s="339"/>
    </row>
    <row r="44" spans="1:37" ht="12.75" hidden="1" customHeight="1" outlineLevel="1">
      <c r="A44" s="351" t="s">
        <v>355</v>
      </c>
      <c r="B44" s="245">
        <v>1422</v>
      </c>
      <c r="C44" s="245">
        <v>2036</v>
      </c>
      <c r="D44" s="245">
        <v>2036</v>
      </c>
      <c r="E44" s="245">
        <v>2479</v>
      </c>
      <c r="F44" s="245">
        <v>1926</v>
      </c>
      <c r="G44" s="245">
        <v>2034</v>
      </c>
      <c r="H44" s="245">
        <v>2269</v>
      </c>
      <c r="I44" s="245">
        <v>1963</v>
      </c>
      <c r="J44" s="245">
        <v>2354</v>
      </c>
      <c r="K44" s="244">
        <v>2567</v>
      </c>
      <c r="L44" s="244">
        <v>951</v>
      </c>
      <c r="M44" s="244">
        <v>1175</v>
      </c>
      <c r="N44" s="245">
        <v>1137</v>
      </c>
      <c r="O44" s="337">
        <v>1365</v>
      </c>
      <c r="P44" s="337">
        <v>1038</v>
      </c>
      <c r="Q44" s="244">
        <v>1043</v>
      </c>
      <c r="R44" s="244">
        <v>946</v>
      </c>
      <c r="S44" s="244">
        <v>844</v>
      </c>
      <c r="T44" s="244">
        <v>736</v>
      </c>
      <c r="U44" s="244">
        <v>721</v>
      </c>
      <c r="V44" s="245">
        <f ca="1">+U44*(IS!T10/IS!S10)</f>
        <v>757.25878825417999</v>
      </c>
      <c r="W44" s="340">
        <f ca="1">+V44*(IS!U10/IS!T10)</f>
        <v>775.48244469006147</v>
      </c>
      <c r="X44" s="340">
        <f ca="1">+W44*(IS!V10/IS!U10)</f>
        <v>797.74639281009945</v>
      </c>
      <c r="Y44" s="340">
        <f ca="1">+X44*(IS!W10/IS!V10)</f>
        <v>823.36967474318169</v>
      </c>
      <c r="Z44" s="340">
        <f ca="1">+Y44*(IS!X10/IS!W10)</f>
        <v>848.9799412643182</v>
      </c>
      <c r="AA44" s="340">
        <f ca="1">+Z44*(IS!Y10/IS!X10)</f>
        <v>874.62704689319639</v>
      </c>
      <c r="AB44" s="340">
        <f ca="1">+AA44*(IS!Z10/IS!Y10)</f>
        <v>900.36177505712601</v>
      </c>
      <c r="AC44" s="340">
        <f ca="1">+AB44*(IS!AA10/IS!Z10)</f>
        <v>926.23550088795014</v>
      </c>
      <c r="AD44" s="753"/>
      <c r="AE44" s="339"/>
      <c r="AF44" s="339"/>
      <c r="AG44" s="339"/>
      <c r="AH44" s="339"/>
      <c r="AI44" s="339"/>
      <c r="AJ44" s="339"/>
      <c r="AK44" s="339"/>
    </row>
    <row r="45" spans="1:37" collapsed="1">
      <c r="A45" s="37" t="s">
        <v>356</v>
      </c>
      <c r="B45" s="245">
        <v>4293</v>
      </c>
      <c r="C45" s="245">
        <v>5608</v>
      </c>
      <c r="D45" s="245">
        <v>5608</v>
      </c>
      <c r="E45" s="245">
        <v>5774</v>
      </c>
      <c r="F45" s="245">
        <v>5339</v>
      </c>
      <c r="G45" s="245">
        <v>5539</v>
      </c>
      <c r="H45" s="245">
        <v>6113</v>
      </c>
      <c r="I45" s="245">
        <v>5762</v>
      </c>
      <c r="J45" s="245">
        <v>6582</v>
      </c>
      <c r="K45" s="245">
        <v>8465</v>
      </c>
      <c r="L45" s="245">
        <v>6127</v>
      </c>
      <c r="M45" s="245">
        <v>7122</v>
      </c>
      <c r="N45" s="245">
        <v>7180</v>
      </c>
      <c r="O45" s="245">
        <f t="shared" ref="O45:X45" si="13">+SUM(O42:O44)</f>
        <v>9753</v>
      </c>
      <c r="P45" s="245">
        <f t="shared" si="13"/>
        <v>8164</v>
      </c>
      <c r="Q45" s="245">
        <f>+SUM(Q42:Q44)</f>
        <v>8706</v>
      </c>
      <c r="R45" s="245">
        <f t="shared" si="13"/>
        <v>8292</v>
      </c>
      <c r="S45" s="245">
        <f t="shared" si="13"/>
        <v>7368</v>
      </c>
      <c r="T45" s="245">
        <f t="shared" si="13"/>
        <v>7799</v>
      </c>
      <c r="U45" s="245">
        <f>+SUM(U42:U44)</f>
        <v>8154</v>
      </c>
      <c r="V45" s="245">
        <f t="shared" ca="1" si="13"/>
        <v>8141.012582337713</v>
      </c>
      <c r="W45" s="340">
        <f t="shared" ca="1" si="13"/>
        <v>8278.8620874457702</v>
      </c>
      <c r="X45" s="340">
        <f t="shared" ca="1" si="13"/>
        <v>8463.5241229333951</v>
      </c>
      <c r="Y45" s="340">
        <f ca="1">+SUM(Y42:Y44)</f>
        <v>8698.5942546576989</v>
      </c>
      <c r="Z45" s="340">
        <f ca="1">+SUM(Z42:Z44)</f>
        <v>8945.1916793937671</v>
      </c>
      <c r="AA45" s="340">
        <f ca="1">+SUM(AA42:AA44)</f>
        <v>9199.586119681886</v>
      </c>
      <c r="AB45" s="340">
        <f ca="1">+SUM(AB42:AB44)</f>
        <v>9454.7323315976937</v>
      </c>
      <c r="AC45" s="340">
        <f ca="1">+SUM(AC42:AC44)</f>
        <v>9711.3365661594889</v>
      </c>
      <c r="AD45" s="339"/>
      <c r="AE45" s="339"/>
      <c r="AF45" s="339"/>
      <c r="AG45" s="339"/>
      <c r="AH45" s="339"/>
      <c r="AI45" s="339"/>
      <c r="AJ45" s="339"/>
      <c r="AK45" s="339"/>
    </row>
    <row r="46" spans="1:37" ht="12.75" hidden="1" customHeight="1" outlineLevel="1">
      <c r="A46" s="42" t="s">
        <v>357</v>
      </c>
      <c r="B46" s="335">
        <v>0</v>
      </c>
      <c r="C46" s="335">
        <v>0</v>
      </c>
      <c r="D46" s="335">
        <v>0</v>
      </c>
      <c r="E46" s="335">
        <v>0</v>
      </c>
      <c r="F46" s="335">
        <v>0</v>
      </c>
      <c r="G46" s="335">
        <v>0</v>
      </c>
      <c r="H46" s="335">
        <v>0</v>
      </c>
      <c r="I46" s="335">
        <v>0</v>
      </c>
      <c r="J46" s="335">
        <v>0</v>
      </c>
      <c r="K46" s="337">
        <v>414</v>
      </c>
      <c r="L46" s="245"/>
      <c r="M46" s="337">
        <v>0</v>
      </c>
      <c r="N46" s="335"/>
      <c r="O46" s="335"/>
      <c r="P46" s="335"/>
      <c r="Q46" s="335"/>
      <c r="R46" s="335"/>
      <c r="S46" s="335"/>
      <c r="T46" s="335"/>
      <c r="U46" s="335"/>
      <c r="V46" s="335"/>
      <c r="W46" s="338"/>
      <c r="X46" s="338"/>
      <c r="Y46" s="338"/>
      <c r="Z46" s="338"/>
      <c r="AA46" s="338"/>
      <c r="AB46" s="338"/>
      <c r="AC46" s="338"/>
      <c r="AD46" s="339"/>
      <c r="AE46" s="339"/>
      <c r="AF46" s="339"/>
      <c r="AG46" s="339"/>
      <c r="AH46" s="339"/>
      <c r="AI46" s="339"/>
      <c r="AJ46" s="339"/>
      <c r="AK46" s="339"/>
    </row>
    <row r="47" spans="1:37" ht="12.75" hidden="1" customHeight="1" outlineLevel="1">
      <c r="A47" s="37" t="s">
        <v>358</v>
      </c>
      <c r="B47" s="245">
        <v>287</v>
      </c>
      <c r="C47" s="245">
        <v>258</v>
      </c>
      <c r="D47" s="245">
        <v>258</v>
      </c>
      <c r="E47" s="245">
        <v>228</v>
      </c>
      <c r="F47" s="245">
        <v>363</v>
      </c>
      <c r="G47" s="245">
        <v>451</v>
      </c>
      <c r="H47" s="245">
        <v>170</v>
      </c>
      <c r="I47" s="245">
        <v>237</v>
      </c>
      <c r="J47" s="245">
        <v>151</v>
      </c>
      <c r="K47" s="244">
        <v>100</v>
      </c>
      <c r="L47" s="245"/>
      <c r="M47" s="244">
        <v>0</v>
      </c>
      <c r="N47" s="245"/>
      <c r="O47" s="245"/>
      <c r="P47" s="245"/>
      <c r="Q47" s="245"/>
      <c r="R47" s="245"/>
      <c r="S47" s="245"/>
      <c r="T47" s="245"/>
      <c r="U47" s="245"/>
      <c r="V47" s="245"/>
      <c r="W47" s="340"/>
      <c r="X47" s="340"/>
      <c r="Y47" s="340"/>
      <c r="Z47" s="340"/>
      <c r="AA47" s="340"/>
      <c r="AB47" s="340"/>
      <c r="AC47" s="340"/>
      <c r="AD47" s="339"/>
      <c r="AE47" s="339"/>
      <c r="AF47" s="339"/>
      <c r="AG47" s="339"/>
      <c r="AH47" s="339"/>
      <c r="AI47" s="339"/>
      <c r="AJ47" s="339"/>
      <c r="AK47" s="339"/>
    </row>
    <row r="48" spans="1:37" collapsed="1">
      <c r="A48" s="37" t="s">
        <v>359</v>
      </c>
      <c r="B48" s="344"/>
      <c r="C48" s="344"/>
      <c r="D48" s="344"/>
      <c r="E48" s="344"/>
      <c r="F48" s="344"/>
      <c r="G48" s="344"/>
      <c r="H48" s="344"/>
      <c r="I48" s="344"/>
      <c r="J48" s="344"/>
      <c r="K48" s="345">
        <v>53</v>
      </c>
      <c r="L48" s="345">
        <v>3281</v>
      </c>
      <c r="M48" s="345">
        <v>3403</v>
      </c>
      <c r="N48" s="344">
        <v>4490</v>
      </c>
      <c r="O48" s="345">
        <v>4856</v>
      </c>
      <c r="P48" s="345">
        <v>2858</v>
      </c>
      <c r="Q48" s="345">
        <v>3051</v>
      </c>
      <c r="R48" s="345">
        <v>2880</v>
      </c>
      <c r="S48" s="345">
        <v>2713</v>
      </c>
      <c r="T48" s="345">
        <v>2636</v>
      </c>
      <c r="U48" s="345">
        <v>2959</v>
      </c>
      <c r="V48" s="344">
        <f t="shared" ref="V48:AC48" si="14">+U48</f>
        <v>2959</v>
      </c>
      <c r="W48" s="346">
        <f t="shared" si="14"/>
        <v>2959</v>
      </c>
      <c r="X48" s="346">
        <f t="shared" si="14"/>
        <v>2959</v>
      </c>
      <c r="Y48" s="346">
        <f t="shared" si="14"/>
        <v>2959</v>
      </c>
      <c r="Z48" s="346">
        <f t="shared" si="14"/>
        <v>2959</v>
      </c>
      <c r="AA48" s="346">
        <f t="shared" si="14"/>
        <v>2959</v>
      </c>
      <c r="AB48" s="346">
        <f t="shared" si="14"/>
        <v>2959</v>
      </c>
      <c r="AC48" s="346">
        <f t="shared" si="14"/>
        <v>2959</v>
      </c>
      <c r="AD48" s="339"/>
      <c r="AE48" s="339"/>
      <c r="AF48" s="339"/>
      <c r="AG48" s="339"/>
      <c r="AH48" s="339"/>
      <c r="AI48" s="339"/>
      <c r="AJ48" s="339"/>
      <c r="AK48" s="339"/>
    </row>
    <row r="49" spans="1:46">
      <c r="A49" s="228" t="s">
        <v>360</v>
      </c>
      <c r="B49" s="352">
        <v>5373</v>
      </c>
      <c r="C49" s="352">
        <v>7590</v>
      </c>
      <c r="D49" s="352">
        <v>7590</v>
      </c>
      <c r="E49" s="352">
        <v>8875</v>
      </c>
      <c r="F49" s="352">
        <v>7169</v>
      </c>
      <c r="G49" s="352">
        <v>7861</v>
      </c>
      <c r="H49" s="352">
        <v>9078</v>
      </c>
      <c r="I49" s="352">
        <v>8724</v>
      </c>
      <c r="J49" s="352">
        <v>10473</v>
      </c>
      <c r="K49" s="352">
        <v>17139</v>
      </c>
      <c r="L49" s="348">
        <v>11070</v>
      </c>
      <c r="M49" s="348">
        <v>11491</v>
      </c>
      <c r="N49" s="348">
        <f t="shared" ref="N49:X49" si="15">SUM(N39:N41,N45,N46:N48)</f>
        <v>13527</v>
      </c>
      <c r="O49" s="348">
        <f t="shared" si="15"/>
        <v>18445</v>
      </c>
      <c r="P49" s="348">
        <f t="shared" si="15"/>
        <v>14873</v>
      </c>
      <c r="Q49" s="348">
        <f t="shared" si="15"/>
        <v>14396</v>
      </c>
      <c r="R49" s="348">
        <f t="shared" si="15"/>
        <v>14007</v>
      </c>
      <c r="S49" s="348">
        <f t="shared" si="15"/>
        <v>10922</v>
      </c>
      <c r="T49" s="348">
        <f t="shared" si="15"/>
        <v>14417</v>
      </c>
      <c r="U49" s="348">
        <f>SUM(U39:U41,U45,U46:U48)</f>
        <v>15793</v>
      </c>
      <c r="V49" s="348">
        <f t="shared" ca="1" si="15"/>
        <v>16080.012582337713</v>
      </c>
      <c r="W49" s="349">
        <f t="shared" ca="1" si="15"/>
        <v>17117.86208744577</v>
      </c>
      <c r="X49" s="349">
        <f t="shared" ca="1" si="15"/>
        <v>18202.524122933395</v>
      </c>
      <c r="Y49" s="349">
        <f ca="1">SUM(Y39:Y41,Y45,Y46:Y48)</f>
        <v>19337.594254657699</v>
      </c>
      <c r="Z49" s="349">
        <f ca="1">SUM(Z39:Z41,Z45,Z46:Z48)</f>
        <v>20484.191679393767</v>
      </c>
      <c r="AA49" s="349">
        <f ca="1">SUM(AA39:AA41,AA45,AA46:AA48)</f>
        <v>21638.586119681888</v>
      </c>
      <c r="AB49" s="349">
        <f ca="1">SUM(AB39:AB41,AB45,AB46:AB48)</f>
        <v>22793.732331597694</v>
      </c>
      <c r="AC49" s="349">
        <f ca="1">SUM(AC39:AC41,AC45,AC46:AC48)</f>
        <v>23950.336566159487</v>
      </c>
      <c r="AD49" s="339"/>
      <c r="AE49" s="339"/>
      <c r="AF49" s="339"/>
      <c r="AG49" s="339"/>
      <c r="AH49" s="339"/>
      <c r="AI49" s="339"/>
      <c r="AJ49" s="339"/>
      <c r="AK49" s="339"/>
    </row>
    <row r="50" spans="1:46">
      <c r="A50" s="42"/>
      <c r="B50" s="335"/>
      <c r="C50" s="335"/>
      <c r="D50" s="335"/>
      <c r="E50" s="335"/>
      <c r="F50" s="335"/>
      <c r="G50" s="335"/>
      <c r="H50" s="335"/>
      <c r="I50" s="335"/>
      <c r="J50" s="335"/>
      <c r="K50" s="335"/>
      <c r="L50" s="245"/>
      <c r="M50" s="335"/>
      <c r="N50" s="335"/>
      <c r="O50" s="335"/>
      <c r="P50" s="335"/>
      <c r="Q50" s="335"/>
      <c r="R50" s="335"/>
      <c r="S50" s="335"/>
      <c r="T50" s="335"/>
      <c r="U50" s="335"/>
      <c r="V50" s="335"/>
      <c r="W50" s="338"/>
      <c r="X50" s="338"/>
      <c r="Y50" s="338"/>
      <c r="Z50" s="338"/>
      <c r="AA50" s="338"/>
      <c r="AB50" s="338"/>
      <c r="AC50" s="338"/>
      <c r="AD50" s="339"/>
      <c r="AE50" s="339"/>
      <c r="AF50" s="339"/>
      <c r="AG50" s="339"/>
      <c r="AH50" s="339"/>
      <c r="AI50" s="339"/>
      <c r="AJ50" s="339"/>
      <c r="AK50" s="339"/>
      <c r="AT50" s="239"/>
    </row>
    <row r="51" spans="1:46">
      <c r="A51" s="42" t="s">
        <v>361</v>
      </c>
      <c r="B51" s="335">
        <v>433</v>
      </c>
      <c r="C51" s="335">
        <v>2695</v>
      </c>
      <c r="D51" s="335">
        <v>2695</v>
      </c>
      <c r="E51" s="335">
        <v>8134</v>
      </c>
      <c r="F51" s="335">
        <v>10416</v>
      </c>
      <c r="G51" s="335">
        <v>11591</v>
      </c>
      <c r="H51" s="335">
        <v>9723</v>
      </c>
      <c r="I51" s="335">
        <v>8475</v>
      </c>
      <c r="J51" s="335">
        <v>7081</v>
      </c>
      <c r="K51" s="337">
        <v>12902</v>
      </c>
      <c r="L51" s="244">
        <v>18589</v>
      </c>
      <c r="M51" s="337">
        <v>18024</v>
      </c>
      <c r="N51" s="335">
        <v>26828</v>
      </c>
      <c r="O51" s="337">
        <v>23095</v>
      </c>
      <c r="P51" s="337">
        <v>15574</v>
      </c>
      <c r="Q51" s="337">
        <v>14482</v>
      </c>
      <c r="R51" s="337">
        <v>13821</v>
      </c>
      <c r="S51" s="337">
        <v>14557</v>
      </c>
      <c r="T51" s="337">
        <v>13217</v>
      </c>
      <c r="U51" s="337">
        <v>12972</v>
      </c>
      <c r="V51" s="335">
        <f>+U51+CF!S37+CF!S38</f>
        <v>12622</v>
      </c>
      <c r="W51" s="338">
        <f>+V51+CF!T37+CF!T38</f>
        <v>12122</v>
      </c>
      <c r="X51" s="338">
        <f>+W51+CF!U37+CF!U38</f>
        <v>11672</v>
      </c>
      <c r="Y51" s="338">
        <f>+X51+CF!V37+CF!V38</f>
        <v>11022</v>
      </c>
      <c r="Z51" s="338">
        <f>+Y51+CF!W37+CF!W38</f>
        <v>10122</v>
      </c>
      <c r="AA51" s="338">
        <f>+Z51+CF!X37+CF!X38</f>
        <v>9222</v>
      </c>
      <c r="AB51" s="338">
        <f>+AA51+CF!Y37+CF!Y38</f>
        <v>8322</v>
      </c>
      <c r="AC51" s="338">
        <f>+AB51+CF!Z37+CF!Z38</f>
        <v>7422</v>
      </c>
      <c r="AD51" s="339"/>
      <c r="AE51" s="339"/>
      <c r="AF51" s="339"/>
      <c r="AG51" s="339"/>
      <c r="AH51" s="339"/>
      <c r="AI51" s="339"/>
      <c r="AJ51" s="339"/>
      <c r="AK51" s="339"/>
    </row>
    <row r="52" spans="1:46">
      <c r="A52" s="42" t="s">
        <v>362</v>
      </c>
      <c r="B52" s="335">
        <v>1145</v>
      </c>
      <c r="C52" s="335">
        <v>1446</v>
      </c>
      <c r="D52" s="335">
        <v>1446</v>
      </c>
      <c r="E52" s="335">
        <v>5031</v>
      </c>
      <c r="F52" s="335">
        <v>5428</v>
      </c>
      <c r="G52" s="335">
        <v>5856</v>
      </c>
      <c r="H52" s="335">
        <v>5850</v>
      </c>
      <c r="I52" s="335">
        <v>6067</v>
      </c>
      <c r="J52" s="335">
        <v>3930</v>
      </c>
      <c r="K52" s="337">
        <v>4876</v>
      </c>
      <c r="L52" s="244">
        <v>4064</v>
      </c>
      <c r="M52" s="337">
        <v>4508</v>
      </c>
      <c r="N52" s="335">
        <v>6460</v>
      </c>
      <c r="O52" s="337">
        <v>6738</v>
      </c>
      <c r="P52" s="337">
        <v>6302</v>
      </c>
      <c r="Q52" s="337">
        <v>6282</v>
      </c>
      <c r="R52" s="337">
        <v>5512</v>
      </c>
      <c r="S52" s="337">
        <v>4750</v>
      </c>
      <c r="T52" s="337">
        <v>4721</v>
      </c>
      <c r="U52" s="337">
        <v>3376</v>
      </c>
      <c r="V52" s="335">
        <f>+U52-144</f>
        <v>3232</v>
      </c>
      <c r="W52" s="335">
        <f t="shared" ref="W52:AC52" si="16">+V52-144</f>
        <v>3088</v>
      </c>
      <c r="X52" s="335">
        <f t="shared" si="16"/>
        <v>2944</v>
      </c>
      <c r="Y52" s="335">
        <f t="shared" si="16"/>
        <v>2800</v>
      </c>
      <c r="Z52" s="335">
        <f t="shared" si="16"/>
        <v>2656</v>
      </c>
      <c r="AA52" s="335">
        <f t="shared" si="16"/>
        <v>2512</v>
      </c>
      <c r="AB52" s="335">
        <f t="shared" si="16"/>
        <v>2368</v>
      </c>
      <c r="AC52" s="335">
        <f t="shared" si="16"/>
        <v>2224</v>
      </c>
      <c r="AD52" s="339"/>
      <c r="AE52" s="339"/>
      <c r="AF52" s="339"/>
      <c r="AG52" s="339"/>
      <c r="AH52" s="339"/>
      <c r="AI52" s="339"/>
      <c r="AJ52" s="339"/>
      <c r="AK52" s="339"/>
    </row>
    <row r="53" spans="1:46" ht="12.75" hidden="1" customHeight="1" outlineLevel="1">
      <c r="A53" s="42" t="s">
        <v>363</v>
      </c>
      <c r="B53" s="335">
        <v>6602</v>
      </c>
      <c r="C53" s="335">
        <v>21407</v>
      </c>
      <c r="D53" s="335">
        <v>12981.7</v>
      </c>
      <c r="E53" s="335">
        <v>5000</v>
      </c>
      <c r="F53" s="335">
        <v>2560</v>
      </c>
      <c r="G53" s="335">
        <v>0</v>
      </c>
      <c r="H53" s="335">
        <v>0</v>
      </c>
      <c r="I53" s="335">
        <v>0</v>
      </c>
      <c r="J53" s="335">
        <v>0</v>
      </c>
      <c r="K53" s="337">
        <v>0</v>
      </c>
      <c r="L53" s="245">
        <v>0</v>
      </c>
      <c r="M53" s="335">
        <v>0</v>
      </c>
      <c r="N53" s="335"/>
      <c r="O53" s="337"/>
      <c r="P53" s="337"/>
      <c r="Q53" s="335"/>
      <c r="R53" s="335"/>
      <c r="S53" s="335"/>
      <c r="T53" s="335"/>
      <c r="U53" s="335"/>
      <c r="V53" s="335"/>
      <c r="W53" s="338"/>
      <c r="X53" s="338"/>
      <c r="Y53" s="338"/>
      <c r="Z53" s="338"/>
      <c r="AA53" s="338"/>
      <c r="AB53" s="338"/>
      <c r="AC53" s="338"/>
      <c r="AD53" s="339"/>
      <c r="AE53" s="339"/>
      <c r="AF53" s="339"/>
      <c r="AG53" s="339"/>
      <c r="AH53" s="339"/>
      <c r="AI53" s="339"/>
      <c r="AJ53" s="339"/>
      <c r="AK53" s="339"/>
    </row>
    <row r="54" spans="1:46" ht="12.75" hidden="1" customHeight="1" outlineLevel="1">
      <c r="A54" s="206" t="s">
        <v>364</v>
      </c>
      <c r="B54" s="335">
        <v>1239</v>
      </c>
      <c r="C54" s="335">
        <v>1867</v>
      </c>
      <c r="D54" s="335">
        <v>1867</v>
      </c>
      <c r="E54" s="335">
        <v>1850</v>
      </c>
      <c r="F54" s="335">
        <v>1889</v>
      </c>
      <c r="G54" s="335">
        <v>1894</v>
      </c>
      <c r="H54" s="335">
        <v>1887</v>
      </c>
      <c r="I54" s="335">
        <v>1931</v>
      </c>
      <c r="J54" s="335">
        <v>3014</v>
      </c>
      <c r="K54" s="337">
        <v>3656</v>
      </c>
      <c r="L54" s="244">
        <v>5045</v>
      </c>
      <c r="M54" s="337">
        <v>4581</v>
      </c>
      <c r="N54" s="335">
        <v>5373</v>
      </c>
      <c r="O54" s="337">
        <f>3597+3238</f>
        <v>6835</v>
      </c>
      <c r="P54" s="337">
        <f>2885+451</f>
        <v>3336</v>
      </c>
      <c r="Q54" s="337">
        <f>412+1962</f>
        <v>2374</v>
      </c>
      <c r="R54" s="337">
        <f>526+2912</f>
        <v>3438</v>
      </c>
      <c r="S54" s="337">
        <f>2183+499</f>
        <v>2682</v>
      </c>
      <c r="T54" s="337">
        <v>2014</v>
      </c>
      <c r="U54" s="337">
        <v>1669</v>
      </c>
      <c r="V54" s="335">
        <f t="shared" ref="V54:AC54" si="17">U54</f>
        <v>1669</v>
      </c>
      <c r="W54" s="335">
        <f t="shared" si="17"/>
        <v>1669</v>
      </c>
      <c r="X54" s="335">
        <f t="shared" si="17"/>
        <v>1669</v>
      </c>
      <c r="Y54" s="335">
        <f t="shared" si="17"/>
        <v>1669</v>
      </c>
      <c r="Z54" s="335">
        <f t="shared" si="17"/>
        <v>1669</v>
      </c>
      <c r="AA54" s="335">
        <f t="shared" si="17"/>
        <v>1669</v>
      </c>
      <c r="AB54" s="335">
        <f t="shared" si="17"/>
        <v>1669</v>
      </c>
      <c r="AC54" s="335">
        <f t="shared" si="17"/>
        <v>1669</v>
      </c>
      <c r="AD54" s="753"/>
      <c r="AE54" s="339"/>
      <c r="AF54" s="339"/>
      <c r="AG54" s="339"/>
      <c r="AH54" s="339"/>
      <c r="AI54" s="339"/>
      <c r="AJ54" s="339"/>
      <c r="AK54" s="339"/>
    </row>
    <row r="55" spans="1:46" ht="12.75" hidden="1" customHeight="1" outlineLevel="1">
      <c r="A55" s="351" t="s">
        <v>365</v>
      </c>
      <c r="B55" s="344">
        <v>2083</v>
      </c>
      <c r="C55" s="344">
        <v>3018</v>
      </c>
      <c r="D55" s="344">
        <v>3018</v>
      </c>
      <c r="E55" s="344">
        <v>3430</v>
      </c>
      <c r="F55" s="344">
        <v>3806</v>
      </c>
      <c r="G55" s="344">
        <v>3553</v>
      </c>
      <c r="H55" s="344">
        <v>3479</v>
      </c>
      <c r="I55" s="344">
        <v>2838</v>
      </c>
      <c r="J55" s="344">
        <v>2521</v>
      </c>
      <c r="K55" s="345">
        <v>2140</v>
      </c>
      <c r="L55" s="345">
        <v>2075</v>
      </c>
      <c r="M55" s="345">
        <v>2138</v>
      </c>
      <c r="N55" s="245">
        <v>2600</v>
      </c>
      <c r="O55" s="337">
        <v>3396</v>
      </c>
      <c r="P55" s="337">
        <v>3038</v>
      </c>
      <c r="Q55" s="244">
        <v>2491</v>
      </c>
      <c r="R55" s="244">
        <v>2140</v>
      </c>
      <c r="S55" s="244">
        <v>1832</v>
      </c>
      <c r="T55" s="244">
        <f>382+1572</f>
        <v>1954</v>
      </c>
      <c r="U55" s="244">
        <f>419+2689</f>
        <v>3108</v>
      </c>
      <c r="V55" s="245">
        <f t="shared" ref="V55:AC55" si="18">+U55</f>
        <v>3108</v>
      </c>
      <c r="W55" s="245">
        <f t="shared" si="18"/>
        <v>3108</v>
      </c>
      <c r="X55" s="245">
        <f t="shared" si="18"/>
        <v>3108</v>
      </c>
      <c r="Y55" s="245">
        <f t="shared" si="18"/>
        <v>3108</v>
      </c>
      <c r="Z55" s="245">
        <f t="shared" si="18"/>
        <v>3108</v>
      </c>
      <c r="AA55" s="245">
        <f t="shared" si="18"/>
        <v>3108</v>
      </c>
      <c r="AB55" s="245">
        <f t="shared" si="18"/>
        <v>3108</v>
      </c>
      <c r="AC55" s="245">
        <f t="shared" si="18"/>
        <v>3108</v>
      </c>
      <c r="AD55" s="753"/>
      <c r="AE55" s="339"/>
      <c r="AF55" s="339"/>
      <c r="AG55" s="339"/>
      <c r="AH55" s="339"/>
      <c r="AI55" s="339"/>
      <c r="AJ55" s="339"/>
      <c r="AK55" s="339"/>
    </row>
    <row r="56" spans="1:46" collapsed="1">
      <c r="A56" s="37" t="s">
        <v>366</v>
      </c>
      <c r="B56" s="344">
        <v>3322</v>
      </c>
      <c r="C56" s="344">
        <v>4885</v>
      </c>
      <c r="D56" s="344">
        <v>4885</v>
      </c>
      <c r="E56" s="344">
        <v>5280</v>
      </c>
      <c r="F56" s="344">
        <v>5695</v>
      </c>
      <c r="G56" s="344">
        <v>5447</v>
      </c>
      <c r="H56" s="344">
        <v>5366</v>
      </c>
      <c r="I56" s="344">
        <v>4769</v>
      </c>
      <c r="J56" s="344">
        <v>5535</v>
      </c>
      <c r="K56" s="344">
        <v>5796</v>
      </c>
      <c r="L56" s="344">
        <v>7120</v>
      </c>
      <c r="M56" s="344">
        <v>6719</v>
      </c>
      <c r="N56" s="344">
        <v>7973</v>
      </c>
      <c r="O56" s="344">
        <f t="shared" ref="O56:X56" si="19">SUM(O54:O55)</f>
        <v>10231</v>
      </c>
      <c r="P56" s="344">
        <f t="shared" si="19"/>
        <v>6374</v>
      </c>
      <c r="Q56" s="344">
        <f t="shared" si="19"/>
        <v>4865</v>
      </c>
      <c r="R56" s="344">
        <f t="shared" si="19"/>
        <v>5578</v>
      </c>
      <c r="S56" s="344">
        <f t="shared" si="19"/>
        <v>4514</v>
      </c>
      <c r="T56" s="344">
        <f t="shared" si="19"/>
        <v>3968</v>
      </c>
      <c r="U56" s="344">
        <f>SUM(U54:U55)</f>
        <v>4777</v>
      </c>
      <c r="V56" s="344">
        <f t="shared" si="19"/>
        <v>4777</v>
      </c>
      <c r="W56" s="346">
        <f t="shared" si="19"/>
        <v>4777</v>
      </c>
      <c r="X56" s="346">
        <f t="shared" si="19"/>
        <v>4777</v>
      </c>
      <c r="Y56" s="346">
        <f>SUM(Y54:Y55)</f>
        <v>4777</v>
      </c>
      <c r="Z56" s="346">
        <f>SUM(Z54:Z55)</f>
        <v>4777</v>
      </c>
      <c r="AA56" s="346">
        <f>SUM(AA54:AA55)</f>
        <v>4777</v>
      </c>
      <c r="AB56" s="346">
        <f>SUM(AB54:AB55)</f>
        <v>4777</v>
      </c>
      <c r="AC56" s="346">
        <f>SUM(AC54:AC55)</f>
        <v>4777</v>
      </c>
      <c r="AD56" s="339"/>
      <c r="AE56" s="339"/>
      <c r="AF56" s="339"/>
      <c r="AG56" s="339"/>
      <c r="AH56" s="339"/>
      <c r="AI56" s="339"/>
      <c r="AJ56" s="339"/>
      <c r="AK56" s="339"/>
    </row>
    <row r="57" spans="1:46" ht="11.25" customHeight="1">
      <c r="A57" s="228" t="s">
        <v>367</v>
      </c>
      <c r="B57" s="352">
        <v>16875</v>
      </c>
      <c r="C57" s="352">
        <v>38023</v>
      </c>
      <c r="D57" s="352">
        <v>29597.7</v>
      </c>
      <c r="E57" s="352">
        <v>32320</v>
      </c>
      <c r="F57" s="352">
        <v>31268</v>
      </c>
      <c r="G57" s="352">
        <v>30755</v>
      </c>
      <c r="H57" s="352">
        <v>30017</v>
      </c>
      <c r="I57" s="352">
        <v>28035</v>
      </c>
      <c r="J57" s="352">
        <v>27019</v>
      </c>
      <c r="K57" s="352">
        <v>40713</v>
      </c>
      <c r="L57" s="348">
        <v>40843</v>
      </c>
      <c r="M57" s="352">
        <v>40742</v>
      </c>
      <c r="N57" s="352">
        <f t="shared" ref="N57:X57" si="20">+SUM(N49,N51:N53,N56)</f>
        <v>54788</v>
      </c>
      <c r="O57" s="352">
        <f t="shared" si="20"/>
        <v>58509</v>
      </c>
      <c r="P57" s="352">
        <f t="shared" si="20"/>
        <v>43123</v>
      </c>
      <c r="Q57" s="352">
        <f t="shared" si="20"/>
        <v>40025</v>
      </c>
      <c r="R57" s="352">
        <f t="shared" si="20"/>
        <v>38918</v>
      </c>
      <c r="S57" s="352">
        <f t="shared" si="20"/>
        <v>34743</v>
      </c>
      <c r="T57" s="352">
        <f t="shared" si="20"/>
        <v>36323</v>
      </c>
      <c r="U57" s="352">
        <f>+SUM(U49,U51:U53,U56)</f>
        <v>36918</v>
      </c>
      <c r="V57" s="352">
        <f t="shared" ca="1" si="20"/>
        <v>36711.012582337717</v>
      </c>
      <c r="W57" s="353">
        <f t="shared" ca="1" si="20"/>
        <v>37104.86208744577</v>
      </c>
      <c r="X57" s="353">
        <f t="shared" ca="1" si="20"/>
        <v>37595.524122933391</v>
      </c>
      <c r="Y57" s="353">
        <f ca="1">+SUM(Y49,Y51:Y53,Y56)</f>
        <v>37936.594254657699</v>
      </c>
      <c r="Z57" s="353">
        <f ca="1">+SUM(Z49,Z51:Z53,Z56)</f>
        <v>38039.191679393771</v>
      </c>
      <c r="AA57" s="353">
        <f ca="1">+SUM(AA49,AA51:AA53,AA56)</f>
        <v>38149.586119681888</v>
      </c>
      <c r="AB57" s="353">
        <f ca="1">+SUM(AB49,AB51:AB53,AB56)</f>
        <v>38260.732331597697</v>
      </c>
      <c r="AC57" s="353">
        <f ca="1">+SUM(AC49,AC51:AC53,AC56)</f>
        <v>38373.336566159487</v>
      </c>
      <c r="AD57" s="339"/>
      <c r="AE57" s="339">
        <f>+AD35-AD57-AD67</f>
        <v>0</v>
      </c>
      <c r="AF57" s="339"/>
      <c r="AG57" s="339"/>
      <c r="AH57" s="339"/>
      <c r="AI57" s="339"/>
      <c r="AJ57" s="339"/>
      <c r="AK57" s="339"/>
    </row>
    <row r="58" spans="1:46" ht="11.25" customHeight="1">
      <c r="A58" s="256"/>
      <c r="B58" s="354"/>
      <c r="C58" s="354"/>
      <c r="D58" s="354"/>
      <c r="E58" s="354"/>
      <c r="F58" s="354"/>
      <c r="G58" s="354"/>
      <c r="H58" s="354"/>
      <c r="I58" s="354"/>
      <c r="J58" s="354"/>
      <c r="K58" s="354"/>
      <c r="L58" s="355"/>
      <c r="M58" s="354"/>
      <c r="N58" s="353"/>
      <c r="O58" s="353"/>
      <c r="P58" s="353"/>
      <c r="Q58" s="353"/>
      <c r="R58" s="353"/>
      <c r="S58" s="353"/>
      <c r="T58" s="353"/>
      <c r="U58" s="353"/>
      <c r="V58" s="353"/>
      <c r="W58" s="353"/>
      <c r="X58" s="353"/>
      <c r="Y58" s="353"/>
      <c r="Z58" s="353"/>
      <c r="AA58" s="353"/>
      <c r="AB58" s="353"/>
      <c r="AC58" s="353"/>
      <c r="AD58" s="339"/>
      <c r="AE58" s="339"/>
      <c r="AF58" s="339"/>
      <c r="AG58" s="339"/>
      <c r="AH58" s="339"/>
      <c r="AI58" s="339"/>
      <c r="AJ58" s="339"/>
      <c r="AK58" s="339"/>
    </row>
    <row r="59" spans="1:46">
      <c r="A59" s="35" t="s">
        <v>157</v>
      </c>
      <c r="B59" s="356"/>
      <c r="C59" s="356"/>
      <c r="D59" s="356"/>
      <c r="E59" s="356"/>
      <c r="F59" s="356"/>
      <c r="G59" s="356"/>
      <c r="H59" s="356"/>
      <c r="I59" s="356"/>
      <c r="J59" s="356"/>
      <c r="K59" s="357">
        <v>38</v>
      </c>
      <c r="L59" s="358">
        <v>61</v>
      </c>
      <c r="M59" s="358">
        <v>96</v>
      </c>
      <c r="N59" s="340">
        <v>108</v>
      </c>
      <c r="O59" s="359">
        <v>111</v>
      </c>
      <c r="P59" s="359">
        <v>140</v>
      </c>
      <c r="Q59" s="360">
        <v>159</v>
      </c>
      <c r="R59" s="360">
        <v>103</v>
      </c>
      <c r="S59" s="360">
        <v>88</v>
      </c>
      <c r="T59" s="360">
        <v>54</v>
      </c>
      <c r="U59" s="360">
        <v>80</v>
      </c>
      <c r="V59" s="245">
        <f t="shared" ref="V59:AC59" si="21">+U59</f>
        <v>80</v>
      </c>
      <c r="W59" s="340">
        <f t="shared" si="21"/>
        <v>80</v>
      </c>
      <c r="X59" s="340">
        <f t="shared" si="21"/>
        <v>80</v>
      </c>
      <c r="Y59" s="340">
        <f t="shared" si="21"/>
        <v>80</v>
      </c>
      <c r="Z59" s="340">
        <f t="shared" si="21"/>
        <v>80</v>
      </c>
      <c r="AA59" s="340">
        <f t="shared" si="21"/>
        <v>80</v>
      </c>
      <c r="AB59" s="340">
        <f t="shared" si="21"/>
        <v>80</v>
      </c>
      <c r="AC59" s="340">
        <f t="shared" si="21"/>
        <v>80</v>
      </c>
      <c r="AD59" s="339"/>
      <c r="AE59" s="339"/>
      <c r="AF59" s="339"/>
      <c r="AG59" s="339"/>
      <c r="AH59" s="339"/>
      <c r="AI59" s="339"/>
      <c r="AJ59" s="339"/>
      <c r="AK59" s="339"/>
    </row>
    <row r="60" spans="1:46" ht="11.25" customHeight="1">
      <c r="A60" s="35"/>
      <c r="B60" s="356"/>
      <c r="C60" s="356"/>
      <c r="D60" s="356"/>
      <c r="E60" s="356"/>
      <c r="F60" s="356"/>
      <c r="G60" s="356"/>
      <c r="H60" s="356"/>
      <c r="I60" s="356"/>
      <c r="J60" s="356"/>
      <c r="K60" s="357"/>
      <c r="L60" s="358"/>
      <c r="M60" s="358"/>
      <c r="N60" s="340"/>
      <c r="O60" s="340"/>
      <c r="P60" s="340"/>
      <c r="Q60" s="360"/>
      <c r="R60" s="360"/>
      <c r="S60" s="360"/>
      <c r="T60" s="360"/>
      <c r="U60" s="360"/>
      <c r="V60" s="360"/>
      <c r="W60" s="360"/>
      <c r="X60" s="360"/>
      <c r="Y60" s="360"/>
      <c r="Z60" s="360"/>
      <c r="AA60" s="360"/>
      <c r="AB60" s="360"/>
      <c r="AC60" s="360"/>
      <c r="AD60" s="339"/>
      <c r="AE60" s="339"/>
      <c r="AF60" s="339"/>
      <c r="AG60" s="339"/>
      <c r="AH60" s="339"/>
      <c r="AI60" s="339"/>
      <c r="AJ60" s="339"/>
      <c r="AK60" s="339"/>
    </row>
    <row r="61" spans="1:46" ht="12" customHeight="1">
      <c r="A61" s="296" t="s">
        <v>368</v>
      </c>
      <c r="B61" s="361"/>
      <c r="C61" s="361"/>
      <c r="D61" s="361"/>
      <c r="E61" s="361"/>
      <c r="F61" s="361"/>
      <c r="G61" s="361"/>
      <c r="H61" s="361"/>
      <c r="I61" s="361"/>
      <c r="J61" s="361"/>
      <c r="K61" s="361"/>
      <c r="L61" s="362"/>
      <c r="M61" s="361"/>
      <c r="N61" s="363"/>
      <c r="O61" s="363"/>
      <c r="P61" s="363"/>
      <c r="Q61" s="363"/>
      <c r="R61" s="363"/>
      <c r="S61" s="363"/>
      <c r="T61" s="363"/>
      <c r="U61" s="363"/>
      <c r="V61" s="363"/>
      <c r="W61" s="363"/>
      <c r="X61" s="363"/>
      <c r="Y61" s="363"/>
      <c r="Z61" s="363"/>
      <c r="AA61" s="363"/>
      <c r="AB61" s="363"/>
      <c r="AC61" s="363"/>
      <c r="AD61" s="339"/>
      <c r="AE61" s="339"/>
      <c r="AF61" s="339"/>
      <c r="AG61" s="339"/>
      <c r="AH61" s="339"/>
      <c r="AI61" s="339"/>
      <c r="AJ61" s="339"/>
      <c r="AK61" s="339"/>
    </row>
    <row r="62" spans="1:46" ht="12.75" hidden="1" customHeight="1" outlineLevel="1" collapsed="1">
      <c r="A62" s="364" t="s">
        <v>369</v>
      </c>
      <c r="B62" s="365">
        <v>0</v>
      </c>
      <c r="C62" s="365">
        <v>0</v>
      </c>
      <c r="D62" s="365">
        <v>0</v>
      </c>
      <c r="E62" s="365">
        <v>0</v>
      </c>
      <c r="F62" s="365">
        <v>0</v>
      </c>
      <c r="G62" s="365">
        <v>0</v>
      </c>
      <c r="H62" s="365">
        <v>0</v>
      </c>
      <c r="I62" s="365">
        <v>0</v>
      </c>
      <c r="J62" s="365">
        <v>0</v>
      </c>
      <c r="K62" s="365">
        <v>0</v>
      </c>
      <c r="L62" s="365">
        <v>0</v>
      </c>
      <c r="M62" s="365">
        <v>0</v>
      </c>
      <c r="N62" s="340"/>
      <c r="O62" s="340"/>
      <c r="P62" s="340"/>
      <c r="Q62" s="340"/>
      <c r="R62" s="340"/>
      <c r="S62" s="340"/>
      <c r="T62" s="340"/>
      <c r="U62" s="340"/>
      <c r="V62" s="245"/>
      <c r="W62" s="340"/>
      <c r="X62" s="340"/>
      <c r="Y62" s="340"/>
      <c r="Z62" s="340"/>
      <c r="AA62" s="340"/>
      <c r="AB62" s="340"/>
      <c r="AC62" s="340"/>
      <c r="AD62" s="339"/>
      <c r="AE62" s="339"/>
      <c r="AF62" s="339"/>
      <c r="AG62" s="339"/>
      <c r="AH62" s="339"/>
      <c r="AI62" s="339"/>
      <c r="AJ62" s="339"/>
      <c r="AK62" s="339"/>
    </row>
    <row r="63" spans="1:46" collapsed="1">
      <c r="A63" s="364" t="s">
        <v>370</v>
      </c>
      <c r="B63" s="365">
        <v>15230</v>
      </c>
      <c r="C63" s="365">
        <v>15230</v>
      </c>
      <c r="D63" s="365">
        <v>23655.3</v>
      </c>
      <c r="E63" s="365">
        <v>23655</v>
      </c>
      <c r="F63" s="365">
        <v>23655</v>
      </c>
      <c r="G63" s="365">
        <v>23704</v>
      </c>
      <c r="H63" s="365">
        <v>23762</v>
      </c>
      <c r="I63" s="365">
        <v>23835</v>
      </c>
      <c r="J63" s="365">
        <v>23626</v>
      </c>
      <c r="K63" s="365">
        <v>23445</v>
      </c>
      <c r="L63" s="365">
        <v>23563</v>
      </c>
      <c r="M63" s="365">
        <v>23611</v>
      </c>
      <c r="N63" s="366">
        <v>14021</v>
      </c>
      <c r="O63" s="366">
        <v>31318</v>
      </c>
      <c r="P63" s="366">
        <v>31548</v>
      </c>
      <c r="Q63" s="366">
        <v>31396</v>
      </c>
      <c r="R63" s="366">
        <v>31651</v>
      </c>
      <c r="S63" s="366">
        <v>31760</v>
      </c>
      <c r="T63" s="366">
        <v>31847</v>
      </c>
      <c r="U63" s="366">
        <v>31915</v>
      </c>
      <c r="V63" s="245">
        <f>+U63</f>
        <v>31915</v>
      </c>
      <c r="W63" s="245">
        <f t="shared" ref="W63:AC63" si="22">+V63</f>
        <v>31915</v>
      </c>
      <c r="X63" s="245">
        <f t="shared" si="22"/>
        <v>31915</v>
      </c>
      <c r="Y63" s="245">
        <f t="shared" si="22"/>
        <v>31915</v>
      </c>
      <c r="Z63" s="245">
        <f t="shared" si="22"/>
        <v>31915</v>
      </c>
      <c r="AA63" s="245">
        <f t="shared" si="22"/>
        <v>31915</v>
      </c>
      <c r="AB63" s="245">
        <f t="shared" si="22"/>
        <v>31915</v>
      </c>
      <c r="AC63" s="245">
        <f t="shared" si="22"/>
        <v>31915</v>
      </c>
      <c r="AD63" s="339"/>
      <c r="AE63" s="339"/>
      <c r="AF63" s="339"/>
      <c r="AG63" s="339"/>
      <c r="AH63" s="339"/>
      <c r="AI63" s="339"/>
      <c r="AJ63" s="339"/>
      <c r="AK63" s="339"/>
    </row>
    <row r="64" spans="1:46" collapsed="1">
      <c r="A64" s="364" t="s">
        <v>371</v>
      </c>
      <c r="B64" s="365">
        <v>0</v>
      </c>
      <c r="C64" s="365">
        <v>992</v>
      </c>
      <c r="D64" s="365">
        <v>992</v>
      </c>
      <c r="E64" s="365">
        <v>2391</v>
      </c>
      <c r="F64" s="365">
        <v>4814</v>
      </c>
      <c r="G64" s="365">
        <v>7020</v>
      </c>
      <c r="H64" s="365">
        <v>8304</v>
      </c>
      <c r="I64" s="365">
        <v>9453</v>
      </c>
      <c r="J64" s="365">
        <v>11128</v>
      </c>
      <c r="K64" s="365">
        <v>12295</v>
      </c>
      <c r="L64" s="365">
        <v>13414</v>
      </c>
      <c r="M64" s="365">
        <v>14636</v>
      </c>
      <c r="N64" s="366">
        <v>16619</v>
      </c>
      <c r="O64" s="366">
        <v>18012</v>
      </c>
      <c r="P64" s="366">
        <v>10457</v>
      </c>
      <c r="Q64" s="366">
        <v>13419</v>
      </c>
      <c r="R64" s="366">
        <v>14529</v>
      </c>
      <c r="S64" s="366">
        <v>20700</v>
      </c>
      <c r="T64" s="366">
        <v>21149</v>
      </c>
      <c r="U64" s="366">
        <v>22749</v>
      </c>
      <c r="V64" s="245">
        <f ca="1">+U64+CF!S11+CF!S43</f>
        <v>24883.788118245044</v>
      </c>
      <c r="W64" s="340">
        <f ca="1">+V64+CF!T11+CF!T43</f>
        <v>27159.70401796274</v>
      </c>
      <c r="X64" s="340">
        <f ca="1">+W64+CF!U11+CF!U43</f>
        <v>29580.759563874355</v>
      </c>
      <c r="Y64" s="340">
        <f ca="1">+X64+CF!V11+CF!V43</f>
        <v>32153.655180548827</v>
      </c>
      <c r="Z64" s="340">
        <f ca="1">+Y64+CF!W11+CF!W43</f>
        <v>34867.094940725779</v>
      </c>
      <c r="AA64" s="340">
        <f ca="1">+Z64+CF!X11+CF!X43</f>
        <v>37714.590489241862</v>
      </c>
      <c r="AB64" s="340">
        <f ca="1">+AA64+CF!Y11+CF!Y43</f>
        <v>40701.007226152135</v>
      </c>
      <c r="AC64" s="340">
        <f ca="1">+AB64+CF!Z11+CF!Z43</f>
        <v>43830.532884042834</v>
      </c>
      <c r="AD64" s="339"/>
      <c r="AE64" s="339"/>
      <c r="AF64" s="339"/>
      <c r="AG64" s="339"/>
      <c r="AH64" s="339"/>
      <c r="AI64" s="339"/>
      <c r="AJ64" s="339"/>
      <c r="AK64" s="339"/>
    </row>
    <row r="65" spans="1:45" collapsed="1">
      <c r="A65" s="364" t="s">
        <v>372</v>
      </c>
      <c r="B65" s="365">
        <v>-1769</v>
      </c>
      <c r="C65" s="365">
        <v>-2174</v>
      </c>
      <c r="D65" s="365">
        <v>-2174</v>
      </c>
      <c r="E65" s="365">
        <v>-2568</v>
      </c>
      <c r="F65" s="365">
        <v>-2467</v>
      </c>
      <c r="G65" s="365">
        <v>-1792</v>
      </c>
      <c r="H65" s="365">
        <v>-1205</v>
      </c>
      <c r="I65" s="365">
        <v>-1663</v>
      </c>
      <c r="J65" s="365">
        <v>-3069</v>
      </c>
      <c r="K65" s="365">
        <v>-1797</v>
      </c>
      <c r="L65" s="365">
        <v>-5933</v>
      </c>
      <c r="M65" s="365">
        <v>-3859</v>
      </c>
      <c r="N65" s="366">
        <v>-3611</v>
      </c>
      <c r="O65" s="366">
        <v>-6637</v>
      </c>
      <c r="P65" s="366">
        <v>-2633</v>
      </c>
      <c r="Q65" s="366">
        <v>-2889</v>
      </c>
      <c r="R65" s="366">
        <v>-7318</v>
      </c>
      <c r="S65" s="366">
        <v>-9986</v>
      </c>
      <c r="T65" s="366">
        <v>-11122</v>
      </c>
      <c r="U65" s="366">
        <v>-9998</v>
      </c>
      <c r="V65" s="245">
        <f t="shared" ref="V65:AC65" si="23">+U65</f>
        <v>-9998</v>
      </c>
      <c r="W65" s="340">
        <f t="shared" si="23"/>
        <v>-9998</v>
      </c>
      <c r="X65" s="340">
        <f t="shared" si="23"/>
        <v>-9998</v>
      </c>
      <c r="Y65" s="340">
        <f t="shared" si="23"/>
        <v>-9998</v>
      </c>
      <c r="Z65" s="340">
        <f t="shared" si="23"/>
        <v>-9998</v>
      </c>
      <c r="AA65" s="340">
        <f t="shared" si="23"/>
        <v>-9998</v>
      </c>
      <c r="AB65" s="340">
        <f t="shared" si="23"/>
        <v>-9998</v>
      </c>
      <c r="AC65" s="340">
        <f t="shared" si="23"/>
        <v>-9998</v>
      </c>
      <c r="AD65" s="339"/>
      <c r="AE65" s="339"/>
      <c r="AF65" s="339"/>
      <c r="AG65" s="339"/>
      <c r="AH65" s="339"/>
      <c r="AI65" s="339"/>
      <c r="AJ65" s="339"/>
      <c r="AK65" s="339"/>
    </row>
    <row r="66" spans="1:45">
      <c r="A66" s="364" t="s">
        <v>373</v>
      </c>
      <c r="B66" s="367">
        <v>0</v>
      </c>
      <c r="C66" s="367">
        <v>0</v>
      </c>
      <c r="D66" s="367">
        <v>0</v>
      </c>
      <c r="E66" s="367">
        <v>0</v>
      </c>
      <c r="F66" s="367">
        <v>-170</v>
      </c>
      <c r="G66" s="367">
        <v>-402</v>
      </c>
      <c r="H66" s="367">
        <v>-950</v>
      </c>
      <c r="I66" s="367">
        <v>-2032</v>
      </c>
      <c r="J66" s="367">
        <v>-3130</v>
      </c>
      <c r="K66" s="368">
        <v>-6524</v>
      </c>
      <c r="L66" s="368">
        <v>-8714</v>
      </c>
      <c r="M66" s="368">
        <v>-8416</v>
      </c>
      <c r="N66" s="369">
        <v>-8126</v>
      </c>
      <c r="O66" s="370">
        <v>-7476</v>
      </c>
      <c r="P66" s="370">
        <v>-7157</v>
      </c>
      <c r="Q66" s="370">
        <v>-9553</v>
      </c>
      <c r="R66" s="370">
        <v>-11112</v>
      </c>
      <c r="S66" s="370">
        <v>-14462</v>
      </c>
      <c r="T66" s="370">
        <v>-16713</v>
      </c>
      <c r="U66" s="370">
        <v>-18555</v>
      </c>
      <c r="V66" s="346">
        <f>+U66+CF!S33+CF!S34</f>
        <v>-20555</v>
      </c>
      <c r="W66" s="346">
        <f>+V66+CF!T33+CF!T34</f>
        <v>-22555</v>
      </c>
      <c r="X66" s="346">
        <f>+W66+CF!U33+CF!U34</f>
        <v>-24555</v>
      </c>
      <c r="Y66" s="346">
        <f>+X66+CF!V33+CF!V34</f>
        <v>-26655</v>
      </c>
      <c r="Z66" s="346">
        <f>+Y66+CF!W33+CF!W34</f>
        <v>-28860</v>
      </c>
      <c r="AA66" s="346">
        <f>+Z66+CF!X33+CF!X34</f>
        <v>-31230.375</v>
      </c>
      <c r="AB66" s="346">
        <f>+AA66+CF!Y33+CF!Y34</f>
        <v>-33778.528124999997</v>
      </c>
      <c r="AC66" s="346">
        <f>+AB66+CF!Z33+CF!Z34</f>
        <v>-36517.792734374998</v>
      </c>
      <c r="AD66" s="339"/>
      <c r="AE66" s="339"/>
      <c r="AF66" s="339"/>
      <c r="AG66" s="339"/>
      <c r="AH66" s="339"/>
      <c r="AI66" s="339"/>
      <c r="AJ66" s="339"/>
      <c r="AK66" s="339"/>
    </row>
    <row r="67" spans="1:45" ht="12" customHeight="1">
      <c r="A67" s="256" t="s">
        <v>374</v>
      </c>
      <c r="B67" s="354">
        <v>13461</v>
      </c>
      <c r="C67" s="354">
        <v>14048</v>
      </c>
      <c r="D67" s="354">
        <v>22473.3</v>
      </c>
      <c r="E67" s="354">
        <v>23478</v>
      </c>
      <c r="F67" s="354">
        <v>25832</v>
      </c>
      <c r="G67" s="354">
        <v>28530</v>
      </c>
      <c r="H67" s="354">
        <v>29911</v>
      </c>
      <c r="I67" s="354">
        <v>29593</v>
      </c>
      <c r="J67" s="354">
        <v>28555</v>
      </c>
      <c r="K67" s="354">
        <v>27419</v>
      </c>
      <c r="L67" s="355">
        <v>22330</v>
      </c>
      <c r="M67" s="354">
        <v>25972</v>
      </c>
      <c r="N67" s="353">
        <f>SUM(N62:N66)</f>
        <v>18903</v>
      </c>
      <c r="O67" s="353">
        <f>SUM(O62:O66,O59)</f>
        <v>35328</v>
      </c>
      <c r="P67" s="353">
        <f>SUM(P62:P66,P59)</f>
        <v>32355</v>
      </c>
      <c r="Q67" s="353">
        <f t="shared" ref="Q67:X67" si="24">SUM(Q62:Q66,Q59)</f>
        <v>32532</v>
      </c>
      <c r="R67" s="353">
        <f t="shared" si="24"/>
        <v>27853</v>
      </c>
      <c r="S67" s="353">
        <f t="shared" si="24"/>
        <v>28100</v>
      </c>
      <c r="T67" s="353">
        <f t="shared" si="24"/>
        <v>25215</v>
      </c>
      <c r="U67" s="353">
        <f>SUM(U62:U66,U59)</f>
        <v>26191</v>
      </c>
      <c r="V67" s="353">
        <f t="shared" ca="1" si="24"/>
        <v>26325.788118245044</v>
      </c>
      <c r="W67" s="353">
        <f t="shared" ca="1" si="24"/>
        <v>26601.704017962737</v>
      </c>
      <c r="X67" s="353">
        <f t="shared" ca="1" si="24"/>
        <v>27022.759563874351</v>
      </c>
      <c r="Y67" s="353">
        <f ca="1">SUM(Y62:Y66,Y59)</f>
        <v>27495.655180548827</v>
      </c>
      <c r="Z67" s="353">
        <f ca="1">SUM(Z62:Z66,Z59)</f>
        <v>28004.094940725772</v>
      </c>
      <c r="AA67" s="353">
        <f ca="1">SUM(AA62:AA66,AA59)</f>
        <v>28481.215489241862</v>
      </c>
      <c r="AB67" s="353">
        <f ca="1">SUM(AB62:AB66,AB59)</f>
        <v>28919.479101152145</v>
      </c>
      <c r="AC67" s="353">
        <f ca="1">SUM(AC62:AC66,AC59)</f>
        <v>29309.740149667829</v>
      </c>
      <c r="AD67" s="339"/>
      <c r="AE67" s="339"/>
      <c r="AF67" s="339"/>
      <c r="AG67" s="339"/>
      <c r="AH67" s="339"/>
      <c r="AI67" s="339"/>
      <c r="AJ67" s="339"/>
      <c r="AK67" s="339"/>
    </row>
    <row r="68" spans="1:45" ht="11.25" customHeight="1">
      <c r="A68" s="35"/>
      <c r="B68" s="356"/>
      <c r="C68" s="356"/>
      <c r="D68" s="356"/>
      <c r="E68" s="356"/>
      <c r="F68" s="356"/>
      <c r="G68" s="356"/>
      <c r="H68" s="356"/>
      <c r="I68" s="356"/>
      <c r="J68" s="356"/>
      <c r="K68" s="356"/>
      <c r="L68" s="356"/>
      <c r="M68" s="356"/>
      <c r="N68" s="338"/>
      <c r="O68" s="338"/>
      <c r="P68" s="338"/>
      <c r="Q68" s="338"/>
      <c r="R68" s="338"/>
      <c r="S68" s="338"/>
      <c r="T68" s="338"/>
      <c r="U68" s="338"/>
      <c r="V68" s="338"/>
      <c r="W68" s="338"/>
      <c r="X68" s="338"/>
      <c r="Y68" s="338"/>
      <c r="Z68" s="338"/>
      <c r="AA68" s="338"/>
      <c r="AB68" s="338"/>
      <c r="AC68" s="338"/>
      <c r="AD68" s="339"/>
      <c r="AE68" s="339"/>
      <c r="AF68" s="339"/>
      <c r="AG68" s="339"/>
      <c r="AH68" s="339"/>
      <c r="AI68" s="339"/>
      <c r="AJ68" s="339"/>
      <c r="AK68" s="339"/>
    </row>
    <row r="69" spans="1:45">
      <c r="A69" s="371" t="s">
        <v>375</v>
      </c>
      <c r="B69" s="355">
        <v>30336</v>
      </c>
      <c r="C69" s="355">
        <v>52071</v>
      </c>
      <c r="D69" s="355">
        <v>52071</v>
      </c>
      <c r="E69" s="355">
        <v>55798</v>
      </c>
      <c r="F69" s="355">
        <v>57100</v>
      </c>
      <c r="G69" s="355">
        <v>59285</v>
      </c>
      <c r="H69" s="355">
        <v>59928</v>
      </c>
      <c r="I69" s="355">
        <v>57628</v>
      </c>
      <c r="J69" s="355">
        <v>55574</v>
      </c>
      <c r="K69" s="355">
        <v>68132</v>
      </c>
      <c r="L69" s="355">
        <v>63173</v>
      </c>
      <c r="M69" s="355">
        <v>66714</v>
      </c>
      <c r="N69" s="349">
        <f>+SUM(N57,N67)</f>
        <v>73691</v>
      </c>
      <c r="O69" s="349">
        <f t="shared" ref="O69:X69" si="25">+SUM(O57,O67)</f>
        <v>93837</v>
      </c>
      <c r="P69" s="349">
        <f t="shared" si="25"/>
        <v>75478</v>
      </c>
      <c r="Q69" s="349">
        <f t="shared" si="25"/>
        <v>72557</v>
      </c>
      <c r="R69" s="349">
        <f t="shared" si="25"/>
        <v>66771</v>
      </c>
      <c r="S69" s="349">
        <f t="shared" si="25"/>
        <v>62843</v>
      </c>
      <c r="T69" s="349">
        <f>+SUM(T57,T67)</f>
        <v>61538</v>
      </c>
      <c r="U69" s="349">
        <f>+SUM(U57,U67)</f>
        <v>63109</v>
      </c>
      <c r="V69" s="349">
        <f ca="1">+SUM(V57,V67)</f>
        <v>63036.80070058276</v>
      </c>
      <c r="W69" s="349">
        <f t="shared" ca="1" si="25"/>
        <v>63706.566105408507</v>
      </c>
      <c r="X69" s="349">
        <f t="shared" ca="1" si="25"/>
        <v>64618.283686807743</v>
      </c>
      <c r="Y69" s="349">
        <f ca="1">+SUM(Y57,Y67)</f>
        <v>65432.249435206526</v>
      </c>
      <c r="Z69" s="349">
        <f ca="1">+SUM(Z57,Z67)</f>
        <v>66043.286620119543</v>
      </c>
      <c r="AA69" s="349">
        <f ca="1">+SUM(AA57,AA67)</f>
        <v>66630.80160892375</v>
      </c>
      <c r="AB69" s="349">
        <f ca="1">+SUM(AB57,AB67)</f>
        <v>67180.211432749842</v>
      </c>
      <c r="AC69" s="349">
        <f ca="1">+SUM(AC57,AC67)</f>
        <v>67683.076715827308</v>
      </c>
      <c r="AD69" s="339"/>
      <c r="AE69" s="339"/>
      <c r="AF69" s="339"/>
      <c r="AG69" s="339"/>
      <c r="AH69" s="339"/>
      <c r="AI69" s="339"/>
      <c r="AJ69" s="339"/>
      <c r="AK69" s="339"/>
    </row>
    <row r="70" spans="1:45" ht="11.25" customHeight="1">
      <c r="A70" s="35"/>
      <c r="B70" s="356"/>
      <c r="C70" s="356"/>
      <c r="D70" s="356"/>
      <c r="E70" s="356"/>
      <c r="F70" s="356"/>
      <c r="G70" s="356"/>
      <c r="H70" s="356"/>
      <c r="I70" s="356"/>
      <c r="J70" s="356"/>
      <c r="K70" s="356"/>
      <c r="L70" s="365"/>
      <c r="M70" s="356"/>
      <c r="N70" s="338"/>
      <c r="O70" s="338"/>
      <c r="P70" s="338"/>
      <c r="Q70" s="338"/>
      <c r="R70" s="338"/>
      <c r="S70" s="372"/>
      <c r="T70" s="372"/>
      <c r="U70" s="372"/>
      <c r="V70" s="372"/>
      <c r="W70" s="372"/>
      <c r="X70" s="372"/>
      <c r="Y70" s="372"/>
      <c r="Z70" s="372"/>
      <c r="AA70" s="372"/>
      <c r="AB70" s="372"/>
      <c r="AC70" s="372"/>
    </row>
    <row r="71" spans="1:45" s="378" customFormat="1" ht="11.25" hidden="1" customHeight="1" outlineLevel="1">
      <c r="A71" s="46" t="s">
        <v>376</v>
      </c>
      <c r="B71" s="373" t="str">
        <f t="shared" ref="B71:X71" si="26">IF(B35-B69=0,"okay",B35-B69)</f>
        <v>okay</v>
      </c>
      <c r="C71" s="373" t="str">
        <f t="shared" si="26"/>
        <v>okay</v>
      </c>
      <c r="D71" s="373" t="str">
        <f t="shared" si="26"/>
        <v>okay</v>
      </c>
      <c r="E71" s="373" t="str">
        <f t="shared" si="26"/>
        <v>okay</v>
      </c>
      <c r="F71" s="373" t="str">
        <f t="shared" si="26"/>
        <v>okay</v>
      </c>
      <c r="G71" s="373" t="str">
        <f t="shared" si="26"/>
        <v>okay</v>
      </c>
      <c r="H71" s="373" t="str">
        <f t="shared" si="26"/>
        <v>okay</v>
      </c>
      <c r="I71" s="373" t="str">
        <f t="shared" si="26"/>
        <v>okay</v>
      </c>
      <c r="J71" s="373">
        <f t="shared" si="26"/>
        <v>-5.8317152434028685E-4</v>
      </c>
      <c r="K71" s="373">
        <f t="shared" si="26"/>
        <v>-5.8317152434028685E-4</v>
      </c>
      <c r="L71" s="374">
        <f t="shared" si="26"/>
        <v>0.19634782848152099</v>
      </c>
      <c r="M71" s="373">
        <f t="shared" si="26"/>
        <v>0.19634782847424503</v>
      </c>
      <c r="N71" s="375">
        <f t="shared" si="26"/>
        <v>4.7828478273004293E-5</v>
      </c>
      <c r="O71" s="376" t="str">
        <f t="shared" si="26"/>
        <v>okay</v>
      </c>
      <c r="P71" s="377" t="str">
        <f>IF(P35-P69=0,"okay",P35-P69)</f>
        <v>okay</v>
      </c>
      <c r="Q71" s="375">
        <f>IF(Q35-Q69=0,"okay",Q35-Q69)</f>
        <v>-42</v>
      </c>
      <c r="R71" s="375" t="str">
        <f t="shared" si="26"/>
        <v>okay</v>
      </c>
      <c r="S71" s="375" t="str">
        <f>IF(S35-S69=0,"okay",S35-S69)</f>
        <v>okay</v>
      </c>
      <c r="T71" s="375" t="str">
        <f t="shared" si="26"/>
        <v>okay</v>
      </c>
      <c r="U71" s="375" t="str">
        <f>IF(U35-U69=0,"okay",U35-U69)</f>
        <v>okay</v>
      </c>
      <c r="V71" s="375">
        <f ca="1">IF(V35-V69=0,"okay",V35-V69)</f>
        <v>-7.2759576141834259E-12</v>
      </c>
      <c r="W71" s="375">
        <f t="shared" ca="1" si="26"/>
        <v>7.2759576141834259E-12</v>
      </c>
      <c r="X71" s="375">
        <f t="shared" ca="1" si="26"/>
        <v>7.2759576141834259E-12</v>
      </c>
      <c r="Y71" s="375">
        <f ca="1">IF(Y35-Y69=0,"okay",Y35-Y69)</f>
        <v>7.2759576141834259E-12</v>
      </c>
      <c r="Z71" s="375">
        <f ca="1">IF(Z35-Z69=0,"okay",Z35-Z69)</f>
        <v>1.4551915228366852E-11</v>
      </c>
      <c r="AA71" s="375" t="str">
        <f ca="1">IF(AA35-AA69=0,"okay",AA35-AA69)</f>
        <v>okay</v>
      </c>
      <c r="AB71" s="375" t="str">
        <f ca="1">IF(AB35-AB69=0,"okay",AB35-AB69)</f>
        <v>okay</v>
      </c>
      <c r="AC71" s="375">
        <f ca="1">IF(AC35-AC69=0,"okay",AC35-AC69)</f>
        <v>2.9103830456733704E-11</v>
      </c>
      <c r="AN71"/>
      <c r="AO71"/>
      <c r="AP71"/>
      <c r="AQ71"/>
      <c r="AR71"/>
      <c r="AS71"/>
    </row>
    <row r="72" spans="1:45" ht="12.75" hidden="1" customHeight="1" outlineLevel="1">
      <c r="W72" s="339"/>
      <c r="X72" s="339"/>
      <c r="Y72" s="339"/>
      <c r="Z72" s="339"/>
      <c r="AA72" s="339"/>
      <c r="AB72" s="339"/>
      <c r="AC72" s="339"/>
    </row>
    <row r="73" spans="1:45" ht="11.25" customHeight="1" collapsed="1">
      <c r="A73" s="379" t="s">
        <v>377</v>
      </c>
      <c r="B73" s="380"/>
      <c r="C73" s="380"/>
      <c r="D73" s="380"/>
      <c r="E73" s="380"/>
      <c r="F73" s="380"/>
      <c r="G73" s="380"/>
      <c r="H73" s="380"/>
      <c r="I73" s="380"/>
      <c r="J73" s="380"/>
      <c r="K73" s="380"/>
      <c r="L73" s="380"/>
      <c r="M73" s="380"/>
      <c r="N73" s="380"/>
      <c r="O73" s="380"/>
      <c r="P73" s="380"/>
      <c r="Q73" s="380"/>
      <c r="R73" s="380"/>
      <c r="S73" s="380"/>
      <c r="T73" s="380"/>
      <c r="U73" s="380"/>
      <c r="V73" s="380"/>
      <c r="W73" s="380"/>
      <c r="X73" s="380"/>
      <c r="Y73" s="380"/>
      <c r="Z73" s="380"/>
      <c r="AA73" s="380"/>
      <c r="AB73" s="380"/>
      <c r="AC73" s="380"/>
    </row>
    <row r="74" spans="1:45" ht="11.25" customHeight="1">
      <c r="A74" s="77"/>
      <c r="B74" s="381"/>
      <c r="C74" s="381"/>
      <c r="D74" s="381"/>
      <c r="E74" s="381"/>
      <c r="F74" s="381"/>
      <c r="G74" s="381"/>
      <c r="H74" s="381"/>
      <c r="I74" s="381"/>
      <c r="J74" s="381"/>
      <c r="K74" s="381"/>
      <c r="L74" s="381"/>
      <c r="M74" s="381"/>
      <c r="N74" s="77"/>
      <c r="O74" s="77"/>
      <c r="P74" s="77"/>
      <c r="Q74" s="77"/>
      <c r="R74" s="77"/>
      <c r="S74" s="77"/>
      <c r="T74" s="77"/>
      <c r="U74" s="77"/>
      <c r="V74" s="77"/>
      <c r="W74" s="77"/>
      <c r="X74" s="77"/>
      <c r="Y74" s="77"/>
      <c r="Z74" s="77"/>
      <c r="AA74" s="77"/>
      <c r="AB74" s="77"/>
      <c r="AC74" s="77"/>
    </row>
    <row r="75" spans="1:45" ht="11.25" customHeight="1">
      <c r="A75" s="284" t="s">
        <v>378</v>
      </c>
      <c r="B75" s="381"/>
      <c r="C75" s="381"/>
      <c r="D75" s="381"/>
      <c r="E75" s="381"/>
      <c r="F75" s="381"/>
      <c r="G75" s="381"/>
      <c r="H75" s="381"/>
      <c r="I75" s="381"/>
      <c r="J75" s="381"/>
      <c r="K75" s="381"/>
      <c r="L75" s="381"/>
      <c r="M75" s="381"/>
      <c r="N75" s="77"/>
      <c r="O75" s="77"/>
      <c r="P75" s="77"/>
      <c r="Q75" s="77"/>
      <c r="R75" s="77"/>
      <c r="S75" s="77"/>
      <c r="T75" s="77"/>
      <c r="U75" s="77"/>
      <c r="V75" s="77"/>
      <c r="W75" s="77"/>
      <c r="X75" s="77"/>
      <c r="Y75" s="77"/>
      <c r="Z75" s="77"/>
      <c r="AA75" s="77"/>
      <c r="AB75" s="77"/>
      <c r="AC75" s="77"/>
    </row>
    <row r="76" spans="1:45" ht="11.25" customHeight="1">
      <c r="A76" s="382" t="s">
        <v>379</v>
      </c>
      <c r="B76" s="365"/>
      <c r="C76" s="365"/>
      <c r="D76" s="365"/>
      <c r="E76" s="365">
        <f t="shared" ref="E76:M76" si="27">+D77</f>
        <v>191</v>
      </c>
      <c r="F76" s="365">
        <f t="shared" si="27"/>
        <v>162</v>
      </c>
      <c r="G76" s="365">
        <f t="shared" si="27"/>
        <v>215</v>
      </c>
      <c r="H76" s="365">
        <f t="shared" si="27"/>
        <v>514</v>
      </c>
      <c r="I76" s="365">
        <f t="shared" si="27"/>
        <v>282</v>
      </c>
      <c r="J76" s="365">
        <f t="shared" si="27"/>
        <v>316</v>
      </c>
      <c r="K76" s="365">
        <f t="shared" si="27"/>
        <v>238.99941682847884</v>
      </c>
      <c r="L76" s="365">
        <f t="shared" si="27"/>
        <v>566.99941682847884</v>
      </c>
      <c r="M76" s="365">
        <f t="shared" si="27"/>
        <v>1244.1963478284792</v>
      </c>
      <c r="N76" s="245">
        <f>+M77</f>
        <v>2101.1963478284792</v>
      </c>
      <c r="O76" s="245">
        <f>+N77</f>
        <v>2481.1963478284792</v>
      </c>
      <c r="P76" s="245">
        <f t="shared" ref="P76:X76" si="28">+O77</f>
        <v>1974</v>
      </c>
      <c r="Q76" s="245">
        <f>+P77</f>
        <v>4475</v>
      </c>
      <c r="R76" s="245">
        <f>+Q77</f>
        <v>2622</v>
      </c>
      <c r="S76" s="245">
        <f t="shared" si="28"/>
        <v>1631</v>
      </c>
      <c r="T76" s="245">
        <f t="shared" si="28"/>
        <v>1870</v>
      </c>
      <c r="U76" s="245">
        <f t="shared" si="28"/>
        <v>1741</v>
      </c>
      <c r="V76" s="245">
        <f t="shared" si="28"/>
        <v>761</v>
      </c>
      <c r="W76" s="245">
        <f t="shared" ca="1" si="28"/>
        <v>300.58687173760291</v>
      </c>
      <c r="X76" s="245">
        <f t="shared" ca="1" si="28"/>
        <v>531.90898653090107</v>
      </c>
      <c r="Y76" s="245">
        <f ca="1">+X77</f>
        <v>1016.1595011992727</v>
      </c>
      <c r="Z76" s="245">
        <f ca="1">+Y77</f>
        <v>1402.2371867059251</v>
      </c>
      <c r="AA76" s="245">
        <f ca="1">+Z77</f>
        <v>1625.0772591101936</v>
      </c>
      <c r="AB76" s="245">
        <f ca="1">+AA77</f>
        <v>1838.148599875813</v>
      </c>
      <c r="AC76" s="245">
        <f ca="1">+AB77</f>
        <v>2025.2587127967286</v>
      </c>
    </row>
    <row r="77" spans="1:45" ht="11.25" customHeight="1">
      <c r="A77" s="382" t="s">
        <v>380</v>
      </c>
      <c r="B77" s="365"/>
      <c r="C77" s="365"/>
      <c r="D77" s="365">
        <f t="shared" ref="D77:X77" si="29">+D13</f>
        <v>191</v>
      </c>
      <c r="E77" s="365">
        <f t="shared" si="29"/>
        <v>162</v>
      </c>
      <c r="F77" s="365">
        <f t="shared" si="29"/>
        <v>215</v>
      </c>
      <c r="G77" s="365">
        <f t="shared" si="29"/>
        <v>514</v>
      </c>
      <c r="H77" s="365">
        <f t="shared" si="29"/>
        <v>282</v>
      </c>
      <c r="I77" s="365">
        <f t="shared" si="29"/>
        <v>316</v>
      </c>
      <c r="J77" s="365">
        <f t="shared" si="29"/>
        <v>238.99941682847884</v>
      </c>
      <c r="K77" s="365">
        <f t="shared" si="29"/>
        <v>566.99941682847884</v>
      </c>
      <c r="L77" s="365">
        <f t="shared" si="29"/>
        <v>1244.1963478284792</v>
      </c>
      <c r="M77" s="365">
        <f t="shared" si="29"/>
        <v>2101.1963478284792</v>
      </c>
      <c r="N77" s="245">
        <f t="shared" si="29"/>
        <v>2481.1963478284792</v>
      </c>
      <c r="O77" s="245">
        <f t="shared" si="29"/>
        <v>1974</v>
      </c>
      <c r="P77" s="245">
        <f t="shared" si="29"/>
        <v>4475</v>
      </c>
      <c r="Q77" s="245">
        <f t="shared" si="29"/>
        <v>2622</v>
      </c>
      <c r="R77" s="245">
        <f t="shared" si="29"/>
        <v>1631</v>
      </c>
      <c r="S77" s="245">
        <f t="shared" si="29"/>
        <v>1870</v>
      </c>
      <c r="T77" s="245">
        <f>+T13</f>
        <v>1741</v>
      </c>
      <c r="U77" s="245">
        <f>+U13</f>
        <v>761</v>
      </c>
      <c r="V77" s="245">
        <f t="shared" ca="1" si="29"/>
        <v>300.58687173760291</v>
      </c>
      <c r="W77" s="245">
        <f t="shared" ca="1" si="29"/>
        <v>531.90898653090107</v>
      </c>
      <c r="X77" s="245">
        <f t="shared" ca="1" si="29"/>
        <v>1016.1595011992727</v>
      </c>
      <c r="Y77" s="245">
        <f ca="1">+Y13</f>
        <v>1402.2371867059251</v>
      </c>
      <c r="Z77" s="245">
        <f ca="1">+Z13</f>
        <v>1625.0772591101936</v>
      </c>
      <c r="AA77" s="245">
        <f ca="1">+AA13</f>
        <v>1838.148599875813</v>
      </c>
      <c r="AB77" s="245">
        <f ca="1">+AB13</f>
        <v>2025.2587127967286</v>
      </c>
      <c r="AC77" s="245">
        <f ca="1">+AC13</f>
        <v>2181.2965080517647</v>
      </c>
    </row>
    <row r="78" spans="1:45" ht="11.25" customHeight="1">
      <c r="A78" s="382" t="s">
        <v>381</v>
      </c>
      <c r="B78" s="365"/>
      <c r="C78" s="365"/>
      <c r="D78" s="365"/>
      <c r="E78" s="365">
        <f t="shared" ref="E78:M78" si="30">AVERAGE(E76:E77)</f>
        <v>176.5</v>
      </c>
      <c r="F78" s="365">
        <f t="shared" si="30"/>
        <v>188.5</v>
      </c>
      <c r="G78" s="365">
        <f t="shared" si="30"/>
        <v>364.5</v>
      </c>
      <c r="H78" s="365">
        <f t="shared" si="30"/>
        <v>398</v>
      </c>
      <c r="I78" s="365">
        <f t="shared" si="30"/>
        <v>299</v>
      </c>
      <c r="J78" s="365">
        <f t="shared" si="30"/>
        <v>277.49970841423942</v>
      </c>
      <c r="K78" s="365">
        <f t="shared" si="30"/>
        <v>402.99941682847884</v>
      </c>
      <c r="L78" s="365">
        <f t="shared" si="30"/>
        <v>905.59788232847905</v>
      </c>
      <c r="M78" s="365">
        <f t="shared" si="30"/>
        <v>1672.6963478284792</v>
      </c>
      <c r="N78" s="245">
        <f>AVERAGE(N76:N77)</f>
        <v>2291.1963478284792</v>
      </c>
      <c r="O78" s="245">
        <f>AVERAGE(O76:O77)</f>
        <v>2227.5981739142399</v>
      </c>
      <c r="P78" s="245">
        <f t="shared" ref="P78:X78" si="31">AVERAGE(P76:P77)</f>
        <v>3224.5</v>
      </c>
      <c r="Q78" s="245">
        <f t="shared" si="31"/>
        <v>3548.5</v>
      </c>
      <c r="R78" s="245">
        <f>AVERAGE(R76:R77)</f>
        <v>2126.5</v>
      </c>
      <c r="S78" s="245">
        <f t="shared" si="31"/>
        <v>1750.5</v>
      </c>
      <c r="T78" s="245">
        <f>AVERAGE(T76:T77)</f>
        <v>1805.5</v>
      </c>
      <c r="U78" s="245">
        <f>AVERAGE(U76:U77)</f>
        <v>1251</v>
      </c>
      <c r="V78" s="245">
        <f t="shared" ca="1" si="31"/>
        <v>530.79343586880145</v>
      </c>
      <c r="W78" s="245">
        <f t="shared" ca="1" si="31"/>
        <v>416.24792913425199</v>
      </c>
      <c r="X78" s="245">
        <f t="shared" ca="1" si="31"/>
        <v>774.03424386508686</v>
      </c>
      <c r="Y78" s="245">
        <f ca="1">AVERAGE(Y76:Y77)</f>
        <v>1209.1983439525989</v>
      </c>
      <c r="Z78" s="245">
        <f ca="1">AVERAGE(Z76:Z77)</f>
        <v>1513.6572229080593</v>
      </c>
      <c r="AA78" s="245">
        <f ca="1">AVERAGE(AA76:AA77)</f>
        <v>1731.6129294930033</v>
      </c>
      <c r="AB78" s="245">
        <f ca="1">AVERAGE(AB76:AB77)</f>
        <v>1931.7036563362708</v>
      </c>
      <c r="AC78" s="245">
        <f ca="1">AVERAGE(AC76:AC77)</f>
        <v>2103.2776104242466</v>
      </c>
    </row>
    <row r="79" spans="1:45" ht="6" customHeight="1">
      <c r="A79" s="382"/>
      <c r="B79" s="365"/>
      <c r="C79" s="365"/>
      <c r="D79" s="365"/>
      <c r="E79" s="365"/>
      <c r="F79" s="365"/>
      <c r="G79" s="365"/>
      <c r="H79" s="365"/>
      <c r="I79" s="365"/>
      <c r="J79" s="365"/>
      <c r="K79" s="365"/>
      <c r="L79" s="365"/>
      <c r="M79" s="365"/>
      <c r="N79" s="245"/>
      <c r="O79" s="245"/>
      <c r="P79" s="245"/>
      <c r="Q79" s="245"/>
      <c r="R79" s="245"/>
      <c r="S79" s="245"/>
      <c r="T79" s="245"/>
      <c r="U79" s="245"/>
      <c r="V79" s="245"/>
      <c r="W79" s="245"/>
      <c r="X79" s="245"/>
      <c r="Y79" s="245"/>
      <c r="Z79" s="245"/>
      <c r="AA79" s="245"/>
      <c r="AB79" s="245"/>
      <c r="AC79" s="245"/>
    </row>
    <row r="80" spans="1:45" s="90" customFormat="1" ht="11.25" customHeight="1">
      <c r="A80" s="383" t="s">
        <v>382</v>
      </c>
      <c r="B80" s="384"/>
      <c r="C80" s="384"/>
      <c r="D80" s="384"/>
      <c r="E80" s="384"/>
      <c r="F80" s="384"/>
      <c r="G80" s="384"/>
      <c r="H80" s="384"/>
      <c r="I80" s="384"/>
      <c r="J80" s="384"/>
      <c r="K80" s="384">
        <v>20</v>
      </c>
      <c r="L80" s="385">
        <v>32</v>
      </c>
      <c r="M80" s="385">
        <v>23</v>
      </c>
      <c r="N80" s="39">
        <v>0</v>
      </c>
      <c r="O80" s="386">
        <v>0</v>
      </c>
      <c r="P80" s="386">
        <v>0</v>
      </c>
      <c r="Q80" s="386">
        <v>0</v>
      </c>
      <c r="R80" s="386">
        <v>0</v>
      </c>
      <c r="S80" s="39">
        <f t="shared" ref="S80:X80" ca="1" si="32">+S81*S78</f>
        <v>0</v>
      </c>
      <c r="T80" s="39">
        <f ca="1">+T81*T78</f>
        <v>0</v>
      </c>
      <c r="U80" s="39">
        <f ca="1">+U81*U78</f>
        <v>0</v>
      </c>
      <c r="V80" s="39">
        <f t="shared" ca="1" si="32"/>
        <v>0</v>
      </c>
      <c r="W80" s="39">
        <f t="shared" ca="1" si="32"/>
        <v>0</v>
      </c>
      <c r="X80" s="39">
        <f t="shared" ca="1" si="32"/>
        <v>0</v>
      </c>
      <c r="Y80" s="39">
        <f ca="1">+Y81*Y78</f>
        <v>0</v>
      </c>
      <c r="Z80" s="39">
        <f ca="1">+Z81*Z78</f>
        <v>0</v>
      </c>
      <c r="AA80" s="39">
        <f ca="1">+AA81*AA78</f>
        <v>0</v>
      </c>
      <c r="AB80" s="39">
        <f ca="1">+AB81*AB78</f>
        <v>0</v>
      </c>
      <c r="AC80" s="39">
        <f ca="1">+AC81*AC78</f>
        <v>0</v>
      </c>
      <c r="AN80"/>
      <c r="AO80"/>
      <c r="AP80"/>
      <c r="AQ80"/>
      <c r="AR80"/>
      <c r="AS80"/>
    </row>
    <row r="81" spans="1:29" ht="11.25" customHeight="1">
      <c r="A81" s="387" t="s">
        <v>383</v>
      </c>
      <c r="B81" s="388"/>
      <c r="C81" s="388"/>
      <c r="D81" s="388"/>
      <c r="E81" s="388"/>
      <c r="F81" s="388"/>
      <c r="G81" s="388"/>
      <c r="H81" s="388"/>
      <c r="I81" s="388"/>
      <c r="J81" s="388"/>
      <c r="K81" s="388">
        <f t="shared" ref="K81:S81" si="33">+K80/K78</f>
        <v>4.9627863378552302E-2</v>
      </c>
      <c r="L81" s="388">
        <f t="shared" si="33"/>
        <v>3.5335771675747953E-2</v>
      </c>
      <c r="M81" s="388">
        <f t="shared" si="33"/>
        <v>1.3750254210729259E-2</v>
      </c>
      <c r="N81" s="38">
        <f t="shared" si="33"/>
        <v>0</v>
      </c>
      <c r="O81" s="389">
        <f t="shared" si="33"/>
        <v>0</v>
      </c>
      <c r="P81" s="389">
        <f t="shared" si="33"/>
        <v>0</v>
      </c>
      <c r="Q81" s="389">
        <f t="shared" si="33"/>
        <v>0</v>
      </c>
      <c r="R81" s="389">
        <f t="shared" si="33"/>
        <v>0</v>
      </c>
      <c r="S81" s="389">
        <f t="shared" ca="1" si="33"/>
        <v>0</v>
      </c>
      <c r="T81" s="389">
        <f ca="1">+T80/T78</f>
        <v>0</v>
      </c>
      <c r="U81" s="389">
        <f ca="1">+U80/U78</f>
        <v>0</v>
      </c>
      <c r="V81" s="390">
        <v>0</v>
      </c>
      <c r="W81" s="390">
        <v>0</v>
      </c>
      <c r="X81" s="390">
        <v>0</v>
      </c>
      <c r="Y81" s="390">
        <v>0</v>
      </c>
      <c r="Z81" s="390">
        <v>0</v>
      </c>
      <c r="AA81" s="390">
        <v>0</v>
      </c>
      <c r="AB81" s="390">
        <v>0</v>
      </c>
      <c r="AC81" s="390">
        <v>0</v>
      </c>
    </row>
    <row r="82" spans="1:29" ht="11.25" customHeight="1">
      <c r="A82" s="391"/>
      <c r="B82" s="392"/>
      <c r="C82" s="392"/>
      <c r="D82" s="392"/>
      <c r="E82" s="392"/>
      <c r="F82" s="392"/>
      <c r="G82" s="392"/>
      <c r="H82" s="392"/>
      <c r="I82" s="392"/>
      <c r="J82" s="392"/>
      <c r="K82" s="392"/>
      <c r="L82" s="392"/>
      <c r="M82" s="392"/>
      <c r="N82" s="391"/>
      <c r="O82" s="391"/>
      <c r="P82" s="391"/>
      <c r="Q82" s="391"/>
      <c r="R82" s="391"/>
      <c r="S82" s="391"/>
      <c r="T82" s="391"/>
      <c r="U82" s="391"/>
      <c r="V82" s="391"/>
      <c r="W82" s="391"/>
      <c r="X82" s="391"/>
      <c r="Y82" s="391"/>
      <c r="Z82" s="391"/>
      <c r="AA82" s="391"/>
      <c r="AB82" s="391"/>
      <c r="AC82" s="391"/>
    </row>
    <row r="83" spans="1:29" ht="11.25" customHeight="1">
      <c r="A83" s="284" t="s">
        <v>267</v>
      </c>
      <c r="B83" s="381"/>
      <c r="C83" s="381"/>
      <c r="D83" s="381"/>
      <c r="E83" s="381"/>
      <c r="F83" s="381"/>
      <c r="G83" s="381"/>
      <c r="H83" s="381"/>
      <c r="I83" s="381"/>
      <c r="J83" s="381"/>
      <c r="K83" s="381"/>
      <c r="L83" s="381"/>
      <c r="M83" s="381"/>
      <c r="N83" s="77"/>
      <c r="O83" s="77"/>
      <c r="P83" s="77"/>
      <c r="Q83" s="77"/>
      <c r="R83" s="77"/>
      <c r="S83" s="77"/>
      <c r="T83" s="77"/>
      <c r="U83" s="77"/>
      <c r="V83" s="77"/>
      <c r="W83" s="77"/>
      <c r="X83" s="77"/>
      <c r="Y83" s="77"/>
      <c r="Z83" s="77"/>
      <c r="AA83" s="77"/>
      <c r="AB83" s="77"/>
      <c r="AC83" s="77"/>
    </row>
    <row r="84" spans="1:29" ht="11.25" customHeight="1">
      <c r="A84" s="382" t="s">
        <v>384</v>
      </c>
      <c r="B84" s="365"/>
      <c r="C84" s="365"/>
      <c r="D84" s="365"/>
      <c r="E84" s="365">
        <f>D107</f>
        <v>17400.7</v>
      </c>
      <c r="F84" s="365">
        <f t="shared" ref="F84:M84" si="34">+E85</f>
        <v>16007</v>
      </c>
      <c r="G84" s="365">
        <f t="shared" si="34"/>
        <v>14443</v>
      </c>
      <c r="H84" s="365">
        <f t="shared" si="34"/>
        <v>13462</v>
      </c>
      <c r="I84" s="365">
        <f t="shared" si="34"/>
        <v>12518</v>
      </c>
      <c r="J84" s="365">
        <f t="shared" si="34"/>
        <v>11200</v>
      </c>
      <c r="K84" s="365">
        <f t="shared" si="34"/>
        <v>10821</v>
      </c>
      <c r="L84" s="365">
        <f t="shared" si="34"/>
        <v>21009</v>
      </c>
      <c r="M84" s="365">
        <f t="shared" si="34"/>
        <v>20251</v>
      </c>
      <c r="N84" s="393"/>
      <c r="O84" s="245">
        <f>+N85</f>
        <v>0</v>
      </c>
      <c r="P84" s="245">
        <f t="shared" ref="P84:X84" si="35">+O85</f>
        <v>26931</v>
      </c>
      <c r="Q84" s="245">
        <f t="shared" si="35"/>
        <v>19425</v>
      </c>
      <c r="R84" s="245">
        <f t="shared" si="35"/>
        <v>17121</v>
      </c>
      <c r="S84" s="245">
        <f t="shared" si="35"/>
        <v>16656</v>
      </c>
      <c r="T84" s="245">
        <f t="shared" si="35"/>
        <v>15398</v>
      </c>
      <c r="U84" s="245">
        <f t="shared" si="35"/>
        <v>17199</v>
      </c>
      <c r="V84" s="245">
        <f t="shared" si="35"/>
        <v>17652</v>
      </c>
      <c r="W84" s="245">
        <f t="shared" si="35"/>
        <v>17602</v>
      </c>
      <c r="X84" s="245">
        <f t="shared" si="35"/>
        <v>18002</v>
      </c>
      <c r="Y84" s="245">
        <f>+X85</f>
        <v>18452</v>
      </c>
      <c r="Z84" s="245">
        <f>+Y85</f>
        <v>18702</v>
      </c>
      <c r="AA84" s="245">
        <f>+Z85</f>
        <v>18702</v>
      </c>
      <c r="AB84" s="245">
        <f>+AA85</f>
        <v>18702</v>
      </c>
      <c r="AC84" s="245">
        <f>+AB85</f>
        <v>18702</v>
      </c>
    </row>
    <row r="85" spans="1:29" ht="11.25" customHeight="1">
      <c r="A85" s="382" t="s">
        <v>385</v>
      </c>
      <c r="B85" s="365"/>
      <c r="C85" s="365"/>
      <c r="D85" s="365"/>
      <c r="E85" s="365">
        <f t="shared" ref="E85:M85" si="36">+E107</f>
        <v>16007</v>
      </c>
      <c r="F85" s="365">
        <f t="shared" si="36"/>
        <v>14443</v>
      </c>
      <c r="G85" s="365">
        <f t="shared" si="36"/>
        <v>13462</v>
      </c>
      <c r="H85" s="365">
        <f t="shared" si="36"/>
        <v>12518</v>
      </c>
      <c r="I85" s="365">
        <f t="shared" si="36"/>
        <v>11200</v>
      </c>
      <c r="J85" s="365">
        <f t="shared" si="36"/>
        <v>10821</v>
      </c>
      <c r="K85" s="365">
        <f t="shared" si="36"/>
        <v>21009</v>
      </c>
      <c r="L85" s="365">
        <f t="shared" si="36"/>
        <v>20251</v>
      </c>
      <c r="M85" s="365">
        <f t="shared" si="36"/>
        <v>18990</v>
      </c>
      <c r="N85" s="393"/>
      <c r="O85" s="245">
        <f t="shared" ref="O85:X85" si="37">+O107</f>
        <v>26931</v>
      </c>
      <c r="P85" s="245">
        <f t="shared" si="37"/>
        <v>19425</v>
      </c>
      <c r="Q85" s="245">
        <f t="shared" si="37"/>
        <v>17121</v>
      </c>
      <c r="R85" s="245">
        <f t="shared" si="37"/>
        <v>16656</v>
      </c>
      <c r="S85" s="245">
        <f t="shared" si="37"/>
        <v>15398</v>
      </c>
      <c r="T85" s="245">
        <f>+T107</f>
        <v>17199</v>
      </c>
      <c r="U85" s="245">
        <f>+U107</f>
        <v>17652</v>
      </c>
      <c r="V85" s="245">
        <f t="shared" si="37"/>
        <v>17602</v>
      </c>
      <c r="W85" s="245">
        <f t="shared" si="37"/>
        <v>18002</v>
      </c>
      <c r="X85" s="245">
        <f t="shared" si="37"/>
        <v>18452</v>
      </c>
      <c r="Y85" s="245">
        <f>+Y107</f>
        <v>18702</v>
      </c>
      <c r="Z85" s="245">
        <f>+Z107</f>
        <v>18702</v>
      </c>
      <c r="AA85" s="245">
        <f>+AA107</f>
        <v>18702</v>
      </c>
      <c r="AB85" s="245">
        <f>+AB107</f>
        <v>18702</v>
      </c>
      <c r="AC85" s="245">
        <f>+AC107</f>
        <v>18702</v>
      </c>
    </row>
    <row r="86" spans="1:29" ht="11.25" customHeight="1">
      <c r="A86" s="382" t="s">
        <v>386</v>
      </c>
      <c r="B86" s="365"/>
      <c r="C86" s="365"/>
      <c r="D86" s="365"/>
      <c r="E86" s="365">
        <f t="shared" ref="E86:M86" si="38">AVERAGE(E84:E85)</f>
        <v>16703.849999999999</v>
      </c>
      <c r="F86" s="365">
        <f t="shared" si="38"/>
        <v>15225</v>
      </c>
      <c r="G86" s="365">
        <f t="shared" si="38"/>
        <v>13952.5</v>
      </c>
      <c r="H86" s="365">
        <f t="shared" si="38"/>
        <v>12990</v>
      </c>
      <c r="I86" s="365">
        <f t="shared" si="38"/>
        <v>11859</v>
      </c>
      <c r="J86" s="365">
        <f t="shared" si="38"/>
        <v>11010.5</v>
      </c>
      <c r="K86" s="365">
        <f t="shared" si="38"/>
        <v>15915</v>
      </c>
      <c r="L86" s="365">
        <f t="shared" si="38"/>
        <v>20630</v>
      </c>
      <c r="M86" s="365">
        <f t="shared" si="38"/>
        <v>19620.5</v>
      </c>
      <c r="N86" s="393"/>
      <c r="O86" s="245">
        <f>AVERAGE(O84:O85)</f>
        <v>13465.5</v>
      </c>
      <c r="P86" s="245">
        <f t="shared" ref="P86:X86" si="39">AVERAGE(P84:P85)</f>
        <v>23178</v>
      </c>
      <c r="Q86" s="245">
        <f t="shared" si="39"/>
        <v>18273</v>
      </c>
      <c r="R86" s="245">
        <f>AVERAGE(R84:R85)</f>
        <v>16888.5</v>
      </c>
      <c r="S86" s="245">
        <f t="shared" si="39"/>
        <v>16027</v>
      </c>
      <c r="T86" s="245">
        <f>AVERAGE(T84:T85)</f>
        <v>16298.5</v>
      </c>
      <c r="U86" s="245">
        <f>AVERAGE(U84:U85)</f>
        <v>17425.5</v>
      </c>
      <c r="V86" s="245">
        <f t="shared" si="39"/>
        <v>17627</v>
      </c>
      <c r="W86" s="245">
        <f t="shared" si="39"/>
        <v>17802</v>
      </c>
      <c r="X86" s="245">
        <f t="shared" si="39"/>
        <v>18227</v>
      </c>
      <c r="Y86" s="245">
        <f>AVERAGE(Y84:Y85)</f>
        <v>18577</v>
      </c>
      <c r="Z86" s="245">
        <f>AVERAGE(Z84:Z85)</f>
        <v>18702</v>
      </c>
      <c r="AA86" s="245">
        <f>AVERAGE(AA84:AA85)</f>
        <v>18702</v>
      </c>
      <c r="AB86" s="245">
        <f>AVERAGE(AB84:AB85)</f>
        <v>18702</v>
      </c>
      <c r="AC86" s="245">
        <f>AVERAGE(AC84:AC85)</f>
        <v>18702</v>
      </c>
    </row>
    <row r="87" spans="1:29" ht="6" customHeight="1">
      <c r="A87" s="382"/>
      <c r="B87" s="365"/>
      <c r="C87" s="365"/>
      <c r="D87" s="365"/>
      <c r="E87" s="365"/>
      <c r="F87" s="365"/>
      <c r="G87" s="365"/>
      <c r="H87" s="365"/>
      <c r="I87" s="365"/>
      <c r="J87" s="365"/>
      <c r="K87" s="365"/>
      <c r="L87" s="365"/>
      <c r="M87" s="365"/>
      <c r="N87" s="375"/>
      <c r="O87" s="245"/>
      <c r="P87" s="245"/>
      <c r="Q87" s="245"/>
      <c r="R87" s="245"/>
      <c r="S87" s="245"/>
      <c r="T87" s="245"/>
      <c r="U87" s="245"/>
      <c r="V87" s="245"/>
      <c r="W87" s="245"/>
      <c r="X87" s="245"/>
      <c r="Y87" s="245"/>
      <c r="Z87" s="245"/>
      <c r="AA87" s="245"/>
      <c r="AB87" s="245"/>
      <c r="AC87" s="245"/>
    </row>
    <row r="88" spans="1:29" ht="11.25" customHeight="1">
      <c r="A88" s="382" t="s">
        <v>387</v>
      </c>
      <c r="B88" s="365"/>
      <c r="C88" s="365"/>
      <c r="D88" s="365"/>
      <c r="E88" s="365"/>
      <c r="F88" s="365"/>
      <c r="G88" s="365"/>
      <c r="H88" s="365"/>
      <c r="I88" s="365"/>
      <c r="J88" s="365"/>
      <c r="K88" s="365"/>
      <c r="L88" s="358">
        <v>1272</v>
      </c>
      <c r="M88" s="358">
        <v>1260</v>
      </c>
      <c r="N88" s="245">
        <f t="shared" ref="N88:S88" si="40">N91+N80</f>
        <v>1854.7384174669924</v>
      </c>
      <c r="O88" s="245">
        <f t="shared" si="40"/>
        <v>1308</v>
      </c>
      <c r="P88" s="245">
        <f t="shared" si="40"/>
        <v>1093</v>
      </c>
      <c r="Q88" s="245">
        <f t="shared" si="40"/>
        <v>1011</v>
      </c>
      <c r="R88" s="245">
        <f t="shared" si="40"/>
        <v>821</v>
      </c>
      <c r="S88" s="245">
        <f t="shared" ca="1" si="40"/>
        <v>664</v>
      </c>
      <c r="T88" s="245">
        <f ca="1">T91+T80</f>
        <v>591</v>
      </c>
      <c r="U88" s="245">
        <f ca="1">U91+U80</f>
        <v>440</v>
      </c>
      <c r="V88" s="245">
        <f t="shared" ref="V88:AC88" si="41">+V86*V89</f>
        <v>387.79399999999998</v>
      </c>
      <c r="W88" s="245">
        <f t="shared" si="41"/>
        <v>391.64400000000001</v>
      </c>
      <c r="X88" s="245">
        <f t="shared" si="41"/>
        <v>400.99399999999997</v>
      </c>
      <c r="Y88" s="245">
        <f t="shared" si="41"/>
        <v>408.69399999999996</v>
      </c>
      <c r="Z88" s="245">
        <f t="shared" si="41"/>
        <v>411.44399999999996</v>
      </c>
      <c r="AA88" s="245">
        <f t="shared" si="41"/>
        <v>411.44399999999996</v>
      </c>
      <c r="AB88" s="245">
        <f t="shared" si="41"/>
        <v>411.44399999999996</v>
      </c>
      <c r="AC88" s="245">
        <f t="shared" si="41"/>
        <v>411.44399999999996</v>
      </c>
    </row>
    <row r="89" spans="1:29" ht="11.25" customHeight="1">
      <c r="A89" s="387" t="s">
        <v>383</v>
      </c>
      <c r="B89" s="388"/>
      <c r="C89" s="388"/>
      <c r="D89" s="388"/>
      <c r="E89" s="388"/>
      <c r="F89" s="388"/>
      <c r="G89" s="388"/>
      <c r="H89" s="388"/>
      <c r="I89" s="388"/>
      <c r="J89" s="388"/>
      <c r="K89" s="388"/>
      <c r="L89" s="388">
        <f>+L88/L86</f>
        <v>6.1657779932137662E-2</v>
      </c>
      <c r="M89" s="388">
        <f>+M88/M86</f>
        <v>6.4218546927958003E-2</v>
      </c>
      <c r="N89" s="38"/>
      <c r="O89" s="38">
        <f t="shared" ref="O89:T89" si="42">+O88/O86</f>
        <v>9.7137128216553417E-2</v>
      </c>
      <c r="P89" s="38">
        <f t="shared" si="42"/>
        <v>4.7156786607990338E-2</v>
      </c>
      <c r="Q89" s="38">
        <f t="shared" si="42"/>
        <v>5.5327532424889178E-2</v>
      </c>
      <c r="R89" s="38">
        <f t="shared" si="42"/>
        <v>4.8612961482665716E-2</v>
      </c>
      <c r="S89" s="38">
        <f t="shared" ca="1" si="42"/>
        <v>4.1430086728645413E-2</v>
      </c>
      <c r="T89" s="38">
        <f t="shared" ca="1" si="42"/>
        <v>3.6261005614013561E-2</v>
      </c>
      <c r="U89" s="38">
        <f ca="1">+U88/U86</f>
        <v>2.5250351496370262E-2</v>
      </c>
      <c r="V89" s="394">
        <v>2.1999999999999999E-2</v>
      </c>
      <c r="W89" s="394">
        <f t="shared" ref="W89:AC89" si="43">V89</f>
        <v>2.1999999999999999E-2</v>
      </c>
      <c r="X89" s="394">
        <f t="shared" si="43"/>
        <v>2.1999999999999999E-2</v>
      </c>
      <c r="Y89" s="394">
        <f t="shared" si="43"/>
        <v>2.1999999999999999E-2</v>
      </c>
      <c r="Z89" s="394">
        <f t="shared" si="43"/>
        <v>2.1999999999999999E-2</v>
      </c>
      <c r="AA89" s="394">
        <f t="shared" si="43"/>
        <v>2.1999999999999999E-2</v>
      </c>
      <c r="AB89" s="394">
        <f t="shared" si="43"/>
        <v>2.1999999999999999E-2</v>
      </c>
      <c r="AC89" s="394">
        <f t="shared" si="43"/>
        <v>2.1999999999999999E-2</v>
      </c>
    </row>
    <row r="90" spans="1:29" ht="11.25" customHeight="1">
      <c r="A90" s="37"/>
      <c r="B90" s="321"/>
      <c r="C90" s="321"/>
      <c r="D90" s="321"/>
      <c r="E90" s="321"/>
      <c r="F90" s="321"/>
      <c r="G90" s="321"/>
      <c r="H90" s="321"/>
      <c r="I90" s="321"/>
      <c r="J90" s="321"/>
      <c r="K90" s="321"/>
      <c r="L90" s="321"/>
      <c r="M90" s="321"/>
      <c r="N90" s="37"/>
      <c r="O90" s="37"/>
      <c r="P90" s="37"/>
      <c r="Q90" s="39"/>
      <c r="R90" s="39"/>
      <c r="S90" s="37"/>
      <c r="T90" s="37"/>
      <c r="U90" s="37"/>
      <c r="V90" s="37"/>
      <c r="W90" s="37"/>
      <c r="X90" s="37"/>
      <c r="Y90" s="37"/>
      <c r="Z90" s="37"/>
      <c r="AA90" s="37"/>
      <c r="AB90" s="37"/>
      <c r="AC90" s="37"/>
    </row>
    <row r="91" spans="1:29" ht="11.25" customHeight="1">
      <c r="A91" s="382" t="s">
        <v>388</v>
      </c>
      <c r="B91" s="365"/>
      <c r="C91" s="365"/>
      <c r="D91" s="365"/>
      <c r="E91" s="365"/>
      <c r="F91" s="365"/>
      <c r="G91" s="365"/>
      <c r="H91" s="365"/>
      <c r="I91" s="365"/>
      <c r="J91" s="365"/>
      <c r="K91" s="365"/>
      <c r="L91" s="358"/>
      <c r="M91" s="358"/>
      <c r="N91" s="245">
        <f>IS!L38</f>
        <v>1854.7384174669924</v>
      </c>
      <c r="O91" s="245">
        <f>IS!M38</f>
        <v>1308</v>
      </c>
      <c r="P91" s="245">
        <f>IS!N38</f>
        <v>1093</v>
      </c>
      <c r="Q91" s="245">
        <f>IS!O38</f>
        <v>1011</v>
      </c>
      <c r="R91" s="245">
        <f>IS!P38</f>
        <v>821</v>
      </c>
      <c r="S91" s="245">
        <f>IS!Q38</f>
        <v>664</v>
      </c>
      <c r="T91" s="245">
        <f>IS!R38</f>
        <v>591</v>
      </c>
      <c r="U91" s="245">
        <f>IS!S38</f>
        <v>440</v>
      </c>
      <c r="V91" s="245">
        <f t="shared" ref="V91:AC91" ca="1" si="44">+V88-V80</f>
        <v>387.79399999999998</v>
      </c>
      <c r="W91" s="245">
        <f t="shared" ca="1" si="44"/>
        <v>391.64400000000001</v>
      </c>
      <c r="X91" s="245">
        <f t="shared" ca="1" si="44"/>
        <v>400.99399999999997</v>
      </c>
      <c r="Y91" s="245">
        <f t="shared" ca="1" si="44"/>
        <v>408.69399999999996</v>
      </c>
      <c r="Z91" s="245">
        <f t="shared" ca="1" si="44"/>
        <v>411.44399999999996</v>
      </c>
      <c r="AA91" s="245">
        <f t="shared" ca="1" si="44"/>
        <v>411.44399999999996</v>
      </c>
      <c r="AB91" s="245">
        <f t="shared" ca="1" si="44"/>
        <v>411.44399999999996</v>
      </c>
      <c r="AC91" s="245">
        <f t="shared" ca="1" si="44"/>
        <v>411.44399999999996</v>
      </c>
    </row>
    <row r="92" spans="1:29" ht="11.25" customHeight="1">
      <c r="A92" s="382"/>
      <c r="B92" s="365"/>
      <c r="C92" s="365"/>
      <c r="D92" s="365"/>
      <c r="E92" s="365"/>
      <c r="F92" s="365"/>
      <c r="G92" s="365"/>
      <c r="H92" s="365"/>
      <c r="I92" s="365"/>
      <c r="J92" s="365"/>
      <c r="K92" s="365"/>
      <c r="L92" s="358"/>
      <c r="M92" s="358"/>
      <c r="N92" s="245"/>
      <c r="O92" s="245"/>
      <c r="P92" s="245"/>
      <c r="Q92" s="245"/>
      <c r="R92" s="245"/>
      <c r="S92" s="245"/>
      <c r="T92" s="245"/>
      <c r="U92" s="245"/>
      <c r="V92" s="245"/>
      <c r="W92" s="245"/>
      <c r="X92" s="245"/>
      <c r="Y92" s="245"/>
      <c r="Z92" s="245"/>
      <c r="AA92" s="245"/>
      <c r="AB92" s="245"/>
      <c r="AC92" s="245"/>
    </row>
    <row r="93" spans="1:29" ht="11.25" customHeight="1" collapsed="1">
      <c r="A93" s="379" t="s">
        <v>389</v>
      </c>
      <c r="B93" s="380"/>
      <c r="C93" s="380"/>
      <c r="D93" s="380"/>
      <c r="E93" s="380"/>
      <c r="F93" s="380"/>
      <c r="G93" s="380"/>
      <c r="H93" s="380"/>
      <c r="I93" s="380"/>
      <c r="J93" s="380"/>
      <c r="K93" s="380"/>
      <c r="L93" s="380"/>
      <c r="M93" s="380"/>
      <c r="N93" s="380"/>
      <c r="O93" s="380"/>
      <c r="P93" s="380"/>
      <c r="Q93" s="380"/>
      <c r="R93" s="380"/>
      <c r="S93" s="380"/>
      <c r="T93" s="380"/>
      <c r="U93" s="380"/>
      <c r="V93" s="380"/>
      <c r="W93" s="380"/>
      <c r="X93" s="380"/>
      <c r="Y93" s="380"/>
      <c r="Z93" s="380"/>
      <c r="AA93" s="380"/>
      <c r="AB93" s="380"/>
      <c r="AC93" s="380"/>
    </row>
    <row r="94" spans="1:29" ht="11.25" customHeight="1">
      <c r="A94" s="2" t="s">
        <v>390</v>
      </c>
      <c r="P94" s="245">
        <f t="shared" ref="P94:U94" si="45">+O23</f>
        <v>23932</v>
      </c>
      <c r="Q94" s="245">
        <f t="shared" si="45"/>
        <v>16856</v>
      </c>
      <c r="R94" s="245">
        <f t="shared" si="45"/>
        <v>17614</v>
      </c>
      <c r="S94" s="245">
        <f t="shared" si="45"/>
        <v>19256</v>
      </c>
      <c r="T94" s="245">
        <f t="shared" ca="1" si="45"/>
        <v>19256</v>
      </c>
      <c r="U94" s="245">
        <f t="shared" si="45"/>
        <v>14687</v>
      </c>
      <c r="V94" s="245">
        <f t="shared" ref="V94:AC94" si="46">+U97</f>
        <v>15680</v>
      </c>
      <c r="W94" s="245">
        <f t="shared" ca="1" si="46"/>
        <v>16891.162436686645</v>
      </c>
      <c r="X94" s="245">
        <f t="shared" ca="1" si="46"/>
        <v>18103.909423670848</v>
      </c>
      <c r="Y94" s="245">
        <f t="shared" ca="1" si="46"/>
        <v>19323.120394090431</v>
      </c>
      <c r="Z94" s="245">
        <f t="shared" ca="1" si="46"/>
        <v>20552.227459234244</v>
      </c>
      <c r="AA94" s="245">
        <f t="shared" ca="1" si="46"/>
        <v>21789.390231728579</v>
      </c>
      <c r="AB94" s="245">
        <f t="shared" ca="1" si="46"/>
        <v>23063.926848720377</v>
      </c>
      <c r="AC94" s="245">
        <f t="shared" ca="1" si="46"/>
        <v>24375.96499678164</v>
      </c>
    </row>
    <row r="95" spans="1:29" ht="11.25" customHeight="1">
      <c r="A95" s="2" t="s">
        <v>391</v>
      </c>
      <c r="P95" s="245">
        <f>-CF!M26</f>
        <v>1610</v>
      </c>
      <c r="Q95" s="245">
        <f>-CF!N26</f>
        <v>1622</v>
      </c>
      <c r="R95" s="245">
        <f>-CF!O26</f>
        <v>1642</v>
      </c>
      <c r="S95" s="245">
        <f>-CF!P26</f>
        <v>1514</v>
      </c>
      <c r="T95" s="245">
        <f>-CF!Q26</f>
        <v>1224</v>
      </c>
      <c r="U95" s="245">
        <f>-CF!R26</f>
        <v>1014</v>
      </c>
      <c r="V95" s="245">
        <f ca="1">+V103*IS!T10</f>
        <v>1211.1624366866472</v>
      </c>
      <c r="W95" s="245">
        <f ca="1">+W103*IS!U10</f>
        <v>1212.7469869842032</v>
      </c>
      <c r="X95" s="245">
        <f ca="1">+X103*IS!V10</f>
        <v>1219.2109704195825</v>
      </c>
      <c r="Y95" s="245">
        <f ca="1">+Y103*IS!W10</f>
        <v>1229.1070651438117</v>
      </c>
      <c r="Z95" s="245">
        <f ca="1">+Z103*IS!X10</f>
        <v>1237.1627724943353</v>
      </c>
      <c r="AA95" s="245">
        <f ca="1">+AA103*IS!Y10</f>
        <v>1274.5366169917986</v>
      </c>
      <c r="AB95" s="245">
        <f ca="1">+AB103*IS!Z10</f>
        <v>1312.0381480612621</v>
      </c>
      <c r="AC95" s="245">
        <f ca="1">+AC103*IS!AA10</f>
        <v>1349.7422313119816</v>
      </c>
    </row>
    <row r="96" spans="1:29" ht="11.25" customHeight="1">
      <c r="A96" s="2" t="s">
        <v>392</v>
      </c>
      <c r="P96" s="245">
        <f t="shared" ref="P96:U96" si="47">+P97-P94-P95</f>
        <v>-8686</v>
      </c>
      <c r="Q96" s="245">
        <f t="shared" si="47"/>
        <v>-864</v>
      </c>
      <c r="R96" s="245">
        <f t="shared" si="47"/>
        <v>0</v>
      </c>
      <c r="S96" s="245">
        <f t="shared" ca="1" si="47"/>
        <v>-1514</v>
      </c>
      <c r="T96" s="245">
        <f t="shared" ca="1" si="47"/>
        <v>-5793</v>
      </c>
      <c r="U96" s="245">
        <f t="shared" si="47"/>
        <v>-21</v>
      </c>
      <c r="V96" s="245">
        <f>+-CF!S27-CF!S28</f>
        <v>0</v>
      </c>
      <c r="W96" s="245">
        <f>+-CF!T27-CF!T28</f>
        <v>0</v>
      </c>
      <c r="X96" s="245">
        <f>+-CF!U27-CF!U28</f>
        <v>0</v>
      </c>
      <c r="Y96" s="245">
        <f>+-CF!V27-CF!V28</f>
        <v>0</v>
      </c>
      <c r="Z96" s="245">
        <f>+-CF!W27-CF!W28</f>
        <v>0</v>
      </c>
      <c r="AA96" s="245">
        <f>+-CF!X27-CF!X28</f>
        <v>0</v>
      </c>
      <c r="AB96" s="245">
        <f>+-CF!Y27-CF!Y28</f>
        <v>0</v>
      </c>
      <c r="AC96" s="245">
        <f>+-CF!Z27-CF!Z28</f>
        <v>0</v>
      </c>
    </row>
    <row r="97" spans="1:29" ht="11.25" customHeight="1">
      <c r="A97" s="2" t="s">
        <v>393</v>
      </c>
      <c r="P97" s="245">
        <f t="shared" ref="P97:S97" si="48">+P23</f>
        <v>16856</v>
      </c>
      <c r="Q97" s="245">
        <f t="shared" si="48"/>
        <v>17614</v>
      </c>
      <c r="R97" s="245">
        <f t="shared" si="48"/>
        <v>19256</v>
      </c>
      <c r="S97" s="245">
        <f t="shared" ca="1" si="48"/>
        <v>19256</v>
      </c>
      <c r="T97" s="395">
        <v>14687</v>
      </c>
      <c r="U97" s="395">
        <v>15680</v>
      </c>
      <c r="V97" s="245">
        <f t="shared" ref="V97:AC97" ca="1" si="49">SUM(V94:V96)</f>
        <v>16891.162436686645</v>
      </c>
      <c r="W97" s="245">
        <f t="shared" ca="1" si="49"/>
        <v>18103.909423670848</v>
      </c>
      <c r="X97" s="245">
        <f t="shared" ca="1" si="49"/>
        <v>19323.120394090431</v>
      </c>
      <c r="Y97" s="245">
        <f t="shared" ca="1" si="49"/>
        <v>20552.227459234244</v>
      </c>
      <c r="Z97" s="245">
        <f t="shared" ca="1" si="49"/>
        <v>21789.390231728579</v>
      </c>
      <c r="AA97" s="245">
        <f t="shared" ca="1" si="49"/>
        <v>23063.926848720377</v>
      </c>
      <c r="AB97" s="245">
        <f t="shared" ca="1" si="49"/>
        <v>24375.96499678164</v>
      </c>
      <c r="AC97" s="245">
        <f t="shared" ca="1" si="49"/>
        <v>25725.707228093623</v>
      </c>
    </row>
    <row r="98" spans="1:29" ht="11.25" customHeight="1">
      <c r="P98" s="245"/>
      <c r="Q98" s="245"/>
      <c r="R98" s="245"/>
      <c r="S98" s="245"/>
      <c r="T98" s="245"/>
      <c r="U98" s="245"/>
      <c r="V98" s="245"/>
      <c r="W98" s="245"/>
      <c r="X98" s="245"/>
      <c r="Y98" s="245"/>
      <c r="Z98" s="245"/>
      <c r="AA98" s="245"/>
      <c r="AB98" s="245"/>
      <c r="AC98" s="245"/>
    </row>
    <row r="99" spans="1:29" ht="11.25" customHeight="1">
      <c r="A99" s="2" t="s">
        <v>394</v>
      </c>
      <c r="P99" s="245">
        <f t="shared" ref="P99:U99" si="50">-P24</f>
        <v>6846</v>
      </c>
      <c r="Q99" s="245">
        <f t="shared" si="50"/>
        <v>7367</v>
      </c>
      <c r="R99" s="245">
        <f t="shared" si="50"/>
        <v>9429</v>
      </c>
      <c r="S99" s="245">
        <f t="shared" ca="1" si="50"/>
        <v>10894</v>
      </c>
      <c r="T99" s="245">
        <f t="shared" si="50"/>
        <v>6458</v>
      </c>
      <c r="U99" s="245">
        <f t="shared" si="50"/>
        <v>7003</v>
      </c>
      <c r="V99" s="245">
        <f t="shared" ref="V99:AC99" ca="1" si="51">+U99+V100</f>
        <v>7678.6464974674655</v>
      </c>
      <c r="W99" s="245">
        <f t="shared" ca="1" si="51"/>
        <v>8402.8028744142994</v>
      </c>
      <c r="X99" s="245">
        <f t="shared" ca="1" si="51"/>
        <v>9175.7276901779169</v>
      </c>
      <c r="Y99" s="245">
        <f t="shared" ca="1" si="51"/>
        <v>9997.8167885472867</v>
      </c>
      <c r="Z99" s="245">
        <f t="shared" ca="1" si="51"/>
        <v>10869.392397816429</v>
      </c>
      <c r="AA99" s="245">
        <f t="shared" ca="1" si="51"/>
        <v>11791.949471765245</v>
      </c>
      <c r="AB99" s="245">
        <f t="shared" ca="1" si="51"/>
        <v>12766.988071636511</v>
      </c>
      <c r="AC99" s="245">
        <f t="shared" ca="1" si="51"/>
        <v>13796.016360760255</v>
      </c>
    </row>
    <row r="100" spans="1:29" ht="11.25" customHeight="1">
      <c r="A100" s="2" t="s">
        <v>395</v>
      </c>
      <c r="P100" s="245">
        <f>+CF!M12</f>
        <v>1128</v>
      </c>
      <c r="Q100" s="245">
        <f>+CF!N12</f>
        <v>860</v>
      </c>
      <c r="R100" s="245">
        <f>+CF!O12</f>
        <v>854</v>
      </c>
      <c r="S100" s="245">
        <f>+CF!P12</f>
        <v>713</v>
      </c>
      <c r="T100" s="245">
        <f>+CF!Q12</f>
        <v>647</v>
      </c>
      <c r="U100" s="245">
        <f>+CF!R12</f>
        <v>638</v>
      </c>
      <c r="V100" s="245">
        <f t="shared" ref="V100:AC100" ca="1" si="52">+V97/V101</f>
        <v>675.64649746746579</v>
      </c>
      <c r="W100" s="245">
        <f t="shared" ca="1" si="52"/>
        <v>724.15637694683392</v>
      </c>
      <c r="X100" s="245">
        <f t="shared" ca="1" si="52"/>
        <v>772.92481576361718</v>
      </c>
      <c r="Y100" s="245">
        <f t="shared" ca="1" si="52"/>
        <v>822.08909836936971</v>
      </c>
      <c r="Z100" s="245">
        <f t="shared" ca="1" si="52"/>
        <v>871.57560926914311</v>
      </c>
      <c r="AA100" s="245">
        <f t="shared" ca="1" si="52"/>
        <v>922.55707394881506</v>
      </c>
      <c r="AB100" s="245">
        <f t="shared" ca="1" si="52"/>
        <v>975.03859987126566</v>
      </c>
      <c r="AC100" s="245">
        <f t="shared" ca="1" si="52"/>
        <v>1029.0282891237448</v>
      </c>
    </row>
    <row r="101" spans="1:29" ht="11.25" customHeight="1">
      <c r="A101" s="2" t="s">
        <v>396</v>
      </c>
      <c r="P101" s="245">
        <f t="shared" ref="P101:U101" si="53">+P97/P100</f>
        <v>14.943262411347519</v>
      </c>
      <c r="Q101" s="245">
        <f t="shared" si="53"/>
        <v>20.481395348837211</v>
      </c>
      <c r="R101" s="245">
        <f t="shared" si="53"/>
        <v>22.548009367681498</v>
      </c>
      <c r="S101" s="245">
        <f t="shared" ca="1" si="53"/>
        <v>27.007012622720897</v>
      </c>
      <c r="T101" s="245">
        <f t="shared" si="53"/>
        <v>22.70015455950541</v>
      </c>
      <c r="U101" s="245">
        <f t="shared" si="53"/>
        <v>24.576802507836991</v>
      </c>
      <c r="V101" s="395">
        <v>25</v>
      </c>
      <c r="W101" s="253">
        <f t="shared" ref="W101:AC101" si="54">+V101</f>
        <v>25</v>
      </c>
      <c r="X101" s="253">
        <f t="shared" si="54"/>
        <v>25</v>
      </c>
      <c r="Y101" s="253">
        <f t="shared" si="54"/>
        <v>25</v>
      </c>
      <c r="Z101" s="253">
        <f t="shared" si="54"/>
        <v>25</v>
      </c>
      <c r="AA101" s="253">
        <f t="shared" si="54"/>
        <v>25</v>
      </c>
      <c r="AB101" s="253">
        <f t="shared" si="54"/>
        <v>25</v>
      </c>
      <c r="AC101" s="253">
        <f t="shared" si="54"/>
        <v>25</v>
      </c>
    </row>
    <row r="102" spans="1:29" ht="11.25" customHeight="1">
      <c r="Q102" s="69"/>
      <c r="R102" s="69"/>
      <c r="S102" s="69"/>
      <c r="T102" s="69"/>
      <c r="U102" s="69"/>
    </row>
    <row r="103" spans="1:29" ht="11.25" customHeight="1">
      <c r="A103" s="2" t="s">
        <v>397</v>
      </c>
      <c r="P103" s="38">
        <f>+P95/IS!N10</f>
        <v>4.5980294159645864E-2</v>
      </c>
      <c r="Q103" s="38">
        <f>+Q95/IS!O10</f>
        <v>4.5950310207088021E-2</v>
      </c>
      <c r="R103" s="38">
        <f>+R95/IS!P10</f>
        <v>5.5271307391948299E-2</v>
      </c>
      <c r="S103" s="38">
        <f>+S95/IS!Q10</f>
        <v>5.7762008317118765E-2</v>
      </c>
      <c r="T103" s="38">
        <f>+T95/IS!R10</f>
        <v>4.8436881677878907E-2</v>
      </c>
      <c r="U103" s="38">
        <f>+U95/IS!S10</f>
        <v>3.9569187543900729E-2</v>
      </c>
      <c r="V103" s="394">
        <v>4.4999999999999998E-2</v>
      </c>
      <c r="W103" s="394">
        <f>+V103-0.001</f>
        <v>4.3999999999999997E-2</v>
      </c>
      <c r="X103" s="394">
        <f>+W103-0.001</f>
        <v>4.2999999999999997E-2</v>
      </c>
      <c r="Y103" s="394">
        <f>+X103-0.001</f>
        <v>4.1999999999999996E-2</v>
      </c>
      <c r="Z103" s="394">
        <f>+Y103-0.001</f>
        <v>4.0999999999999995E-2</v>
      </c>
      <c r="AA103" s="394">
        <f>+Z103</f>
        <v>4.0999999999999995E-2</v>
      </c>
      <c r="AB103" s="394">
        <f>+AA103</f>
        <v>4.0999999999999995E-2</v>
      </c>
      <c r="AC103" s="394">
        <f>+AB103</f>
        <v>4.0999999999999995E-2</v>
      </c>
    </row>
    <row r="104" spans="1:29" ht="11.25" customHeight="1">
      <c r="R104" s="339"/>
      <c r="S104" s="339"/>
      <c r="T104" s="339"/>
      <c r="U104" s="339"/>
      <c r="V104" s="339"/>
      <c r="W104" s="339"/>
      <c r="X104" s="339"/>
      <c r="Y104" s="339"/>
      <c r="Z104" s="339"/>
      <c r="AA104" s="339"/>
      <c r="AB104" s="339"/>
      <c r="AC104" s="339"/>
    </row>
    <row r="105" spans="1:29" ht="11.25" customHeight="1">
      <c r="A105" s="396" t="s">
        <v>398</v>
      </c>
      <c r="B105" s="379"/>
      <c r="C105" s="379"/>
      <c r="D105" s="379"/>
      <c r="E105" s="379"/>
      <c r="F105" s="379"/>
      <c r="G105" s="379"/>
      <c r="H105" s="379"/>
      <c r="I105" s="379"/>
      <c r="J105" s="379"/>
      <c r="K105" s="379"/>
      <c r="L105" s="397"/>
      <c r="M105" s="397"/>
      <c r="N105" s="397"/>
      <c r="O105" s="397"/>
      <c r="P105" s="397"/>
      <c r="Q105" s="397"/>
      <c r="R105" s="397"/>
      <c r="S105" s="397"/>
      <c r="T105" s="397"/>
      <c r="U105" s="397"/>
      <c r="V105" s="397"/>
      <c r="W105" s="397"/>
      <c r="X105" s="397"/>
      <c r="Y105" s="397"/>
      <c r="Z105" s="397"/>
      <c r="AA105" s="397"/>
      <c r="AB105" s="397"/>
      <c r="AC105" s="397"/>
    </row>
    <row r="106" spans="1:29" ht="11.25" customHeight="1">
      <c r="A106" s="398"/>
      <c r="B106" s="321"/>
      <c r="C106" s="321"/>
      <c r="D106" s="321"/>
      <c r="E106" s="321"/>
      <c r="F106" s="321"/>
      <c r="G106" s="321"/>
      <c r="H106" s="321"/>
      <c r="I106" s="321"/>
      <c r="J106" s="321"/>
      <c r="K106" s="321"/>
      <c r="L106" s="399"/>
      <c r="M106" s="399"/>
      <c r="N106" s="400"/>
      <c r="O106" s="400"/>
      <c r="P106" s="400"/>
      <c r="Q106" s="400"/>
      <c r="R106" s="400"/>
      <c r="S106" s="400"/>
      <c r="T106" s="400"/>
      <c r="U106" s="400"/>
      <c r="V106" s="400"/>
      <c r="W106" s="400"/>
      <c r="X106" s="400"/>
      <c r="Y106" s="400"/>
      <c r="Z106" s="400"/>
      <c r="AA106" s="400"/>
      <c r="AB106" s="400"/>
      <c r="AC106" s="400"/>
    </row>
    <row r="107" spans="1:29" ht="11.25" customHeight="1">
      <c r="A107" s="401" t="s">
        <v>399</v>
      </c>
      <c r="B107" s="365">
        <f t="shared" ref="B107:X107" si="55">SUM(B39:B41,B51,B53)</f>
        <v>7828</v>
      </c>
      <c r="C107" s="365">
        <f t="shared" si="55"/>
        <v>25826</v>
      </c>
      <c r="D107" s="365">
        <f t="shared" si="55"/>
        <v>17400.7</v>
      </c>
      <c r="E107" s="365">
        <f t="shared" si="55"/>
        <v>16007</v>
      </c>
      <c r="F107" s="365">
        <f t="shared" si="55"/>
        <v>14443</v>
      </c>
      <c r="G107" s="365">
        <f t="shared" si="55"/>
        <v>13462</v>
      </c>
      <c r="H107" s="365">
        <f t="shared" si="55"/>
        <v>12518</v>
      </c>
      <c r="I107" s="365">
        <f t="shared" si="55"/>
        <v>11200</v>
      </c>
      <c r="J107" s="365">
        <f t="shared" si="55"/>
        <v>10821</v>
      </c>
      <c r="K107" s="365">
        <f t="shared" si="55"/>
        <v>21009</v>
      </c>
      <c r="L107" s="365">
        <f t="shared" si="55"/>
        <v>20251</v>
      </c>
      <c r="M107" s="365">
        <f t="shared" si="55"/>
        <v>18990</v>
      </c>
      <c r="N107" s="245">
        <f t="shared" si="55"/>
        <v>28685</v>
      </c>
      <c r="O107" s="245">
        <f t="shared" si="55"/>
        <v>26931</v>
      </c>
      <c r="P107" s="245">
        <f t="shared" si="55"/>
        <v>19425</v>
      </c>
      <c r="Q107" s="245">
        <f t="shared" si="55"/>
        <v>17121</v>
      </c>
      <c r="R107" s="245">
        <f t="shared" si="55"/>
        <v>16656</v>
      </c>
      <c r="S107" s="245">
        <f t="shared" si="55"/>
        <v>15398</v>
      </c>
      <c r="T107" s="245">
        <f t="shared" si="55"/>
        <v>17199</v>
      </c>
      <c r="U107" s="245">
        <f>SUM(U39:U41,U51,U53)</f>
        <v>17652</v>
      </c>
      <c r="V107" s="245">
        <f t="shared" si="55"/>
        <v>17602</v>
      </c>
      <c r="W107" s="245">
        <f t="shared" si="55"/>
        <v>18002</v>
      </c>
      <c r="X107" s="245">
        <f t="shared" si="55"/>
        <v>18452</v>
      </c>
      <c r="Y107" s="245">
        <f>SUM(Y39:Y41,Y51,Y53)</f>
        <v>18702</v>
      </c>
      <c r="Z107" s="245">
        <f>SUM(Z39:Z41,Z51,Z53)</f>
        <v>18702</v>
      </c>
      <c r="AA107" s="245">
        <f>SUM(AA39:AA41,AA51,AA53)</f>
        <v>18702</v>
      </c>
      <c r="AB107" s="245">
        <f>SUM(AB39:AB41,AB51,AB53)</f>
        <v>18702</v>
      </c>
      <c r="AC107" s="245">
        <f>SUM(AC39:AC41,AC51,AC53)</f>
        <v>18702</v>
      </c>
    </row>
    <row r="108" spans="1:29" ht="11.25" customHeight="1" collapsed="1">
      <c r="A108" s="402" t="s">
        <v>400</v>
      </c>
      <c r="B108" s="374" t="s">
        <v>161</v>
      </c>
      <c r="C108" s="374" t="s">
        <v>161</v>
      </c>
      <c r="D108" s="374"/>
      <c r="E108" s="403"/>
      <c r="F108" s="403"/>
      <c r="G108" s="403"/>
      <c r="H108" s="403"/>
      <c r="I108" s="403"/>
      <c r="J108" s="403"/>
      <c r="K108" s="403"/>
      <c r="L108" s="403"/>
      <c r="M108" s="403"/>
      <c r="N108" s="404">
        <f t="shared" ref="N108:X108" si="56">N107/N120</f>
        <v>5.8043302306758395</v>
      </c>
      <c r="O108" s="404">
        <f t="shared" si="56"/>
        <v>4.8246148333930492</v>
      </c>
      <c r="P108" s="404">
        <f t="shared" si="56"/>
        <v>3.4818067754077791</v>
      </c>
      <c r="Q108" s="404">
        <f t="shared" si="56"/>
        <v>3.2019824200486253</v>
      </c>
      <c r="R108" s="404">
        <f>R107/R120</f>
        <v>3.1920275967803757</v>
      </c>
      <c r="S108" s="404">
        <f t="shared" si="56"/>
        <v>3.2726886291179595</v>
      </c>
      <c r="T108" s="404">
        <f t="shared" si="56"/>
        <v>3.4647461724415796</v>
      </c>
      <c r="U108" s="404">
        <f>U107/U120</f>
        <v>3.3062371230567522</v>
      </c>
      <c r="V108" s="404">
        <f t="shared" ca="1" si="56"/>
        <v>3.0033330917576389</v>
      </c>
      <c r="W108" s="404">
        <f t="shared" ca="1" si="56"/>
        <v>2.8932288904239036</v>
      </c>
      <c r="X108" s="404">
        <f t="shared" ca="1" si="56"/>
        <v>2.7966650274815592</v>
      </c>
      <c r="Y108" s="404">
        <f ca="1">Y107/Y120</f>
        <v>2.679043413690271</v>
      </c>
      <c r="Z108" s="404">
        <f ca="1">Z107/Z120</f>
        <v>2.5505971352053729</v>
      </c>
      <c r="AA108" s="404">
        <f ca="1">AA107/AA120</f>
        <v>2.4394391831598341</v>
      </c>
      <c r="AB108" s="404">
        <f ca="1">AB107/AB120</f>
        <v>2.3344666927686282</v>
      </c>
      <c r="AC108" s="404">
        <f ca="1">AC107/AC120</f>
        <v>2.2357672150724079</v>
      </c>
    </row>
    <row r="109" spans="1:29" ht="11.25" customHeight="1">
      <c r="A109" s="405" t="s">
        <v>401</v>
      </c>
      <c r="B109" s="406">
        <f t="shared" ref="B109:X109" si="57">B107/B67</f>
        <v>0.58153183270187947</v>
      </c>
      <c r="C109" s="406">
        <f t="shared" si="57"/>
        <v>1.8384111617312073</v>
      </c>
      <c r="D109" s="406">
        <f t="shared" si="57"/>
        <v>0.77428326058033314</v>
      </c>
      <c r="E109" s="406">
        <f t="shared" si="57"/>
        <v>0.68178720504301904</v>
      </c>
      <c r="F109" s="406">
        <f t="shared" si="57"/>
        <v>0.55911272839888515</v>
      </c>
      <c r="G109" s="406">
        <f t="shared" si="57"/>
        <v>0.47185418857343148</v>
      </c>
      <c r="H109" s="406">
        <f t="shared" si="57"/>
        <v>0.41850824111530877</v>
      </c>
      <c r="I109" s="406">
        <f t="shared" si="57"/>
        <v>0.3784678809177846</v>
      </c>
      <c r="J109" s="406">
        <f t="shared" si="57"/>
        <v>0.37895289791630188</v>
      </c>
      <c r="K109" s="406">
        <f t="shared" si="57"/>
        <v>0.76622050403005215</v>
      </c>
      <c r="L109" s="406">
        <f t="shared" si="57"/>
        <v>0.90689655172413797</v>
      </c>
      <c r="M109" s="406">
        <f t="shared" si="57"/>
        <v>0.73117203141845066</v>
      </c>
      <c r="N109" s="21">
        <f t="shared" si="57"/>
        <v>1.5174839972491139</v>
      </c>
      <c r="O109" s="21">
        <f t="shared" si="57"/>
        <v>0.76231317934782605</v>
      </c>
      <c r="P109" s="21">
        <f t="shared" si="57"/>
        <v>0.60037088548910522</v>
      </c>
      <c r="Q109" s="21">
        <f t="shared" si="57"/>
        <v>0.52628181482847658</v>
      </c>
      <c r="R109" s="21">
        <f t="shared" si="57"/>
        <v>0.59799662513912322</v>
      </c>
      <c r="S109" s="21">
        <f t="shared" si="57"/>
        <v>0.54797153024911027</v>
      </c>
      <c r="T109" s="21">
        <f t="shared" si="57"/>
        <v>0.68209399167162399</v>
      </c>
      <c r="U109" s="21">
        <f>U107/U67</f>
        <v>0.67397197510595241</v>
      </c>
      <c r="V109" s="21">
        <f t="shared" ca="1" si="57"/>
        <v>0.66862195809442693</v>
      </c>
      <c r="W109" s="21">
        <f t="shared" ca="1" si="57"/>
        <v>0.67672356582285831</v>
      </c>
      <c r="X109" s="21">
        <f t="shared" ca="1" si="57"/>
        <v>0.68283181650580727</v>
      </c>
      <c r="Y109" s="21">
        <f ca="1">Y107/Y67</f>
        <v>0.68018019127728602</v>
      </c>
      <c r="Z109" s="21">
        <f ca="1">Z107/Z67</f>
        <v>0.66783090257282596</v>
      </c>
      <c r="AA109" s="21">
        <f ca="1">AA107/AA67</f>
        <v>0.65664332363428313</v>
      </c>
      <c r="AB109" s="21">
        <f ca="1">AB107/AB67</f>
        <v>0.64669214596105629</v>
      </c>
      <c r="AC109" s="21">
        <f ca="1">AC107/AC67</f>
        <v>0.63808139903321359</v>
      </c>
    </row>
    <row r="110" spans="1:29" ht="11.25" customHeight="1">
      <c r="A110" s="407" t="s">
        <v>402</v>
      </c>
      <c r="B110" s="356">
        <f t="shared" ref="B110:X110" si="58">B107+B67</f>
        <v>21289</v>
      </c>
      <c r="C110" s="356">
        <f t="shared" si="58"/>
        <v>39874</v>
      </c>
      <c r="D110" s="356">
        <f t="shared" si="58"/>
        <v>39874</v>
      </c>
      <c r="E110" s="356">
        <f t="shared" si="58"/>
        <v>39485</v>
      </c>
      <c r="F110" s="356">
        <f t="shared" si="58"/>
        <v>40275</v>
      </c>
      <c r="G110" s="356">
        <f t="shared" si="58"/>
        <v>41992</v>
      </c>
      <c r="H110" s="356">
        <f t="shared" si="58"/>
        <v>42429</v>
      </c>
      <c r="I110" s="356">
        <f t="shared" si="58"/>
        <v>40793</v>
      </c>
      <c r="J110" s="356">
        <f t="shared" si="58"/>
        <v>39376</v>
      </c>
      <c r="K110" s="356">
        <f t="shared" si="58"/>
        <v>48428</v>
      </c>
      <c r="L110" s="356">
        <f t="shared" si="58"/>
        <v>42581</v>
      </c>
      <c r="M110" s="356">
        <f t="shared" si="58"/>
        <v>44962</v>
      </c>
      <c r="N110" s="338">
        <f t="shared" si="58"/>
        <v>47588</v>
      </c>
      <c r="O110" s="338">
        <f t="shared" si="58"/>
        <v>62259</v>
      </c>
      <c r="P110" s="338">
        <f t="shared" si="58"/>
        <v>51780</v>
      </c>
      <c r="Q110" s="338">
        <f t="shared" si="58"/>
        <v>49653</v>
      </c>
      <c r="R110" s="338">
        <f t="shared" si="58"/>
        <v>44509</v>
      </c>
      <c r="S110" s="338">
        <f t="shared" si="58"/>
        <v>43498</v>
      </c>
      <c r="T110" s="338">
        <f t="shared" si="58"/>
        <v>42414</v>
      </c>
      <c r="U110" s="338">
        <f>U107+U67</f>
        <v>43843</v>
      </c>
      <c r="V110" s="338">
        <f t="shared" ca="1" si="58"/>
        <v>43927.788118245044</v>
      </c>
      <c r="W110" s="338">
        <f t="shared" ca="1" si="58"/>
        <v>44603.704017962737</v>
      </c>
      <c r="X110" s="338">
        <f t="shared" ca="1" si="58"/>
        <v>45474.759563874351</v>
      </c>
      <c r="Y110" s="338">
        <f ca="1">Y107+Y67</f>
        <v>46197.655180548827</v>
      </c>
      <c r="Z110" s="338">
        <f ca="1">Z107+Z67</f>
        <v>46706.094940725772</v>
      </c>
      <c r="AA110" s="338">
        <f ca="1">AA107+AA67</f>
        <v>47183.215489241862</v>
      </c>
      <c r="AB110" s="338">
        <f ca="1">AB107+AB67</f>
        <v>47621.479101152145</v>
      </c>
      <c r="AC110" s="338">
        <f ca="1">AC107+AC67</f>
        <v>48011.740149667829</v>
      </c>
    </row>
    <row r="111" spans="1:29" ht="11.25" customHeight="1">
      <c r="A111" s="405" t="s">
        <v>403</v>
      </c>
      <c r="B111" s="403">
        <f t="shared" ref="B111:X111" si="59">B107/B110</f>
        <v>0.36770162994973932</v>
      </c>
      <c r="C111" s="403">
        <f t="shared" si="59"/>
        <v>0.64769022420624967</v>
      </c>
      <c r="D111" s="403">
        <f t="shared" si="59"/>
        <v>0.43639213522596182</v>
      </c>
      <c r="E111" s="403">
        <f t="shared" si="59"/>
        <v>0.40539445358997089</v>
      </c>
      <c r="F111" s="403">
        <f t="shared" si="59"/>
        <v>0.35860955927995036</v>
      </c>
      <c r="G111" s="403">
        <f t="shared" si="59"/>
        <v>0.32058487330920177</v>
      </c>
      <c r="H111" s="403">
        <f t="shared" si="59"/>
        <v>0.29503405689504819</v>
      </c>
      <c r="I111" s="403">
        <f t="shared" si="59"/>
        <v>0.2745569092736499</v>
      </c>
      <c r="J111" s="403">
        <f t="shared" si="59"/>
        <v>0.27481206826493293</v>
      </c>
      <c r="K111" s="403">
        <f t="shared" si="59"/>
        <v>0.43381927810357646</v>
      </c>
      <c r="L111" s="403">
        <f t="shared" si="59"/>
        <v>0.4755877034358047</v>
      </c>
      <c r="M111" s="403">
        <f t="shared" si="59"/>
        <v>0.42235665673235179</v>
      </c>
      <c r="N111" s="404">
        <f t="shared" si="59"/>
        <v>0.60277801126334374</v>
      </c>
      <c r="O111" s="404">
        <f t="shared" si="59"/>
        <v>0.43256396665542329</v>
      </c>
      <c r="P111" s="404">
        <f t="shared" si="59"/>
        <v>0.37514484356894556</v>
      </c>
      <c r="Q111" s="404">
        <f t="shared" si="59"/>
        <v>0.34481300223551448</v>
      </c>
      <c r="R111" s="404">
        <f>R107/R110</f>
        <v>0.37421645060549552</v>
      </c>
      <c r="S111" s="404">
        <f t="shared" si="59"/>
        <v>0.35399328704768035</v>
      </c>
      <c r="T111" s="404">
        <f t="shared" si="59"/>
        <v>0.4055028999858537</v>
      </c>
      <c r="U111" s="404">
        <f>U107/U110</f>
        <v>0.40261843395753028</v>
      </c>
      <c r="V111" s="404">
        <f t="shared" ca="1" si="59"/>
        <v>0.40070308007812383</v>
      </c>
      <c r="W111" s="404">
        <f t="shared" ca="1" si="59"/>
        <v>0.40359876822674329</v>
      </c>
      <c r="X111" s="404">
        <f t="shared" ca="1" si="59"/>
        <v>0.40576355272603731</v>
      </c>
      <c r="Y111" s="404">
        <f ca="1">Y107/Y110</f>
        <v>0.40482574119636999</v>
      </c>
      <c r="Z111" s="404">
        <f ca="1">Z107/Z110</f>
        <v>0.40041883235441794</v>
      </c>
      <c r="AA111" s="404">
        <f ca="1">AA107/AA110</f>
        <v>0.39636976424941195</v>
      </c>
      <c r="AB111" s="404">
        <f ca="1">AB107/AB110</f>
        <v>0.39272194717588116</v>
      </c>
      <c r="AC111" s="404">
        <f ca="1">AC107/AC110</f>
        <v>0.38952972630652277</v>
      </c>
    </row>
    <row r="112" spans="1:29" ht="11.25" customHeight="1">
      <c r="A112" s="405" t="s">
        <v>404</v>
      </c>
      <c r="B112" s="406"/>
      <c r="C112" s="406"/>
      <c r="D112" s="406"/>
      <c r="E112" s="406"/>
      <c r="F112" s="406"/>
      <c r="G112" s="406"/>
      <c r="H112" s="406"/>
      <c r="I112" s="406"/>
      <c r="J112" s="406"/>
      <c r="K112" s="406"/>
      <c r="L112" s="406"/>
      <c r="M112" s="406"/>
      <c r="N112" s="21">
        <f>CF!K23/BS!N107</f>
        <v>0.13066062401952239</v>
      </c>
      <c r="O112" s="21">
        <f>CF!L23/BS!O107</f>
        <v>0.16783632245367791</v>
      </c>
      <c r="P112" s="21">
        <f>CF!M23/BS!P107</f>
        <v>0.20195624195624196</v>
      </c>
      <c r="Q112" s="21">
        <f>CF!N23/BS!Q107</f>
        <v>0.37439401904094388</v>
      </c>
      <c r="R112" s="21">
        <f>CF!O23/BS!R107</f>
        <v>0.21385686839577331</v>
      </c>
      <c r="S112" s="21">
        <f>CF!P23/BS!S107</f>
        <v>0.24210936485257825</v>
      </c>
      <c r="T112" s="21">
        <f>CF!Q23/BS!T107</f>
        <v>0.16500959358102216</v>
      </c>
      <c r="U112" s="21">
        <f>CF!R23/BS!U107</f>
        <v>0.14689553591661</v>
      </c>
      <c r="V112" s="21">
        <f ca="1">CF!S23/BS!V107</f>
        <v>0.24693957275123363</v>
      </c>
      <c r="W112" s="21">
        <f ca="1">CF!T23/BS!W107</f>
        <v>0.26064582449769802</v>
      </c>
      <c r="X112" s="21">
        <f ca="1">CF!U23/BS!X107</f>
        <v>0.27133316925124384</v>
      </c>
      <c r="Y112" s="21">
        <f ca="1">CF!V23/BS!Y107</f>
        <v>0.2849062164087694</v>
      </c>
      <c r="Z112" s="21">
        <f ca="1">CF!W23/BS!Z107</f>
        <v>0.30103237615334444</v>
      </c>
      <c r="AA112" s="21">
        <f ca="1">CF!X23/BS!AA107</f>
        <v>0.31654167965403446</v>
      </c>
      <c r="AB112" s="21">
        <f ca="1">CF!Y23/BS!AB107</f>
        <v>0.3320435794596906</v>
      </c>
      <c r="AC112" s="21">
        <f ca="1">CF!Z23/BS!AC107</f>
        <v>0.34815810453247342</v>
      </c>
    </row>
    <row r="113" spans="1:29" ht="11.25" customHeight="1">
      <c r="A113" s="401"/>
      <c r="B113" s="320"/>
      <c r="C113" s="320"/>
      <c r="D113" s="320"/>
      <c r="E113" s="320"/>
      <c r="F113" s="320"/>
      <c r="G113" s="320"/>
      <c r="H113" s="320"/>
      <c r="I113" s="320"/>
      <c r="J113" s="320"/>
      <c r="K113" s="320"/>
      <c r="L113" s="399"/>
      <c r="M113" s="408"/>
      <c r="N113" s="409"/>
      <c r="O113" s="409"/>
      <c r="P113" s="409"/>
      <c r="Q113" s="409"/>
      <c r="R113" s="409"/>
      <c r="S113" s="409"/>
      <c r="T113" s="409"/>
      <c r="U113" s="409"/>
      <c r="V113" s="409"/>
      <c r="W113" s="409"/>
      <c r="X113" s="409"/>
      <c r="Y113" s="409"/>
      <c r="Z113" s="409"/>
      <c r="AA113" s="409"/>
      <c r="AB113" s="409"/>
      <c r="AC113" s="409"/>
    </row>
    <row r="114" spans="1:29" ht="11.25" customHeight="1">
      <c r="A114" s="410" t="s">
        <v>405</v>
      </c>
      <c r="B114" s="356">
        <f t="shared" ref="B114:X114" si="60">B107-B13</f>
        <v>7733</v>
      </c>
      <c r="C114" s="356">
        <f t="shared" si="60"/>
        <v>25635</v>
      </c>
      <c r="D114" s="356">
        <f t="shared" si="60"/>
        <v>17209.7</v>
      </c>
      <c r="E114" s="356">
        <f t="shared" si="60"/>
        <v>15845</v>
      </c>
      <c r="F114" s="356">
        <f t="shared" si="60"/>
        <v>14228</v>
      </c>
      <c r="G114" s="356">
        <f t="shared" si="60"/>
        <v>12948</v>
      </c>
      <c r="H114" s="356">
        <f t="shared" si="60"/>
        <v>12236</v>
      </c>
      <c r="I114" s="356">
        <f t="shared" si="60"/>
        <v>10884</v>
      </c>
      <c r="J114" s="356">
        <f t="shared" si="60"/>
        <v>10582.000583171521</v>
      </c>
      <c r="K114" s="356">
        <f t="shared" si="60"/>
        <v>20442.000583171521</v>
      </c>
      <c r="L114" s="356">
        <f t="shared" si="60"/>
        <v>19006.803652171522</v>
      </c>
      <c r="M114" s="356">
        <f t="shared" si="60"/>
        <v>16888.803652171522</v>
      </c>
      <c r="N114" s="338">
        <f t="shared" si="60"/>
        <v>26203.803652171522</v>
      </c>
      <c r="O114" s="338">
        <f t="shared" si="60"/>
        <v>24957</v>
      </c>
      <c r="P114" s="338">
        <f t="shared" si="60"/>
        <v>14950</v>
      </c>
      <c r="Q114" s="338">
        <f t="shared" si="60"/>
        <v>14499</v>
      </c>
      <c r="R114" s="338">
        <f t="shared" si="60"/>
        <v>15025</v>
      </c>
      <c r="S114" s="338">
        <f t="shared" si="60"/>
        <v>13528</v>
      </c>
      <c r="T114" s="338">
        <f>T107-T13</f>
        <v>15458</v>
      </c>
      <c r="U114" s="338">
        <f>U107-U13</f>
        <v>16891</v>
      </c>
      <c r="V114" s="338">
        <f t="shared" ca="1" si="60"/>
        <v>17301.413128262397</v>
      </c>
      <c r="W114" s="338">
        <f t="shared" ca="1" si="60"/>
        <v>17470.0910134691</v>
      </c>
      <c r="X114" s="338">
        <f t="shared" ca="1" si="60"/>
        <v>17435.840498800728</v>
      </c>
      <c r="Y114" s="338">
        <f ca="1">Y107-Y13</f>
        <v>17299.762813294074</v>
      </c>
      <c r="Z114" s="338">
        <f ca="1">Z107-Z13</f>
        <v>17076.922740889808</v>
      </c>
      <c r="AA114" s="338">
        <f ca="1">AA107-AA13</f>
        <v>16863.851400124186</v>
      </c>
      <c r="AB114" s="338">
        <f ca="1">AB107-AB13</f>
        <v>16676.741287203273</v>
      </c>
      <c r="AC114" s="338">
        <f ca="1">AC107-AC13</f>
        <v>16520.703491948236</v>
      </c>
    </row>
    <row r="115" spans="1:29" ht="11.25" customHeight="1">
      <c r="A115" s="402" t="s">
        <v>406</v>
      </c>
      <c r="B115" s="374"/>
      <c r="C115" s="374"/>
      <c r="D115" s="374"/>
      <c r="E115" s="403"/>
      <c r="F115" s="403"/>
      <c r="G115" s="403"/>
      <c r="H115" s="403"/>
      <c r="I115" s="403"/>
      <c r="J115" s="403"/>
      <c r="K115" s="403"/>
      <c r="L115" s="403"/>
      <c r="M115" s="403"/>
      <c r="N115" s="404">
        <f t="shared" ref="N115:X115" si="61">N114/N120</f>
        <v>5.3022670279586244</v>
      </c>
      <c r="O115" s="404">
        <f t="shared" si="61"/>
        <v>4.4709781440343965</v>
      </c>
      <c r="P115" s="404">
        <f t="shared" si="61"/>
        <v>2.6796917010216883</v>
      </c>
      <c r="Q115" s="404">
        <f t="shared" si="61"/>
        <v>2.7116139891527959</v>
      </c>
      <c r="R115" s="404">
        <f>R114/R120</f>
        <v>2.879455730164814</v>
      </c>
      <c r="S115" s="404">
        <f t="shared" si="61"/>
        <v>2.8752391073326247</v>
      </c>
      <c r="T115" s="404">
        <f t="shared" si="61"/>
        <v>3.1140209508460917</v>
      </c>
      <c r="U115" s="404">
        <f>U114/U120</f>
        <v>3.1637010676156585</v>
      </c>
      <c r="V115" s="404">
        <f t="shared" ca="1" si="61"/>
        <v>2.9520455960845648</v>
      </c>
      <c r="W115" s="404">
        <f t="shared" ca="1" si="61"/>
        <v>2.8077420308023449</v>
      </c>
      <c r="X115" s="404">
        <f t="shared" ca="1" si="61"/>
        <v>2.6426514929407445</v>
      </c>
      <c r="Y115" s="404">
        <f ca="1">Y114/Y120</f>
        <v>2.4781742927686539</v>
      </c>
      <c r="Z115" s="404">
        <f ca="1">Z114/Z120</f>
        <v>2.3289675019269076</v>
      </c>
      <c r="AA115" s="404">
        <f ca="1">AA114/AA120</f>
        <v>2.199675964305837</v>
      </c>
      <c r="AB115" s="404">
        <f ca="1">AB114/AB120</f>
        <v>2.0816649063680601</v>
      </c>
      <c r="AC115" s="404">
        <f ca="1">AC114/AC120</f>
        <v>1.9749998522740944</v>
      </c>
    </row>
    <row r="116" spans="1:29" ht="11.25" customHeight="1">
      <c r="A116" s="405" t="s">
        <v>407</v>
      </c>
      <c r="B116" s="406">
        <f t="shared" ref="B116:X116" si="62">B114/B67</f>
        <v>0.57447440754773049</v>
      </c>
      <c r="C116" s="406">
        <f t="shared" si="62"/>
        <v>1.8248149202733486</v>
      </c>
      <c r="D116" s="406">
        <f t="shared" si="62"/>
        <v>0.76578428624189598</v>
      </c>
      <c r="E116" s="406">
        <f t="shared" si="62"/>
        <v>0.67488712837550047</v>
      </c>
      <c r="F116" s="406">
        <f t="shared" si="62"/>
        <v>0.5507897181790028</v>
      </c>
      <c r="G116" s="406">
        <f t="shared" si="62"/>
        <v>0.45383806519453207</v>
      </c>
      <c r="H116" s="406">
        <f t="shared" si="62"/>
        <v>0.40908027147203369</v>
      </c>
      <c r="I116" s="406">
        <f t="shared" si="62"/>
        <v>0.36778967999189</v>
      </c>
      <c r="J116" s="406">
        <f t="shared" si="62"/>
        <v>0.37058310569677888</v>
      </c>
      <c r="K116" s="406">
        <f t="shared" si="62"/>
        <v>0.74554143415775631</v>
      </c>
      <c r="L116" s="406">
        <f t="shared" si="62"/>
        <v>0.8511779512839911</v>
      </c>
      <c r="M116" s="406">
        <f t="shared" si="62"/>
        <v>0.65026966164221167</v>
      </c>
      <c r="N116" s="21">
        <f t="shared" si="62"/>
        <v>1.3862246020299172</v>
      </c>
      <c r="O116" s="21">
        <f t="shared" si="62"/>
        <v>0.70643682065217395</v>
      </c>
      <c r="P116" s="21">
        <f t="shared" si="62"/>
        <v>0.46206150517694328</v>
      </c>
      <c r="Q116" s="21">
        <f t="shared" si="62"/>
        <v>0.44568424935448175</v>
      </c>
      <c r="R116" s="21">
        <f t="shared" si="62"/>
        <v>0.53943919865005563</v>
      </c>
      <c r="S116" s="21">
        <f t="shared" si="62"/>
        <v>0.481423487544484</v>
      </c>
      <c r="T116" s="21">
        <f t="shared" si="62"/>
        <v>0.61304778901447554</v>
      </c>
      <c r="U116" s="21">
        <f>U114/U67</f>
        <v>0.64491619258523925</v>
      </c>
      <c r="V116" s="21">
        <f t="shared" ca="1" si="62"/>
        <v>0.6572039952061941</v>
      </c>
      <c r="W116" s="21">
        <f t="shared" ca="1" si="62"/>
        <v>0.65672826829711595</v>
      </c>
      <c r="X116" s="21">
        <f t="shared" ca="1" si="62"/>
        <v>0.64522797746052574</v>
      </c>
      <c r="Y116" s="21">
        <f ca="1">Y114/Y67</f>
        <v>0.62918169069607754</v>
      </c>
      <c r="Z116" s="21">
        <f ca="1">Z114/Z67</f>
        <v>0.60980091579589646</v>
      </c>
      <c r="AA116" s="21">
        <f ca="1">AA114/AA67</f>
        <v>0.59210434352754804</v>
      </c>
      <c r="AB116" s="21">
        <f ca="1">AB114/AB67</f>
        <v>0.57666119188636689</v>
      </c>
      <c r="AC116" s="21">
        <f ca="1">AC114/AC67</f>
        <v>0.56365915929607679</v>
      </c>
    </row>
    <row r="117" spans="1:29" ht="11.25" customHeight="1">
      <c r="A117" s="407" t="s">
        <v>408</v>
      </c>
      <c r="B117" s="411">
        <f t="shared" ref="B117:X117" si="63">B114+B67</f>
        <v>21194</v>
      </c>
      <c r="C117" s="411">
        <f t="shared" si="63"/>
        <v>39683</v>
      </c>
      <c r="D117" s="411">
        <f t="shared" si="63"/>
        <v>39683</v>
      </c>
      <c r="E117" s="411">
        <f t="shared" si="63"/>
        <v>39323</v>
      </c>
      <c r="F117" s="411">
        <f t="shared" si="63"/>
        <v>40060</v>
      </c>
      <c r="G117" s="411">
        <f t="shared" si="63"/>
        <v>41478</v>
      </c>
      <c r="H117" s="411">
        <f t="shared" si="63"/>
        <v>42147</v>
      </c>
      <c r="I117" s="411">
        <f t="shared" si="63"/>
        <v>40477</v>
      </c>
      <c r="J117" s="411">
        <f t="shared" si="63"/>
        <v>39137.000583171524</v>
      </c>
      <c r="K117" s="411">
        <f t="shared" si="63"/>
        <v>47861.000583171524</v>
      </c>
      <c r="L117" s="411">
        <f t="shared" si="63"/>
        <v>41336.803652171526</v>
      </c>
      <c r="M117" s="411">
        <f t="shared" si="63"/>
        <v>42860.803652171526</v>
      </c>
      <c r="N117" s="412">
        <f t="shared" si="63"/>
        <v>45106.803652171526</v>
      </c>
      <c r="O117" s="412">
        <f t="shared" si="63"/>
        <v>60285</v>
      </c>
      <c r="P117" s="412">
        <f t="shared" si="63"/>
        <v>47305</v>
      </c>
      <c r="Q117" s="412">
        <f t="shared" si="63"/>
        <v>47031</v>
      </c>
      <c r="R117" s="412">
        <f t="shared" si="63"/>
        <v>42878</v>
      </c>
      <c r="S117" s="412">
        <f t="shared" si="63"/>
        <v>41628</v>
      </c>
      <c r="T117" s="412">
        <f t="shared" si="63"/>
        <v>40673</v>
      </c>
      <c r="U117" s="412">
        <f>U114+U67</f>
        <v>43082</v>
      </c>
      <c r="V117" s="412">
        <f t="shared" ca="1" si="63"/>
        <v>43627.201246507437</v>
      </c>
      <c r="W117" s="412">
        <f t="shared" ca="1" si="63"/>
        <v>44071.795031431837</v>
      </c>
      <c r="X117" s="412">
        <f t="shared" ca="1" si="63"/>
        <v>44458.600062675076</v>
      </c>
      <c r="Y117" s="412">
        <f ca="1">Y114+Y67</f>
        <v>44795.417993842901</v>
      </c>
      <c r="Z117" s="412">
        <f ca="1">Z114+Z67</f>
        <v>45081.01768161558</v>
      </c>
      <c r="AA117" s="412">
        <f ca="1">AA114+AA67</f>
        <v>45345.066889366048</v>
      </c>
      <c r="AB117" s="412">
        <f ca="1">AB114+AB67</f>
        <v>45596.220388355418</v>
      </c>
      <c r="AC117" s="412">
        <f ca="1">AC114+AC67</f>
        <v>45830.443641616061</v>
      </c>
    </row>
    <row r="118" spans="1:29" ht="11.25" customHeight="1">
      <c r="A118" s="405" t="s">
        <v>409</v>
      </c>
      <c r="B118" s="403">
        <f t="shared" ref="B118:X118" si="64">B114/B117</f>
        <v>0.36486741530621875</v>
      </c>
      <c r="C118" s="403">
        <f t="shared" si="64"/>
        <v>0.64599450646372503</v>
      </c>
      <c r="D118" s="403">
        <f t="shared" si="64"/>
        <v>0.43367940931885191</v>
      </c>
      <c r="E118" s="403">
        <f t="shared" si="64"/>
        <v>0.40294484144139564</v>
      </c>
      <c r="F118" s="403">
        <f t="shared" si="64"/>
        <v>0.35516724912631054</v>
      </c>
      <c r="G118" s="403">
        <f t="shared" si="64"/>
        <v>0.3121654853175177</v>
      </c>
      <c r="H118" s="403">
        <f t="shared" si="64"/>
        <v>0.29031722305264906</v>
      </c>
      <c r="I118" s="403">
        <f t="shared" si="64"/>
        <v>0.26889344566049855</v>
      </c>
      <c r="J118" s="403">
        <f t="shared" si="64"/>
        <v>0.27038353541384219</v>
      </c>
      <c r="K118" s="403">
        <f t="shared" si="64"/>
        <v>0.4271118516974583</v>
      </c>
      <c r="L118" s="403">
        <f t="shared" si="64"/>
        <v>0.45980341905736699</v>
      </c>
      <c r="M118" s="403">
        <f t="shared" si="64"/>
        <v>0.39403842702599107</v>
      </c>
      <c r="N118" s="404">
        <f t="shared" si="64"/>
        <v>0.58092796497474775</v>
      </c>
      <c r="O118" s="404">
        <f t="shared" si="64"/>
        <v>0.41398357800447871</v>
      </c>
      <c r="P118" s="404">
        <f t="shared" si="64"/>
        <v>0.31603424585138989</v>
      </c>
      <c r="Q118" s="404">
        <f t="shared" si="64"/>
        <v>0.3082860241117561</v>
      </c>
      <c r="R118" s="404">
        <f>R114/R117</f>
        <v>0.35041279910443585</v>
      </c>
      <c r="S118" s="404">
        <f t="shared" si="64"/>
        <v>0.32497357547804362</v>
      </c>
      <c r="T118" s="404">
        <f t="shared" si="64"/>
        <v>0.38005556511690802</v>
      </c>
      <c r="U118" s="404">
        <f>U114/U117</f>
        <v>0.39206629218699224</v>
      </c>
      <c r="V118" s="404">
        <f t="shared" ca="1" si="64"/>
        <v>0.39657398673144217</v>
      </c>
      <c r="W118" s="404">
        <f t="shared" ca="1" si="64"/>
        <v>0.39640071390351805</v>
      </c>
      <c r="X118" s="404">
        <f t="shared" ca="1" si="64"/>
        <v>0.39218150086194176</v>
      </c>
      <c r="Y118" s="404">
        <f ca="1">Y114/Y117</f>
        <v>0.3861949187676274</v>
      </c>
      <c r="Z118" s="404">
        <f ca="1">Z114/Z117</f>
        <v>0.37880517386487311</v>
      </c>
      <c r="AA118" s="404">
        <f ca="1">AA114/AA117</f>
        <v>0.37190046364401674</v>
      </c>
      <c r="AB118" s="404">
        <f ca="1">AB114/AB117</f>
        <v>0.36574832618061165</v>
      </c>
      <c r="AC118" s="404">
        <f ca="1">AC114/AC117</f>
        <v>0.36047443967892795</v>
      </c>
    </row>
    <row r="119" spans="1:29" ht="11.25" customHeight="1">
      <c r="A119" s="401"/>
      <c r="B119" s="320"/>
      <c r="C119" s="320"/>
      <c r="D119" s="320"/>
      <c r="E119" s="320"/>
      <c r="F119" s="320"/>
      <c r="G119" s="320"/>
      <c r="H119" s="320"/>
      <c r="I119" s="320"/>
      <c r="J119" s="320"/>
      <c r="K119" s="320"/>
      <c r="L119" s="399"/>
      <c r="M119" s="408"/>
      <c r="N119" s="409"/>
      <c r="O119" s="409"/>
      <c r="P119" s="409"/>
      <c r="Q119" s="409"/>
      <c r="R119" s="409"/>
      <c r="S119" s="409"/>
      <c r="T119" s="409"/>
      <c r="U119" s="409"/>
      <c r="V119" s="409"/>
      <c r="W119" s="409"/>
      <c r="X119" s="409"/>
      <c r="Y119" s="409"/>
      <c r="Z119" s="409"/>
      <c r="AA119" s="409"/>
      <c r="AB119" s="409"/>
      <c r="AC119" s="409"/>
    </row>
    <row r="120" spans="1:29" ht="11.25" customHeight="1">
      <c r="A120" s="401" t="s">
        <v>174</v>
      </c>
      <c r="B120" s="374"/>
      <c r="C120" s="374"/>
      <c r="D120" s="374"/>
      <c r="E120" s="374"/>
      <c r="F120" s="374"/>
      <c r="G120" s="374"/>
      <c r="H120" s="374"/>
      <c r="I120" s="374"/>
      <c r="J120" s="374"/>
      <c r="K120" s="374"/>
      <c r="L120" s="374"/>
      <c r="M120" s="374"/>
      <c r="N120" s="375">
        <f>+IS!L79</f>
        <v>4942</v>
      </c>
      <c r="O120" s="375">
        <f>+IS!M79</f>
        <v>5582</v>
      </c>
      <c r="P120" s="375">
        <f>+IS!N79</f>
        <v>5579</v>
      </c>
      <c r="Q120" s="375">
        <f>+IS!O79</f>
        <v>5347</v>
      </c>
      <c r="R120" s="375">
        <f>+IS!P79</f>
        <v>5218</v>
      </c>
      <c r="S120" s="375">
        <f>+IS!Q79</f>
        <v>4705</v>
      </c>
      <c r="T120" s="375">
        <f>+IS!R79</f>
        <v>4964</v>
      </c>
      <c r="U120" s="375">
        <f>+IS!S79</f>
        <v>5339</v>
      </c>
      <c r="V120" s="375">
        <f ca="1">+IS!T79</f>
        <v>5860.821781076168</v>
      </c>
      <c r="W120" s="375">
        <f ca="1">+IS!U79</f>
        <v>6222.1140054226489</v>
      </c>
      <c r="X120" s="375">
        <f ca="1">+IS!V79</f>
        <v>6597.8584559396859</v>
      </c>
      <c r="Y120" s="375">
        <f ca="1">+IS!W79</f>
        <v>6980.8499199491398</v>
      </c>
      <c r="Z120" s="375">
        <f ca="1">+IS!X79</f>
        <v>7332.400613903349</v>
      </c>
      <c r="AA120" s="375">
        <f ca="1">+IS!Y79</f>
        <v>7666.516193191208</v>
      </c>
      <c r="AB120" s="375">
        <f ca="1">+IS!Z79</f>
        <v>8011.2515881817199</v>
      </c>
      <c r="AC120" s="375">
        <f ca="1">+IS!AA79</f>
        <v>8364.9137861583295</v>
      </c>
    </row>
    <row r="121" spans="1:29" ht="11.25" customHeight="1">
      <c r="A121" s="405" t="s">
        <v>410</v>
      </c>
      <c r="B121" s="403"/>
      <c r="C121" s="403"/>
      <c r="D121" s="403"/>
      <c r="E121" s="403"/>
      <c r="F121" s="403"/>
      <c r="G121" s="403"/>
      <c r="H121" s="403"/>
      <c r="I121" s="403"/>
      <c r="J121" s="403"/>
      <c r="K121" s="403"/>
      <c r="L121" s="403"/>
      <c r="M121" s="403"/>
      <c r="N121" s="404"/>
      <c r="O121" s="404">
        <f>+IS!M28/IS!M38</f>
        <v>3.132262996941896</v>
      </c>
      <c r="P121" s="404">
        <f>+IS!N28/IS!N38</f>
        <v>3.8737419945105214</v>
      </c>
      <c r="Q121" s="404">
        <f>+IS!O28/IS!O38</f>
        <v>4.2235410484668643</v>
      </c>
      <c r="R121" s="404">
        <f>+IS!P28/IS!P38</f>
        <v>4.2423873325213153</v>
      </c>
      <c r="S121" s="404">
        <f>+IS!Q28/IS!Q38</f>
        <v>5.0557228915662646</v>
      </c>
      <c r="T121" s="404">
        <f>+IS!R28/IS!R38</f>
        <v>6.3840947546531304</v>
      </c>
      <c r="U121" s="404">
        <f>+IS!S28/IS!S38</f>
        <v>9.3613636363636363</v>
      </c>
      <c r="V121" s="404">
        <f ca="1">+IS!T28/IS!T38</f>
        <v>11.766076778432895</v>
      </c>
      <c r="W121" s="404">
        <f ca="1">+IS!U28/IS!U38</f>
        <v>12.379089725557833</v>
      </c>
      <c r="X121" s="404">
        <f ca="1">+IS!V28/IS!V38</f>
        <v>12.834737427906415</v>
      </c>
      <c r="Y121" s="404">
        <f ca="1">+IS!W28/IS!W38</f>
        <v>13.286595319648907</v>
      </c>
      <c r="Z121" s="404">
        <f ca="1">+IS!X28/IS!X38</f>
        <v>13.797394219436688</v>
      </c>
      <c r="AA121" s="404">
        <f ca="1">+IS!Y28/IS!Y38</f>
        <v>14.337533632982534</v>
      </c>
      <c r="AB121" s="404">
        <f ca="1">+IS!Z28/IS!Z38</f>
        <v>14.885037487584151</v>
      </c>
      <c r="AC121" s="404">
        <f ca="1">+IS!AA28/IS!AA38</f>
        <v>15.434291204486676</v>
      </c>
    </row>
    <row r="122" spans="1:29" ht="11.25" customHeight="1">
      <c r="A122" s="35"/>
      <c r="B122" s="320"/>
      <c r="C122" s="320"/>
      <c r="D122" s="320"/>
      <c r="E122" s="320"/>
      <c r="F122" s="320"/>
      <c r="G122" s="320"/>
      <c r="H122" s="320"/>
      <c r="I122" s="320"/>
      <c r="J122" s="320"/>
      <c r="K122" s="320"/>
      <c r="L122" s="399"/>
      <c r="M122" s="408"/>
      <c r="N122" s="409"/>
      <c r="O122" s="409"/>
      <c r="P122" s="409"/>
      <c r="Q122" s="409"/>
      <c r="R122" s="409"/>
      <c r="S122" s="409"/>
      <c r="T122" s="409"/>
      <c r="U122" s="409"/>
      <c r="V122" s="409"/>
      <c r="W122" s="409"/>
      <c r="X122" s="409"/>
      <c r="Y122" s="409"/>
      <c r="Z122" s="409"/>
      <c r="AA122" s="409"/>
      <c r="AB122" s="409"/>
      <c r="AC122" s="409"/>
    </row>
    <row r="123" spans="1:29" ht="11.25" customHeight="1">
      <c r="A123" s="396" t="s">
        <v>411</v>
      </c>
      <c r="B123" s="413"/>
      <c r="C123" s="413"/>
      <c r="D123" s="413"/>
      <c r="E123" s="413"/>
      <c r="F123" s="413"/>
      <c r="G123" s="414"/>
      <c r="H123" s="414"/>
      <c r="I123" s="414"/>
      <c r="J123" s="414"/>
      <c r="K123" s="414"/>
      <c r="L123" s="414"/>
      <c r="M123" s="414"/>
      <c r="N123" s="414"/>
      <c r="O123" s="414"/>
      <c r="P123" s="414"/>
      <c r="Q123" s="414"/>
      <c r="R123" s="414"/>
      <c r="S123" s="414"/>
      <c r="T123" s="414"/>
      <c r="U123" s="414"/>
      <c r="V123" s="414"/>
      <c r="W123" s="414"/>
      <c r="X123" s="414"/>
      <c r="Y123" s="414"/>
      <c r="Z123" s="414"/>
      <c r="AA123" s="414"/>
      <c r="AB123" s="414"/>
      <c r="AC123" s="414"/>
    </row>
    <row r="124" spans="1:29" ht="11.25" customHeight="1">
      <c r="A124" s="398"/>
      <c r="B124" s="415"/>
      <c r="C124" s="415"/>
      <c r="D124" s="415"/>
      <c r="E124" s="415"/>
      <c r="F124" s="415"/>
      <c r="G124" s="416"/>
      <c r="H124" s="416"/>
      <c r="I124" s="416"/>
      <c r="J124" s="416"/>
      <c r="K124" s="416"/>
      <c r="L124" s="416"/>
      <c r="M124" s="416"/>
      <c r="N124" s="417"/>
      <c r="O124" s="417"/>
      <c r="P124" s="417"/>
      <c r="Q124" s="417"/>
      <c r="R124" s="417"/>
      <c r="S124" s="417"/>
      <c r="T124" s="417"/>
      <c r="U124" s="417"/>
      <c r="V124" s="417"/>
      <c r="W124" s="417"/>
      <c r="X124" s="417"/>
      <c r="Y124" s="417"/>
      <c r="Z124" s="417"/>
      <c r="AA124" s="417"/>
      <c r="AB124" s="417"/>
      <c r="AC124" s="417"/>
    </row>
    <row r="125" spans="1:29" ht="11.25" customHeight="1">
      <c r="A125" s="418" t="s">
        <v>412</v>
      </c>
      <c r="B125" s="415"/>
      <c r="C125" s="415"/>
      <c r="D125" s="415"/>
      <c r="E125" s="415"/>
      <c r="F125" s="415"/>
      <c r="G125" s="416"/>
      <c r="H125" s="416"/>
      <c r="I125" s="416"/>
      <c r="J125" s="416"/>
      <c r="K125" s="416"/>
      <c r="L125" s="416"/>
      <c r="M125" s="416"/>
      <c r="N125" s="417"/>
      <c r="O125" s="417"/>
      <c r="P125" s="417"/>
      <c r="Q125" s="417"/>
      <c r="R125" s="417"/>
      <c r="S125" s="417"/>
      <c r="T125" s="417"/>
      <c r="U125" s="417"/>
      <c r="V125" s="417"/>
      <c r="W125" s="417"/>
      <c r="X125" s="417"/>
      <c r="Y125" s="417"/>
      <c r="Z125" s="417"/>
      <c r="AA125" s="417"/>
      <c r="AB125" s="417"/>
      <c r="AC125" s="417"/>
    </row>
    <row r="126" spans="1:29" ht="11.25" customHeight="1">
      <c r="A126" s="419" t="s">
        <v>413</v>
      </c>
      <c r="B126" s="415"/>
      <c r="C126" s="420"/>
      <c r="D126" s="420"/>
      <c r="E126" s="420"/>
      <c r="F126" s="420"/>
      <c r="G126" s="420"/>
      <c r="H126" s="420"/>
      <c r="I126" s="420"/>
      <c r="J126" s="420"/>
      <c r="K126" s="420"/>
      <c r="L126" s="420"/>
      <c r="M126" s="420"/>
      <c r="N126" s="421">
        <f>+IS!L120</f>
        <v>4.6732605036679475E-2</v>
      </c>
      <c r="O126" s="421">
        <f>+IS!M120</f>
        <v>6.9030996928232335E-2</v>
      </c>
      <c r="P126" s="421">
        <f>+IS!N120</f>
        <v>7.1854919320291311E-2</v>
      </c>
      <c r="Q126" s="421">
        <f>+IS!O120</f>
        <v>7.8557466217173286E-2</v>
      </c>
      <c r="R126" s="421">
        <f>+IS!P120</f>
        <v>7.5669853238184995E-2</v>
      </c>
      <c r="S126" s="421">
        <f>+IS!Q120</f>
        <v>8.0729464728549083E-2</v>
      </c>
      <c r="T126" s="421"/>
      <c r="U126" s="421"/>
      <c r="V126" s="421"/>
      <c r="W126" s="421"/>
      <c r="X126" s="421"/>
      <c r="Y126" s="421"/>
      <c r="Z126" s="421"/>
      <c r="AA126" s="421"/>
      <c r="AB126" s="421"/>
      <c r="AC126" s="421"/>
    </row>
    <row r="127" spans="1:29" ht="11.25" customHeight="1">
      <c r="A127" s="419" t="s">
        <v>414</v>
      </c>
      <c r="B127" s="415"/>
      <c r="C127" s="422">
        <f>IS!CO10/BS!C35</f>
        <v>0</v>
      </c>
      <c r="D127" s="422">
        <f>IS!B10/BS!D35</f>
        <v>0.56974131474333123</v>
      </c>
      <c r="E127" s="422">
        <f>IS!C10/BS!E35</f>
        <v>0.52626965124198</v>
      </c>
      <c r="F127" s="422">
        <f>IS!D10/BS!F35</f>
        <v>0.52054290718038532</v>
      </c>
      <c r="G127" s="422">
        <f>IS!E10/BS!G35</f>
        <v>0.52306654297039723</v>
      </c>
      <c r="H127" s="422">
        <f>IS!F10/BS!H35</f>
        <v>0.53677746629288481</v>
      </c>
      <c r="I127" s="422">
        <f>IS!G10/BS!I35</f>
        <v>0.59195182897202747</v>
      </c>
      <c r="J127" s="422">
        <f>IS!H10/BS!J35</f>
        <v>0.61820276317195533</v>
      </c>
      <c r="K127" s="422">
        <f>IS!I10/BS!K35</f>
        <v>0.2926965327700975</v>
      </c>
      <c r="L127" s="422">
        <f>IS!J10/BS!L35</f>
        <v>0.38345376521118008</v>
      </c>
      <c r="M127" s="422">
        <f>IS!K10/BS!M35</f>
        <v>0.34637305498700138</v>
      </c>
      <c r="N127" s="423">
        <f>IS!L10/BS!N35</f>
        <v>0.42731134032055951</v>
      </c>
      <c r="O127" s="423">
        <f>IS!M10/BS!O35</f>
        <v>0.38161919072434114</v>
      </c>
      <c r="P127" s="423">
        <f>IS!N10/BS!P35</f>
        <v>0.46391001351387157</v>
      </c>
      <c r="Q127" s="423">
        <f>IS!O10/BS!Q35</f>
        <v>0.48678204509411843</v>
      </c>
      <c r="R127" s="423">
        <f>IS!P10/BS!R35</f>
        <v>0.44492369441823548</v>
      </c>
      <c r="S127" s="423">
        <f>IS!Q10/BS!S35</f>
        <v>0.4170870263991216</v>
      </c>
      <c r="T127" s="423">
        <f>IS!R10/BS!T35</f>
        <v>0.41064057980434854</v>
      </c>
      <c r="U127" s="423">
        <f>IS!S10/BS!U35</f>
        <v>0.40605935761935696</v>
      </c>
      <c r="V127" s="423">
        <f ca="1">IS!T10/BS!V35</f>
        <v>0.42696838221692951</v>
      </c>
      <c r="W127" s="423">
        <f ca="1">IS!U10/BS!W35</f>
        <v>0.43264663609028337</v>
      </c>
      <c r="X127" s="423">
        <f ca="1">IS!V10/BS!X35</f>
        <v>0.43878824816138584</v>
      </c>
      <c r="Y127" s="423">
        <f ca="1">IS!W10/BS!Y35</f>
        <v>0.44724817172874787</v>
      </c>
      <c r="Z127" s="423">
        <f ca="1">IS!X10/BS!Z35</f>
        <v>0.45689279429291824</v>
      </c>
      <c r="AA127" s="423">
        <f ca="1">IS!Y10/BS!AA35</f>
        <v>0.46654487414805695</v>
      </c>
      <c r="AB127" s="423">
        <f ca="1">IS!Z10/BS!AB35</f>
        <v>0.47634459252264844</v>
      </c>
      <c r="AC127" s="423">
        <f ca="1">IS!AA10/BS!AC35</f>
        <v>0.48639251973341818</v>
      </c>
    </row>
    <row r="128" spans="1:29" ht="11.25" customHeight="1">
      <c r="A128" s="419" t="s">
        <v>415</v>
      </c>
      <c r="B128" s="415"/>
      <c r="C128" s="422">
        <f t="shared" ref="C128:X128" si="65">C35/C67</f>
        <v>3.7066486332574033</v>
      </c>
      <c r="D128" s="422">
        <f t="shared" si="65"/>
        <v>2.3170161925484911</v>
      </c>
      <c r="E128" s="422">
        <f t="shared" si="65"/>
        <v>2.3766078882357951</v>
      </c>
      <c r="F128" s="422">
        <f t="shared" si="65"/>
        <v>2.210436667698978</v>
      </c>
      <c r="G128" s="422">
        <f t="shared" si="65"/>
        <v>2.0779880827199437</v>
      </c>
      <c r="H128" s="422">
        <f t="shared" si="65"/>
        <v>2.0035438467453446</v>
      </c>
      <c r="I128" s="422">
        <f t="shared" si="65"/>
        <v>1.9473524144223295</v>
      </c>
      <c r="J128" s="422">
        <f t="shared" si="65"/>
        <v>1.9462090497926274</v>
      </c>
      <c r="K128" s="422">
        <f t="shared" si="65"/>
        <v>2.4848462532123152</v>
      </c>
      <c r="L128" s="422">
        <f t="shared" si="65"/>
        <v>2.8290728324150685</v>
      </c>
      <c r="M128" s="422">
        <f t="shared" si="65"/>
        <v>2.5686969177509806</v>
      </c>
      <c r="N128" s="423">
        <f t="shared" si="65"/>
        <v>3.8983759216964757</v>
      </c>
      <c r="O128" s="423">
        <f t="shared" si="65"/>
        <v>2.6561650815217392</v>
      </c>
      <c r="P128" s="423">
        <f t="shared" si="65"/>
        <v>2.3328079122237675</v>
      </c>
      <c r="Q128" s="423">
        <f t="shared" si="65"/>
        <v>2.229036026066642</v>
      </c>
      <c r="R128" s="423">
        <f t="shared" si="65"/>
        <v>2.3972642085233189</v>
      </c>
      <c r="S128" s="423">
        <f t="shared" si="65"/>
        <v>2.2364056939501777</v>
      </c>
      <c r="T128" s="423">
        <f t="shared" si="65"/>
        <v>2.4405314297045408</v>
      </c>
      <c r="U128" s="423">
        <f>U35/U67</f>
        <v>2.4095681722729183</v>
      </c>
      <c r="V128" s="423">
        <f t="shared" ca="1" si="65"/>
        <v>2.3944886442695026</v>
      </c>
      <c r="W128" s="423">
        <f t="shared" ca="1" si="65"/>
        <v>2.3948302733686084</v>
      </c>
      <c r="X128" s="423">
        <f t="shared" ca="1" si="65"/>
        <v>2.3912540661906845</v>
      </c>
      <c r="Y128" s="423">
        <f ca="1">Y35/Y67</f>
        <v>2.3797305067127508</v>
      </c>
      <c r="Z128" s="423">
        <f ca="1">Z35/Z67</f>
        <v>2.358343905057763</v>
      </c>
      <c r="AA128" s="423">
        <f ca="1">AA35/AA67</f>
        <v>2.339464817928576</v>
      </c>
      <c r="AB128" s="423">
        <f ca="1">AB35/AB67</f>
        <v>2.3230090416833753</v>
      </c>
      <c r="AC128" s="423">
        <f ca="1">AC35/AC67</f>
        <v>2.3092349631968472</v>
      </c>
    </row>
    <row r="129" spans="1:29" ht="11.25" customHeight="1">
      <c r="A129" s="424" t="s">
        <v>416</v>
      </c>
      <c r="B129" s="425"/>
      <c r="C129" s="426">
        <f t="shared" ref="C129:X129" si="66">C126*C127*C128</f>
        <v>0</v>
      </c>
      <c r="D129" s="426">
        <f t="shared" si="66"/>
        <v>0</v>
      </c>
      <c r="E129" s="426">
        <f t="shared" si="66"/>
        <v>0</v>
      </c>
      <c r="F129" s="426">
        <f t="shared" si="66"/>
        <v>0</v>
      </c>
      <c r="G129" s="426">
        <f t="shared" si="66"/>
        <v>0</v>
      </c>
      <c r="H129" s="426">
        <f t="shared" si="66"/>
        <v>0</v>
      </c>
      <c r="I129" s="426">
        <f t="shared" si="66"/>
        <v>0</v>
      </c>
      <c r="J129" s="426">
        <f t="shared" si="66"/>
        <v>0</v>
      </c>
      <c r="K129" s="426">
        <f t="shared" si="66"/>
        <v>0</v>
      </c>
      <c r="L129" s="426">
        <f t="shared" si="66"/>
        <v>0</v>
      </c>
      <c r="M129" s="426">
        <f t="shared" si="66"/>
        <v>0</v>
      </c>
      <c r="N129" s="427">
        <f t="shared" si="66"/>
        <v>7.7848119346135544E-2</v>
      </c>
      <c r="O129" s="427">
        <f t="shared" si="66"/>
        <v>6.9972826086956527E-2</v>
      </c>
      <c r="P129" s="427">
        <f t="shared" si="66"/>
        <v>7.7762324215731732E-2</v>
      </c>
      <c r="Q129" s="427">
        <f t="shared" si="66"/>
        <v>8.5239149145456758E-2</v>
      </c>
      <c r="R129" s="427">
        <f>R126*R127*R128</f>
        <v>8.0709438839622311E-2</v>
      </c>
      <c r="S129" s="427">
        <f t="shared" si="66"/>
        <v>7.5302491103202834E-2</v>
      </c>
      <c r="T129" s="427">
        <f t="shared" si="66"/>
        <v>0</v>
      </c>
      <c r="U129" s="427">
        <f>U126*U127*U128</f>
        <v>0</v>
      </c>
      <c r="V129" s="427">
        <f t="shared" ca="1" si="66"/>
        <v>0</v>
      </c>
      <c r="W129" s="427">
        <f t="shared" ca="1" si="66"/>
        <v>0</v>
      </c>
      <c r="X129" s="427">
        <f t="shared" ca="1" si="66"/>
        <v>0</v>
      </c>
      <c r="Y129" s="427">
        <f ca="1">Y126*Y127*Y128</f>
        <v>0</v>
      </c>
      <c r="Z129" s="427">
        <f ca="1">Z126*Z127*Z128</f>
        <v>0</v>
      </c>
      <c r="AA129" s="427">
        <f ca="1">AA126*AA127*AA128</f>
        <v>0</v>
      </c>
      <c r="AB129" s="427">
        <f ca="1">AB126*AB127*AB128</f>
        <v>0</v>
      </c>
      <c r="AC129" s="427">
        <f ca="1">AC126*AC127*AC128</f>
        <v>0</v>
      </c>
    </row>
    <row r="130" spans="1:29" ht="11.25" customHeight="1">
      <c r="A130" s="419"/>
      <c r="B130" s="320"/>
      <c r="C130" s="320"/>
      <c r="D130" s="320"/>
      <c r="E130" s="320"/>
      <c r="F130" s="320"/>
      <c r="G130" s="320"/>
      <c r="H130" s="320"/>
      <c r="I130" s="320"/>
      <c r="J130" s="320"/>
      <c r="K130" s="320"/>
      <c r="L130" s="399"/>
      <c r="M130" s="408"/>
      <c r="N130" s="409"/>
      <c r="O130" s="409"/>
      <c r="P130" s="409"/>
      <c r="Q130" s="409"/>
      <c r="R130" s="409"/>
      <c r="S130" s="409"/>
      <c r="T130" s="409"/>
      <c r="U130" s="409"/>
      <c r="V130" s="409"/>
      <c r="W130" s="409"/>
      <c r="X130" s="409"/>
      <c r="Y130" s="409"/>
      <c r="Z130" s="409"/>
      <c r="AA130" s="409"/>
      <c r="AB130" s="409"/>
      <c r="AC130" s="409"/>
    </row>
    <row r="131" spans="1:29" ht="11.25" customHeight="1">
      <c r="A131" s="428" t="s">
        <v>417</v>
      </c>
      <c r="B131" s="320"/>
      <c r="C131" s="320"/>
      <c r="D131" s="320"/>
      <c r="E131" s="320"/>
      <c r="F131" s="320"/>
      <c r="G131" s="320"/>
      <c r="H131" s="320"/>
      <c r="I131" s="320"/>
      <c r="J131" s="320"/>
      <c r="K131" s="320"/>
      <c r="L131" s="399"/>
      <c r="M131" s="408"/>
      <c r="N131" s="409"/>
      <c r="O131" s="409"/>
      <c r="P131" s="409"/>
      <c r="Q131" s="409"/>
      <c r="R131" s="409"/>
      <c r="S131" s="409"/>
      <c r="T131" s="409"/>
      <c r="U131" s="409"/>
      <c r="V131" s="409"/>
      <c r="W131" s="409"/>
      <c r="X131" s="409"/>
      <c r="Y131" s="409"/>
      <c r="Z131" s="409"/>
      <c r="AA131" s="409"/>
      <c r="AB131" s="409"/>
      <c r="AC131" s="409"/>
    </row>
    <row r="132" spans="1:29" ht="11.25" customHeight="1">
      <c r="A132" s="206" t="s">
        <v>418</v>
      </c>
      <c r="B132" s="320"/>
      <c r="C132" s="320"/>
      <c r="D132" s="320"/>
      <c r="E132" s="320"/>
      <c r="F132" s="320"/>
      <c r="G132" s="320"/>
      <c r="H132" s="429"/>
      <c r="I132" s="429"/>
      <c r="J132" s="429"/>
      <c r="K132" s="429"/>
      <c r="L132" s="429"/>
      <c r="M132" s="429"/>
      <c r="N132" s="430">
        <f>IS!L10</f>
        <v>31489</v>
      </c>
      <c r="O132" s="430">
        <f>IS!M10</f>
        <v>35810</v>
      </c>
      <c r="P132" s="430">
        <f>IS!N10</f>
        <v>35015</v>
      </c>
      <c r="Q132" s="430">
        <f>IS!O10</f>
        <v>35299</v>
      </c>
      <c r="R132" s="430">
        <f>IS!P10</f>
        <v>29708</v>
      </c>
      <c r="S132" s="430">
        <f>IS!Q10</f>
        <v>26211</v>
      </c>
      <c r="T132" s="430">
        <f>IS!R10</f>
        <v>25270</v>
      </c>
      <c r="U132" s="430">
        <f>IS!S10</f>
        <v>25626</v>
      </c>
      <c r="V132" s="430">
        <f ca="1">IS!T10</f>
        <v>26914.720815258828</v>
      </c>
      <c r="W132" s="430">
        <f ca="1">IS!U10</f>
        <v>27562.431522368257</v>
      </c>
      <c r="X132" s="430">
        <f ca="1">IS!V10</f>
        <v>28353.743498129828</v>
      </c>
      <c r="Y132" s="430">
        <f ca="1">IS!W10</f>
        <v>29264.453931995518</v>
      </c>
      <c r="Z132" s="430">
        <f ca="1">IS!X10</f>
        <v>30174.701768154526</v>
      </c>
      <c r="AA132" s="430">
        <f ca="1">IS!Y10</f>
        <v>31086.258951019481</v>
      </c>
      <c r="AB132" s="430">
        <f ca="1">IS!Z10</f>
        <v>32000.93044051859</v>
      </c>
      <c r="AC132" s="430">
        <f ca="1">IS!AA10</f>
        <v>32920.542227121507</v>
      </c>
    </row>
    <row r="133" spans="1:29" ht="11.25" customHeight="1">
      <c r="A133" s="206" t="s">
        <v>419</v>
      </c>
      <c r="B133" s="320"/>
      <c r="C133" s="320"/>
      <c r="D133" s="320"/>
      <c r="E133" s="320"/>
      <c r="F133" s="320"/>
      <c r="G133" s="320"/>
      <c r="H133" s="431"/>
      <c r="I133" s="431"/>
      <c r="J133" s="431"/>
      <c r="K133" s="431"/>
      <c r="L133" s="431"/>
      <c r="M133" s="431"/>
      <c r="N133" s="432">
        <f>IS!L11+IS!L16+IS!L22+IS!L26</f>
        <v>27987</v>
      </c>
      <c r="O133" s="432">
        <f>IS!M11+IS!M16+IS!M22+IS!M26</f>
        <v>31713</v>
      </c>
      <c r="P133" s="432">
        <f>IS!N11+IS!N16+IS!N22+IS!N26</f>
        <v>30781</v>
      </c>
      <c r="Q133" s="432">
        <f>IS!O11+IS!O16+IS!O22+IS!O26</f>
        <v>31029</v>
      </c>
      <c r="R133" s="432">
        <f>IS!P11+IS!P16+IS!P22+IS!P26</f>
        <v>26225</v>
      </c>
      <c r="S133" s="432">
        <f>IS!Q11+IS!Q16+IS!Q22+IS!Q26</f>
        <v>22854</v>
      </c>
      <c r="T133" s="432">
        <f>IS!R11+IS!R16+IS!R22+IS!R26</f>
        <v>21497</v>
      </c>
      <c r="U133" s="432">
        <f>IS!S11+IS!S16+IS!S22+IS!S26</f>
        <v>21507</v>
      </c>
      <c r="V133" s="432">
        <f ca="1">IS!T11+IS!T16+IS!T22+IS!T26</f>
        <v>22351.906837043221</v>
      </c>
      <c r="W133" s="432">
        <f ca="1">IS!U11+IS!U16+IS!U22+IS!U26</f>
        <v>22714.235305891885</v>
      </c>
      <c r="X133" s="432">
        <f ca="1">IS!V11+IS!V16+IS!V22+IS!V26</f>
        <v>23207.090797963927</v>
      </c>
      <c r="Y133" s="432">
        <f ca="1">IS!W11+IS!W16+IS!W22+IS!W26</f>
        <v>23834.302144426929</v>
      </c>
      <c r="Z133" s="432">
        <f ca="1">IS!X11+IS!X16+IS!X22+IS!X26</f>
        <v>24497.846700932616</v>
      </c>
      <c r="AA133" s="432">
        <f ca="1">IS!Y11+IS!Y16+IS!Y22+IS!Y26</f>
        <v>25187.166762930618</v>
      </c>
      <c r="AB133" s="432">
        <f ca="1">IS!Z11+IS!Z16+IS!Z22+IS!Z26</f>
        <v>25876.571076477019</v>
      </c>
      <c r="AC133" s="432">
        <f ca="1">IS!AA11+IS!AA16+IS!AA22+IS!AA26</f>
        <v>26570.195716782691</v>
      </c>
    </row>
    <row r="134" spans="1:29" ht="11.25" customHeight="1">
      <c r="A134" s="206" t="s">
        <v>420</v>
      </c>
      <c r="B134" s="320"/>
      <c r="C134" s="320"/>
      <c r="D134" s="320"/>
      <c r="E134" s="320"/>
      <c r="F134" s="320"/>
      <c r="G134" s="320"/>
      <c r="H134" s="431">
        <v>-138</v>
      </c>
      <c r="I134" s="431">
        <v>-370</v>
      </c>
      <c r="J134" s="431">
        <v>-415</v>
      </c>
      <c r="K134" s="431">
        <v>-301</v>
      </c>
      <c r="L134" s="431">
        <v>-226</v>
      </c>
      <c r="M134" s="431">
        <v>-377</v>
      </c>
      <c r="N134" s="432"/>
      <c r="O134" s="432"/>
      <c r="P134" s="432"/>
      <c r="Q134" s="432"/>
      <c r="R134" s="432"/>
      <c r="S134" s="432"/>
      <c r="T134" s="432"/>
      <c r="U134" s="432"/>
      <c r="V134" s="432"/>
      <c r="W134" s="432"/>
      <c r="X134" s="432"/>
      <c r="Y134" s="432"/>
      <c r="Z134" s="432"/>
      <c r="AA134" s="432"/>
      <c r="AB134" s="432"/>
      <c r="AC134" s="432"/>
    </row>
    <row r="135" spans="1:29" ht="11.25" customHeight="1">
      <c r="A135" s="265" t="s">
        <v>421</v>
      </c>
      <c r="B135" s="425"/>
      <c r="C135" s="425"/>
      <c r="D135" s="425"/>
      <c r="E135" s="425"/>
      <c r="F135" s="425"/>
      <c r="G135" s="425"/>
      <c r="H135" s="433">
        <f t="shared" ref="H135:X135" si="67">H132-H133-H134</f>
        <v>138</v>
      </c>
      <c r="I135" s="433">
        <f t="shared" si="67"/>
        <v>370</v>
      </c>
      <c r="J135" s="433">
        <f t="shared" si="67"/>
        <v>415</v>
      </c>
      <c r="K135" s="433">
        <f t="shared" si="67"/>
        <v>301</v>
      </c>
      <c r="L135" s="433">
        <f t="shared" si="67"/>
        <v>226</v>
      </c>
      <c r="M135" s="433">
        <f t="shared" si="67"/>
        <v>377</v>
      </c>
      <c r="N135" s="434">
        <f t="shared" si="67"/>
        <v>3502</v>
      </c>
      <c r="O135" s="434">
        <f t="shared" si="67"/>
        <v>4097</v>
      </c>
      <c r="P135" s="434">
        <f t="shared" si="67"/>
        <v>4234</v>
      </c>
      <c r="Q135" s="434">
        <f t="shared" si="67"/>
        <v>4270</v>
      </c>
      <c r="R135" s="434">
        <f>R132-R133-R134</f>
        <v>3483</v>
      </c>
      <c r="S135" s="434">
        <f t="shared" si="67"/>
        <v>3357</v>
      </c>
      <c r="T135" s="434">
        <f t="shared" si="67"/>
        <v>3773</v>
      </c>
      <c r="U135" s="434">
        <f>U132-U133-U134</f>
        <v>4119</v>
      </c>
      <c r="V135" s="434">
        <f t="shared" ca="1" si="67"/>
        <v>4562.8139782156068</v>
      </c>
      <c r="W135" s="434">
        <f t="shared" ca="1" si="67"/>
        <v>4848.1962164763718</v>
      </c>
      <c r="X135" s="434">
        <f t="shared" ca="1" si="67"/>
        <v>5146.6527001659015</v>
      </c>
      <c r="Y135" s="434">
        <f ca="1">Y132-Y133-Y134</f>
        <v>5430.1517875685895</v>
      </c>
      <c r="Z135" s="434">
        <f ca="1">Z132-Z133-Z134</f>
        <v>5676.8550672219098</v>
      </c>
      <c r="AA135" s="434">
        <f ca="1">AA132-AA133-AA134</f>
        <v>5899.0921880888636</v>
      </c>
      <c r="AB135" s="434">
        <f ca="1">AB132-AB133-AB134</f>
        <v>6124.3593640415711</v>
      </c>
      <c r="AC135" s="434">
        <f ca="1">AC132-AC133-AC134</f>
        <v>6350.3465103388153</v>
      </c>
    </row>
    <row r="136" spans="1:29" ht="11.25" customHeight="1">
      <c r="A136" s="206" t="s">
        <v>422</v>
      </c>
      <c r="B136" s="320"/>
      <c r="C136" s="320"/>
      <c r="D136" s="320"/>
      <c r="E136" s="320"/>
      <c r="F136" s="320"/>
      <c r="G136" s="320"/>
      <c r="H136" s="435"/>
      <c r="I136" s="435"/>
      <c r="J136" s="435"/>
      <c r="K136" s="435"/>
      <c r="L136" s="435"/>
      <c r="M136" s="435"/>
      <c r="N136" s="18">
        <f>IS!L44</f>
        <v>0</v>
      </c>
      <c r="O136" s="18">
        <f>IS!M44</f>
        <v>0</v>
      </c>
      <c r="P136" s="18">
        <f>IS!N44</f>
        <v>0</v>
      </c>
      <c r="Q136" s="18">
        <f>IS!O44</f>
        <v>0</v>
      </c>
      <c r="R136" s="18">
        <f>IS!P44</f>
        <v>0</v>
      </c>
      <c r="S136" s="18">
        <f>IS!Q44</f>
        <v>0</v>
      </c>
      <c r="T136" s="18">
        <f>IS!R44</f>
        <v>0</v>
      </c>
      <c r="U136" s="18">
        <f>IS!S44</f>
        <v>0</v>
      </c>
      <c r="V136" s="18">
        <f>IS!T44</f>
        <v>0</v>
      </c>
      <c r="W136" s="18">
        <f>IS!U44</f>
        <v>0</v>
      </c>
      <c r="X136" s="18">
        <f>IS!V44</f>
        <v>0</v>
      </c>
      <c r="Y136" s="18">
        <f>IS!W44</f>
        <v>0</v>
      </c>
      <c r="Z136" s="18">
        <f>IS!X44</f>
        <v>0</v>
      </c>
      <c r="AA136" s="18">
        <f>IS!Y44</f>
        <v>0</v>
      </c>
      <c r="AB136" s="18">
        <f>IS!Z44</f>
        <v>0</v>
      </c>
      <c r="AC136" s="18">
        <f>IS!AA44</f>
        <v>0</v>
      </c>
    </row>
    <row r="137" spans="1:29" ht="11.25" customHeight="1">
      <c r="A137" s="265" t="s">
        <v>423</v>
      </c>
      <c r="B137" s="425"/>
      <c r="C137" s="425"/>
      <c r="D137" s="425"/>
      <c r="E137" s="425"/>
      <c r="F137" s="425"/>
      <c r="G137" s="425"/>
      <c r="H137" s="433"/>
      <c r="I137" s="433"/>
      <c r="J137" s="433"/>
      <c r="K137" s="433"/>
      <c r="L137" s="433"/>
      <c r="M137" s="433"/>
      <c r="N137" s="434">
        <f t="shared" ref="N137:X137" si="68">N135*(1-N136)</f>
        <v>3502</v>
      </c>
      <c r="O137" s="434">
        <f t="shared" si="68"/>
        <v>4097</v>
      </c>
      <c r="P137" s="434">
        <f t="shared" si="68"/>
        <v>4234</v>
      </c>
      <c r="Q137" s="434">
        <f t="shared" si="68"/>
        <v>4270</v>
      </c>
      <c r="R137" s="434">
        <f>R135*(1-R136)</f>
        <v>3483</v>
      </c>
      <c r="S137" s="434">
        <f t="shared" si="68"/>
        <v>3357</v>
      </c>
      <c r="T137" s="434">
        <f t="shared" si="68"/>
        <v>3773</v>
      </c>
      <c r="U137" s="434">
        <f>U135*(1-U136)</f>
        <v>4119</v>
      </c>
      <c r="V137" s="434">
        <f t="shared" ca="1" si="68"/>
        <v>4562.8139782156068</v>
      </c>
      <c r="W137" s="434">
        <f t="shared" ca="1" si="68"/>
        <v>4848.1962164763718</v>
      </c>
      <c r="X137" s="434">
        <f t="shared" ca="1" si="68"/>
        <v>5146.6527001659015</v>
      </c>
      <c r="Y137" s="434">
        <f ca="1">Y135*(1-Y136)</f>
        <v>5430.1517875685895</v>
      </c>
      <c r="Z137" s="434">
        <f ca="1">Z135*(1-Z136)</f>
        <v>5676.8550672219098</v>
      </c>
      <c r="AA137" s="434">
        <f ca="1">AA135*(1-AA136)</f>
        <v>5899.0921880888636</v>
      </c>
      <c r="AB137" s="434">
        <f ca="1">AB135*(1-AB136)</f>
        <v>6124.3593640415711</v>
      </c>
      <c r="AC137" s="434">
        <f ca="1">AC135*(1-AC136)</f>
        <v>6350.3465103388153</v>
      </c>
    </row>
    <row r="138" spans="1:29" ht="11.25" customHeight="1">
      <c r="A138" s="206" t="s">
        <v>424</v>
      </c>
      <c r="B138" s="320"/>
      <c r="C138" s="320"/>
      <c r="D138" s="320"/>
      <c r="E138" s="320"/>
      <c r="F138" s="320"/>
      <c r="G138" s="320"/>
      <c r="H138" s="435"/>
      <c r="I138" s="435"/>
      <c r="J138" s="435"/>
      <c r="K138" s="435"/>
      <c r="L138" s="435"/>
      <c r="M138" s="435"/>
      <c r="N138" s="18">
        <f t="shared" ref="N138:X138" si="69">N137/N132</f>
        <v>0.1112134396138334</v>
      </c>
      <c r="O138" s="18">
        <f t="shared" si="69"/>
        <v>0.11440938285395141</v>
      </c>
      <c r="P138" s="18">
        <f t="shared" si="69"/>
        <v>0.12091960588319292</v>
      </c>
      <c r="Q138" s="18">
        <f t="shared" si="69"/>
        <v>0.12096659962038585</v>
      </c>
      <c r="R138" s="18">
        <f>R137/R132</f>
        <v>0.1172411471657466</v>
      </c>
      <c r="S138" s="18">
        <f t="shared" si="69"/>
        <v>0.12807599862653085</v>
      </c>
      <c r="T138" s="18">
        <f t="shared" si="69"/>
        <v>0.14930747922437673</v>
      </c>
      <c r="U138" s="18">
        <f>U137/U132</f>
        <v>0.16073519082182158</v>
      </c>
      <c r="V138" s="18">
        <f t="shared" ca="1" si="69"/>
        <v>0.16952856429514956</v>
      </c>
      <c r="W138" s="18">
        <f t="shared" ca="1" si="69"/>
        <v>0.17589871243913383</v>
      </c>
      <c r="X138" s="18">
        <f t="shared" ca="1" si="69"/>
        <v>0.18151580938528866</v>
      </c>
      <c r="Y138" s="18">
        <f ca="1">Y137/Y132</f>
        <v>0.18555452290984581</v>
      </c>
      <c r="Z138" s="18">
        <f ca="1">Z137/Z132</f>
        <v>0.18813293038783543</v>
      </c>
      <c r="AA138" s="18">
        <f ca="1">AA137/AA132</f>
        <v>0.18976526565591778</v>
      </c>
      <c r="AB138" s="18">
        <f ca="1">AB137/AB132</f>
        <v>0.19138066549112259</v>
      </c>
      <c r="AC138" s="18">
        <f ca="1">AC137/AC132</f>
        <v>0.19289920762930504</v>
      </c>
    </row>
    <row r="139" spans="1:29" ht="11.25" customHeight="1">
      <c r="A139" s="42"/>
      <c r="B139" s="320"/>
      <c r="C139" s="320"/>
      <c r="D139" s="320"/>
      <c r="E139" s="320"/>
      <c r="F139" s="320"/>
      <c r="G139" s="320"/>
      <c r="H139" s="436"/>
      <c r="I139" s="436"/>
      <c r="J139" s="436"/>
      <c r="K139" s="436"/>
      <c r="L139" s="436"/>
      <c r="M139" s="436"/>
      <c r="N139" s="5"/>
      <c r="O139" s="5"/>
      <c r="P139" s="5"/>
      <c r="Q139" s="5"/>
      <c r="R139" s="5"/>
      <c r="S139" s="5"/>
      <c r="T139" s="5"/>
      <c r="U139" s="5"/>
      <c r="V139" s="5"/>
      <c r="W139" s="5"/>
      <c r="X139" s="5"/>
      <c r="Y139" s="5"/>
      <c r="Z139" s="5"/>
      <c r="AA139" s="5"/>
      <c r="AB139" s="5"/>
      <c r="AC139" s="5"/>
    </row>
    <row r="140" spans="1:29" ht="11.25" customHeight="1">
      <c r="A140" s="206" t="s">
        <v>425</v>
      </c>
      <c r="B140" s="320"/>
      <c r="C140" s="320"/>
      <c r="D140" s="320"/>
      <c r="E140" s="320"/>
      <c r="F140" s="320"/>
      <c r="G140" s="320"/>
      <c r="H140" s="437">
        <f t="shared" ref="H140:X140" si="70">H39+H40</f>
        <v>2568</v>
      </c>
      <c r="I140" s="437">
        <f t="shared" si="70"/>
        <v>2073</v>
      </c>
      <c r="J140" s="437">
        <f t="shared" si="70"/>
        <v>3133</v>
      </c>
      <c r="K140" s="437">
        <f t="shared" si="70"/>
        <v>8107</v>
      </c>
      <c r="L140" s="437">
        <f t="shared" si="70"/>
        <v>1662</v>
      </c>
      <c r="M140" s="437">
        <f t="shared" si="70"/>
        <v>966</v>
      </c>
      <c r="N140" s="438">
        <f t="shared" si="70"/>
        <v>1857</v>
      </c>
      <c r="O140" s="438">
        <f t="shared" si="70"/>
        <v>3836</v>
      </c>
      <c r="P140" s="438">
        <f t="shared" si="70"/>
        <v>3851</v>
      </c>
      <c r="Q140" s="438">
        <f t="shared" si="70"/>
        <v>2639</v>
      </c>
      <c r="R140" s="438">
        <f t="shared" si="70"/>
        <v>2835</v>
      </c>
      <c r="S140" s="438">
        <f t="shared" si="70"/>
        <v>841</v>
      </c>
      <c r="T140" s="438">
        <f t="shared" si="70"/>
        <v>3982</v>
      </c>
      <c r="U140" s="438">
        <f>U39+U40</f>
        <v>4680</v>
      </c>
      <c r="V140" s="438">
        <f t="shared" si="70"/>
        <v>4980</v>
      </c>
      <c r="W140" s="438">
        <f t="shared" si="70"/>
        <v>5880</v>
      </c>
      <c r="X140" s="438">
        <f t="shared" si="70"/>
        <v>6780</v>
      </c>
      <c r="Y140" s="438">
        <f>Y39+Y40</f>
        <v>7680</v>
      </c>
      <c r="Z140" s="438">
        <f>Z39+Z40</f>
        <v>8580</v>
      </c>
      <c r="AA140" s="438">
        <f>AA39+AA40</f>
        <v>9480</v>
      </c>
      <c r="AB140" s="438">
        <f>AB39+AB40</f>
        <v>10380</v>
      </c>
      <c r="AC140" s="438">
        <f>AC39+AC40</f>
        <v>11280</v>
      </c>
    </row>
    <row r="141" spans="1:29" ht="11.25" customHeight="1">
      <c r="A141" s="206" t="s">
        <v>426</v>
      </c>
      <c r="B141" s="320"/>
      <c r="C141" s="320"/>
      <c r="D141" s="320"/>
      <c r="E141" s="320"/>
      <c r="F141" s="320"/>
      <c r="G141" s="320"/>
      <c r="H141" s="431">
        <f t="shared" ref="H141:X141" si="71">G51</f>
        <v>11591</v>
      </c>
      <c r="I141" s="431">
        <f t="shared" si="71"/>
        <v>9723</v>
      </c>
      <c r="J141" s="431">
        <f t="shared" si="71"/>
        <v>8475</v>
      </c>
      <c r="K141" s="431">
        <f t="shared" si="71"/>
        <v>7081</v>
      </c>
      <c r="L141" s="431">
        <f t="shared" si="71"/>
        <v>12902</v>
      </c>
      <c r="M141" s="431">
        <f t="shared" si="71"/>
        <v>18589</v>
      </c>
      <c r="N141" s="432">
        <f t="shared" si="71"/>
        <v>18024</v>
      </c>
      <c r="O141" s="432">
        <f t="shared" si="71"/>
        <v>26828</v>
      </c>
      <c r="P141" s="432">
        <f t="shared" si="71"/>
        <v>23095</v>
      </c>
      <c r="Q141" s="432">
        <f t="shared" si="71"/>
        <v>15574</v>
      </c>
      <c r="R141" s="432">
        <f t="shared" si="71"/>
        <v>14482</v>
      </c>
      <c r="S141" s="432">
        <f t="shared" si="71"/>
        <v>13821</v>
      </c>
      <c r="T141" s="432">
        <f t="shared" si="71"/>
        <v>14557</v>
      </c>
      <c r="U141" s="432">
        <f t="shared" si="71"/>
        <v>13217</v>
      </c>
      <c r="V141" s="432">
        <f t="shared" si="71"/>
        <v>12972</v>
      </c>
      <c r="W141" s="432">
        <f t="shared" si="71"/>
        <v>12622</v>
      </c>
      <c r="X141" s="432">
        <f t="shared" si="71"/>
        <v>12122</v>
      </c>
      <c r="Y141" s="432">
        <f>X51</f>
        <v>11672</v>
      </c>
      <c r="Z141" s="432">
        <f>Y51</f>
        <v>11022</v>
      </c>
      <c r="AA141" s="432">
        <f>Z51</f>
        <v>10122</v>
      </c>
      <c r="AB141" s="432">
        <f>AA51</f>
        <v>9222</v>
      </c>
      <c r="AC141" s="432">
        <f>AB51</f>
        <v>8322</v>
      </c>
    </row>
    <row r="142" spans="1:29" ht="11.25" customHeight="1">
      <c r="A142" s="206" t="s">
        <v>427</v>
      </c>
      <c r="B142" s="320"/>
      <c r="C142" s="320"/>
      <c r="D142" s="320"/>
      <c r="E142" s="320"/>
      <c r="F142" s="320"/>
      <c r="G142" s="320"/>
      <c r="H142" s="431">
        <f t="shared" ref="H142:X142" si="72">H67</f>
        <v>29911</v>
      </c>
      <c r="I142" s="431">
        <f t="shared" si="72"/>
        <v>29593</v>
      </c>
      <c r="J142" s="431">
        <f t="shared" si="72"/>
        <v>28555</v>
      </c>
      <c r="K142" s="431">
        <f t="shared" si="72"/>
        <v>27419</v>
      </c>
      <c r="L142" s="431">
        <f t="shared" si="72"/>
        <v>22330</v>
      </c>
      <c r="M142" s="431">
        <f t="shared" si="72"/>
        <v>25972</v>
      </c>
      <c r="N142" s="432">
        <f t="shared" si="72"/>
        <v>18903</v>
      </c>
      <c r="O142" s="432">
        <f t="shared" si="72"/>
        <v>35328</v>
      </c>
      <c r="P142" s="432">
        <f t="shared" si="72"/>
        <v>32355</v>
      </c>
      <c r="Q142" s="432">
        <f t="shared" si="72"/>
        <v>32532</v>
      </c>
      <c r="R142" s="432">
        <f t="shared" si="72"/>
        <v>27853</v>
      </c>
      <c r="S142" s="432">
        <f t="shared" si="72"/>
        <v>28100</v>
      </c>
      <c r="T142" s="432">
        <f t="shared" si="72"/>
        <v>25215</v>
      </c>
      <c r="U142" s="432">
        <f>U67</f>
        <v>26191</v>
      </c>
      <c r="V142" s="432">
        <f t="shared" ca="1" si="72"/>
        <v>26325.788118245044</v>
      </c>
      <c r="W142" s="432">
        <f t="shared" ca="1" si="72"/>
        <v>26601.704017962737</v>
      </c>
      <c r="X142" s="432">
        <f t="shared" ca="1" si="72"/>
        <v>27022.759563874351</v>
      </c>
      <c r="Y142" s="432">
        <f ca="1">Y67</f>
        <v>27495.655180548827</v>
      </c>
      <c r="Z142" s="432">
        <f ca="1">Z67</f>
        <v>28004.094940725772</v>
      </c>
      <c r="AA142" s="432">
        <f ca="1">AA67</f>
        <v>28481.215489241862</v>
      </c>
      <c r="AB142" s="432">
        <f ca="1">AB67</f>
        <v>28919.479101152145</v>
      </c>
      <c r="AC142" s="432">
        <f ca="1">AC67</f>
        <v>29309.740149667829</v>
      </c>
    </row>
    <row r="143" spans="1:29" ht="11.25" customHeight="1">
      <c r="A143" s="206" t="s">
        <v>428</v>
      </c>
      <c r="B143" s="320"/>
      <c r="C143" s="320"/>
      <c r="D143" s="320"/>
      <c r="E143" s="320"/>
      <c r="F143" s="320"/>
      <c r="G143" s="320"/>
      <c r="H143" s="431">
        <f t="shared" ref="H143:X143" si="73">H46</f>
        <v>0</v>
      </c>
      <c r="I143" s="431">
        <f t="shared" si="73"/>
        <v>0</v>
      </c>
      <c r="J143" s="431">
        <f t="shared" si="73"/>
        <v>0</v>
      </c>
      <c r="K143" s="431">
        <f t="shared" si="73"/>
        <v>414</v>
      </c>
      <c r="L143" s="431">
        <f t="shared" si="73"/>
        <v>0</v>
      </c>
      <c r="M143" s="431">
        <f t="shared" si="73"/>
        <v>0</v>
      </c>
      <c r="N143" s="432">
        <f t="shared" si="73"/>
        <v>0</v>
      </c>
      <c r="O143" s="432">
        <f t="shared" si="73"/>
        <v>0</v>
      </c>
      <c r="P143" s="432">
        <f t="shared" si="73"/>
        <v>0</v>
      </c>
      <c r="Q143" s="432">
        <f t="shared" si="73"/>
        <v>0</v>
      </c>
      <c r="R143" s="432">
        <f t="shared" si="73"/>
        <v>0</v>
      </c>
      <c r="S143" s="432">
        <f t="shared" si="73"/>
        <v>0</v>
      </c>
      <c r="T143" s="432">
        <f t="shared" si="73"/>
        <v>0</v>
      </c>
      <c r="U143" s="432">
        <f>U46</f>
        <v>0</v>
      </c>
      <c r="V143" s="432">
        <f t="shared" si="73"/>
        <v>0</v>
      </c>
      <c r="W143" s="432">
        <f t="shared" si="73"/>
        <v>0</v>
      </c>
      <c r="X143" s="432">
        <f t="shared" si="73"/>
        <v>0</v>
      </c>
      <c r="Y143" s="432">
        <f>Y46</f>
        <v>0</v>
      </c>
      <c r="Z143" s="432">
        <f>Z46</f>
        <v>0</v>
      </c>
      <c r="AA143" s="432">
        <f>AA46</f>
        <v>0</v>
      </c>
      <c r="AB143" s="432">
        <f>AB46</f>
        <v>0</v>
      </c>
      <c r="AC143" s="432">
        <f>AC46</f>
        <v>0</v>
      </c>
    </row>
    <row r="144" spans="1:29" ht="11.25" customHeight="1">
      <c r="A144" s="206" t="s">
        <v>429</v>
      </c>
      <c r="B144" s="320"/>
      <c r="C144" s="320"/>
      <c r="D144" s="320"/>
      <c r="E144" s="320"/>
      <c r="F144" s="320"/>
      <c r="G144" s="320"/>
      <c r="H144" s="431">
        <f t="shared" ref="H144:X144" si="74">H13</f>
        <v>282</v>
      </c>
      <c r="I144" s="431">
        <f t="shared" si="74"/>
        <v>316</v>
      </c>
      <c r="J144" s="431">
        <f t="shared" si="74"/>
        <v>238.99941682847884</v>
      </c>
      <c r="K144" s="431">
        <f t="shared" si="74"/>
        <v>566.99941682847884</v>
      </c>
      <c r="L144" s="431">
        <f t="shared" si="74"/>
        <v>1244.1963478284792</v>
      </c>
      <c r="M144" s="431">
        <f t="shared" si="74"/>
        <v>2101.1963478284792</v>
      </c>
      <c r="N144" s="432">
        <f t="shared" si="74"/>
        <v>2481.1963478284792</v>
      </c>
      <c r="O144" s="432">
        <f t="shared" si="74"/>
        <v>1974</v>
      </c>
      <c r="P144" s="432">
        <f t="shared" si="74"/>
        <v>4475</v>
      </c>
      <c r="Q144" s="432">
        <f t="shared" si="74"/>
        <v>2622</v>
      </c>
      <c r="R144" s="432">
        <f t="shared" si="74"/>
        <v>1631</v>
      </c>
      <c r="S144" s="432">
        <f t="shared" si="74"/>
        <v>1870</v>
      </c>
      <c r="T144" s="432">
        <f t="shared" si="74"/>
        <v>1741</v>
      </c>
      <c r="U144" s="432">
        <f>U13</f>
        <v>761</v>
      </c>
      <c r="V144" s="432">
        <f t="shared" ca="1" si="74"/>
        <v>300.58687173760291</v>
      </c>
      <c r="W144" s="432">
        <f t="shared" ca="1" si="74"/>
        <v>531.90898653090107</v>
      </c>
      <c r="X144" s="432">
        <f t="shared" ca="1" si="74"/>
        <v>1016.1595011992727</v>
      </c>
      <c r="Y144" s="432">
        <f ca="1">Y13</f>
        <v>1402.2371867059251</v>
      </c>
      <c r="Z144" s="432">
        <f ca="1">Z13</f>
        <v>1625.0772591101936</v>
      </c>
      <c r="AA144" s="432">
        <f ca="1">AA13</f>
        <v>1838.148599875813</v>
      </c>
      <c r="AB144" s="432">
        <f ca="1">AB13</f>
        <v>2025.2587127967286</v>
      </c>
      <c r="AC144" s="432">
        <f ca="1">AC13</f>
        <v>2181.2965080517647</v>
      </c>
    </row>
    <row r="145" spans="1:29" ht="11.25" customHeight="1">
      <c r="A145" s="206" t="s">
        <v>430</v>
      </c>
      <c r="B145" s="320"/>
      <c r="C145" s="320"/>
      <c r="D145" s="320"/>
      <c r="E145" s="320"/>
      <c r="F145" s="320"/>
      <c r="G145" s="320"/>
      <c r="H145" s="431">
        <v>5868</v>
      </c>
      <c r="I145" s="431">
        <f t="shared" ref="I145:X145" si="75">SUM(I30:I32)</f>
        <v>4494</v>
      </c>
      <c r="J145" s="431">
        <f t="shared" si="75"/>
        <v>1897</v>
      </c>
      <c r="K145" s="431">
        <f t="shared" si="75"/>
        <v>3085</v>
      </c>
      <c r="L145" s="431">
        <f t="shared" si="75"/>
        <v>1288</v>
      </c>
      <c r="M145" s="431">
        <f t="shared" si="75"/>
        <v>1374</v>
      </c>
      <c r="N145" s="432">
        <f t="shared" si="75"/>
        <v>1414.8037000000002</v>
      </c>
      <c r="O145" s="432">
        <f t="shared" si="75"/>
        <v>1339</v>
      </c>
      <c r="P145" s="432">
        <f t="shared" si="75"/>
        <v>1493</v>
      </c>
      <c r="Q145" s="432">
        <f t="shared" si="75"/>
        <v>1503</v>
      </c>
      <c r="R145" s="432">
        <f t="shared" si="75"/>
        <v>1470</v>
      </c>
      <c r="S145" s="432">
        <f t="shared" si="75"/>
        <v>6091</v>
      </c>
      <c r="T145" s="432">
        <f t="shared" si="75"/>
        <v>6094</v>
      </c>
      <c r="U145" s="432">
        <f>SUM(U30:U32)</f>
        <v>6869</v>
      </c>
      <c r="V145" s="432">
        <f t="shared" si="75"/>
        <v>6869</v>
      </c>
      <c r="W145" s="432">
        <f t="shared" si="75"/>
        <v>6869</v>
      </c>
      <c r="X145" s="432">
        <f t="shared" si="75"/>
        <v>6869</v>
      </c>
      <c r="Y145" s="432">
        <f>SUM(Y30:Y32)</f>
        <v>6869</v>
      </c>
      <c r="Z145" s="432">
        <f>SUM(Z30:Z32)</f>
        <v>6869</v>
      </c>
      <c r="AA145" s="432">
        <f>SUM(AA30:AA32)</f>
        <v>6869</v>
      </c>
      <c r="AB145" s="432">
        <f>SUM(AB30:AB32)</f>
        <v>6869</v>
      </c>
      <c r="AC145" s="432">
        <f>SUM(AC30:AC32)</f>
        <v>6869</v>
      </c>
    </row>
    <row r="146" spans="1:29" ht="11.25" customHeight="1">
      <c r="A146" s="206" t="s">
        <v>420</v>
      </c>
      <c r="B146" s="320"/>
      <c r="C146" s="320"/>
      <c r="D146" s="320"/>
      <c r="E146" s="320"/>
      <c r="F146" s="320"/>
      <c r="G146" s="320"/>
      <c r="H146" s="431">
        <v>-1587</v>
      </c>
      <c r="I146" s="431">
        <v>-1685</v>
      </c>
      <c r="J146" s="431">
        <v>-6116</v>
      </c>
      <c r="K146" s="431">
        <v>-5899</v>
      </c>
      <c r="L146" s="431">
        <v>-10284</v>
      </c>
      <c r="M146" s="431">
        <v>-9316</v>
      </c>
      <c r="N146" s="432">
        <v>-11036</v>
      </c>
      <c r="O146" s="432">
        <v>-11696.5537</v>
      </c>
      <c r="P146" s="432">
        <f t="shared" ref="P146:X146" si="76">O146</f>
        <v>-11696.5537</v>
      </c>
      <c r="Q146" s="432">
        <f t="shared" si="76"/>
        <v>-11696.5537</v>
      </c>
      <c r="R146" s="432">
        <f t="shared" si="76"/>
        <v>-11696.5537</v>
      </c>
      <c r="S146" s="432">
        <f t="shared" si="76"/>
        <v>-11696.5537</v>
      </c>
      <c r="T146" s="432">
        <f t="shared" si="76"/>
        <v>-11696.5537</v>
      </c>
      <c r="U146" s="432">
        <f t="shared" si="76"/>
        <v>-11696.5537</v>
      </c>
      <c r="V146" s="432">
        <f t="shared" si="76"/>
        <v>-11696.5537</v>
      </c>
      <c r="W146" s="432">
        <f t="shared" si="76"/>
        <v>-11696.5537</v>
      </c>
      <c r="X146" s="432">
        <f t="shared" si="76"/>
        <v>-11696.5537</v>
      </c>
      <c r="Y146" s="432">
        <f>X146</f>
        <v>-11696.5537</v>
      </c>
      <c r="Z146" s="432">
        <f>Y146</f>
        <v>-11696.5537</v>
      </c>
      <c r="AA146" s="432">
        <f>Z146</f>
        <v>-11696.5537</v>
      </c>
      <c r="AB146" s="432">
        <f>AA146</f>
        <v>-11696.5537</v>
      </c>
      <c r="AC146" s="432">
        <f>AB146</f>
        <v>-11696.5537</v>
      </c>
    </row>
    <row r="147" spans="1:29" ht="11.25" customHeight="1">
      <c r="A147" s="265" t="s">
        <v>431</v>
      </c>
      <c r="B147" s="425"/>
      <c r="C147" s="425"/>
      <c r="D147" s="425"/>
      <c r="E147" s="425"/>
      <c r="F147" s="425"/>
      <c r="G147" s="425"/>
      <c r="H147" s="433">
        <f t="shared" ref="H147:X147" si="77">SUM(H140:H143)-SUM(H144:H146)</f>
        <v>39507</v>
      </c>
      <c r="I147" s="433">
        <f t="shared" si="77"/>
        <v>38264</v>
      </c>
      <c r="J147" s="433">
        <f t="shared" si="77"/>
        <v>44143.000583171524</v>
      </c>
      <c r="K147" s="433">
        <f t="shared" si="77"/>
        <v>45268.000583171524</v>
      </c>
      <c r="L147" s="433">
        <f t="shared" si="77"/>
        <v>44645.803652171518</v>
      </c>
      <c r="M147" s="433">
        <f t="shared" si="77"/>
        <v>51367.803652171518</v>
      </c>
      <c r="N147" s="434">
        <f t="shared" si="77"/>
        <v>45923.999952171522</v>
      </c>
      <c r="O147" s="434">
        <f t="shared" si="77"/>
        <v>74375.553700000004</v>
      </c>
      <c r="P147" s="434">
        <f t="shared" si="77"/>
        <v>65029.553700000004</v>
      </c>
      <c r="Q147" s="434">
        <f t="shared" si="77"/>
        <v>58316.553700000004</v>
      </c>
      <c r="R147" s="434">
        <f>SUM(R140:R143)-SUM(R144:R146)</f>
        <v>53765.553700000004</v>
      </c>
      <c r="S147" s="434">
        <f t="shared" si="77"/>
        <v>46497.553700000004</v>
      </c>
      <c r="T147" s="434">
        <f t="shared" si="77"/>
        <v>47615.553700000004</v>
      </c>
      <c r="U147" s="434">
        <f>SUM(U140:U143)-SUM(U144:U146)</f>
        <v>48154.553700000004</v>
      </c>
      <c r="V147" s="434">
        <f t="shared" ca="1" si="77"/>
        <v>48804.754946507441</v>
      </c>
      <c r="W147" s="434">
        <f t="shared" ca="1" si="77"/>
        <v>49399.348731431834</v>
      </c>
      <c r="X147" s="434">
        <f t="shared" ca="1" si="77"/>
        <v>49736.15376267508</v>
      </c>
      <c r="Y147" s="434">
        <f ca="1">SUM(Y140:Y143)-SUM(Y144:Y146)</f>
        <v>50272.971693842905</v>
      </c>
      <c r="Z147" s="434">
        <f ca="1">SUM(Z140:Z143)-SUM(Z144:Z146)</f>
        <v>50808.571381615577</v>
      </c>
      <c r="AA147" s="434">
        <f ca="1">SUM(AA140:AA143)-SUM(AA144:AA146)</f>
        <v>51072.620589366052</v>
      </c>
      <c r="AB147" s="434">
        <f ca="1">SUM(AB140:AB143)-SUM(AB144:AB146)</f>
        <v>51323.774088355414</v>
      </c>
      <c r="AC147" s="434">
        <f ca="1">SUM(AC140:AC143)-SUM(AC144:AC146)</f>
        <v>51557.997341616065</v>
      </c>
    </row>
    <row r="148" spans="1:29" ht="11.25" customHeight="1">
      <c r="A148" s="42"/>
      <c r="B148" s="320"/>
      <c r="C148" s="320"/>
      <c r="D148" s="320"/>
      <c r="E148" s="320"/>
      <c r="F148" s="320"/>
      <c r="G148" s="320"/>
      <c r="H148" s="436"/>
      <c r="I148" s="436"/>
      <c r="J148" s="436"/>
      <c r="K148" s="436"/>
      <c r="L148" s="436"/>
      <c r="M148" s="436"/>
      <c r="N148" s="5"/>
      <c r="O148" s="5"/>
      <c r="P148" s="5"/>
      <c r="Q148" s="5"/>
      <c r="R148" s="5"/>
      <c r="S148" s="5"/>
      <c r="T148" s="5"/>
      <c r="U148" s="5"/>
      <c r="V148" s="5"/>
      <c r="W148" s="5"/>
      <c r="X148" s="5"/>
      <c r="Y148" s="5"/>
      <c r="Z148" s="5"/>
      <c r="AA148" s="5"/>
      <c r="AB148" s="5"/>
      <c r="AC148" s="5"/>
    </row>
    <row r="149" spans="1:29" ht="11.25" customHeight="1">
      <c r="A149" s="228" t="s">
        <v>432</v>
      </c>
      <c r="B149" s="320"/>
      <c r="C149" s="320"/>
      <c r="D149" s="320"/>
      <c r="E149" s="320"/>
      <c r="F149" s="320"/>
      <c r="G149" s="320"/>
      <c r="H149" s="439"/>
      <c r="I149" s="439">
        <f t="shared" ref="I149:X149" si="78">I137/H147</f>
        <v>0</v>
      </c>
      <c r="J149" s="439">
        <f t="shared" si="78"/>
        <v>0</v>
      </c>
      <c r="K149" s="439">
        <f t="shared" si="78"/>
        <v>0</v>
      </c>
      <c r="L149" s="439">
        <f t="shared" si="78"/>
        <v>0</v>
      </c>
      <c r="M149" s="439">
        <f t="shared" si="78"/>
        <v>0</v>
      </c>
      <c r="N149" s="440">
        <f t="shared" si="78"/>
        <v>6.8174999727712848E-2</v>
      </c>
      <c r="O149" s="440">
        <f t="shared" si="78"/>
        <v>8.9212612234711774E-2</v>
      </c>
      <c r="P149" s="440">
        <f t="shared" si="78"/>
        <v>5.6927307285377558E-2</v>
      </c>
      <c r="Q149" s="440">
        <f t="shared" si="78"/>
        <v>6.5662452793367396E-2</v>
      </c>
      <c r="R149" s="440">
        <f t="shared" si="78"/>
        <v>5.9725751592210427E-2</v>
      </c>
      <c r="S149" s="440">
        <f t="shared" si="78"/>
        <v>6.2437746270248118E-2</v>
      </c>
      <c r="T149" s="440">
        <f t="shared" si="78"/>
        <v>8.1144053821480933E-2</v>
      </c>
      <c r="U149" s="440">
        <f t="shared" si="78"/>
        <v>8.6505347096278745E-2</v>
      </c>
      <c r="V149" s="440">
        <f t="shared" ca="1" si="78"/>
        <v>9.475353061398234E-2</v>
      </c>
      <c r="W149" s="440">
        <f t="shared" ca="1" si="78"/>
        <v>9.9338603826415031E-2</v>
      </c>
      <c r="X149" s="440">
        <f t="shared" ca="1" si="78"/>
        <v>0.10418462656555606</v>
      </c>
      <c r="Y149" s="440">
        <f ca="1">Y137/X147</f>
        <v>0.10917916599420868</v>
      </c>
      <c r="Z149" s="440">
        <f ca="1">Z137/Y147</f>
        <v>0.11292061869334796</v>
      </c>
      <c r="AA149" s="440">
        <f ca="1">AA137/Z147</f>
        <v>0.11610427193045175</v>
      </c>
      <c r="AB149" s="440">
        <f ca="1">AB137/AA147</f>
        <v>0.11991472717412778</v>
      </c>
      <c r="AC149" s="440">
        <f ca="1">AC137/AB147</f>
        <v>0.1237310899897288</v>
      </c>
    </row>
    <row r="150" spans="1:29" ht="11.25" customHeight="1">
      <c r="A150" s="265" t="s">
        <v>433</v>
      </c>
      <c r="B150" s="320"/>
      <c r="C150" s="320"/>
      <c r="D150" s="320"/>
      <c r="E150" s="320"/>
      <c r="F150" s="320"/>
      <c r="G150" s="320"/>
      <c r="H150" s="439">
        <f>H137/AVERAGE(H147:H147)</f>
        <v>0</v>
      </c>
      <c r="I150" s="439">
        <f t="shared" ref="I150:X150" si="79">I137/AVERAGE(H147:I147)</f>
        <v>0</v>
      </c>
      <c r="J150" s="439">
        <f t="shared" si="79"/>
        <v>0</v>
      </c>
      <c r="K150" s="439">
        <f t="shared" si="79"/>
        <v>0</v>
      </c>
      <c r="L150" s="439">
        <f t="shared" si="79"/>
        <v>0</v>
      </c>
      <c r="M150" s="439">
        <f t="shared" si="79"/>
        <v>0</v>
      </c>
      <c r="N150" s="440">
        <f t="shared" si="79"/>
        <v>7.1989620302273308E-2</v>
      </c>
      <c r="O150" s="440">
        <f t="shared" si="79"/>
        <v>6.8113303426642346E-2</v>
      </c>
      <c r="P150" s="440">
        <f t="shared" si="79"/>
        <v>6.0743828959598074E-2</v>
      </c>
      <c r="Q150" s="440">
        <f t="shared" si="79"/>
        <v>6.9236072219981543E-2</v>
      </c>
      <c r="R150" s="440">
        <f t="shared" si="79"/>
        <v>6.2150865660828926E-2</v>
      </c>
      <c r="S150" s="440">
        <f t="shared" si="79"/>
        <v>6.696381325201177E-2</v>
      </c>
      <c r="T150" s="440">
        <f t="shared" si="79"/>
        <v>8.0180117397760042E-2</v>
      </c>
      <c r="U150" s="440">
        <f t="shared" si="79"/>
        <v>8.6018489731797029E-2</v>
      </c>
      <c r="V150" s="440">
        <f t="shared" ca="1" si="79"/>
        <v>9.4118121135756738E-2</v>
      </c>
      <c r="W150" s="440">
        <f t="shared" ca="1" si="79"/>
        <v>9.8737141013496732E-2</v>
      </c>
      <c r="X150" s="440">
        <f t="shared" ca="1" si="79"/>
        <v>0.10383066753450598</v>
      </c>
      <c r="Y150" s="440">
        <f ca="1">Y137/AVERAGE(X147:Y147)</f>
        <v>0.10859312613286501</v>
      </c>
      <c r="Z150" s="440">
        <f ca="1">Z137/AVERAGE(Y147:Z147)</f>
        <v>0.11232228742262225</v>
      </c>
      <c r="AA150" s="440">
        <f ca="1">AA137/AVERAGE(Z147:AA147)</f>
        <v>0.11580336024668962</v>
      </c>
      <c r="AB150" s="440">
        <f ca="1">AB137/AVERAGE(AA147:AB147)</f>
        <v>0.11962060545817356</v>
      </c>
      <c r="AC150" s="440">
        <f ca="1">AC137/AVERAGE(AB147:AC147)</f>
        <v>0.12344940064841915</v>
      </c>
    </row>
    <row r="151" spans="1:29" ht="11.25" customHeight="1">
      <c r="A151" s="42"/>
      <c r="B151" s="320"/>
      <c r="C151" s="320"/>
      <c r="D151" s="320"/>
      <c r="E151" s="320"/>
      <c r="F151" s="320"/>
      <c r="G151" s="320"/>
      <c r="H151" s="436"/>
      <c r="I151" s="436"/>
      <c r="J151" s="436"/>
      <c r="K151" s="436"/>
      <c r="L151" s="436"/>
      <c r="M151" s="436"/>
      <c r="N151" s="5"/>
      <c r="O151" s="5"/>
      <c r="P151" s="5"/>
      <c r="Q151" s="5"/>
      <c r="R151" s="5"/>
      <c r="S151" s="5"/>
      <c r="T151" s="5"/>
      <c r="U151" s="5"/>
      <c r="V151" s="5"/>
      <c r="W151" s="5"/>
      <c r="X151" s="5"/>
      <c r="Y151" s="5"/>
      <c r="Z151" s="5"/>
      <c r="AA151" s="5"/>
      <c r="AB151" s="5"/>
      <c r="AC151" s="5"/>
    </row>
    <row r="152" spans="1:29" ht="11.25" customHeight="1">
      <c r="A152" s="428" t="s">
        <v>434</v>
      </c>
      <c r="B152" s="320"/>
      <c r="C152" s="320"/>
      <c r="D152" s="320"/>
      <c r="E152" s="320"/>
      <c r="F152" s="320"/>
      <c r="G152" s="320"/>
      <c r="H152" s="436"/>
      <c r="I152" s="436"/>
      <c r="J152" s="436"/>
      <c r="K152" s="436"/>
      <c r="L152" s="436"/>
      <c r="M152" s="436"/>
      <c r="N152" s="5"/>
      <c r="O152" s="5"/>
      <c r="P152" s="5"/>
      <c r="Q152" s="5"/>
      <c r="R152" s="5"/>
      <c r="S152" s="5"/>
      <c r="T152" s="5"/>
      <c r="U152" s="5"/>
      <c r="V152" s="5"/>
      <c r="W152" s="5"/>
      <c r="X152" s="5"/>
      <c r="Y152" s="5"/>
      <c r="Z152" s="5"/>
      <c r="AA152" s="5"/>
      <c r="AB152" s="5"/>
      <c r="AC152" s="5"/>
    </row>
    <row r="153" spans="1:29" ht="11.25" customHeight="1">
      <c r="A153" s="206" t="s">
        <v>435</v>
      </c>
      <c r="B153" s="320"/>
      <c r="C153" s="320"/>
      <c r="D153" s="320"/>
      <c r="E153" s="320"/>
      <c r="F153" s="320"/>
      <c r="G153" s="320"/>
      <c r="H153" s="437">
        <f t="shared" ref="H153:X153" si="80">H19-H13+H33-H30-H32</f>
        <v>55236</v>
      </c>
      <c r="I153" s="437">
        <f t="shared" si="80"/>
        <v>52818</v>
      </c>
      <c r="J153" s="437">
        <f t="shared" si="80"/>
        <v>53438</v>
      </c>
      <c r="K153" s="437">
        <f t="shared" si="80"/>
        <v>64480</v>
      </c>
      <c r="L153" s="437">
        <f t="shared" si="80"/>
        <v>60641</v>
      </c>
      <c r="M153" s="437">
        <f t="shared" si="80"/>
        <v>63239</v>
      </c>
      <c r="N153" s="438">
        <f t="shared" si="80"/>
        <v>69794.999999999985</v>
      </c>
      <c r="O153" s="438">
        <f t="shared" si="80"/>
        <v>90524</v>
      </c>
      <c r="P153" s="438">
        <f t="shared" si="80"/>
        <v>69510</v>
      </c>
      <c r="Q153" s="438">
        <f t="shared" si="80"/>
        <v>68390</v>
      </c>
      <c r="R153" s="438">
        <f t="shared" si="80"/>
        <v>64332</v>
      </c>
      <c r="S153" s="438">
        <f t="shared" si="80"/>
        <v>60269</v>
      </c>
      <c r="T153" s="438">
        <f t="shared" si="80"/>
        <v>59288</v>
      </c>
      <c r="U153" s="438">
        <f>U19-U13+U33-U30-U32</f>
        <v>61824</v>
      </c>
      <c r="V153" s="438">
        <f t="shared" ca="1" si="80"/>
        <v>62212.213828845153</v>
      </c>
      <c r="W153" s="438">
        <f t="shared" ca="1" si="80"/>
        <v>62650.657118877614</v>
      </c>
      <c r="X153" s="438">
        <f t="shared" ca="1" si="80"/>
        <v>63078.124185608482</v>
      </c>
      <c r="Y153" s="438">
        <f ca="1">Y19-Y13+Y33-Y30-Y32</f>
        <v>63506.012248500607</v>
      </c>
      <c r="Z153" s="438">
        <f ca="1">Z19-Z13+Z33-Z30-Z32</f>
        <v>63894.209361009365</v>
      </c>
      <c r="AA153" s="438">
        <f ca="1">AA19-AA13+AA33-AA30-AA32</f>
        <v>64268.653009047943</v>
      </c>
      <c r="AB153" s="438">
        <f ca="1">AB19-AB13+AB33-AB30-AB32</f>
        <v>64630.952719953108</v>
      </c>
      <c r="AC153" s="438">
        <f ca="1">AC19-AC13+AC33-AC30-AC32</f>
        <v>64977.78020777557</v>
      </c>
    </row>
    <row r="154" spans="1:29" ht="11.25" customHeight="1">
      <c r="A154" s="206" t="s">
        <v>436</v>
      </c>
      <c r="B154" s="320"/>
      <c r="C154" s="320"/>
      <c r="D154" s="320"/>
      <c r="E154" s="320"/>
      <c r="F154" s="320"/>
      <c r="G154" s="320"/>
      <c r="H154" s="431">
        <f t="shared" ref="H154:X154" si="81">H45+H47+H48+H52+H56</f>
        <v>17499</v>
      </c>
      <c r="I154" s="431">
        <f t="shared" si="81"/>
        <v>16835</v>
      </c>
      <c r="J154" s="431">
        <f t="shared" si="81"/>
        <v>16198</v>
      </c>
      <c r="K154" s="431">
        <f t="shared" si="81"/>
        <v>19290</v>
      </c>
      <c r="L154" s="431">
        <f t="shared" si="81"/>
        <v>20592</v>
      </c>
      <c r="M154" s="431">
        <f t="shared" si="81"/>
        <v>21752</v>
      </c>
      <c r="N154" s="432">
        <f t="shared" si="81"/>
        <v>26103</v>
      </c>
      <c r="O154" s="432">
        <f t="shared" si="81"/>
        <v>31578</v>
      </c>
      <c r="P154" s="432">
        <f t="shared" si="81"/>
        <v>23698</v>
      </c>
      <c r="Q154" s="432">
        <f t="shared" si="81"/>
        <v>22904</v>
      </c>
      <c r="R154" s="432">
        <f t="shared" si="81"/>
        <v>22262</v>
      </c>
      <c r="S154" s="432">
        <f t="shared" si="81"/>
        <v>19345</v>
      </c>
      <c r="T154" s="432">
        <f t="shared" si="81"/>
        <v>19124</v>
      </c>
      <c r="U154" s="432">
        <f>U45+U47+U48+U52+U56</f>
        <v>19266</v>
      </c>
      <c r="V154" s="432">
        <f t="shared" ca="1" si="81"/>
        <v>19109.012582337713</v>
      </c>
      <c r="W154" s="432">
        <f t="shared" ca="1" si="81"/>
        <v>19102.86208744577</v>
      </c>
      <c r="X154" s="432">
        <f t="shared" ca="1" si="81"/>
        <v>19143.524122933395</v>
      </c>
      <c r="Y154" s="432">
        <f ca="1">Y45+Y47+Y48+Y52+Y56</f>
        <v>19234.594254657699</v>
      </c>
      <c r="Z154" s="432">
        <f ca="1">Z45+Z47+Z48+Z52+Z56</f>
        <v>19337.191679393767</v>
      </c>
      <c r="AA154" s="432">
        <f ca="1">AA45+AA47+AA48+AA52+AA56</f>
        <v>19447.586119681888</v>
      </c>
      <c r="AB154" s="432">
        <f ca="1">AB45+AB47+AB48+AB52+AB56</f>
        <v>19558.732331597694</v>
      </c>
      <c r="AC154" s="432">
        <f ca="1">AC45+AC47+AC48+AC52+AC56</f>
        <v>19671.336566159487</v>
      </c>
    </row>
    <row r="155" spans="1:29" ht="11.25" customHeight="1">
      <c r="A155" s="206" t="s">
        <v>437</v>
      </c>
      <c r="B155" s="320"/>
      <c r="C155" s="320"/>
      <c r="D155" s="320"/>
      <c r="E155" s="320"/>
      <c r="F155" s="320"/>
      <c r="G155" s="320"/>
      <c r="H155" s="431">
        <f t="shared" ref="H155:X155" si="82">H153-H154</f>
        <v>37737</v>
      </c>
      <c r="I155" s="431">
        <f t="shared" si="82"/>
        <v>35983</v>
      </c>
      <c r="J155" s="431">
        <f t="shared" si="82"/>
        <v>37240</v>
      </c>
      <c r="K155" s="431">
        <f t="shared" si="82"/>
        <v>45190</v>
      </c>
      <c r="L155" s="431">
        <f t="shared" si="82"/>
        <v>40049</v>
      </c>
      <c r="M155" s="431">
        <f t="shared" si="82"/>
        <v>41487</v>
      </c>
      <c r="N155" s="432">
        <f t="shared" si="82"/>
        <v>43691.999999999985</v>
      </c>
      <c r="O155" s="432">
        <f t="shared" si="82"/>
        <v>58946</v>
      </c>
      <c r="P155" s="432">
        <f t="shared" si="82"/>
        <v>45812</v>
      </c>
      <c r="Q155" s="432">
        <f t="shared" si="82"/>
        <v>45486</v>
      </c>
      <c r="R155" s="432">
        <f>R153-R154</f>
        <v>42070</v>
      </c>
      <c r="S155" s="432">
        <f t="shared" si="82"/>
        <v>40924</v>
      </c>
      <c r="T155" s="432">
        <f t="shared" si="82"/>
        <v>40164</v>
      </c>
      <c r="U155" s="432">
        <f>U153-U154</f>
        <v>42558</v>
      </c>
      <c r="V155" s="432">
        <f t="shared" ca="1" si="82"/>
        <v>43103.201246507437</v>
      </c>
      <c r="W155" s="432">
        <f t="shared" ca="1" si="82"/>
        <v>43547.795031431844</v>
      </c>
      <c r="X155" s="432">
        <f t="shared" ca="1" si="82"/>
        <v>43934.60006267509</v>
      </c>
      <c r="Y155" s="432">
        <f ca="1">Y153-Y154</f>
        <v>44271.417993842908</v>
      </c>
      <c r="Z155" s="432">
        <f ca="1">Z153-Z154</f>
        <v>44557.017681615602</v>
      </c>
      <c r="AA155" s="432">
        <f ca="1">AA153-AA154</f>
        <v>44821.066889366055</v>
      </c>
      <c r="AB155" s="432">
        <f ca="1">AB153-AB154</f>
        <v>45072.220388355418</v>
      </c>
      <c r="AC155" s="432">
        <f ca="1">AC153-AC154</f>
        <v>45306.443641616082</v>
      </c>
    </row>
    <row r="156" spans="1:29" ht="11.25" customHeight="1">
      <c r="A156" s="441" t="s">
        <v>438</v>
      </c>
      <c r="B156" s="442"/>
      <c r="C156" s="442"/>
      <c r="D156" s="442"/>
      <c r="E156" s="442"/>
      <c r="F156" s="442"/>
      <c r="G156" s="442"/>
      <c r="H156" s="443"/>
      <c r="I156" s="443">
        <f t="shared" ref="I156:X156" si="83">I137/H155</f>
        <v>0</v>
      </c>
      <c r="J156" s="443">
        <f t="shared" si="83"/>
        <v>0</v>
      </c>
      <c r="K156" s="443">
        <f t="shared" si="83"/>
        <v>0</v>
      </c>
      <c r="L156" s="443">
        <f t="shared" si="83"/>
        <v>0</v>
      </c>
      <c r="M156" s="443">
        <f t="shared" si="83"/>
        <v>0</v>
      </c>
      <c r="N156" s="444">
        <f t="shared" si="83"/>
        <v>8.4411984477065105E-2</v>
      </c>
      <c r="O156" s="444">
        <f t="shared" si="83"/>
        <v>9.3770026549482771E-2</v>
      </c>
      <c r="P156" s="444">
        <f t="shared" si="83"/>
        <v>7.1828453160519792E-2</v>
      </c>
      <c r="Q156" s="444">
        <f t="shared" si="83"/>
        <v>9.3207019994761192E-2</v>
      </c>
      <c r="R156" s="444">
        <f t="shared" si="83"/>
        <v>7.6573011476058564E-2</v>
      </c>
      <c r="S156" s="444">
        <f t="shared" si="83"/>
        <v>7.9795578797242694E-2</v>
      </c>
      <c r="T156" s="444">
        <f t="shared" si="83"/>
        <v>9.2195288828071542E-2</v>
      </c>
      <c r="U156" s="444">
        <f t="shared" si="83"/>
        <v>0.10255452644158948</v>
      </c>
      <c r="V156" s="444">
        <f t="shared" ca="1" si="83"/>
        <v>0.10721401330456334</v>
      </c>
      <c r="W156" s="444">
        <f t="shared" ca="1" si="83"/>
        <v>0.11247879684735043</v>
      </c>
      <c r="X156" s="444">
        <f t="shared" ca="1" si="83"/>
        <v>0.11818400211655172</v>
      </c>
      <c r="Y156" s="444">
        <f ca="1">Y137/X155</f>
        <v>0.12359624942123482</v>
      </c>
      <c r="Z156" s="444">
        <f ca="1">Z137/Y155</f>
        <v>0.12822844454657911</v>
      </c>
      <c r="AA156" s="444">
        <f ca="1">AA137/Z155</f>
        <v>0.13239423316526977</v>
      </c>
      <c r="AB156" s="444">
        <f ca="1">AB137/AA155</f>
        <v>0.13664019598548635</v>
      </c>
      <c r="AC156" s="444">
        <f ca="1">AC137/AB155</f>
        <v>0.14089269300740845</v>
      </c>
    </row>
    <row r="157" spans="1:29" ht="11.25" customHeight="1">
      <c r="A157" s="42"/>
      <c r="B157" s="320"/>
      <c r="C157" s="320"/>
      <c r="D157" s="320"/>
      <c r="E157" s="320"/>
      <c r="F157" s="320"/>
      <c r="G157" s="320"/>
      <c r="H157" s="436"/>
      <c r="I157" s="436"/>
      <c r="J157" s="436"/>
      <c r="K157" s="436"/>
      <c r="L157" s="436"/>
      <c r="M157" s="436"/>
      <c r="N157" s="5"/>
      <c r="O157" s="5"/>
      <c r="P157" s="5"/>
      <c r="Q157" s="5"/>
      <c r="R157" s="5"/>
      <c r="S157" s="5"/>
      <c r="T157" s="5"/>
      <c r="U157" s="5"/>
      <c r="V157" s="5"/>
      <c r="W157" s="5"/>
      <c r="X157" s="5"/>
      <c r="Y157" s="5"/>
      <c r="Z157" s="5"/>
      <c r="AA157" s="5"/>
      <c r="AB157" s="5"/>
      <c r="AC157" s="5"/>
    </row>
    <row r="158" spans="1:29" ht="11.25" hidden="1" customHeight="1">
      <c r="A158" s="445" t="s">
        <v>439</v>
      </c>
      <c r="B158" s="442"/>
      <c r="C158" s="442"/>
      <c r="D158" s="442"/>
      <c r="E158" s="442"/>
      <c r="F158" s="442"/>
      <c r="G158" s="442"/>
      <c r="H158" s="446"/>
      <c r="I158" s="446">
        <f t="shared" ref="I158:X158" si="84">I149-I156</f>
        <v>0</v>
      </c>
      <c r="J158" s="446">
        <f t="shared" si="84"/>
        <v>0</v>
      </c>
      <c r="K158" s="446">
        <f t="shared" si="84"/>
        <v>0</v>
      </c>
      <c r="L158" s="446">
        <f t="shared" si="84"/>
        <v>0</v>
      </c>
      <c r="M158" s="446">
        <f t="shared" si="84"/>
        <v>0</v>
      </c>
      <c r="N158" s="447">
        <f t="shared" si="84"/>
        <v>-1.6236984749352257E-2</v>
      </c>
      <c r="O158" s="447">
        <f t="shared" si="84"/>
        <v>-4.5574143147709967E-3</v>
      </c>
      <c r="P158" s="447">
        <f t="shared" si="84"/>
        <v>-1.4901145875142234E-2</v>
      </c>
      <c r="Q158" s="447">
        <f t="shared" si="84"/>
        <v>-2.7544567201393796E-2</v>
      </c>
      <c r="R158" s="447">
        <f>R149-R156</f>
        <v>-1.6847259883848137E-2</v>
      </c>
      <c r="S158" s="447">
        <f t="shared" si="84"/>
        <v>-1.7357832526994577E-2</v>
      </c>
      <c r="T158" s="447">
        <f t="shared" si="84"/>
        <v>-1.105123500659061E-2</v>
      </c>
      <c r="U158" s="447">
        <f>U149-U156</f>
        <v>-1.6049179345310735E-2</v>
      </c>
      <c r="V158" s="447">
        <f t="shared" ca="1" si="84"/>
        <v>-1.2460482690581004E-2</v>
      </c>
      <c r="W158" s="447">
        <f t="shared" ca="1" si="84"/>
        <v>-1.3140193020935401E-2</v>
      </c>
      <c r="X158" s="447">
        <f t="shared" ca="1" si="84"/>
        <v>-1.399937555099566E-2</v>
      </c>
      <c r="Y158" s="447">
        <f ca="1">Y149-Y156</f>
        <v>-1.4417083427026134E-2</v>
      </c>
      <c r="Z158" s="447">
        <f ca="1">Z149-Z156</f>
        <v>-1.530782585323115E-2</v>
      </c>
      <c r="AA158" s="447">
        <f ca="1">AA149-AA156</f>
        <v>-1.6289961234818018E-2</v>
      </c>
      <c r="AB158" s="447">
        <f ca="1">AB149-AB156</f>
        <v>-1.6725468811358571E-2</v>
      </c>
      <c r="AC158" s="447">
        <f ca="1">AC149-AC156</f>
        <v>-1.7161603017679647E-2</v>
      </c>
    </row>
    <row r="159" spans="1:29" ht="11.25" hidden="1" customHeight="1">
      <c r="A159" s="448" t="s">
        <v>440</v>
      </c>
      <c r="B159" s="320"/>
      <c r="C159" s="320"/>
      <c r="D159" s="320"/>
      <c r="E159" s="320"/>
      <c r="F159" s="320"/>
      <c r="G159" s="320"/>
      <c r="H159" s="449"/>
      <c r="I159" s="449">
        <f t="shared" ref="I159:X159" si="85">I155-I147</f>
        <v>-2281</v>
      </c>
      <c r="J159" s="449">
        <f t="shared" si="85"/>
        <v>-6903.0005831715243</v>
      </c>
      <c r="K159" s="449">
        <f t="shared" si="85"/>
        <v>-78.00058317152434</v>
      </c>
      <c r="L159" s="449">
        <f t="shared" si="85"/>
        <v>-4596.8036521715185</v>
      </c>
      <c r="M159" s="449">
        <f t="shared" si="85"/>
        <v>-9880.8036521715185</v>
      </c>
      <c r="N159" s="450">
        <f t="shared" si="85"/>
        <v>-2231.9999521715363</v>
      </c>
      <c r="O159" s="450">
        <f t="shared" si="85"/>
        <v>-15429.553700000004</v>
      </c>
      <c r="P159" s="450">
        <f t="shared" si="85"/>
        <v>-19217.553700000004</v>
      </c>
      <c r="Q159" s="450">
        <f t="shared" si="85"/>
        <v>-12830.553700000004</v>
      </c>
      <c r="R159" s="450">
        <f>R155-R147</f>
        <v>-11695.553700000004</v>
      </c>
      <c r="S159" s="450">
        <f t="shared" si="85"/>
        <v>-5573.553700000004</v>
      </c>
      <c r="T159" s="450">
        <f t="shared" si="85"/>
        <v>-7451.553700000004</v>
      </c>
      <c r="U159" s="450">
        <f>U155-U147</f>
        <v>-5596.553700000004</v>
      </c>
      <c r="V159" s="450">
        <f t="shared" ca="1" si="85"/>
        <v>-5701.553700000004</v>
      </c>
      <c r="W159" s="450">
        <f t="shared" ca="1" si="85"/>
        <v>-5851.5536999999895</v>
      </c>
      <c r="X159" s="450">
        <f t="shared" ca="1" si="85"/>
        <v>-5801.5536999999895</v>
      </c>
      <c r="Y159" s="450">
        <f ca="1">Y155-Y147</f>
        <v>-6001.5536999999968</v>
      </c>
      <c r="Z159" s="450">
        <f ca="1">Z155-Z147</f>
        <v>-6251.5536999999749</v>
      </c>
      <c r="AA159" s="450">
        <f ca="1">AA155-AA147</f>
        <v>-6251.5536999999968</v>
      </c>
      <c r="AB159" s="450">
        <f ca="1">AB155-AB147</f>
        <v>-6251.5536999999968</v>
      </c>
      <c r="AC159" s="450">
        <f ca="1">AC155-AC147</f>
        <v>-6251.5536999999822</v>
      </c>
    </row>
    <row r="160" spans="1:29" ht="11.25" hidden="1" customHeight="1">
      <c r="A160" s="42"/>
      <c r="B160" s="320"/>
      <c r="C160" s="320"/>
      <c r="D160" s="320"/>
      <c r="E160" s="320"/>
      <c r="F160" s="320"/>
      <c r="G160" s="320"/>
      <c r="H160" s="449"/>
      <c r="I160" s="449"/>
      <c r="J160" s="449"/>
      <c r="K160" s="449"/>
      <c r="L160" s="449"/>
      <c r="M160" s="449"/>
      <c r="N160" s="450"/>
      <c r="O160" s="450"/>
      <c r="P160" s="450"/>
      <c r="Q160" s="450"/>
      <c r="R160" s="450"/>
      <c r="S160" s="450"/>
      <c r="T160" s="450"/>
      <c r="U160" s="450"/>
      <c r="V160" s="450"/>
      <c r="W160" s="450"/>
      <c r="X160" s="450"/>
      <c r="Y160" s="450"/>
      <c r="Z160" s="450"/>
      <c r="AA160" s="450"/>
      <c r="AB160" s="450"/>
      <c r="AC160" s="450"/>
    </row>
    <row r="161" spans="1:29" ht="11.25" customHeight="1">
      <c r="A161" s="126" t="s">
        <v>441</v>
      </c>
      <c r="B161" s="320"/>
      <c r="C161" s="320"/>
      <c r="D161" s="320"/>
      <c r="E161" s="320"/>
      <c r="F161" s="320"/>
      <c r="G161" s="320"/>
      <c r="H161" s="449"/>
      <c r="I161" s="449"/>
      <c r="J161" s="449"/>
      <c r="K161" s="449"/>
      <c r="L161" s="449"/>
      <c r="M161" s="449"/>
      <c r="N161" s="450"/>
      <c r="O161" s="450"/>
      <c r="P161" s="450"/>
      <c r="Q161" s="450"/>
      <c r="R161" s="450"/>
      <c r="S161" s="450"/>
      <c r="T161" s="450"/>
      <c r="U161" s="450"/>
      <c r="V161" s="450"/>
      <c r="W161" s="450"/>
      <c r="X161" s="450"/>
      <c r="Y161" s="450"/>
      <c r="Z161" s="450"/>
      <c r="AA161" s="450"/>
      <c r="AB161" s="450"/>
      <c r="AC161" s="450"/>
    </row>
    <row r="162" spans="1:29" ht="11.25" customHeight="1">
      <c r="A162" s="206" t="s">
        <v>423</v>
      </c>
      <c r="B162" s="320"/>
      <c r="C162" s="320"/>
      <c r="D162" s="320"/>
      <c r="E162" s="320"/>
      <c r="F162" s="320"/>
      <c r="G162" s="320"/>
      <c r="H162" s="431">
        <f t="shared" ref="H162:X162" si="86">(H132-H133)*(1-H136)</f>
        <v>0</v>
      </c>
      <c r="I162" s="431">
        <f t="shared" si="86"/>
        <v>0</v>
      </c>
      <c r="J162" s="431">
        <f t="shared" si="86"/>
        <v>0</v>
      </c>
      <c r="K162" s="431">
        <f t="shared" si="86"/>
        <v>0</v>
      </c>
      <c r="L162" s="431">
        <f t="shared" si="86"/>
        <v>0</v>
      </c>
      <c r="M162" s="431">
        <f t="shared" si="86"/>
        <v>0</v>
      </c>
      <c r="N162" s="432">
        <f t="shared" si="86"/>
        <v>3502</v>
      </c>
      <c r="O162" s="432">
        <f t="shared" si="86"/>
        <v>4097</v>
      </c>
      <c r="P162" s="432">
        <f t="shared" si="86"/>
        <v>4234</v>
      </c>
      <c r="Q162" s="432">
        <f t="shared" si="86"/>
        <v>4270</v>
      </c>
      <c r="R162" s="432">
        <f>(R132-R133)*(1-R136)</f>
        <v>3483</v>
      </c>
      <c r="S162" s="432">
        <f t="shared" si="86"/>
        <v>3357</v>
      </c>
      <c r="T162" s="432">
        <f t="shared" si="86"/>
        <v>3773</v>
      </c>
      <c r="U162" s="432">
        <f>(U132-U133)*(1-U136)</f>
        <v>4119</v>
      </c>
      <c r="V162" s="432">
        <f t="shared" ca="1" si="86"/>
        <v>4562.8139782156068</v>
      </c>
      <c r="W162" s="432">
        <f t="shared" ca="1" si="86"/>
        <v>4848.1962164763718</v>
      </c>
      <c r="X162" s="432">
        <f t="shared" ca="1" si="86"/>
        <v>5146.6527001659015</v>
      </c>
      <c r="Y162" s="432">
        <f ca="1">(Y132-Y133)*(1-Y136)</f>
        <v>5430.1517875685895</v>
      </c>
      <c r="Z162" s="432">
        <f ca="1">(Z132-Z133)*(1-Z136)</f>
        <v>5676.8550672219098</v>
      </c>
      <c r="AA162" s="432">
        <f ca="1">(AA132-AA133)*(1-AA136)</f>
        <v>5899.0921880888636</v>
      </c>
      <c r="AB162" s="432">
        <f ca="1">(AB132-AB133)*(1-AB136)</f>
        <v>6124.3593640415711</v>
      </c>
      <c r="AC162" s="432">
        <f ca="1">(AC132-AC133)*(1-AC136)</f>
        <v>6350.3465103388153</v>
      </c>
    </row>
    <row r="163" spans="1:29" ht="11.25" customHeight="1">
      <c r="A163" s="206" t="s">
        <v>431</v>
      </c>
      <c r="B163" s="320"/>
      <c r="C163" s="320"/>
      <c r="D163" s="320"/>
      <c r="E163" s="320"/>
      <c r="F163" s="320"/>
      <c r="G163" s="320"/>
      <c r="H163" s="431">
        <f t="shared" ref="H163:X163" si="87">SUM(H140:H143)-H144</f>
        <v>43788</v>
      </c>
      <c r="I163" s="431">
        <f t="shared" si="87"/>
        <v>41073</v>
      </c>
      <c r="J163" s="431">
        <f t="shared" si="87"/>
        <v>39924.000583171524</v>
      </c>
      <c r="K163" s="431">
        <f t="shared" si="87"/>
        <v>42454.000583171524</v>
      </c>
      <c r="L163" s="431">
        <f t="shared" si="87"/>
        <v>35649.803652171518</v>
      </c>
      <c r="M163" s="431">
        <f t="shared" si="87"/>
        <v>43425.803652171518</v>
      </c>
      <c r="N163" s="432">
        <f t="shared" si="87"/>
        <v>36302.803652171518</v>
      </c>
      <c r="O163" s="432">
        <f t="shared" si="87"/>
        <v>64018</v>
      </c>
      <c r="P163" s="432">
        <f t="shared" si="87"/>
        <v>54826</v>
      </c>
      <c r="Q163" s="432">
        <f t="shared" si="87"/>
        <v>48123</v>
      </c>
      <c r="R163" s="432">
        <f>SUM(R140:R143)-R144</f>
        <v>43539</v>
      </c>
      <c r="S163" s="432">
        <f t="shared" si="87"/>
        <v>40892</v>
      </c>
      <c r="T163" s="432">
        <f t="shared" si="87"/>
        <v>42013</v>
      </c>
      <c r="U163" s="432">
        <f>SUM(U140:U143)-U144</f>
        <v>43327</v>
      </c>
      <c r="V163" s="432">
        <f t="shared" ca="1" si="87"/>
        <v>43977.201246507444</v>
      </c>
      <c r="W163" s="432">
        <f t="shared" ca="1" si="87"/>
        <v>44571.795031431837</v>
      </c>
      <c r="X163" s="432">
        <f t="shared" ca="1" si="87"/>
        <v>44908.600062675076</v>
      </c>
      <c r="Y163" s="432">
        <f ca="1">SUM(Y140:Y143)-Y144</f>
        <v>45445.417993842901</v>
      </c>
      <c r="Z163" s="432">
        <f ca="1">SUM(Z140:Z143)-Z144</f>
        <v>45981.01768161558</v>
      </c>
      <c r="AA163" s="432">
        <f ca="1">SUM(AA140:AA143)-AA144</f>
        <v>46245.066889366048</v>
      </c>
      <c r="AB163" s="432">
        <f ca="1">SUM(AB140:AB143)-AB144</f>
        <v>46496.220388355418</v>
      </c>
      <c r="AC163" s="432">
        <f ca="1">SUM(AC140:AC143)-AC144</f>
        <v>46730.443641616061</v>
      </c>
    </row>
    <row r="164" spans="1:29" ht="11.25" customHeight="1">
      <c r="A164" s="212" t="s">
        <v>417</v>
      </c>
      <c r="B164" s="442"/>
      <c r="C164" s="442"/>
      <c r="D164" s="442"/>
      <c r="E164" s="442"/>
      <c r="F164" s="442"/>
      <c r="G164" s="442"/>
      <c r="H164" s="443">
        <f t="shared" ref="H164:X164" si="88">H162/H163</f>
        <v>0</v>
      </c>
      <c r="I164" s="443">
        <f t="shared" si="88"/>
        <v>0</v>
      </c>
      <c r="J164" s="443">
        <f t="shared" si="88"/>
        <v>0</v>
      </c>
      <c r="K164" s="443">
        <f t="shared" si="88"/>
        <v>0</v>
      </c>
      <c r="L164" s="443">
        <f t="shared" si="88"/>
        <v>0</v>
      </c>
      <c r="M164" s="443">
        <f t="shared" si="88"/>
        <v>0</v>
      </c>
      <c r="N164" s="444">
        <f t="shared" si="88"/>
        <v>9.6466378562762092E-2</v>
      </c>
      <c r="O164" s="444">
        <f t="shared" si="88"/>
        <v>6.399762566778093E-2</v>
      </c>
      <c r="P164" s="444">
        <f t="shared" si="88"/>
        <v>7.72261335862547E-2</v>
      </c>
      <c r="Q164" s="444">
        <f t="shared" si="88"/>
        <v>8.8730960247698609E-2</v>
      </c>
      <c r="R164" s="444">
        <f>R162/R163</f>
        <v>7.9997243850341071E-2</v>
      </c>
      <c r="S164" s="444">
        <f t="shared" si="88"/>
        <v>8.2094297173041175E-2</v>
      </c>
      <c r="T164" s="444">
        <f t="shared" si="88"/>
        <v>8.9805536381596177E-2</v>
      </c>
      <c r="U164" s="444">
        <f>U162/U163</f>
        <v>9.5067740669790193E-2</v>
      </c>
      <c r="V164" s="444">
        <f t="shared" ca="1" si="88"/>
        <v>0.10375407822429294</v>
      </c>
      <c r="W164" s="444">
        <f t="shared" ca="1" si="88"/>
        <v>0.10877273874784367</v>
      </c>
      <c r="X164" s="444">
        <f t="shared" ca="1" si="88"/>
        <v>0.11460283092733152</v>
      </c>
      <c r="Y164" s="444">
        <f ca="1">Y162/Y163</f>
        <v>0.11948733287708532</v>
      </c>
      <c r="Z164" s="444">
        <f ca="1">Z162/Z163</f>
        <v>0.12346084000423649</v>
      </c>
      <c r="AA164" s="444">
        <f ca="1">AA162/AA163</f>
        <v>0.12756154515251328</v>
      </c>
      <c r="AB164" s="444">
        <f ca="1">AB162/AB163</f>
        <v>0.13171735923669539</v>
      </c>
      <c r="AC164" s="444">
        <f ca="1">AC162/AC163</f>
        <v>0.13589313551227403</v>
      </c>
    </row>
    <row r="165" spans="1:29" ht="11.25" customHeight="1">
      <c r="A165" s="42"/>
      <c r="B165" s="320"/>
      <c r="C165" s="320"/>
      <c r="D165" s="320"/>
      <c r="E165" s="320"/>
      <c r="F165" s="320"/>
      <c r="G165" s="320"/>
      <c r="H165" s="439"/>
      <c r="I165" s="439"/>
      <c r="J165" s="439"/>
      <c r="K165" s="439"/>
      <c r="L165" s="439"/>
      <c r="M165" s="439"/>
      <c r="N165" s="440"/>
      <c r="O165" s="440"/>
      <c r="P165" s="440"/>
      <c r="Q165" s="440"/>
      <c r="R165" s="440"/>
      <c r="S165" s="440"/>
      <c r="T165" s="440"/>
      <c r="U165" s="440"/>
      <c r="V165" s="440"/>
      <c r="W165" s="440"/>
      <c r="X165" s="440"/>
      <c r="Y165" s="440"/>
      <c r="Z165" s="440"/>
      <c r="AA165" s="440"/>
      <c r="AB165" s="440"/>
      <c r="AC165" s="440"/>
    </row>
    <row r="166" spans="1:29" ht="11.25" customHeight="1">
      <c r="A166" s="428" t="s">
        <v>442</v>
      </c>
      <c r="B166" s="320"/>
      <c r="C166" s="320"/>
      <c r="D166" s="320"/>
      <c r="E166" s="320"/>
      <c r="F166" s="320"/>
      <c r="G166" s="320"/>
      <c r="H166" s="436"/>
      <c r="I166" s="436"/>
      <c r="J166" s="436"/>
      <c r="K166" s="436"/>
      <c r="L166" s="436"/>
      <c r="M166" s="436"/>
      <c r="N166" s="5"/>
      <c r="O166" s="5"/>
      <c r="P166" s="5"/>
      <c r="Q166" s="5"/>
      <c r="R166" s="5"/>
      <c r="S166" s="5"/>
      <c r="T166" s="5"/>
      <c r="U166" s="5"/>
      <c r="V166" s="5"/>
      <c r="W166" s="5"/>
      <c r="X166" s="5"/>
      <c r="Y166" s="5"/>
      <c r="Z166" s="5"/>
      <c r="AA166" s="5"/>
      <c r="AB166" s="5"/>
      <c r="AC166" s="5"/>
    </row>
    <row r="167" spans="1:29" ht="11.25" customHeight="1">
      <c r="A167" s="261" t="s">
        <v>443</v>
      </c>
      <c r="B167" s="320"/>
      <c r="C167" s="320"/>
      <c r="D167" s="320"/>
      <c r="E167" s="320"/>
      <c r="F167" s="320"/>
      <c r="G167" s="320"/>
      <c r="H167" s="431"/>
      <c r="I167" s="431"/>
      <c r="J167" s="431">
        <f t="shared" ref="J167:X167" si="89">J137-I137</f>
        <v>0</v>
      </c>
      <c r="K167" s="431">
        <f t="shared" si="89"/>
        <v>0</v>
      </c>
      <c r="L167" s="431">
        <f t="shared" si="89"/>
        <v>0</v>
      </c>
      <c r="M167" s="431">
        <f t="shared" si="89"/>
        <v>0</v>
      </c>
      <c r="N167" s="432">
        <f t="shared" si="89"/>
        <v>3502</v>
      </c>
      <c r="O167" s="432">
        <f t="shared" si="89"/>
        <v>595</v>
      </c>
      <c r="P167" s="432">
        <f t="shared" si="89"/>
        <v>137</v>
      </c>
      <c r="Q167" s="432">
        <f t="shared" si="89"/>
        <v>36</v>
      </c>
      <c r="R167" s="432">
        <f t="shared" si="89"/>
        <v>-787</v>
      </c>
      <c r="S167" s="432">
        <f t="shared" si="89"/>
        <v>-126</v>
      </c>
      <c r="T167" s="432">
        <f t="shared" si="89"/>
        <v>416</v>
      </c>
      <c r="U167" s="432">
        <f t="shared" si="89"/>
        <v>346</v>
      </c>
      <c r="V167" s="432">
        <f t="shared" ca="1" si="89"/>
        <v>443.81397821560677</v>
      </c>
      <c r="W167" s="432">
        <f t="shared" ca="1" si="89"/>
        <v>285.38223826076501</v>
      </c>
      <c r="X167" s="432">
        <f t="shared" ca="1" si="89"/>
        <v>298.4564836895297</v>
      </c>
      <c r="Y167" s="432">
        <f ca="1">Y137-X137</f>
        <v>283.49908740268802</v>
      </c>
      <c r="Z167" s="432">
        <f ca="1">Z137-Y137</f>
        <v>246.70327965332035</v>
      </c>
      <c r="AA167" s="432">
        <f ca="1">AA137-Z137</f>
        <v>222.23712086695377</v>
      </c>
      <c r="AB167" s="432">
        <f ca="1">AB137-AA137</f>
        <v>225.26717595270748</v>
      </c>
      <c r="AC167" s="432">
        <f ca="1">AC137-AB137</f>
        <v>225.98714629724418</v>
      </c>
    </row>
    <row r="168" spans="1:29" ht="11.25" customHeight="1">
      <c r="A168" s="261" t="s">
        <v>444</v>
      </c>
      <c r="B168" s="320"/>
      <c r="C168" s="320"/>
      <c r="D168" s="320"/>
      <c r="E168" s="320"/>
      <c r="F168" s="320"/>
      <c r="G168" s="320"/>
      <c r="H168" s="431"/>
      <c r="I168" s="431"/>
      <c r="J168" s="431">
        <f t="shared" ref="J168:X168" si="90">J147-I147</f>
        <v>5879.0005831715243</v>
      </c>
      <c r="K168" s="431">
        <f t="shared" si="90"/>
        <v>1125</v>
      </c>
      <c r="L168" s="431">
        <f t="shared" si="90"/>
        <v>-622.19693100000586</v>
      </c>
      <c r="M168" s="431">
        <f t="shared" si="90"/>
        <v>6722</v>
      </c>
      <c r="N168" s="432">
        <f t="shared" si="90"/>
        <v>-5443.8036999999968</v>
      </c>
      <c r="O168" s="432">
        <f t="shared" si="90"/>
        <v>28451.553747828482</v>
      </c>
      <c r="P168" s="432">
        <f t="shared" si="90"/>
        <v>-9346</v>
      </c>
      <c r="Q168" s="432">
        <f t="shared" si="90"/>
        <v>-6713</v>
      </c>
      <c r="R168" s="432">
        <f t="shared" si="90"/>
        <v>-4551</v>
      </c>
      <c r="S168" s="432">
        <f t="shared" si="90"/>
        <v>-7268</v>
      </c>
      <c r="T168" s="432">
        <f t="shared" si="90"/>
        <v>1118</v>
      </c>
      <c r="U168" s="432">
        <f t="shared" si="90"/>
        <v>539</v>
      </c>
      <c r="V168" s="432">
        <f t="shared" ca="1" si="90"/>
        <v>650.20124650743674</v>
      </c>
      <c r="W168" s="432">
        <f t="shared" ca="1" si="90"/>
        <v>594.59378492439282</v>
      </c>
      <c r="X168" s="432">
        <f t="shared" ca="1" si="90"/>
        <v>336.80503124324605</v>
      </c>
      <c r="Y168" s="432">
        <f ca="1">Y147-X147</f>
        <v>536.81793116782501</v>
      </c>
      <c r="Z168" s="432">
        <f ca="1">Z147-Y147</f>
        <v>535.59968777267204</v>
      </c>
      <c r="AA168" s="432">
        <f ca="1">AA147-Z147</f>
        <v>264.04920775047503</v>
      </c>
      <c r="AB168" s="432">
        <f ca="1">AB147-AA147</f>
        <v>251.15349898936256</v>
      </c>
      <c r="AC168" s="432">
        <f ca="1">AC147-AB147</f>
        <v>234.22325326065038</v>
      </c>
    </row>
    <row r="169" spans="1:29" ht="11.25" customHeight="1">
      <c r="A169" s="451" t="s">
        <v>442</v>
      </c>
      <c r="B169" s="442"/>
      <c r="C169" s="442"/>
      <c r="D169" s="442"/>
      <c r="E169" s="442"/>
      <c r="F169" s="442"/>
      <c r="G169" s="442"/>
      <c r="H169" s="452"/>
      <c r="I169" s="452"/>
      <c r="J169" s="452">
        <f t="shared" ref="J169:X169" si="91">J167/J168</f>
        <v>0</v>
      </c>
      <c r="K169" s="452">
        <f t="shared" si="91"/>
        <v>0</v>
      </c>
      <c r="L169" s="452">
        <f t="shared" si="91"/>
        <v>0</v>
      </c>
      <c r="M169" s="452">
        <f t="shared" si="91"/>
        <v>0</v>
      </c>
      <c r="N169" s="453">
        <f t="shared" si="91"/>
        <v>-0.64330019835211949</v>
      </c>
      <c r="O169" s="453">
        <f t="shared" si="91"/>
        <v>2.0912741893592098E-2</v>
      </c>
      <c r="P169" s="453">
        <f t="shared" si="91"/>
        <v>-1.4658677509094799E-2</v>
      </c>
      <c r="Q169" s="453">
        <f t="shared" si="91"/>
        <v>-5.3627290332191272E-3</v>
      </c>
      <c r="R169" s="453">
        <f>R167/R168</f>
        <v>0.17292902658756318</v>
      </c>
      <c r="S169" s="453">
        <f t="shared" si="91"/>
        <v>1.7336268574573474E-2</v>
      </c>
      <c r="T169" s="453">
        <f t="shared" si="91"/>
        <v>0.37209302325581395</v>
      </c>
      <c r="U169" s="453">
        <f>U167/U168</f>
        <v>0.64192949907235619</v>
      </c>
      <c r="V169" s="453">
        <f t="shared" ca="1" si="91"/>
        <v>0.68257940229976255</v>
      </c>
      <c r="W169" s="453">
        <f t="shared" ca="1" si="91"/>
        <v>0.47996169064742839</v>
      </c>
      <c r="X169" s="453">
        <f t="shared" ca="1" si="91"/>
        <v>0.88614021764413486</v>
      </c>
      <c r="Y169" s="453">
        <f ca="1">Y167/Y168</f>
        <v>0.52811031625927174</v>
      </c>
      <c r="Z169" s="453">
        <f ca="1">Z167/Z168</f>
        <v>0.46061132089014617</v>
      </c>
      <c r="AA169" s="453">
        <f ca="1">AA167/AA168</f>
        <v>0.84165039827336485</v>
      </c>
      <c r="AB169" s="453">
        <f ca="1">AB167/AB168</f>
        <v>0.89693027116555724</v>
      </c>
      <c r="AC169" s="453">
        <f ca="1">AC167/AC168</f>
        <v>0.96483651025784012</v>
      </c>
    </row>
    <row r="170" spans="1:29" ht="11.25" customHeight="1">
      <c r="A170" s="35"/>
      <c r="B170" s="320"/>
      <c r="C170" s="320"/>
      <c r="D170" s="320"/>
      <c r="E170" s="320"/>
      <c r="F170" s="320"/>
      <c r="G170" s="320"/>
      <c r="H170" s="320"/>
      <c r="I170" s="320"/>
      <c r="J170" s="320"/>
      <c r="K170" s="320"/>
      <c r="L170" s="399"/>
      <c r="M170" s="408"/>
      <c r="N170" s="409"/>
      <c r="O170" s="409"/>
      <c r="P170" s="409"/>
      <c r="Q170" s="409"/>
      <c r="R170" s="409"/>
      <c r="S170" s="409"/>
      <c r="T170" s="409"/>
      <c r="U170" s="409"/>
      <c r="V170" s="409"/>
      <c r="W170" s="409"/>
      <c r="X170" s="409"/>
      <c r="Y170" s="409"/>
      <c r="Z170" s="409"/>
      <c r="AA170" s="409"/>
      <c r="AB170" s="409"/>
      <c r="AC170" s="409"/>
    </row>
    <row r="171" spans="1:29" ht="11.25" customHeight="1">
      <c r="A171" s="396" t="s">
        <v>445</v>
      </c>
      <c r="B171" s="379"/>
      <c r="C171" s="379"/>
      <c r="D171" s="379"/>
      <c r="E171" s="379"/>
      <c r="F171" s="379"/>
      <c r="G171" s="379"/>
      <c r="H171" s="379"/>
      <c r="I171" s="379"/>
      <c r="J171" s="379"/>
      <c r="K171" s="379"/>
      <c r="L171" s="397"/>
      <c r="M171" s="397"/>
      <c r="N171" s="397"/>
      <c r="O171" s="397"/>
      <c r="P171" s="397"/>
      <c r="Q171" s="397"/>
      <c r="R171" s="397"/>
      <c r="S171" s="397"/>
      <c r="T171" s="397"/>
      <c r="U171" s="397"/>
      <c r="V171" s="397"/>
      <c r="W171" s="397"/>
      <c r="X171" s="397"/>
      <c r="Y171" s="397"/>
      <c r="Z171" s="397"/>
      <c r="AA171" s="397"/>
      <c r="AB171" s="397"/>
      <c r="AC171" s="397"/>
    </row>
    <row r="172" spans="1:29" ht="11.25" customHeight="1">
      <c r="A172" s="398"/>
      <c r="B172" s="320"/>
      <c r="C172" s="320"/>
      <c r="D172" s="320"/>
      <c r="E172" s="320"/>
      <c r="F172" s="320"/>
      <c r="G172" s="320"/>
      <c r="H172" s="320"/>
      <c r="I172" s="320"/>
      <c r="J172" s="320"/>
      <c r="K172" s="320"/>
      <c r="L172" s="399"/>
      <c r="M172" s="408"/>
      <c r="N172" s="409"/>
      <c r="O172" s="409"/>
      <c r="P172" s="409"/>
      <c r="Q172" s="409"/>
      <c r="R172" s="409"/>
      <c r="S172" s="409"/>
      <c r="T172" s="409"/>
      <c r="U172" s="409"/>
      <c r="V172" s="409"/>
      <c r="W172" s="409"/>
      <c r="X172" s="409"/>
      <c r="Y172" s="409"/>
      <c r="Z172" s="409"/>
      <c r="AA172" s="409"/>
      <c r="AB172" s="409"/>
      <c r="AC172" s="409"/>
    </row>
    <row r="173" spans="1:29" ht="11.25" customHeight="1">
      <c r="A173" s="401" t="s">
        <v>446</v>
      </c>
      <c r="B173" s="454"/>
      <c r="C173" s="454"/>
      <c r="D173" s="454"/>
      <c r="E173" s="454"/>
      <c r="F173" s="454"/>
      <c r="G173" s="454"/>
      <c r="H173" s="454"/>
      <c r="I173" s="454"/>
      <c r="J173" s="454"/>
      <c r="K173" s="454"/>
      <c r="L173" s="454"/>
      <c r="M173" s="454"/>
      <c r="N173" s="253">
        <f t="shared" ref="N173:X173" si="92">+(N19-SUM(N18:N18))/N49</f>
        <v>0.95484559383665846</v>
      </c>
      <c r="O173" s="253">
        <f t="shared" si="92"/>
        <v>0.87839522905936573</v>
      </c>
      <c r="P173" s="253">
        <f t="shared" si="92"/>
        <v>1.0503597122302157</v>
      </c>
      <c r="Q173" s="253">
        <f t="shared" si="92"/>
        <v>0.91511530980828004</v>
      </c>
      <c r="R173" s="253">
        <f t="shared" si="92"/>
        <v>0.83886628114514172</v>
      </c>
      <c r="S173" s="253">
        <f t="shared" si="92"/>
        <v>0.82017945431239703</v>
      </c>
      <c r="T173" s="253">
        <f t="shared" si="92"/>
        <v>0.58819449261288759</v>
      </c>
      <c r="U173" s="253">
        <f>+(U19-SUM(U18:U18))/U49</f>
        <v>0.4761603241942633</v>
      </c>
      <c r="V173" s="253">
        <f t="shared" ca="1" si="92"/>
        <v>0.44075119500517373</v>
      </c>
      <c r="W173" s="253">
        <f t="shared" ca="1" si="92"/>
        <v>0.43483581758793316</v>
      </c>
      <c r="X173" s="253">
        <f t="shared" ca="1" si="92"/>
        <v>0.44410824170865026</v>
      </c>
      <c r="Y173" s="253">
        <f ca="1">+(Y19-SUM(Y18:Y18))/Y49</f>
        <v>0.44813427411904155</v>
      </c>
      <c r="Z173" s="253">
        <f ca="1">+(Z19-SUM(Z18:Z18))/Z49</f>
        <v>0.4435756571907023</v>
      </c>
      <c r="AA173" s="253">
        <f ca="1">+(AA19-SUM(AA18:AA18))/AA49</f>
        <v>0.43888376899683662</v>
      </c>
      <c r="AB173" s="253">
        <f ca="1">+(AB19-SUM(AB18:AB18))/AB49</f>
        <v>0.43363826352837953</v>
      </c>
      <c r="AC173" s="253">
        <f ca="1">+(AC19-SUM(AC18:AC18))/AC49</f>
        <v>0.42760926637517416</v>
      </c>
    </row>
    <row r="174" spans="1:29" ht="11.25" customHeight="1">
      <c r="A174" s="401" t="s">
        <v>447</v>
      </c>
      <c r="B174" s="454"/>
      <c r="C174" s="454"/>
      <c r="D174" s="454"/>
      <c r="E174" s="454"/>
      <c r="F174" s="454"/>
      <c r="G174" s="454"/>
      <c r="H174" s="454"/>
      <c r="I174" s="454"/>
      <c r="J174" s="454"/>
      <c r="K174" s="454"/>
      <c r="L174" s="454"/>
      <c r="M174" s="454"/>
      <c r="N174" s="253">
        <f t="shared" ref="N174:X174" si="93">N19/N49</f>
        <v>0.95484559383665846</v>
      </c>
      <c r="O174" s="253">
        <f t="shared" si="93"/>
        <v>0.87839522905936573</v>
      </c>
      <c r="P174" s="253">
        <f t="shared" si="93"/>
        <v>1.0503597122302157</v>
      </c>
      <c r="Q174" s="253">
        <f t="shared" si="93"/>
        <v>0.91511530980828004</v>
      </c>
      <c r="R174" s="253">
        <f t="shared" si="93"/>
        <v>0.83886628114514172</v>
      </c>
      <c r="S174" s="253">
        <f t="shared" si="93"/>
        <v>0.82017945431239703</v>
      </c>
      <c r="T174" s="253">
        <f t="shared" si="93"/>
        <v>0.58819449261288759</v>
      </c>
      <c r="U174" s="253">
        <f>U19/U49</f>
        <v>0.4761603241942633</v>
      </c>
      <c r="V174" s="253">
        <f t="shared" ca="1" si="93"/>
        <v>0.44075119500517373</v>
      </c>
      <c r="W174" s="253">
        <f t="shared" ca="1" si="93"/>
        <v>0.43483581758793316</v>
      </c>
      <c r="X174" s="253">
        <f t="shared" ca="1" si="93"/>
        <v>0.44410824170865026</v>
      </c>
      <c r="Y174" s="253">
        <f ca="1">Y19/Y49</f>
        <v>0.44813427411904155</v>
      </c>
      <c r="Z174" s="253">
        <f ca="1">Z19/Z49</f>
        <v>0.4435756571907023</v>
      </c>
      <c r="AA174" s="253">
        <f ca="1">AA19/AA49</f>
        <v>0.43888376899683662</v>
      </c>
      <c r="AB174" s="253">
        <f ca="1">AB19/AB49</f>
        <v>0.43363826352837953</v>
      </c>
      <c r="AC174" s="253">
        <f ca="1">AC19/AC49</f>
        <v>0.42760926637517416</v>
      </c>
    </row>
    <row r="175" spans="1:29" ht="11.25" customHeight="1">
      <c r="A175" s="401"/>
      <c r="B175" s="321"/>
      <c r="C175" s="321"/>
      <c r="D175" s="321"/>
      <c r="E175" s="321"/>
      <c r="F175" s="321"/>
      <c r="G175" s="321"/>
      <c r="H175" s="321"/>
      <c r="I175" s="321"/>
      <c r="J175" s="321"/>
      <c r="K175" s="321"/>
      <c r="L175" s="399"/>
      <c r="M175" s="399"/>
      <c r="N175" s="400"/>
      <c r="O175" s="400"/>
      <c r="P175" s="400"/>
      <c r="Q175" s="400"/>
      <c r="R175" s="400"/>
      <c r="S175" s="400"/>
      <c r="T175" s="400"/>
      <c r="U175" s="400"/>
      <c r="V175" s="400"/>
      <c r="W175" s="400"/>
      <c r="X175" s="400"/>
      <c r="Y175" s="400"/>
      <c r="Z175" s="400"/>
      <c r="AA175" s="400"/>
      <c r="AB175" s="400"/>
      <c r="AC175" s="400"/>
    </row>
    <row r="176" spans="1:29" ht="11.25" customHeight="1">
      <c r="A176" s="398" t="s">
        <v>448</v>
      </c>
      <c r="B176" s="374"/>
      <c r="C176" s="374"/>
      <c r="D176" s="374"/>
      <c r="E176" s="374"/>
      <c r="F176" s="374"/>
      <c r="G176" s="374"/>
      <c r="H176" s="374"/>
      <c r="I176" s="374"/>
      <c r="J176" s="374"/>
      <c r="K176" s="374"/>
      <c r="L176" s="374"/>
      <c r="M176" s="374"/>
      <c r="N176" s="375">
        <f t="shared" ref="N176:X176" si="94">N177+N178-N179</f>
        <v>50.284372112425061</v>
      </c>
      <c r="O176" s="375">
        <f>O177+O178-O179</f>
        <v>68.13577514517597</v>
      </c>
      <c r="P176" s="375">
        <f t="shared" si="94"/>
        <v>48.188284343994397</v>
      </c>
      <c r="Q176" s="375">
        <f>Q177+Q178-Q179</f>
        <v>29.064781566113325</v>
      </c>
      <c r="R176" s="375">
        <f>R177+R178-R179</f>
        <v>22.766375543257652</v>
      </c>
      <c r="S176" s="375">
        <f>S177+S178-S179</f>
        <v>1.2334999024102302</v>
      </c>
      <c r="T176" s="375">
        <f t="shared" si="94"/>
        <v>-18.166732064596118</v>
      </c>
      <c r="U176" s="375">
        <f>U177+U178-U179</f>
        <v>-23.822137321826531</v>
      </c>
      <c r="V176" s="375">
        <f t="shared" si="94"/>
        <v>-20</v>
      </c>
      <c r="W176" s="375">
        <f t="shared" si="94"/>
        <v>-20</v>
      </c>
      <c r="X176" s="375">
        <f t="shared" si="94"/>
        <v>-20</v>
      </c>
      <c r="Y176" s="375">
        <f>Y177+Y178-Y179</f>
        <v>-20</v>
      </c>
      <c r="Z176" s="375">
        <f>Z177+Z178-Z179</f>
        <v>-20</v>
      </c>
      <c r="AA176" s="375">
        <f>AA177+AA178-AA179</f>
        <v>-20</v>
      </c>
      <c r="AB176" s="375">
        <f>AB177+AB178-AB179</f>
        <v>-20</v>
      </c>
      <c r="AC176" s="375">
        <f>AC177+AC178-AC179</f>
        <v>-20</v>
      </c>
    </row>
    <row r="177" spans="1:29" ht="11.25" customHeight="1">
      <c r="A177" s="401" t="s">
        <v>449</v>
      </c>
      <c r="B177" s="374"/>
      <c r="C177" s="374"/>
      <c r="D177" s="455"/>
      <c r="E177" s="455"/>
      <c r="F177" s="455"/>
      <c r="G177" s="455"/>
      <c r="H177" s="455"/>
      <c r="I177" s="456"/>
      <c r="J177" s="456"/>
      <c r="K177" s="456"/>
      <c r="L177" s="456"/>
      <c r="M177" s="456"/>
      <c r="N177" s="457">
        <f>N14/IS!L10*N197</f>
        <v>61.084188129187972</v>
      </c>
      <c r="O177" s="457">
        <f>O14/IS!M10*O197</f>
        <v>65.190924322814851</v>
      </c>
      <c r="P177" s="457">
        <f>P14/IS!N10*P197</f>
        <v>63.014136798514926</v>
      </c>
      <c r="Q177" s="457">
        <f>Q14/IS!O10*Q197</f>
        <v>55.102977421456693</v>
      </c>
      <c r="R177" s="457">
        <f>R14/IS!P10*R197</f>
        <v>57.572371078497376</v>
      </c>
      <c r="S177" s="457">
        <f>S14/IS!Q10*S197</f>
        <v>52.823623669451756</v>
      </c>
      <c r="T177" s="457">
        <f>T14/IS!R10*T197</f>
        <v>49.434111594776411</v>
      </c>
      <c r="U177" s="457">
        <f>U14/IS!S10*U197</f>
        <v>49.534066963240463</v>
      </c>
      <c r="V177" s="458">
        <v>47</v>
      </c>
      <c r="W177" s="458">
        <f t="shared" ref="W177:AC179" si="95">V177</f>
        <v>47</v>
      </c>
      <c r="X177" s="458">
        <f t="shared" si="95"/>
        <v>47</v>
      </c>
      <c r="Y177" s="458">
        <f t="shared" si="95"/>
        <v>47</v>
      </c>
      <c r="Z177" s="458">
        <f t="shared" si="95"/>
        <v>47</v>
      </c>
      <c r="AA177" s="458">
        <f t="shared" si="95"/>
        <v>47</v>
      </c>
      <c r="AB177" s="458">
        <f t="shared" si="95"/>
        <v>47</v>
      </c>
      <c r="AC177" s="458">
        <f t="shared" si="95"/>
        <v>47</v>
      </c>
    </row>
    <row r="178" spans="1:29" ht="11.25" customHeight="1">
      <c r="A178" s="401" t="s">
        <v>450</v>
      </c>
      <c r="B178" s="374"/>
      <c r="C178" s="374"/>
      <c r="D178" s="456"/>
      <c r="E178" s="456"/>
      <c r="F178" s="456"/>
      <c r="G178" s="456"/>
      <c r="H178" s="456"/>
      <c r="I178" s="456"/>
      <c r="J178" s="456"/>
      <c r="K178" s="456"/>
      <c r="L178" s="456"/>
      <c r="M178" s="456"/>
      <c r="N178" s="457">
        <f t="shared" ref="N178:S178" si="96">N15/N196*N197</f>
        <v>65.074870956201764</v>
      </c>
      <c r="O178" s="457">
        <f t="shared" si="96"/>
        <v>92.836015427583462</v>
      </c>
      <c r="P178" s="457">
        <f t="shared" si="96"/>
        <v>61.557729225706183</v>
      </c>
      <c r="Q178" s="457">
        <f t="shared" si="96"/>
        <v>60.837058106460788</v>
      </c>
      <c r="R178" s="457">
        <f t="shared" si="96"/>
        <v>66.588710534708198</v>
      </c>
      <c r="S178" s="457">
        <f t="shared" si="96"/>
        <v>59.008607149588485</v>
      </c>
      <c r="T178" s="457">
        <f>T15/T196*T197</f>
        <v>58.58423411547588</v>
      </c>
      <c r="U178" s="457">
        <f>U15/U196*U197</f>
        <v>59.584439122273281</v>
      </c>
      <c r="V178" s="458">
        <v>58</v>
      </c>
      <c r="W178" s="458">
        <f t="shared" si="95"/>
        <v>58</v>
      </c>
      <c r="X178" s="458">
        <f t="shared" si="95"/>
        <v>58</v>
      </c>
      <c r="Y178" s="458">
        <f t="shared" si="95"/>
        <v>58</v>
      </c>
      <c r="Z178" s="458">
        <f t="shared" si="95"/>
        <v>58</v>
      </c>
      <c r="AA178" s="458">
        <f t="shared" si="95"/>
        <v>58</v>
      </c>
      <c r="AB178" s="458">
        <f t="shared" si="95"/>
        <v>58</v>
      </c>
      <c r="AC178" s="458">
        <f t="shared" si="95"/>
        <v>58</v>
      </c>
    </row>
    <row r="179" spans="1:29" ht="11.25" customHeight="1">
      <c r="A179" s="401" t="s">
        <v>451</v>
      </c>
      <c r="B179" s="374"/>
      <c r="C179" s="374"/>
      <c r="D179" s="456"/>
      <c r="E179" s="456"/>
      <c r="F179" s="456"/>
      <c r="G179" s="456"/>
      <c r="H179" s="456"/>
      <c r="I179" s="456"/>
      <c r="J179" s="456"/>
      <c r="K179" s="456"/>
      <c r="L179" s="456"/>
      <c r="M179" s="456"/>
      <c r="N179" s="457">
        <f t="shared" ref="N179:S179" si="97">N42/N196*N197</f>
        <v>75.874686972964682</v>
      </c>
      <c r="O179" s="457">
        <f t="shared" si="97"/>
        <v>89.891164605222329</v>
      </c>
      <c r="P179" s="457">
        <f t="shared" si="97"/>
        <v>76.383581680226712</v>
      </c>
      <c r="Q179" s="457">
        <f t="shared" si="97"/>
        <v>86.875253961804148</v>
      </c>
      <c r="R179" s="457">
        <f t="shared" si="97"/>
        <v>101.39470606994792</v>
      </c>
      <c r="S179" s="457">
        <f t="shared" si="97"/>
        <v>110.59873091663</v>
      </c>
      <c r="T179" s="457">
        <f>T42/T196*T197</f>
        <v>126.18507777484841</v>
      </c>
      <c r="U179" s="457">
        <f>U42/U196*U197</f>
        <v>132.94064340734027</v>
      </c>
      <c r="V179" s="458">
        <v>125</v>
      </c>
      <c r="W179" s="458">
        <f t="shared" si="95"/>
        <v>125</v>
      </c>
      <c r="X179" s="458">
        <f t="shared" si="95"/>
        <v>125</v>
      </c>
      <c r="Y179" s="458">
        <f t="shared" si="95"/>
        <v>125</v>
      </c>
      <c r="Z179" s="458">
        <f t="shared" si="95"/>
        <v>125</v>
      </c>
      <c r="AA179" s="458">
        <f t="shared" si="95"/>
        <v>125</v>
      </c>
      <c r="AB179" s="458">
        <f t="shared" si="95"/>
        <v>125</v>
      </c>
      <c r="AC179" s="458">
        <f t="shared" si="95"/>
        <v>125</v>
      </c>
    </row>
    <row r="180" spans="1:29" ht="11.25" customHeight="1">
      <c r="A180" s="401"/>
      <c r="B180" s="374"/>
      <c r="C180" s="374"/>
      <c r="D180" s="456"/>
      <c r="E180" s="456"/>
      <c r="F180" s="456"/>
      <c r="G180" s="456"/>
      <c r="H180" s="456"/>
      <c r="I180" s="456"/>
      <c r="J180" s="456"/>
      <c r="K180" s="456"/>
      <c r="L180" s="456"/>
      <c r="M180" s="456"/>
      <c r="N180" s="457"/>
      <c r="O180" s="458"/>
      <c r="P180" s="458"/>
      <c r="Q180" s="458"/>
      <c r="R180" s="458"/>
      <c r="S180" s="458"/>
      <c r="T180" s="458"/>
      <c r="U180" s="458"/>
      <c r="V180" s="458"/>
      <c r="W180" s="458"/>
      <c r="X180" s="458"/>
      <c r="Y180" s="458"/>
      <c r="Z180" s="458"/>
      <c r="AA180" s="458"/>
      <c r="AB180" s="458"/>
      <c r="AC180" s="458"/>
    </row>
    <row r="181" spans="1:29" ht="11.25" customHeight="1">
      <c r="A181" s="398" t="s">
        <v>452</v>
      </c>
      <c r="B181" s="374"/>
      <c r="C181" s="374"/>
      <c r="D181" s="374"/>
      <c r="E181" s="374"/>
      <c r="F181" s="374"/>
      <c r="G181" s="374"/>
      <c r="H181" s="374"/>
      <c r="I181" s="374"/>
      <c r="J181" s="374"/>
      <c r="K181" s="374"/>
      <c r="L181" s="374"/>
      <c r="M181" s="374"/>
      <c r="N181" s="375">
        <f t="shared" ref="N181:X181" si="98">N14+N15-N42</f>
        <v>4756</v>
      </c>
      <c r="O181" s="375">
        <f t="shared" si="98"/>
        <v>6542</v>
      </c>
      <c r="P181" s="375">
        <f t="shared" si="98"/>
        <v>5228</v>
      </c>
      <c r="Q181" s="375">
        <f t="shared" si="98"/>
        <v>3801</v>
      </c>
      <c r="R181" s="375">
        <f t="shared" si="98"/>
        <v>2932</v>
      </c>
      <c r="S181" s="375">
        <f>S14+S15-S42</f>
        <v>1565</v>
      </c>
      <c r="T181" s="375">
        <f t="shared" si="98"/>
        <v>621</v>
      </c>
      <c r="U181" s="375">
        <f>U14+U15-U42</f>
        <v>378</v>
      </c>
      <c r="V181" s="375">
        <f t="shared" ca="1" si="98"/>
        <v>514.07814616221731</v>
      </c>
      <c r="W181" s="375">
        <f t="shared" ca="1" si="98"/>
        <v>552.09796238761555</v>
      </c>
      <c r="X181" s="375">
        <f t="shared" ca="1" si="98"/>
        <v>594.33331958840972</v>
      </c>
      <c r="Y181" s="375">
        <f ca="1">Y14+Y15-Y42</f>
        <v>624.31593839120796</v>
      </c>
      <c r="Z181" s="375">
        <f ca="1">Z14+Z15-Z42</f>
        <v>652.15856582007018</v>
      </c>
      <c r="AA181" s="375">
        <f ca="1">AA14+AA15-AA42</f>
        <v>680.53807907858754</v>
      </c>
      <c r="AB181" s="375">
        <f ca="1">AB14+AB15-AB42</f>
        <v>706.51772831792641</v>
      </c>
      <c r="AC181" s="375">
        <f ca="1">AC14+AC15-AC42</f>
        <v>732.94783011843629</v>
      </c>
    </row>
    <row r="182" spans="1:29" ht="11.25" customHeight="1">
      <c r="A182" s="401" t="s">
        <v>453</v>
      </c>
      <c r="B182" s="374"/>
      <c r="C182" s="459"/>
      <c r="D182" s="456"/>
      <c r="E182" s="459"/>
      <c r="F182" s="459"/>
      <c r="G182" s="459"/>
      <c r="H182" s="459"/>
      <c r="I182" s="459"/>
      <c r="J182" s="459"/>
      <c r="K182" s="459"/>
      <c r="L182" s="459"/>
      <c r="M182" s="459"/>
      <c r="N182" s="112">
        <f>N181/IS!L10</f>
        <v>0.15103687001810157</v>
      </c>
      <c r="O182" s="112">
        <f>O181/IS!M10</f>
        <v>0.18268640044680257</v>
      </c>
      <c r="P182" s="112">
        <f>P181/IS!N10</f>
        <v>0.1493074396687134</v>
      </c>
      <c r="Q182" s="112">
        <f>Q181/IS!O10</f>
        <v>0.10768010425224511</v>
      </c>
      <c r="R182" s="112">
        <f>R181/IS!P10</f>
        <v>9.8693954490372965E-2</v>
      </c>
      <c r="S182" s="112">
        <f>S181/IS!Q10</f>
        <v>5.9707756285528976E-2</v>
      </c>
      <c r="T182" s="112">
        <f>T181/IS!R10</f>
        <v>2.4574594380688562E-2</v>
      </c>
      <c r="U182" s="112">
        <f>U181/IS!S10</f>
        <v>1.4750643877312106E-2</v>
      </c>
      <c r="V182" s="112">
        <f ca="1">V181/IS!T10</f>
        <v>1.9100259285274462E-2</v>
      </c>
      <c r="W182" s="112">
        <f ca="1">W181/IS!U10</f>
        <v>2.0030814840830032E-2</v>
      </c>
      <c r="X182" s="112">
        <f ca="1">X181/IS!V10</f>
        <v>2.0961370396385615E-2</v>
      </c>
      <c r="Y182" s="112">
        <f ca="1">Y181/IS!W10</f>
        <v>2.1333592618607813E-2</v>
      </c>
      <c r="Z182" s="112">
        <f ca="1">Z181/IS!X10</f>
        <v>2.1612759285274487E-2</v>
      </c>
      <c r="AA182" s="112">
        <f ca="1">AA181/IS!Y10</f>
        <v>2.1891925951941192E-2</v>
      </c>
      <c r="AB182" s="112">
        <f ca="1">AB181/IS!Z10</f>
        <v>2.2078037063052249E-2</v>
      </c>
      <c r="AC182" s="112">
        <f ca="1">AC181/IS!AA10</f>
        <v>2.2264148174163396E-2</v>
      </c>
    </row>
    <row r="183" spans="1:29" ht="11.25" customHeight="1">
      <c r="A183" s="401"/>
      <c r="B183" s="320"/>
      <c r="C183" s="320"/>
      <c r="D183" s="320"/>
      <c r="E183" s="320"/>
      <c r="F183" s="320"/>
      <c r="G183" s="320"/>
      <c r="H183" s="320"/>
      <c r="I183" s="320"/>
      <c r="J183" s="320"/>
      <c r="K183" s="320"/>
      <c r="L183" s="399"/>
      <c r="M183" s="408"/>
      <c r="N183" s="460"/>
      <c r="O183" s="460"/>
      <c r="P183" s="460"/>
      <c r="Q183" s="460"/>
      <c r="R183" s="460"/>
      <c r="S183" s="460"/>
      <c r="T183" s="460"/>
      <c r="U183" s="460"/>
      <c r="V183" s="460"/>
      <c r="W183" s="460"/>
      <c r="X183" s="460"/>
      <c r="Y183" s="460"/>
      <c r="Z183" s="460"/>
      <c r="AA183" s="460"/>
      <c r="AB183" s="460"/>
      <c r="AC183" s="460"/>
    </row>
    <row r="184" spans="1:29" ht="11.25" customHeight="1">
      <c r="A184" s="398" t="s">
        <v>454</v>
      </c>
      <c r="B184" s="320"/>
      <c r="C184" s="320"/>
      <c r="D184" s="320"/>
      <c r="E184" s="320"/>
      <c r="F184" s="320"/>
      <c r="G184" s="320"/>
      <c r="H184" s="320"/>
      <c r="I184" s="320"/>
      <c r="J184" s="320"/>
      <c r="K184" s="320"/>
      <c r="L184" s="399"/>
      <c r="M184" s="408"/>
      <c r="N184" s="409"/>
      <c r="O184" s="409"/>
      <c r="P184" s="409"/>
      <c r="Q184" s="409"/>
      <c r="R184" s="409"/>
      <c r="S184" s="409"/>
      <c r="T184" s="409"/>
      <c r="U184" s="409"/>
      <c r="V184" s="409"/>
      <c r="W184" s="409"/>
      <c r="X184" s="409"/>
      <c r="Y184" s="409"/>
      <c r="Z184" s="409"/>
      <c r="AA184" s="409"/>
      <c r="AB184" s="409"/>
      <c r="AC184" s="409"/>
    </row>
    <row r="185" spans="1:29" ht="11.25" customHeight="1">
      <c r="A185" s="401" t="s">
        <v>455</v>
      </c>
      <c r="B185" s="408"/>
      <c r="C185" s="408"/>
      <c r="D185" s="408"/>
      <c r="E185" s="408"/>
      <c r="F185" s="408"/>
      <c r="G185" s="408"/>
      <c r="H185" s="408"/>
      <c r="I185" s="408"/>
      <c r="J185" s="408"/>
      <c r="K185" s="408"/>
      <c r="L185" s="408"/>
      <c r="M185" s="408"/>
      <c r="N185" s="409">
        <f>BS!N14/IS!L10</f>
        <v>0.16967830035885548</v>
      </c>
      <c r="O185" s="409">
        <f>BS!O14/IS!M10</f>
        <v>0.1776319463836917</v>
      </c>
      <c r="P185" s="409">
        <f>BS!P14/IS!N10</f>
        <v>0.17503926888476368</v>
      </c>
      <c r="Q185" s="409">
        <f>BS!Q14/IS!O10</f>
        <v>0.15306382617071304</v>
      </c>
      <c r="R185" s="409">
        <f>BS!R14/IS!P10</f>
        <v>0.15992325299582605</v>
      </c>
      <c r="S185" s="409">
        <f>BS!S14/IS!Q10</f>
        <v>0.14673228797069932</v>
      </c>
      <c r="T185" s="409">
        <f>BS!T14/IS!R10</f>
        <v>0.1373169766521567</v>
      </c>
      <c r="U185" s="409">
        <f>BS!U14/IS!S10</f>
        <v>0.13759463045344572</v>
      </c>
      <c r="V185" s="409">
        <f ca="1">BS!V14/IS!T10</f>
        <v>0.13055555555555554</v>
      </c>
      <c r="W185" s="409">
        <f ca="1">BS!W14/IS!U10</f>
        <v>0.13055555555555554</v>
      </c>
      <c r="X185" s="409">
        <f ca="1">BS!X14/IS!V10</f>
        <v>0.13055555555555556</v>
      </c>
      <c r="Y185" s="409">
        <f ca="1">BS!Y14/IS!W10</f>
        <v>0.13055555555555556</v>
      </c>
      <c r="Z185" s="409">
        <f ca="1">BS!Z14/IS!X10</f>
        <v>0.13055555555555556</v>
      </c>
      <c r="AA185" s="409">
        <f ca="1">BS!AA14/IS!Y10</f>
        <v>0.13055555555555556</v>
      </c>
      <c r="AB185" s="409">
        <f ca="1">BS!AB14/IS!Z10</f>
        <v>0.13055555555555556</v>
      </c>
      <c r="AC185" s="409">
        <f ca="1">BS!AC14/IS!AA10</f>
        <v>0.13055555555555556</v>
      </c>
    </row>
    <row r="186" spans="1:29" ht="11.25" customHeight="1">
      <c r="A186" s="401" t="s">
        <v>456</v>
      </c>
      <c r="B186" s="408"/>
      <c r="C186" s="408"/>
      <c r="D186" s="408"/>
      <c r="E186" s="408"/>
      <c r="F186" s="408"/>
      <c r="G186" s="408"/>
      <c r="H186" s="408"/>
      <c r="I186" s="408"/>
      <c r="J186" s="408"/>
      <c r="K186" s="408"/>
      <c r="L186" s="408"/>
      <c r="M186" s="408"/>
      <c r="N186" s="409">
        <f t="shared" ref="N186:X186" si="99">1/N177</f>
        <v>1.6370848670118742E-2</v>
      </c>
      <c r="O186" s="409">
        <f t="shared" si="99"/>
        <v>1.5339558541127025E-2</v>
      </c>
      <c r="P186" s="409">
        <f t="shared" si="99"/>
        <v>1.5869454868475914E-2</v>
      </c>
      <c r="Q186" s="409">
        <f>1/Q177</f>
        <v>1.8147839677545397E-2</v>
      </c>
      <c r="R186" s="409">
        <f>1/R177</f>
        <v>1.7369442690427745E-2</v>
      </c>
      <c r="S186" s="409">
        <f>1/S177</f>
        <v>1.8930923903622811E-2</v>
      </c>
      <c r="T186" s="409">
        <f>1/T177</f>
        <v>2.02289465257765E-2</v>
      </c>
      <c r="U186" s="409">
        <f>1/U177</f>
        <v>2.0188126299867649E-2</v>
      </c>
      <c r="V186" s="409">
        <f t="shared" si="99"/>
        <v>2.1276595744680851E-2</v>
      </c>
      <c r="W186" s="409">
        <f t="shared" si="99"/>
        <v>2.1276595744680851E-2</v>
      </c>
      <c r="X186" s="409">
        <f t="shared" si="99"/>
        <v>2.1276595744680851E-2</v>
      </c>
      <c r="Y186" s="409">
        <f>1/Y177</f>
        <v>2.1276595744680851E-2</v>
      </c>
      <c r="Z186" s="409">
        <f>1/Z177</f>
        <v>2.1276595744680851E-2</v>
      </c>
      <c r="AA186" s="409">
        <f>1/AA177</f>
        <v>2.1276595744680851E-2</v>
      </c>
      <c r="AB186" s="409">
        <f>1/AB177</f>
        <v>2.1276595744680851E-2</v>
      </c>
      <c r="AC186" s="409">
        <f>1/AC177</f>
        <v>2.1276595744680851E-2</v>
      </c>
    </row>
    <row r="187" spans="1:29" ht="11.25" customHeight="1">
      <c r="A187" s="401"/>
      <c r="B187" s="320"/>
      <c r="C187" s="320"/>
      <c r="D187" s="320"/>
      <c r="E187" s="320"/>
      <c r="F187" s="320"/>
      <c r="G187" s="320"/>
      <c r="H187" s="320"/>
      <c r="I187" s="320"/>
      <c r="J187" s="320"/>
      <c r="K187" s="320"/>
      <c r="L187" s="399"/>
      <c r="M187" s="408"/>
      <c r="N187" s="409"/>
      <c r="O187" s="409"/>
      <c r="P187" s="409"/>
      <c r="Q187" s="409"/>
      <c r="R187" s="409"/>
      <c r="S187" s="409"/>
      <c r="T187" s="409"/>
      <c r="U187" s="409"/>
      <c r="V187" s="409"/>
      <c r="W187" s="409"/>
      <c r="X187" s="409"/>
      <c r="Y187" s="409"/>
      <c r="Z187" s="409"/>
      <c r="AA187" s="409"/>
      <c r="AB187" s="409"/>
      <c r="AC187" s="409"/>
    </row>
    <row r="188" spans="1:29" ht="11.25" customHeight="1">
      <c r="A188" s="401" t="s">
        <v>457</v>
      </c>
      <c r="B188" s="408"/>
      <c r="C188" s="408"/>
      <c r="D188" s="408"/>
      <c r="E188" s="408"/>
      <c r="F188" s="408"/>
      <c r="G188" s="408"/>
      <c r="H188" s="408"/>
      <c r="I188" s="408"/>
      <c r="J188" s="408"/>
      <c r="K188" s="408"/>
      <c r="L188" s="408"/>
      <c r="M188" s="408"/>
      <c r="N188" s="409">
        <f t="shared" ref="N188:X188" si="100">N15/N196</f>
        <v>0.18076353043389379</v>
      </c>
      <c r="O188" s="409">
        <f t="shared" si="100"/>
        <v>0.25295917010240726</v>
      </c>
      <c r="P188" s="409">
        <f t="shared" si="100"/>
        <v>0.17099369229362829</v>
      </c>
      <c r="Q188" s="409">
        <f t="shared" si="100"/>
        <v>0.16899182807350219</v>
      </c>
      <c r="R188" s="409">
        <f t="shared" si="100"/>
        <v>0.18496864037418945</v>
      </c>
      <c r="S188" s="409">
        <f>S15/S196</f>
        <v>0.1639127976377458</v>
      </c>
      <c r="T188" s="409">
        <f>T15/T196</f>
        <v>0.16273398365409966</v>
      </c>
      <c r="U188" s="409">
        <f>U15/U196</f>
        <v>0.16551233089520356</v>
      </c>
      <c r="V188" s="409">
        <f t="shared" ca="1" si="100"/>
        <v>0.16111111111111109</v>
      </c>
      <c r="W188" s="409">
        <f t="shared" ca="1" si="100"/>
        <v>0.16111111111111109</v>
      </c>
      <c r="X188" s="409">
        <f t="shared" ca="1" si="100"/>
        <v>0.16111111111111109</v>
      </c>
      <c r="Y188" s="409">
        <f ca="1">Y15/Y196</f>
        <v>0.16111111111111112</v>
      </c>
      <c r="Z188" s="409">
        <f ca="1">Z15/Z196</f>
        <v>0.16111111111111109</v>
      </c>
      <c r="AA188" s="409">
        <f ca="1">AA15/AA196</f>
        <v>0.16111111111111112</v>
      </c>
      <c r="AB188" s="409">
        <f ca="1">AB15/AB196</f>
        <v>0.16111111111111112</v>
      </c>
      <c r="AC188" s="409">
        <f ca="1">AC15/AC196</f>
        <v>0.16111111111111112</v>
      </c>
    </row>
    <row r="189" spans="1:29" ht="11.25" customHeight="1">
      <c r="A189" s="401" t="s">
        <v>458</v>
      </c>
      <c r="B189" s="408"/>
      <c r="C189" s="408"/>
      <c r="D189" s="408"/>
      <c r="E189" s="408"/>
      <c r="F189" s="408"/>
      <c r="G189" s="408"/>
      <c r="H189" s="408"/>
      <c r="I189" s="408"/>
      <c r="J189" s="408"/>
      <c r="K189" s="408"/>
      <c r="L189" s="408"/>
      <c r="M189" s="408"/>
      <c r="N189" s="409">
        <f t="shared" ref="N189:X189" si="101">1/N178</f>
        <v>1.5366914836804574E-2</v>
      </c>
      <c r="O189" s="409">
        <f t="shared" si="101"/>
        <v>1.0771681608632244E-2</v>
      </c>
      <c r="P189" s="409">
        <f t="shared" si="101"/>
        <v>1.6244913718851169E-2</v>
      </c>
      <c r="Q189" s="409">
        <f>1/Q178</f>
        <v>1.6437349719476357E-2</v>
      </c>
      <c r="R189" s="409">
        <f>1/R178</f>
        <v>1.5017560664112388E-2</v>
      </c>
      <c r="S189" s="409">
        <f>1/S178</f>
        <v>1.6946680294706359E-2</v>
      </c>
      <c r="T189" s="409">
        <f>1/T178</f>
        <v>1.7069438819135051E-2</v>
      </c>
      <c r="U189" s="409">
        <f>1/U178</f>
        <v>1.678290531438752E-2</v>
      </c>
      <c r="V189" s="409">
        <f t="shared" si="101"/>
        <v>1.7241379310344827E-2</v>
      </c>
      <c r="W189" s="409">
        <f t="shared" si="101"/>
        <v>1.7241379310344827E-2</v>
      </c>
      <c r="X189" s="409">
        <f t="shared" si="101"/>
        <v>1.7241379310344827E-2</v>
      </c>
      <c r="Y189" s="409">
        <f>1/Y178</f>
        <v>1.7241379310344827E-2</v>
      </c>
      <c r="Z189" s="409">
        <f>1/Z178</f>
        <v>1.7241379310344827E-2</v>
      </c>
      <c r="AA189" s="409">
        <f>1/AA178</f>
        <v>1.7241379310344827E-2</v>
      </c>
      <c r="AB189" s="409">
        <f>1/AB178</f>
        <v>1.7241379310344827E-2</v>
      </c>
      <c r="AC189" s="409">
        <f>1/AC178</f>
        <v>1.7241379310344827E-2</v>
      </c>
    </row>
    <row r="190" spans="1:29" ht="11.25" customHeight="1">
      <c r="A190" s="401"/>
      <c r="B190" s="408"/>
      <c r="C190" s="408"/>
      <c r="D190" s="408"/>
      <c r="E190" s="408"/>
      <c r="F190" s="408"/>
      <c r="G190" s="408"/>
      <c r="H190" s="408"/>
      <c r="I190" s="408"/>
      <c r="J190" s="408"/>
      <c r="K190" s="408"/>
      <c r="L190" s="408"/>
      <c r="M190" s="408"/>
      <c r="N190" s="409"/>
      <c r="O190" s="409"/>
      <c r="P190" s="409"/>
      <c r="Q190" s="409"/>
      <c r="R190" s="409"/>
      <c r="S190" s="409"/>
      <c r="T190" s="409"/>
      <c r="U190" s="409"/>
      <c r="V190" s="409"/>
      <c r="W190" s="409"/>
      <c r="X190" s="409"/>
      <c r="Y190" s="409"/>
      <c r="Z190" s="409"/>
      <c r="AA190" s="409"/>
      <c r="AB190" s="409"/>
      <c r="AC190" s="409"/>
    </row>
    <row r="191" spans="1:29" ht="11.25" customHeight="1">
      <c r="A191" s="410" t="s">
        <v>459</v>
      </c>
      <c r="B191" s="408"/>
      <c r="C191" s="408"/>
      <c r="D191" s="408"/>
      <c r="E191" s="408"/>
      <c r="F191" s="408"/>
      <c r="G191" s="408"/>
      <c r="H191" s="408"/>
      <c r="I191" s="408"/>
      <c r="J191" s="408"/>
      <c r="K191" s="408"/>
      <c r="L191" s="408"/>
      <c r="M191" s="408"/>
      <c r="N191" s="409">
        <f t="shared" ref="N191:X191" si="102">N45/N196</f>
        <v>0.36694434507078244</v>
      </c>
      <c r="O191" s="409">
        <f t="shared" si="102"/>
        <v>0.43237132597419869</v>
      </c>
      <c r="P191" s="409">
        <f t="shared" si="102"/>
        <v>0.37316025230825489</v>
      </c>
      <c r="Q191" s="409">
        <f t="shared" si="102"/>
        <v>0.39306514966815659</v>
      </c>
      <c r="R191" s="409">
        <f t="shared" si="102"/>
        <v>0.44073562240884445</v>
      </c>
      <c r="S191" s="409">
        <f>S45/S196</f>
        <v>0.46290130049632466</v>
      </c>
      <c r="T191" s="409">
        <f>T45/T196</f>
        <v>0.51403901924597939</v>
      </c>
      <c r="U191" s="409">
        <f>U45/U196</f>
        <v>0.5278011521781345</v>
      </c>
      <c r="V191" s="409">
        <f t="shared" ca="1" si="102"/>
        <v>0.50507996068157002</v>
      </c>
      <c r="W191" s="409">
        <f t="shared" ca="1" si="102"/>
        <v>0.50578496736572709</v>
      </c>
      <c r="X191" s="409">
        <f t="shared" ca="1" si="102"/>
        <v>0.50690388543677123</v>
      </c>
      <c r="Y191" s="409">
        <f ca="1">Y45/Y196</f>
        <v>0.50649011466843441</v>
      </c>
      <c r="Z191" s="409">
        <f ca="1">Z45/Z196</f>
        <v>0.50643119384966984</v>
      </c>
      <c r="AA191" s="409">
        <f ca="1">AA45/AA196</f>
        <v>0.50685988827280792</v>
      </c>
      <c r="AB191" s="409">
        <f ca="1">AB45/AB196</f>
        <v>0.50689638333022125</v>
      </c>
      <c r="AC191" s="409">
        <f ca="1">AC45/AC196</f>
        <v>0.50697941970049598</v>
      </c>
    </row>
    <row r="192" spans="1:29" ht="11.25" customHeight="1">
      <c r="A192" s="410" t="s">
        <v>460</v>
      </c>
      <c r="B192" s="408"/>
      <c r="C192" s="408"/>
      <c r="D192" s="408"/>
      <c r="E192" s="408"/>
      <c r="F192" s="408"/>
      <c r="G192" s="408"/>
      <c r="H192" s="408"/>
      <c r="I192" s="408"/>
      <c r="J192" s="408"/>
      <c r="K192" s="408"/>
      <c r="L192" s="408"/>
      <c r="M192" s="408"/>
      <c r="N192" s="409">
        <f t="shared" ref="N192:X192" si="103">1/N179</f>
        <v>1.3179626037288502E-2</v>
      </c>
      <c r="O192" s="409">
        <f t="shared" si="103"/>
        <v>1.1124563847756667E-2</v>
      </c>
      <c r="P192" s="409">
        <f t="shared" si="103"/>
        <v>1.309181866053904E-2</v>
      </c>
      <c r="Q192" s="409">
        <f>1/Q179</f>
        <v>1.1510757717492983E-2</v>
      </c>
      <c r="R192" s="409">
        <f>1/R179</f>
        <v>9.8624478413117771E-3</v>
      </c>
      <c r="S192" s="409">
        <f>1/S179</f>
        <v>9.0416950693024325E-3</v>
      </c>
      <c r="T192" s="409">
        <f>1/T179</f>
        <v>7.9248673268981652E-3</v>
      </c>
      <c r="U192" s="409">
        <f>1/U179</f>
        <v>7.5221540558963879E-3</v>
      </c>
      <c r="V192" s="409">
        <f t="shared" si="103"/>
        <v>8.0000000000000002E-3</v>
      </c>
      <c r="W192" s="409">
        <f t="shared" si="103"/>
        <v>8.0000000000000002E-3</v>
      </c>
      <c r="X192" s="409">
        <f t="shared" si="103"/>
        <v>8.0000000000000002E-3</v>
      </c>
      <c r="Y192" s="409">
        <f>1/Y179</f>
        <v>8.0000000000000002E-3</v>
      </c>
      <c r="Z192" s="409">
        <f>1/Z179</f>
        <v>8.0000000000000002E-3</v>
      </c>
      <c r="AA192" s="409">
        <f>1/AA179</f>
        <v>8.0000000000000002E-3</v>
      </c>
      <c r="AB192" s="409">
        <f>1/AB179</f>
        <v>8.0000000000000002E-3</v>
      </c>
      <c r="AC192" s="409">
        <f>1/AC179</f>
        <v>8.0000000000000002E-3</v>
      </c>
    </row>
    <row r="193" spans="1:29" ht="11.25" customHeight="1">
      <c r="A193" s="401"/>
      <c r="B193" s="320"/>
      <c r="C193" s="320"/>
      <c r="D193" s="320"/>
      <c r="E193" s="320"/>
      <c r="F193" s="320"/>
      <c r="G193" s="320"/>
      <c r="H193" s="320"/>
      <c r="I193" s="320"/>
      <c r="J193" s="320"/>
      <c r="K193" s="320"/>
      <c r="L193" s="399"/>
      <c r="M193" s="408"/>
      <c r="N193" s="409"/>
      <c r="O193" s="409"/>
      <c r="P193" s="409"/>
      <c r="Q193" s="409"/>
      <c r="R193" s="409"/>
      <c r="S193" s="409"/>
      <c r="T193" s="409"/>
      <c r="U193" s="409"/>
      <c r="V193" s="409"/>
      <c r="W193" s="409"/>
      <c r="X193" s="409"/>
      <c r="Y193" s="409"/>
      <c r="Z193" s="409"/>
      <c r="AA193" s="409"/>
      <c r="AB193" s="409"/>
      <c r="AC193" s="409"/>
    </row>
    <row r="194" spans="1:29" ht="11.25" customHeight="1">
      <c r="A194" s="410" t="s">
        <v>461</v>
      </c>
      <c r="B194" s="320"/>
      <c r="C194" s="320"/>
      <c r="D194" s="408"/>
      <c r="E194" s="408"/>
      <c r="F194" s="408"/>
      <c r="G194" s="408"/>
      <c r="H194" s="408"/>
      <c r="I194" s="408"/>
      <c r="J194" s="408"/>
      <c r="K194" s="408"/>
      <c r="L194" s="408"/>
      <c r="M194" s="408"/>
      <c r="N194" s="409">
        <f>SUM(N16:N18)/IS!L10</f>
        <v>4.9382323986153893E-2</v>
      </c>
      <c r="O194" s="409">
        <f>SUM(O16:O18)/IS!M10</f>
        <v>6.0346271991063946E-2</v>
      </c>
      <c r="P194" s="409">
        <f>SUM(P16:P18)/IS!N10</f>
        <v>3.6470084249607314E-2</v>
      </c>
      <c r="Q194" s="409">
        <f>SUM(Q16:Q18)/IS!O10</f>
        <v>3.9831156689991216E-2</v>
      </c>
      <c r="R194" s="409">
        <f>SUM(R16:R18)/IS!P10</f>
        <v>6.3551905210717657E-2</v>
      </c>
      <c r="S194" s="409">
        <f>SUM(S16:S18)/IS!Q10</f>
        <v>2.4150165960856129E-2</v>
      </c>
      <c r="T194" s="409">
        <f>SUM(T16:T18)/IS!R10</f>
        <v>3.1658092599920855E-2</v>
      </c>
      <c r="U194" s="409">
        <f>SUM(U16:U18)/IS!S10</f>
        <v>2.6379458362600482E-2</v>
      </c>
      <c r="V194" s="409">
        <f ca="1">SUM(V16:V18)/IS!T10</f>
        <v>2.5116366788272747E-2</v>
      </c>
      <c r="W194" s="409">
        <f ca="1">SUM(W16:W18)/IS!U10</f>
        <v>2.4526138031450276E-2</v>
      </c>
      <c r="X194" s="409">
        <f ca="1">SUM(X16:X18)/IS!V10</f>
        <v>2.3841648988768907E-2</v>
      </c>
      <c r="Y194" s="409">
        <f ca="1">SUM(Y16:Y18)/IS!W10</f>
        <v>2.3099696361014728E-2</v>
      </c>
      <c r="Z194" s="409">
        <f ca="1">SUM(Z16:Z18)/IS!X10</f>
        <v>2.2402872618062793E-2</v>
      </c>
      <c r="AA194" s="409">
        <f ca="1">SUM(AA16:AA18)/IS!Y10</f>
        <v>2.1745942510005067E-2</v>
      </c>
      <c r="AB194" s="409">
        <f ca="1">SUM(AB16:AB18)/IS!Z10</f>
        <v>2.1124385781735575E-2</v>
      </c>
      <c r="AC194" s="409">
        <f ca="1">SUM(AC16:AC18)/IS!AA10</f>
        <v>2.0534291183183461E-2</v>
      </c>
    </row>
    <row r="195" spans="1:29" ht="11.25" customHeight="1">
      <c r="A195" s="35"/>
      <c r="B195" s="320"/>
      <c r="C195" s="320"/>
      <c r="D195" s="320"/>
      <c r="E195" s="320"/>
      <c r="F195" s="320"/>
      <c r="G195" s="320"/>
      <c r="H195" s="320"/>
      <c r="I195" s="320"/>
      <c r="J195" s="320"/>
      <c r="K195" s="320"/>
      <c r="L195" s="399"/>
      <c r="M195" s="408"/>
      <c r="N195" s="409"/>
      <c r="O195" s="409"/>
      <c r="P195" s="409"/>
      <c r="Q195" s="409"/>
      <c r="R195" s="409"/>
      <c r="S195" s="409"/>
      <c r="T195" s="409"/>
      <c r="U195" s="409"/>
      <c r="V195" s="409"/>
      <c r="W195" s="409"/>
      <c r="X195" s="409"/>
      <c r="Y195" s="409"/>
      <c r="Z195" s="409"/>
      <c r="AA195" s="409"/>
      <c r="AB195" s="409"/>
      <c r="AC195" s="409"/>
    </row>
    <row r="196" spans="1:29" ht="11.25" customHeight="1">
      <c r="A196" s="461" t="s">
        <v>177</v>
      </c>
      <c r="B196" s="365"/>
      <c r="C196" s="365"/>
      <c r="D196" s="365"/>
      <c r="E196" s="365"/>
      <c r="F196" s="365"/>
      <c r="G196" s="365"/>
      <c r="H196" s="365"/>
      <c r="I196" s="365"/>
      <c r="J196" s="365"/>
      <c r="K196" s="365"/>
      <c r="L196" s="365"/>
      <c r="M196" s="365"/>
      <c r="N196" s="245">
        <f>+IS!L11</f>
        <v>19567</v>
      </c>
      <c r="O196" s="245">
        <f>+IS!M11</f>
        <v>22557</v>
      </c>
      <c r="P196" s="245">
        <f>+IS!N11</f>
        <v>21878</v>
      </c>
      <c r="Q196" s="245">
        <f>+IS!O11</f>
        <v>22149</v>
      </c>
      <c r="R196" s="245">
        <f>+IS!P11</f>
        <v>18814</v>
      </c>
      <c r="S196" s="245">
        <f>+IS!Q11</f>
        <v>15917</v>
      </c>
      <c r="T196" s="245">
        <f>+IS!R11</f>
        <v>15172</v>
      </c>
      <c r="U196" s="245">
        <f>+IS!S11</f>
        <v>15449</v>
      </c>
      <c r="V196" s="245">
        <f ca="1">+IS!T11</f>
        <v>16118.264861175618</v>
      </c>
      <c r="W196" s="245">
        <f ca="1">+IS!U11</f>
        <v>16368.343508832329</v>
      </c>
      <c r="X196" s="245">
        <f ca="1">+IS!V11</f>
        <v>16696.506706869768</v>
      </c>
      <c r="Y196" s="245">
        <f ca="1">+IS!W11</f>
        <v>17174.262641536632</v>
      </c>
      <c r="Z196" s="245">
        <f ca="1">+IS!X11</f>
        <v>17663.192528478168</v>
      </c>
      <c r="AA196" s="245">
        <f ca="1">+IS!Y11</f>
        <v>18150.156152680956</v>
      </c>
      <c r="AB196" s="245">
        <f ca="1">+IS!Z11</f>
        <v>18652.199231491344</v>
      </c>
      <c r="AC196" s="245">
        <f ca="1">+IS!AA11</f>
        <v>19155.287549732442</v>
      </c>
    </row>
    <row r="197" spans="1:29" ht="11.25" customHeight="1">
      <c r="A197" s="461" t="s">
        <v>462</v>
      </c>
      <c r="B197" s="365"/>
      <c r="C197" s="365"/>
      <c r="D197" s="365"/>
      <c r="E197" s="365"/>
      <c r="F197" s="365"/>
      <c r="G197" s="365"/>
      <c r="H197" s="365"/>
      <c r="I197" s="365"/>
      <c r="J197" s="365"/>
      <c r="K197" s="365"/>
      <c r="L197" s="365"/>
      <c r="M197" s="365"/>
      <c r="N197" s="245">
        <v>360</v>
      </c>
      <c r="O197" s="245">
        <v>367</v>
      </c>
      <c r="P197" s="245">
        <v>360</v>
      </c>
      <c r="Q197" s="245">
        <v>360</v>
      </c>
      <c r="R197" s="245">
        <v>360</v>
      </c>
      <c r="S197" s="245">
        <v>360</v>
      </c>
      <c r="T197" s="245">
        <v>360</v>
      </c>
      <c r="U197" s="245">
        <v>360</v>
      </c>
      <c r="V197" s="245">
        <v>360</v>
      </c>
      <c r="W197" s="245">
        <v>360</v>
      </c>
      <c r="X197" s="245">
        <v>360</v>
      </c>
      <c r="Y197" s="245">
        <v>360</v>
      </c>
      <c r="Z197" s="245">
        <v>360</v>
      </c>
      <c r="AA197" s="245">
        <v>360</v>
      </c>
      <c r="AB197" s="245">
        <v>360</v>
      </c>
      <c r="AC197" s="245">
        <v>360</v>
      </c>
    </row>
    <row r="198" spans="1:29" ht="11.25" customHeight="1">
      <c r="A198" s="35" t="s">
        <v>463</v>
      </c>
      <c r="B198" s="320"/>
      <c r="C198" s="320"/>
      <c r="D198" s="320"/>
      <c r="E198" s="320"/>
      <c r="F198" s="320"/>
      <c r="G198" s="320"/>
      <c r="H198" s="320"/>
      <c r="I198" s="320"/>
      <c r="J198" s="320"/>
      <c r="K198" s="320"/>
      <c r="L198" s="399"/>
      <c r="M198" s="408"/>
      <c r="N198" s="457">
        <f>+N43/IS!L16*360</f>
        <v>87.826086956521735</v>
      </c>
      <c r="O198" s="457">
        <f>+O43/IS!M16*360</f>
        <v>121.38499587798846</v>
      </c>
      <c r="P198" s="457">
        <f>+P43/IS!N16*360</f>
        <v>106.85147568407217</v>
      </c>
      <c r="Q198" s="457">
        <f>+Q43/IS!O16*360</f>
        <v>98.185668902223796</v>
      </c>
      <c r="R198" s="457">
        <f>+R43/IS!P16*360</f>
        <v>106.18443804034582</v>
      </c>
      <c r="S198" s="457">
        <f>+S43/IS!Q16*360</f>
        <v>90.055113288426199</v>
      </c>
      <c r="T198" s="457">
        <f>+T43/IS!R16*360</f>
        <v>105.82884097035041</v>
      </c>
      <c r="U198" s="457">
        <f>+U43/IS!S16*360</f>
        <v>109.59830866807611</v>
      </c>
      <c r="V198" s="458">
        <f t="shared" ref="V198:AC198" si="104">+U198</f>
        <v>109.59830866807611</v>
      </c>
      <c r="W198" s="458">
        <f t="shared" si="104"/>
        <v>109.59830866807611</v>
      </c>
      <c r="X198" s="458">
        <f t="shared" si="104"/>
        <v>109.59830866807611</v>
      </c>
      <c r="Y198" s="458">
        <f t="shared" si="104"/>
        <v>109.59830866807611</v>
      </c>
      <c r="Z198" s="458">
        <f t="shared" si="104"/>
        <v>109.59830866807611</v>
      </c>
      <c r="AA198" s="458">
        <f t="shared" si="104"/>
        <v>109.59830866807611</v>
      </c>
      <c r="AB198" s="458">
        <f t="shared" si="104"/>
        <v>109.59830866807611</v>
      </c>
      <c r="AC198" s="458">
        <f t="shared" si="104"/>
        <v>109.59830866807611</v>
      </c>
    </row>
    <row r="199" spans="1:29" ht="11.25" customHeight="1">
      <c r="A199" s="35"/>
      <c r="B199" s="320"/>
      <c r="C199" s="320"/>
      <c r="D199" s="320"/>
      <c r="E199" s="320"/>
      <c r="F199" s="320"/>
      <c r="G199" s="320"/>
      <c r="H199" s="320"/>
      <c r="I199" s="320"/>
      <c r="J199" s="320"/>
      <c r="K199" s="320"/>
      <c r="L199" s="399"/>
      <c r="M199" s="408"/>
      <c r="N199" s="409"/>
      <c r="O199" s="409"/>
      <c r="P199" s="409"/>
      <c r="Q199" s="409"/>
      <c r="R199" s="409"/>
      <c r="S199" s="409"/>
      <c r="T199" s="409"/>
      <c r="U199" s="409"/>
      <c r="V199" s="409"/>
      <c r="W199" s="409"/>
      <c r="X199" s="409"/>
      <c r="Y199" s="409"/>
      <c r="Z199" s="409"/>
      <c r="AA199" s="409"/>
      <c r="AB199" s="409"/>
      <c r="AC199" s="409"/>
    </row>
    <row r="200" spans="1:29" ht="11.25" customHeight="1">
      <c r="A200" s="277" t="s">
        <v>272</v>
      </c>
      <c r="B200" s="320"/>
      <c r="C200" s="320"/>
      <c r="D200" s="320"/>
      <c r="E200" s="320"/>
      <c r="F200" s="320"/>
      <c r="G200" s="320"/>
      <c r="H200" s="320"/>
      <c r="I200" s="320"/>
      <c r="J200" s="320"/>
      <c r="K200" s="320"/>
      <c r="L200" s="321"/>
      <c r="M200" s="320"/>
      <c r="N200" s="35"/>
      <c r="O200" s="35"/>
      <c r="P200" s="35"/>
      <c r="Q200" s="35"/>
      <c r="R200" s="35"/>
      <c r="S200" s="35"/>
      <c r="T200" s="35"/>
      <c r="U200" s="35"/>
      <c r="V200" s="35"/>
      <c r="W200" s="35"/>
      <c r="X200" s="35"/>
      <c r="Y200" s="35"/>
      <c r="Z200" s="35"/>
      <c r="AA200" s="35"/>
      <c r="AB200" s="35"/>
      <c r="AC200" s="35"/>
    </row>
    <row r="201" spans="1:29" ht="11.25" hidden="1" customHeight="1" outlineLevel="1">
      <c r="A201" s="338" t="s">
        <v>464</v>
      </c>
      <c r="B201" s="437">
        <v>15296</v>
      </c>
      <c r="C201" s="437">
        <v>31584</v>
      </c>
      <c r="D201" s="437">
        <v>31584</v>
      </c>
      <c r="E201" s="437">
        <v>35957</v>
      </c>
      <c r="F201" s="437">
        <v>24911</v>
      </c>
      <c r="G201" s="437">
        <v>25402</v>
      </c>
      <c r="H201" s="437">
        <v>25177</v>
      </c>
      <c r="I201" s="437">
        <v>24648</v>
      </c>
      <c r="J201" s="437">
        <v>25553</v>
      </c>
      <c r="K201" s="437">
        <v>31193</v>
      </c>
      <c r="L201" s="365">
        <v>27581</v>
      </c>
      <c r="M201" s="356">
        <v>28764</v>
      </c>
      <c r="N201" s="338">
        <f t="shared" ref="N201:X201" si="105">+N26</f>
        <v>26518</v>
      </c>
      <c r="O201" s="338">
        <f t="shared" si="105"/>
        <v>37297</v>
      </c>
      <c r="P201" s="338">
        <f t="shared" si="105"/>
        <v>25801</v>
      </c>
      <c r="Q201" s="338">
        <f t="shared" si="105"/>
        <v>25597</v>
      </c>
      <c r="R201" s="338">
        <f t="shared" si="105"/>
        <v>23389</v>
      </c>
      <c r="S201" s="338">
        <f t="shared" si="105"/>
        <v>20664</v>
      </c>
      <c r="T201" s="338">
        <f t="shared" si="105"/>
        <v>20276</v>
      </c>
      <c r="U201" s="338">
        <f>+U26</f>
        <v>21085</v>
      </c>
      <c r="V201" s="338">
        <f t="shared" si="105"/>
        <v>21085</v>
      </c>
      <c r="W201" s="338">
        <f t="shared" si="105"/>
        <v>21085</v>
      </c>
      <c r="X201" s="338">
        <f t="shared" si="105"/>
        <v>21085</v>
      </c>
      <c r="Y201" s="338">
        <f>+Y26</f>
        <v>21085</v>
      </c>
      <c r="Z201" s="338">
        <f>+Z26</f>
        <v>21085</v>
      </c>
      <c r="AA201" s="338">
        <f>+AA26</f>
        <v>21085</v>
      </c>
      <c r="AB201" s="338">
        <f>+AB26</f>
        <v>21085</v>
      </c>
      <c r="AC201" s="338">
        <f>+AC26</f>
        <v>21085</v>
      </c>
    </row>
    <row r="202" spans="1:29" ht="11.25" hidden="1" customHeight="1" outlineLevel="1">
      <c r="A202" s="338" t="s">
        <v>465</v>
      </c>
      <c r="B202" s="437">
        <v>0</v>
      </c>
      <c r="C202" s="437">
        <v>0</v>
      </c>
      <c r="D202" s="437">
        <v>0</v>
      </c>
      <c r="E202" s="437">
        <v>0</v>
      </c>
      <c r="F202" s="437">
        <v>0</v>
      </c>
      <c r="G202" s="437">
        <v>0</v>
      </c>
      <c r="H202" s="437">
        <v>0</v>
      </c>
      <c r="I202" s="437">
        <v>0</v>
      </c>
      <c r="J202" s="437">
        <v>0</v>
      </c>
      <c r="K202" s="437">
        <v>0</v>
      </c>
      <c r="L202" s="365">
        <v>0</v>
      </c>
      <c r="M202" s="356">
        <v>0</v>
      </c>
      <c r="N202" s="338">
        <v>0</v>
      </c>
      <c r="O202" s="338">
        <v>0</v>
      </c>
      <c r="P202" s="338">
        <v>0</v>
      </c>
      <c r="Q202" s="338">
        <v>0</v>
      </c>
      <c r="R202" s="338">
        <v>0</v>
      </c>
      <c r="S202" s="338">
        <v>0</v>
      </c>
      <c r="T202" s="338">
        <v>0</v>
      </c>
      <c r="U202" s="338">
        <v>0</v>
      </c>
      <c r="V202" s="338">
        <v>0</v>
      </c>
      <c r="W202" s="338">
        <v>0</v>
      </c>
      <c r="X202" s="338">
        <v>0</v>
      </c>
      <c r="Y202" s="338">
        <v>0</v>
      </c>
      <c r="Z202" s="338">
        <v>0</v>
      </c>
      <c r="AA202" s="338">
        <v>0</v>
      </c>
      <c r="AB202" s="338">
        <v>0</v>
      </c>
      <c r="AC202" s="338">
        <v>0</v>
      </c>
    </row>
    <row r="203" spans="1:29" ht="11.25" hidden="1" customHeight="1" outlineLevel="1">
      <c r="A203" s="338" t="s">
        <v>466</v>
      </c>
      <c r="B203" s="437">
        <v>0</v>
      </c>
      <c r="C203" s="437">
        <v>0</v>
      </c>
      <c r="D203" s="437">
        <v>0</v>
      </c>
      <c r="E203" s="437">
        <v>0</v>
      </c>
      <c r="F203" s="437">
        <v>0</v>
      </c>
      <c r="G203" s="437">
        <v>0</v>
      </c>
      <c r="H203" s="437">
        <v>0</v>
      </c>
      <c r="I203" s="437">
        <v>0</v>
      </c>
      <c r="J203" s="437">
        <v>0</v>
      </c>
      <c r="K203" s="437">
        <v>0</v>
      </c>
      <c r="L203" s="365">
        <v>0</v>
      </c>
      <c r="M203" s="365">
        <v>0</v>
      </c>
      <c r="N203" s="338">
        <v>0</v>
      </c>
      <c r="O203" s="338">
        <v>0</v>
      </c>
      <c r="P203" s="338">
        <v>0</v>
      </c>
      <c r="Q203" s="338">
        <v>0</v>
      </c>
      <c r="R203" s="338">
        <v>0</v>
      </c>
      <c r="S203" s="338">
        <v>0</v>
      </c>
      <c r="T203" s="338">
        <v>0</v>
      </c>
      <c r="U203" s="338">
        <v>0</v>
      </c>
      <c r="V203" s="338">
        <v>0</v>
      </c>
      <c r="W203" s="338">
        <v>0</v>
      </c>
      <c r="X203" s="338">
        <v>0</v>
      </c>
      <c r="Y203" s="338">
        <v>0</v>
      </c>
      <c r="Z203" s="338">
        <v>0</v>
      </c>
      <c r="AA203" s="338">
        <v>0</v>
      </c>
      <c r="AB203" s="338">
        <v>0</v>
      </c>
      <c r="AC203" s="338">
        <v>0</v>
      </c>
    </row>
    <row r="204" spans="1:29" ht="11.25" hidden="1" customHeight="1" outlineLevel="1">
      <c r="A204" s="338" t="s">
        <v>467</v>
      </c>
      <c r="B204" s="437">
        <v>2204</v>
      </c>
      <c r="C204" s="437">
        <v>2739</v>
      </c>
      <c r="D204" s="437">
        <v>3165</v>
      </c>
      <c r="E204" s="437">
        <v>6077</v>
      </c>
      <c r="F204" s="437">
        <v>7069</v>
      </c>
      <c r="G204" s="437">
        <v>7069</v>
      </c>
      <c r="H204" s="437">
        <v>7069</v>
      </c>
      <c r="I204" s="437">
        <v>7069</v>
      </c>
      <c r="J204" s="437">
        <v>7069</v>
      </c>
      <c r="K204" s="437">
        <v>7069</v>
      </c>
      <c r="L204" s="365">
        <v>7069</v>
      </c>
      <c r="M204" s="356">
        <v>7069</v>
      </c>
      <c r="N204" s="338">
        <v>7069</v>
      </c>
      <c r="O204" s="338">
        <v>7069</v>
      </c>
      <c r="P204" s="338">
        <v>7069</v>
      </c>
      <c r="Q204" s="338">
        <v>7069</v>
      </c>
      <c r="R204" s="338">
        <v>7069</v>
      </c>
      <c r="S204" s="338">
        <v>7069</v>
      </c>
      <c r="T204" s="338">
        <f t="shared" ref="T204:AC204" si="106">+S204</f>
        <v>7069</v>
      </c>
      <c r="U204" s="338">
        <f t="shared" si="106"/>
        <v>7069</v>
      </c>
      <c r="V204" s="338">
        <f t="shared" si="106"/>
        <v>7069</v>
      </c>
      <c r="W204" s="338">
        <f t="shared" si="106"/>
        <v>7069</v>
      </c>
      <c r="X204" s="338">
        <f t="shared" si="106"/>
        <v>7069</v>
      </c>
      <c r="Y204" s="338">
        <f t="shared" si="106"/>
        <v>7069</v>
      </c>
      <c r="Z204" s="338">
        <f t="shared" si="106"/>
        <v>7069</v>
      </c>
      <c r="AA204" s="338">
        <f t="shared" si="106"/>
        <v>7069</v>
      </c>
      <c r="AB204" s="338">
        <f t="shared" si="106"/>
        <v>7069</v>
      </c>
      <c r="AC204" s="338">
        <f t="shared" si="106"/>
        <v>7069</v>
      </c>
    </row>
    <row r="205" spans="1:29" ht="11.25" hidden="1" customHeight="1" outlineLevel="1">
      <c r="A205" s="338" t="s">
        <v>468</v>
      </c>
      <c r="B205" s="437">
        <v>2204</v>
      </c>
      <c r="C205" s="437">
        <v>2739</v>
      </c>
      <c r="D205" s="437">
        <v>3165</v>
      </c>
      <c r="E205" s="437">
        <v>6077</v>
      </c>
      <c r="F205" s="437">
        <v>7069</v>
      </c>
      <c r="G205" s="437">
        <v>7069</v>
      </c>
      <c r="H205" s="437">
        <v>7069</v>
      </c>
      <c r="I205" s="437">
        <v>7069</v>
      </c>
      <c r="J205" s="437">
        <v>7069</v>
      </c>
      <c r="K205" s="437">
        <v>7069</v>
      </c>
      <c r="L205" s="365">
        <v>7069</v>
      </c>
      <c r="M205" s="356">
        <v>7069</v>
      </c>
      <c r="N205" s="338">
        <v>7069</v>
      </c>
      <c r="O205" s="338">
        <v>7069</v>
      </c>
      <c r="P205" s="338">
        <v>7069</v>
      </c>
      <c r="Q205" s="338">
        <v>7069</v>
      </c>
      <c r="R205" s="338">
        <v>7069</v>
      </c>
      <c r="S205" s="338">
        <v>7069</v>
      </c>
      <c r="T205" s="338">
        <f t="shared" ref="T205:AC205" si="107">T202+T203+T204</f>
        <v>7069</v>
      </c>
      <c r="U205" s="338">
        <f>U202+U203+U204</f>
        <v>7069</v>
      </c>
      <c r="V205" s="338">
        <f t="shared" si="107"/>
        <v>7069</v>
      </c>
      <c r="W205" s="338">
        <f t="shared" si="107"/>
        <v>7069</v>
      </c>
      <c r="X205" s="338">
        <f t="shared" si="107"/>
        <v>7069</v>
      </c>
      <c r="Y205" s="338">
        <f t="shared" si="107"/>
        <v>7069</v>
      </c>
      <c r="Z205" s="338">
        <f t="shared" si="107"/>
        <v>7069</v>
      </c>
      <c r="AA205" s="338">
        <f t="shared" si="107"/>
        <v>7069</v>
      </c>
      <c r="AB205" s="338">
        <f t="shared" si="107"/>
        <v>7069</v>
      </c>
      <c r="AC205" s="338">
        <f t="shared" si="107"/>
        <v>7069</v>
      </c>
    </row>
    <row r="206" spans="1:29" ht="11.25" hidden="1" customHeight="1" outlineLevel="1">
      <c r="A206" s="338"/>
      <c r="B206" s="437"/>
      <c r="C206" s="437"/>
      <c r="D206" s="437"/>
      <c r="E206" s="437"/>
      <c r="F206" s="437"/>
      <c r="G206" s="437"/>
      <c r="H206" s="437"/>
      <c r="I206" s="437"/>
      <c r="J206" s="437"/>
      <c r="K206" s="437"/>
      <c r="L206" s="365"/>
      <c r="M206" s="356"/>
      <c r="N206" s="338"/>
      <c r="O206" s="338"/>
      <c r="P206" s="338"/>
      <c r="Q206" s="338"/>
      <c r="R206" s="338"/>
      <c r="S206" s="338"/>
      <c r="T206" s="338"/>
      <c r="U206" s="338"/>
      <c r="V206" s="338"/>
      <c r="W206" s="338"/>
      <c r="X206" s="338"/>
      <c r="Y206" s="338"/>
      <c r="Z206" s="338"/>
      <c r="AA206" s="338"/>
      <c r="AB206" s="338"/>
      <c r="AC206" s="338"/>
    </row>
    <row r="207" spans="1:29" ht="11.25" hidden="1" customHeight="1" outlineLevel="1">
      <c r="A207" s="338" t="s">
        <v>469</v>
      </c>
      <c r="B207" s="437">
        <v>17500</v>
      </c>
      <c r="C207" s="437">
        <v>34323</v>
      </c>
      <c r="D207" s="437">
        <v>34749</v>
      </c>
      <c r="E207" s="437">
        <v>42034</v>
      </c>
      <c r="F207" s="437">
        <v>31980</v>
      </c>
      <c r="G207" s="437">
        <v>32471</v>
      </c>
      <c r="H207" s="437">
        <v>32246</v>
      </c>
      <c r="I207" s="437">
        <v>31717</v>
      </c>
      <c r="J207" s="437">
        <v>32622</v>
      </c>
      <c r="K207" s="437">
        <v>38262</v>
      </c>
      <c r="L207" s="365">
        <v>34650</v>
      </c>
      <c r="M207" s="356">
        <v>35833</v>
      </c>
      <c r="N207" s="338">
        <v>33587</v>
      </c>
      <c r="O207" s="338">
        <v>33050</v>
      </c>
      <c r="P207" s="338">
        <v>33050</v>
      </c>
      <c r="Q207" s="338">
        <v>33050</v>
      </c>
      <c r="R207" s="338">
        <v>33050</v>
      </c>
      <c r="S207" s="338">
        <v>33050</v>
      </c>
      <c r="T207" s="338">
        <f t="shared" ref="T207:AC207" si="108">T201+T205</f>
        <v>27345</v>
      </c>
      <c r="U207" s="338">
        <f>U201+U205</f>
        <v>28154</v>
      </c>
      <c r="V207" s="338">
        <f t="shared" si="108"/>
        <v>28154</v>
      </c>
      <c r="W207" s="338">
        <f t="shared" si="108"/>
        <v>28154</v>
      </c>
      <c r="X207" s="338">
        <f t="shared" si="108"/>
        <v>28154</v>
      </c>
      <c r="Y207" s="338">
        <f t="shared" si="108"/>
        <v>28154</v>
      </c>
      <c r="Z207" s="338">
        <f t="shared" si="108"/>
        <v>28154</v>
      </c>
      <c r="AA207" s="338">
        <f t="shared" si="108"/>
        <v>28154</v>
      </c>
      <c r="AB207" s="338">
        <f t="shared" si="108"/>
        <v>28154</v>
      </c>
      <c r="AC207" s="338">
        <f t="shared" si="108"/>
        <v>28154</v>
      </c>
    </row>
    <row r="208" spans="1:29" ht="11.25" customHeight="1" collapsed="1">
      <c r="A208" s="35"/>
      <c r="B208" s="320"/>
      <c r="C208" s="320"/>
      <c r="D208" s="320"/>
      <c r="E208" s="320"/>
      <c r="F208" s="320"/>
      <c r="G208" s="320"/>
      <c r="H208" s="320"/>
      <c r="I208" s="320"/>
      <c r="J208" s="320"/>
      <c r="K208" s="320"/>
      <c r="L208" s="321"/>
      <c r="M208" s="320"/>
      <c r="N208" s="35"/>
      <c r="O208" s="35"/>
      <c r="P208" s="35"/>
      <c r="Q208" s="35"/>
      <c r="R208" s="35"/>
      <c r="S208" s="35"/>
      <c r="T208" s="35"/>
      <c r="U208" s="35"/>
      <c r="V208" s="35"/>
      <c r="W208" s="35"/>
      <c r="X208" s="35"/>
      <c r="Y208" s="35"/>
      <c r="Z208" s="35"/>
      <c r="AA208" s="35"/>
      <c r="AB208" s="35"/>
      <c r="AC208" s="35"/>
    </row>
    <row r="209" spans="1:29" ht="11.25" customHeight="1">
      <c r="A209" s="35"/>
      <c r="B209" s="320"/>
      <c r="C209" s="320"/>
      <c r="D209" s="320"/>
      <c r="E209" s="320"/>
      <c r="F209" s="320"/>
      <c r="G209" s="320"/>
      <c r="H209" s="320"/>
      <c r="I209" s="320"/>
      <c r="J209" s="320"/>
      <c r="K209" s="320"/>
      <c r="L209" s="321"/>
      <c r="M209" s="320"/>
      <c r="N209" s="35"/>
      <c r="O209" s="35"/>
      <c r="P209" s="35"/>
      <c r="Q209" s="35"/>
      <c r="R209" s="35"/>
      <c r="S209" s="35"/>
      <c r="T209" s="35"/>
      <c r="U209" s="35"/>
      <c r="V209" s="35"/>
      <c r="W209" s="35"/>
      <c r="X209" s="35"/>
      <c r="Y209" s="35"/>
      <c r="Z209" s="35"/>
      <c r="AA209" s="35"/>
      <c r="AB209" s="35"/>
      <c r="AC209" s="35"/>
    </row>
    <row r="211" spans="1:29" ht="11.25" customHeight="1">
      <c r="A211" s="35"/>
      <c r="B211" s="320"/>
      <c r="C211" s="320"/>
      <c r="D211" s="320"/>
      <c r="E211" s="320"/>
      <c r="F211" s="320"/>
      <c r="G211" s="320"/>
      <c r="H211" s="320"/>
      <c r="I211" s="320"/>
      <c r="J211" s="320"/>
      <c r="K211" s="320"/>
      <c r="L211" s="321"/>
      <c r="M211" s="320"/>
      <c r="N211" s="35"/>
      <c r="O211" s="35"/>
      <c r="P211" s="35"/>
      <c r="Q211" s="35"/>
      <c r="R211" s="35"/>
      <c r="S211" s="35"/>
      <c r="T211" s="35"/>
      <c r="U211" s="35"/>
      <c r="V211" s="35"/>
      <c r="W211" s="35"/>
      <c r="X211" s="35"/>
      <c r="Y211" s="35"/>
      <c r="Z211" s="35"/>
      <c r="AA211" s="35"/>
      <c r="AB211" s="35"/>
      <c r="AC211" s="35"/>
    </row>
    <row r="212" spans="1:29" ht="11.25" customHeight="1">
      <c r="A212" s="35"/>
      <c r="B212" s="320"/>
      <c r="C212" s="320"/>
      <c r="D212" s="320"/>
      <c r="E212" s="320"/>
      <c r="F212" s="320"/>
      <c r="G212" s="320"/>
      <c r="H212" s="320"/>
      <c r="I212" s="320"/>
      <c r="J212" s="320"/>
      <c r="K212" s="320"/>
      <c r="L212" s="321"/>
      <c r="M212" s="320"/>
      <c r="N212" s="35"/>
      <c r="O212" s="35"/>
      <c r="P212" s="35"/>
      <c r="Q212" s="35"/>
      <c r="R212" s="35"/>
      <c r="S212" s="35"/>
      <c r="T212" s="35"/>
      <c r="U212" s="35"/>
      <c r="V212" s="35"/>
      <c r="W212" s="35"/>
      <c r="X212" s="35"/>
      <c r="Y212" s="35"/>
      <c r="Z212" s="35"/>
      <c r="AA212" s="35"/>
      <c r="AB212" s="35"/>
      <c r="AC212" s="35"/>
    </row>
    <row r="213" spans="1:29" ht="11.25" customHeight="1">
      <c r="A213" s="35"/>
      <c r="B213" s="320"/>
      <c r="C213" s="320"/>
      <c r="D213" s="320"/>
      <c r="E213" s="320"/>
      <c r="F213" s="320"/>
      <c r="G213" s="320"/>
      <c r="H213" s="320"/>
      <c r="I213" s="320"/>
      <c r="J213" s="320"/>
      <c r="K213" s="320"/>
      <c r="L213" s="321"/>
      <c r="M213" s="320"/>
      <c r="N213" s="35"/>
      <c r="O213" s="35"/>
      <c r="P213" s="35"/>
      <c r="Q213" s="35"/>
      <c r="R213" s="35"/>
      <c r="S213" s="35"/>
      <c r="T213" s="35"/>
      <c r="U213" s="35"/>
      <c r="V213" s="35"/>
      <c r="W213" s="35"/>
      <c r="X213" s="35"/>
      <c r="Y213" s="35"/>
      <c r="Z213" s="35"/>
      <c r="AA213" s="35"/>
      <c r="AB213" s="35"/>
      <c r="AC213" s="35"/>
    </row>
    <row r="214" spans="1:29" ht="11.25" customHeight="1">
      <c r="A214" s="35"/>
      <c r="B214" s="320"/>
      <c r="C214" s="320"/>
      <c r="D214" s="320"/>
      <c r="E214" s="320"/>
      <c r="F214" s="320"/>
      <c r="G214" s="320"/>
      <c r="H214" s="320"/>
      <c r="I214" s="320"/>
      <c r="J214" s="320"/>
      <c r="K214" s="320"/>
      <c r="L214" s="321"/>
      <c r="M214" s="320"/>
      <c r="N214" s="35"/>
      <c r="O214" s="35"/>
      <c r="P214" s="35"/>
      <c r="Q214" s="35"/>
      <c r="R214" s="35"/>
      <c r="S214" s="35"/>
      <c r="T214" s="35"/>
      <c r="U214" s="35"/>
      <c r="V214" s="35"/>
      <c r="W214" s="35"/>
      <c r="X214" s="35"/>
      <c r="Y214" s="35"/>
      <c r="Z214" s="35"/>
      <c r="AA214" s="35"/>
      <c r="AB214" s="35"/>
      <c r="AC214" s="35"/>
    </row>
    <row r="215" spans="1:29" ht="11.25" customHeight="1">
      <c r="A215" s="35"/>
      <c r="B215" s="320"/>
      <c r="C215" s="320"/>
      <c r="D215" s="320"/>
      <c r="E215" s="320"/>
      <c r="F215" s="320"/>
      <c r="G215" s="320"/>
      <c r="H215" s="320"/>
      <c r="I215" s="320"/>
      <c r="J215" s="320"/>
      <c r="K215" s="320"/>
      <c r="L215" s="321"/>
      <c r="M215" s="320"/>
      <c r="N215" s="35"/>
      <c r="O215" s="35"/>
      <c r="P215" s="35"/>
      <c r="Q215" s="35"/>
      <c r="R215" s="35"/>
      <c r="S215" s="35"/>
      <c r="T215" s="35"/>
      <c r="U215" s="35"/>
      <c r="V215" s="35"/>
      <c r="W215" s="35"/>
      <c r="X215" s="35"/>
      <c r="Y215" s="35"/>
      <c r="Z215" s="35"/>
      <c r="AA215" s="35"/>
      <c r="AB215" s="35"/>
      <c r="AC215" s="35"/>
    </row>
    <row r="216" spans="1:29" ht="11.25" customHeight="1">
      <c r="A216" s="35"/>
      <c r="B216" s="320"/>
      <c r="C216" s="320"/>
      <c r="D216" s="320"/>
      <c r="E216" s="320"/>
      <c r="F216" s="320"/>
      <c r="G216" s="320"/>
      <c r="H216" s="320"/>
      <c r="I216" s="320"/>
      <c r="J216" s="320"/>
      <c r="K216" s="320"/>
      <c r="L216" s="321"/>
      <c r="M216" s="320"/>
      <c r="N216" s="35"/>
      <c r="O216" s="35"/>
      <c r="P216" s="35"/>
      <c r="Q216" s="35"/>
      <c r="R216" s="35"/>
      <c r="S216" s="35"/>
      <c r="T216" s="35"/>
      <c r="U216" s="35"/>
      <c r="V216" s="35"/>
      <c r="W216" s="35"/>
      <c r="X216" s="35"/>
      <c r="Y216" s="35"/>
      <c r="Z216" s="35"/>
      <c r="AA216" s="35"/>
      <c r="AB216" s="35"/>
      <c r="AC216" s="35"/>
    </row>
    <row r="217" spans="1:29" ht="11.25" customHeight="1">
      <c r="A217" s="35"/>
      <c r="B217" s="320"/>
      <c r="C217" s="320"/>
      <c r="D217" s="320"/>
      <c r="E217" s="320"/>
      <c r="F217" s="320"/>
      <c r="G217" s="320"/>
      <c r="H217" s="320"/>
      <c r="I217" s="320"/>
      <c r="J217" s="320"/>
      <c r="K217" s="320"/>
      <c r="L217" s="321"/>
      <c r="M217" s="320"/>
      <c r="N217" s="35"/>
      <c r="O217" s="35"/>
      <c r="P217" s="35"/>
      <c r="Q217" s="35"/>
      <c r="R217" s="35"/>
      <c r="S217" s="35"/>
      <c r="T217" s="35"/>
      <c r="U217" s="35"/>
      <c r="V217" s="35"/>
      <c r="W217" s="35"/>
      <c r="X217" s="35"/>
      <c r="Y217" s="35"/>
      <c r="Z217" s="35"/>
      <c r="AA217" s="35"/>
      <c r="AB217" s="35"/>
      <c r="AC217" s="35"/>
    </row>
    <row r="218" spans="1:29" ht="11.25" customHeight="1">
      <c r="A218" s="35"/>
      <c r="B218" s="320"/>
      <c r="C218" s="320"/>
      <c r="D218" s="320"/>
      <c r="E218" s="320"/>
      <c r="F218" s="320"/>
      <c r="G218" s="320"/>
      <c r="H218" s="320"/>
      <c r="I218" s="320"/>
      <c r="J218" s="320"/>
      <c r="K218" s="320"/>
      <c r="L218" s="321"/>
      <c r="M218" s="320"/>
      <c r="N218" s="35"/>
      <c r="O218" s="35"/>
      <c r="P218" s="35"/>
      <c r="Q218" s="35"/>
      <c r="R218" s="35"/>
      <c r="S218" s="35"/>
      <c r="T218" s="35"/>
      <c r="U218" s="35"/>
      <c r="V218" s="35"/>
      <c r="W218" s="35"/>
      <c r="X218" s="35"/>
      <c r="Y218" s="35"/>
      <c r="Z218" s="35"/>
      <c r="AA218" s="35"/>
      <c r="AB218" s="35"/>
      <c r="AC218" s="35"/>
    </row>
    <row r="219" spans="1:29" ht="11.25" customHeight="1">
      <c r="A219" s="35"/>
      <c r="B219" s="320"/>
      <c r="C219" s="320"/>
      <c r="D219" s="320"/>
      <c r="E219" s="320"/>
      <c r="F219" s="320"/>
      <c r="G219" s="320"/>
      <c r="H219" s="320"/>
      <c r="I219" s="320"/>
      <c r="J219" s="320"/>
      <c r="K219" s="320"/>
      <c r="L219" s="321"/>
      <c r="M219" s="320"/>
      <c r="N219" s="35"/>
      <c r="O219" s="35"/>
      <c r="P219" s="35"/>
      <c r="Q219" s="35"/>
      <c r="R219" s="35"/>
      <c r="S219" s="35"/>
      <c r="T219" s="35"/>
      <c r="U219" s="35"/>
      <c r="V219" s="35"/>
      <c r="W219" s="35"/>
      <c r="X219" s="35"/>
      <c r="Y219" s="35"/>
      <c r="Z219" s="35"/>
      <c r="AA219" s="35"/>
      <c r="AB219" s="35"/>
      <c r="AC219" s="35"/>
    </row>
    <row r="220" spans="1:29" ht="11.25" customHeight="1">
      <c r="A220" s="35"/>
      <c r="B220" s="320"/>
      <c r="C220" s="320"/>
      <c r="D220" s="320"/>
      <c r="E220" s="320"/>
      <c r="F220" s="320"/>
      <c r="G220" s="320"/>
      <c r="H220" s="320"/>
      <c r="I220" s="320"/>
      <c r="J220" s="320"/>
      <c r="K220" s="320"/>
      <c r="L220" s="321"/>
      <c r="M220" s="320"/>
      <c r="N220" s="35"/>
      <c r="O220" s="35"/>
      <c r="P220" s="35"/>
      <c r="Q220" s="35"/>
      <c r="R220" s="35"/>
      <c r="S220" s="35"/>
      <c r="T220" s="35"/>
      <c r="U220" s="35"/>
      <c r="V220" s="35"/>
      <c r="W220" s="35"/>
      <c r="X220" s="35"/>
      <c r="Y220" s="35"/>
      <c r="Z220" s="35"/>
      <c r="AA220" s="35"/>
      <c r="AB220" s="35"/>
      <c r="AC220" s="35"/>
    </row>
    <row r="221" spans="1:29">
      <c r="A221" s="35"/>
      <c r="B221" s="320"/>
      <c r="C221" s="320"/>
      <c r="D221" s="320"/>
      <c r="E221" s="320"/>
      <c r="F221" s="320"/>
      <c r="G221" s="320"/>
      <c r="H221" s="320"/>
      <c r="I221" s="320"/>
      <c r="J221" s="320"/>
      <c r="K221" s="320"/>
      <c r="L221" s="321"/>
      <c r="M221" s="320"/>
      <c r="N221" s="35"/>
      <c r="O221" s="35"/>
      <c r="P221" s="35"/>
      <c r="Q221" s="35"/>
      <c r="R221" s="35"/>
      <c r="S221" s="35"/>
      <c r="T221" s="35"/>
      <c r="U221" s="35"/>
      <c r="V221" s="35"/>
      <c r="W221" s="35"/>
      <c r="X221" s="35"/>
      <c r="Y221" s="35"/>
      <c r="Z221" s="35"/>
      <c r="AA221" s="35"/>
      <c r="AB221" s="35"/>
      <c r="AC221" s="35"/>
    </row>
    <row r="222" spans="1:29">
      <c r="A222" s="35"/>
      <c r="B222" s="320"/>
      <c r="C222" s="320"/>
      <c r="D222" s="320"/>
      <c r="E222" s="320"/>
      <c r="F222" s="320"/>
      <c r="G222" s="320"/>
      <c r="H222" s="320"/>
      <c r="I222" s="320"/>
      <c r="J222" s="320"/>
      <c r="K222" s="320"/>
      <c r="L222" s="321"/>
      <c r="M222" s="320"/>
      <c r="N222" s="35"/>
      <c r="O222" s="35"/>
      <c r="P222" s="35"/>
      <c r="Q222" s="35"/>
      <c r="R222" s="35"/>
      <c r="S222" s="35"/>
      <c r="T222" s="35"/>
      <c r="U222" s="35"/>
      <c r="V222" s="35"/>
      <c r="W222" s="35"/>
      <c r="X222" s="35"/>
      <c r="Y222" s="35"/>
      <c r="Z222" s="35"/>
      <c r="AA222" s="35"/>
      <c r="AB222" s="35"/>
      <c r="AC222" s="35"/>
    </row>
    <row r="223" spans="1:29">
      <c r="A223" s="35"/>
      <c r="B223" s="320"/>
      <c r="C223" s="320"/>
      <c r="D223" s="320"/>
      <c r="E223" s="320"/>
      <c r="F223" s="320"/>
      <c r="G223" s="320"/>
      <c r="H223" s="320"/>
      <c r="I223" s="320"/>
      <c r="J223" s="320"/>
      <c r="K223" s="320"/>
      <c r="L223" s="321"/>
      <c r="M223" s="320"/>
      <c r="N223" s="35"/>
      <c r="O223" s="35"/>
      <c r="P223" s="35"/>
      <c r="Q223" s="35"/>
      <c r="R223" s="35"/>
      <c r="S223" s="35"/>
      <c r="T223" s="35"/>
      <c r="U223" s="35"/>
      <c r="V223" s="35"/>
      <c r="W223" s="35"/>
      <c r="X223" s="35"/>
      <c r="Y223" s="35"/>
      <c r="Z223" s="35"/>
      <c r="AA223" s="35"/>
      <c r="AB223" s="35"/>
      <c r="AC223" s="35"/>
    </row>
    <row r="224" spans="1:29">
      <c r="A224" s="35"/>
      <c r="B224" s="320"/>
      <c r="C224" s="320"/>
      <c r="D224" s="320"/>
      <c r="E224" s="320"/>
      <c r="F224" s="320"/>
      <c r="G224" s="320"/>
      <c r="H224" s="320"/>
      <c r="I224" s="320"/>
      <c r="J224" s="320"/>
      <c r="K224" s="320"/>
      <c r="L224" s="321"/>
      <c r="M224" s="320"/>
      <c r="N224" s="35"/>
      <c r="O224" s="35"/>
      <c r="P224" s="35"/>
      <c r="Q224" s="35"/>
      <c r="R224" s="35"/>
      <c r="S224" s="35"/>
      <c r="T224" s="35"/>
      <c r="U224" s="35"/>
      <c r="V224" s="35"/>
      <c r="W224" s="35"/>
      <c r="X224" s="35"/>
      <c r="Y224" s="35"/>
      <c r="Z224" s="35"/>
      <c r="AA224" s="35"/>
      <c r="AB224" s="35"/>
      <c r="AC224" s="35"/>
    </row>
    <row r="225" spans="1:29">
      <c r="A225" s="35"/>
      <c r="B225" s="320"/>
      <c r="C225" s="320"/>
      <c r="D225" s="320"/>
      <c r="E225" s="320"/>
      <c r="F225" s="320"/>
      <c r="G225" s="320"/>
      <c r="H225" s="320"/>
      <c r="I225" s="320"/>
      <c r="J225" s="320"/>
      <c r="K225" s="320"/>
      <c r="L225" s="321"/>
      <c r="M225" s="320"/>
      <c r="N225" s="35"/>
      <c r="O225" s="35"/>
      <c r="P225" s="35"/>
      <c r="Q225" s="35"/>
      <c r="R225" s="35"/>
      <c r="S225" s="35"/>
      <c r="T225" s="35"/>
      <c r="U225" s="35"/>
      <c r="V225" s="35"/>
      <c r="W225" s="35"/>
      <c r="X225" s="35"/>
      <c r="Y225" s="35"/>
      <c r="Z225" s="35"/>
      <c r="AA225" s="35"/>
      <c r="AB225" s="35"/>
      <c r="AC225" s="35"/>
    </row>
    <row r="226" spans="1:29">
      <c r="A226" s="35"/>
      <c r="B226" s="320"/>
      <c r="C226" s="320"/>
      <c r="D226" s="320"/>
      <c r="E226" s="320"/>
      <c r="F226" s="320"/>
      <c r="G226" s="320"/>
      <c r="H226" s="320"/>
      <c r="I226" s="320"/>
      <c r="J226" s="320"/>
      <c r="K226" s="320"/>
      <c r="L226" s="321"/>
      <c r="M226" s="320"/>
      <c r="N226" s="35"/>
      <c r="O226" s="35"/>
      <c r="P226" s="35"/>
      <c r="Q226" s="35"/>
      <c r="R226" s="35"/>
      <c r="S226" s="35"/>
      <c r="T226" s="35"/>
      <c r="U226" s="35"/>
      <c r="V226" s="35"/>
      <c r="W226" s="35"/>
      <c r="X226" s="35"/>
      <c r="Y226" s="35"/>
      <c r="Z226" s="35"/>
      <c r="AA226" s="35"/>
      <c r="AB226" s="35"/>
      <c r="AC226" s="35"/>
    </row>
    <row r="227" spans="1:29">
      <c r="A227" s="35"/>
      <c r="B227" s="320"/>
      <c r="C227" s="320"/>
      <c r="D227" s="320"/>
      <c r="E227" s="320"/>
      <c r="F227" s="320"/>
      <c r="G227" s="320"/>
      <c r="H227" s="320"/>
      <c r="I227" s="320"/>
      <c r="J227" s="320"/>
      <c r="K227" s="320"/>
      <c r="L227" s="321"/>
      <c r="M227" s="320"/>
      <c r="N227" s="35"/>
      <c r="O227" s="35"/>
      <c r="P227" s="35"/>
      <c r="Q227" s="35"/>
      <c r="R227" s="35"/>
      <c r="S227" s="35"/>
      <c r="T227" s="35"/>
      <c r="U227" s="35"/>
      <c r="V227" s="35"/>
      <c r="W227" s="35"/>
      <c r="X227" s="35"/>
      <c r="Y227" s="35"/>
      <c r="Z227" s="35"/>
      <c r="AA227" s="35"/>
      <c r="AB227" s="35"/>
      <c r="AC227" s="35"/>
    </row>
    <row r="228" spans="1:29">
      <c r="A228" s="35"/>
      <c r="B228" s="320"/>
      <c r="C228" s="320"/>
      <c r="D228" s="320"/>
      <c r="E228" s="320"/>
      <c r="F228" s="320"/>
      <c r="G228" s="320"/>
      <c r="H228" s="320"/>
      <c r="I228" s="320"/>
      <c r="J228" s="320"/>
      <c r="K228" s="320"/>
      <c r="L228" s="321"/>
      <c r="M228" s="320"/>
      <c r="N228" s="35"/>
      <c r="O228" s="35"/>
      <c r="P228" s="35"/>
      <c r="Q228" s="35"/>
      <c r="R228" s="35"/>
      <c r="S228" s="35"/>
      <c r="T228" s="35"/>
      <c r="U228" s="35"/>
      <c r="V228" s="35"/>
      <c r="W228" s="35"/>
      <c r="X228" s="35"/>
      <c r="Y228" s="35"/>
      <c r="Z228" s="35"/>
      <c r="AA228" s="35"/>
      <c r="AB228" s="35"/>
      <c r="AC228" s="35"/>
    </row>
    <row r="229" spans="1:29">
      <c r="A229" s="35"/>
      <c r="B229" s="320"/>
      <c r="C229" s="320"/>
      <c r="D229" s="320"/>
      <c r="E229" s="320"/>
      <c r="F229" s="320"/>
      <c r="G229" s="320"/>
      <c r="H229" s="320"/>
      <c r="I229" s="320"/>
      <c r="J229" s="320"/>
      <c r="K229" s="320"/>
      <c r="L229" s="321"/>
      <c r="M229" s="320"/>
      <c r="N229" s="35"/>
      <c r="O229" s="35"/>
      <c r="P229" s="35"/>
      <c r="Q229" s="35"/>
      <c r="R229" s="35"/>
      <c r="S229" s="35"/>
      <c r="T229" s="35"/>
      <c r="U229" s="35"/>
      <c r="V229" s="35"/>
      <c r="W229" s="35"/>
      <c r="X229" s="35"/>
      <c r="Y229" s="35"/>
      <c r="Z229" s="35"/>
      <c r="AA229" s="35"/>
      <c r="AB229" s="35"/>
      <c r="AC229" s="35"/>
    </row>
    <row r="230" spans="1:29">
      <c r="A230" s="35"/>
      <c r="B230" s="320"/>
      <c r="C230" s="320"/>
      <c r="D230" s="320"/>
      <c r="E230" s="320"/>
      <c r="F230" s="320"/>
      <c r="G230" s="320"/>
      <c r="H230" s="320"/>
      <c r="I230" s="320"/>
      <c r="J230" s="320"/>
      <c r="K230" s="320"/>
      <c r="L230" s="321"/>
      <c r="M230" s="320"/>
      <c r="N230" s="35"/>
      <c r="O230" s="35"/>
      <c r="P230" s="35"/>
      <c r="Q230" s="35"/>
      <c r="R230" s="35"/>
      <c r="S230" s="35"/>
      <c r="T230" s="35"/>
      <c r="U230" s="35"/>
      <c r="V230" s="35"/>
      <c r="W230" s="35"/>
      <c r="X230" s="35"/>
      <c r="Y230" s="35"/>
      <c r="Z230" s="35"/>
      <c r="AA230" s="35"/>
      <c r="AB230" s="35"/>
      <c r="AC230" s="35"/>
    </row>
    <row r="231" spans="1:29">
      <c r="A231" s="35"/>
      <c r="B231" s="320"/>
      <c r="C231" s="320"/>
      <c r="D231" s="320"/>
      <c r="E231" s="320"/>
      <c r="F231" s="320"/>
      <c r="G231" s="320"/>
      <c r="H231" s="320"/>
      <c r="I231" s="320"/>
      <c r="J231" s="320"/>
      <c r="K231" s="320"/>
      <c r="L231" s="321"/>
      <c r="M231" s="320"/>
      <c r="N231" s="35"/>
      <c r="O231" s="35"/>
      <c r="P231" s="35"/>
      <c r="Q231" s="35"/>
      <c r="R231" s="35"/>
      <c r="S231" s="35"/>
      <c r="T231" s="35"/>
      <c r="U231" s="35"/>
      <c r="V231" s="35"/>
      <c r="W231" s="35"/>
      <c r="X231" s="35"/>
      <c r="Y231" s="35"/>
      <c r="Z231" s="35"/>
      <c r="AA231" s="35"/>
      <c r="AB231" s="35"/>
      <c r="AC231" s="35"/>
    </row>
    <row r="232" spans="1:29">
      <c r="A232" s="35"/>
      <c r="B232" s="320"/>
      <c r="C232" s="320"/>
      <c r="D232" s="320"/>
      <c r="E232" s="320"/>
      <c r="F232" s="320"/>
      <c r="G232" s="320"/>
      <c r="H232" s="320"/>
      <c r="I232" s="320"/>
      <c r="J232" s="320"/>
      <c r="K232" s="320"/>
      <c r="L232" s="321"/>
      <c r="M232" s="320"/>
      <c r="N232" s="35"/>
      <c r="O232" s="35"/>
      <c r="P232" s="35"/>
      <c r="Q232" s="35"/>
      <c r="R232" s="35"/>
      <c r="S232" s="35"/>
      <c r="T232" s="35"/>
      <c r="U232" s="35"/>
      <c r="V232" s="35"/>
      <c r="W232" s="35"/>
      <c r="X232" s="35"/>
      <c r="Y232" s="35"/>
      <c r="Z232" s="35"/>
      <c r="AA232" s="35"/>
      <c r="AB232" s="35"/>
      <c r="AC232" s="35"/>
    </row>
    <row r="233" spans="1:29">
      <c r="A233" s="35"/>
      <c r="B233" s="320"/>
      <c r="C233" s="320"/>
      <c r="D233" s="320"/>
      <c r="E233" s="320"/>
      <c r="F233" s="320"/>
      <c r="G233" s="320"/>
      <c r="H233" s="320"/>
      <c r="I233" s="320"/>
      <c r="J233" s="320"/>
      <c r="K233" s="320"/>
      <c r="L233" s="321"/>
      <c r="M233" s="320"/>
      <c r="N233" s="35"/>
      <c r="O233" s="35"/>
      <c r="P233" s="35"/>
      <c r="Q233" s="35"/>
      <c r="R233" s="35"/>
      <c r="S233" s="35"/>
      <c r="T233" s="35"/>
      <c r="U233" s="35"/>
      <c r="V233" s="35"/>
      <c r="W233" s="35"/>
      <c r="X233" s="35"/>
      <c r="Y233" s="35"/>
      <c r="Z233" s="35"/>
      <c r="AA233" s="35"/>
      <c r="AB233" s="35"/>
      <c r="AC233" s="35"/>
    </row>
    <row r="234" spans="1:29">
      <c r="A234" s="35"/>
      <c r="B234" s="320"/>
      <c r="C234" s="320"/>
      <c r="D234" s="320"/>
      <c r="E234" s="320"/>
      <c r="F234" s="320"/>
      <c r="G234" s="320"/>
      <c r="H234" s="320"/>
      <c r="I234" s="320"/>
      <c r="J234" s="320"/>
      <c r="K234" s="320"/>
      <c r="L234" s="321"/>
      <c r="M234" s="320"/>
      <c r="N234" s="35"/>
      <c r="O234" s="35"/>
      <c r="P234" s="35"/>
      <c r="Q234" s="35"/>
      <c r="R234" s="35"/>
      <c r="S234" s="35"/>
      <c r="T234" s="35"/>
      <c r="U234" s="35"/>
      <c r="V234" s="35"/>
      <c r="W234" s="35"/>
      <c r="X234" s="35"/>
      <c r="Y234" s="35"/>
      <c r="Z234" s="35"/>
      <c r="AA234" s="35"/>
      <c r="AB234" s="35"/>
      <c r="AC234" s="35"/>
    </row>
    <row r="235" spans="1:29">
      <c r="A235" s="35"/>
      <c r="B235" s="320"/>
      <c r="C235" s="320"/>
      <c r="D235" s="320"/>
      <c r="E235" s="320"/>
      <c r="F235" s="320"/>
      <c r="G235" s="320"/>
      <c r="H235" s="320"/>
      <c r="I235" s="320"/>
      <c r="J235" s="320"/>
      <c r="K235" s="320"/>
      <c r="L235" s="321"/>
      <c r="M235" s="320"/>
      <c r="N235" s="35"/>
      <c r="O235" s="35"/>
      <c r="P235" s="35"/>
      <c r="Q235" s="35"/>
      <c r="R235" s="35"/>
      <c r="S235" s="35"/>
      <c r="T235" s="35"/>
      <c r="U235" s="35"/>
      <c r="V235" s="35"/>
      <c r="W235" s="35"/>
      <c r="X235" s="35"/>
      <c r="Y235" s="35"/>
      <c r="Z235" s="35"/>
      <c r="AA235" s="35"/>
      <c r="AB235" s="35"/>
      <c r="AC235" s="35"/>
    </row>
    <row r="236" spans="1:29">
      <c r="A236" s="35"/>
      <c r="B236" s="320"/>
      <c r="C236" s="320"/>
      <c r="D236" s="320"/>
      <c r="E236" s="320"/>
      <c r="F236" s="320"/>
      <c r="G236" s="320"/>
      <c r="H236" s="320"/>
      <c r="I236" s="320"/>
      <c r="J236" s="320"/>
      <c r="K236" s="320"/>
      <c r="L236" s="321"/>
      <c r="M236" s="320"/>
      <c r="N236" s="35"/>
      <c r="O236" s="35"/>
      <c r="P236" s="35"/>
      <c r="Q236" s="35"/>
      <c r="R236" s="35"/>
      <c r="S236" s="35"/>
      <c r="T236" s="35"/>
      <c r="U236" s="35"/>
      <c r="V236" s="35"/>
      <c r="W236" s="35"/>
      <c r="X236" s="35"/>
      <c r="Y236" s="35"/>
      <c r="Z236" s="35"/>
      <c r="AA236" s="35"/>
      <c r="AB236" s="35"/>
      <c r="AC236" s="35"/>
    </row>
    <row r="237" spans="1:29">
      <c r="A237" s="35"/>
      <c r="B237" s="320"/>
      <c r="C237" s="320"/>
      <c r="D237" s="320"/>
      <c r="E237" s="320"/>
      <c r="F237" s="320"/>
      <c r="G237" s="320"/>
      <c r="H237" s="320"/>
      <c r="I237" s="320"/>
      <c r="J237" s="320"/>
      <c r="K237" s="320"/>
      <c r="L237" s="321"/>
      <c r="M237" s="320"/>
      <c r="N237" s="35"/>
      <c r="O237" s="35"/>
      <c r="P237" s="35"/>
      <c r="Q237" s="35"/>
      <c r="R237" s="35"/>
      <c r="S237" s="35"/>
      <c r="T237" s="35"/>
      <c r="U237" s="35"/>
      <c r="V237" s="35"/>
      <c r="W237" s="35"/>
      <c r="X237" s="35"/>
      <c r="Y237" s="35"/>
      <c r="Z237" s="35"/>
      <c r="AA237" s="35"/>
      <c r="AB237" s="35"/>
      <c r="AC237" s="35"/>
    </row>
    <row r="238" spans="1:29">
      <c r="A238" s="35"/>
      <c r="B238" s="320"/>
      <c r="C238" s="320"/>
      <c r="D238" s="320"/>
      <c r="E238" s="320"/>
      <c r="F238" s="320"/>
      <c r="G238" s="320"/>
      <c r="H238" s="320"/>
      <c r="I238" s="320"/>
      <c r="J238" s="320"/>
      <c r="K238" s="320"/>
      <c r="L238" s="321"/>
      <c r="M238" s="320"/>
      <c r="N238" s="35"/>
      <c r="O238" s="35"/>
      <c r="P238" s="35"/>
      <c r="Q238" s="35"/>
      <c r="R238" s="35"/>
      <c r="S238" s="35"/>
      <c r="T238" s="35"/>
      <c r="U238" s="35"/>
      <c r="V238" s="35"/>
      <c r="W238" s="35"/>
      <c r="X238" s="35"/>
      <c r="Y238" s="35"/>
      <c r="Z238" s="35"/>
      <c r="AA238" s="35"/>
      <c r="AB238" s="35"/>
      <c r="AC238" s="35"/>
    </row>
    <row r="239" spans="1:29">
      <c r="A239" s="35"/>
      <c r="B239" s="320"/>
      <c r="C239" s="320"/>
      <c r="D239" s="320"/>
      <c r="E239" s="320"/>
      <c r="F239" s="320"/>
      <c r="G239" s="320"/>
      <c r="H239" s="320"/>
      <c r="I239" s="320"/>
      <c r="J239" s="320"/>
      <c r="K239" s="320"/>
      <c r="L239" s="321"/>
      <c r="M239" s="320"/>
      <c r="N239" s="35"/>
      <c r="O239" s="35"/>
      <c r="P239" s="35"/>
      <c r="Q239" s="35"/>
      <c r="R239" s="35"/>
      <c r="S239" s="35"/>
      <c r="T239" s="35"/>
      <c r="U239" s="35"/>
      <c r="V239" s="35"/>
      <c r="W239" s="35"/>
      <c r="X239" s="35"/>
      <c r="Y239" s="35"/>
      <c r="Z239" s="35"/>
      <c r="AA239" s="35"/>
      <c r="AB239" s="35"/>
      <c r="AC239" s="35"/>
    </row>
    <row r="240" spans="1:29">
      <c r="A240" s="35"/>
      <c r="B240" s="320"/>
      <c r="C240" s="320"/>
      <c r="D240" s="320"/>
      <c r="E240" s="320"/>
      <c r="F240" s="320"/>
      <c r="G240" s="320"/>
      <c r="H240" s="320"/>
      <c r="I240" s="320"/>
      <c r="J240" s="320"/>
      <c r="K240" s="320"/>
      <c r="L240" s="321"/>
      <c r="M240" s="320"/>
      <c r="N240" s="35"/>
      <c r="O240" s="35"/>
      <c r="P240" s="35"/>
      <c r="Q240" s="35"/>
      <c r="R240" s="35"/>
      <c r="S240" s="35"/>
      <c r="T240" s="35"/>
      <c r="U240" s="35"/>
      <c r="V240" s="35"/>
      <c r="W240" s="35"/>
      <c r="X240" s="35"/>
      <c r="Y240" s="35"/>
      <c r="Z240" s="35"/>
      <c r="AA240" s="35"/>
      <c r="AB240" s="35"/>
      <c r="AC240" s="35"/>
    </row>
    <row r="241" spans="1:29">
      <c r="A241" s="35"/>
      <c r="B241" s="320"/>
      <c r="C241" s="320"/>
      <c r="D241" s="320"/>
      <c r="E241" s="320"/>
      <c r="F241" s="320"/>
      <c r="G241" s="320"/>
      <c r="H241" s="320"/>
      <c r="I241" s="320"/>
      <c r="J241" s="320"/>
      <c r="K241" s="320"/>
      <c r="L241" s="321"/>
      <c r="M241" s="320"/>
      <c r="N241" s="35"/>
      <c r="O241" s="35"/>
      <c r="P241" s="35"/>
      <c r="Q241" s="35"/>
      <c r="R241" s="35"/>
      <c r="S241" s="35"/>
      <c r="T241" s="35"/>
      <c r="U241" s="35"/>
      <c r="V241" s="35"/>
      <c r="W241" s="35"/>
      <c r="X241" s="35"/>
      <c r="Y241" s="35"/>
      <c r="Z241" s="35"/>
      <c r="AA241" s="35"/>
      <c r="AB241" s="35"/>
      <c r="AC241" s="35"/>
    </row>
    <row r="242" spans="1:29">
      <c r="A242" s="35"/>
      <c r="B242" s="320"/>
      <c r="C242" s="320"/>
      <c r="D242" s="320"/>
      <c r="E242" s="320"/>
      <c r="F242" s="320"/>
      <c r="G242" s="320"/>
      <c r="H242" s="320"/>
      <c r="I242" s="320"/>
      <c r="J242" s="320"/>
      <c r="K242" s="320"/>
      <c r="L242" s="321"/>
      <c r="M242" s="320"/>
      <c r="N242" s="35"/>
      <c r="O242" s="35"/>
      <c r="P242" s="35"/>
      <c r="Q242" s="35"/>
      <c r="R242" s="35"/>
      <c r="S242" s="35"/>
      <c r="T242" s="35"/>
      <c r="U242" s="35"/>
      <c r="V242" s="35"/>
      <c r="W242" s="35"/>
      <c r="X242" s="35"/>
      <c r="Y242" s="35"/>
      <c r="Z242" s="35"/>
      <c r="AA242" s="35"/>
      <c r="AB242" s="35"/>
      <c r="AC242" s="35"/>
    </row>
    <row r="243" spans="1:29">
      <c r="A243" s="35"/>
      <c r="B243" s="320"/>
      <c r="C243" s="320"/>
      <c r="D243" s="320"/>
      <c r="E243" s="320"/>
      <c r="F243" s="320"/>
      <c r="G243" s="320"/>
      <c r="H243" s="320"/>
      <c r="I243" s="320"/>
      <c r="J243" s="320"/>
      <c r="K243" s="320"/>
      <c r="L243" s="321"/>
      <c r="M243" s="320"/>
      <c r="N243" s="35"/>
      <c r="O243" s="35"/>
      <c r="P243" s="35"/>
      <c r="Q243" s="35"/>
      <c r="R243" s="35"/>
      <c r="S243" s="35"/>
      <c r="T243" s="35"/>
      <c r="U243" s="35"/>
      <c r="V243" s="35"/>
      <c r="W243" s="35"/>
      <c r="X243" s="35"/>
      <c r="Y243" s="35"/>
      <c r="Z243" s="35"/>
      <c r="AA243" s="35"/>
      <c r="AB243" s="35"/>
      <c r="AC243" s="35"/>
    </row>
    <row r="244" spans="1:29">
      <c r="A244" s="35"/>
      <c r="B244" s="320"/>
      <c r="C244" s="320"/>
      <c r="D244" s="320"/>
      <c r="E244" s="320"/>
      <c r="F244" s="320"/>
      <c r="G244" s="320"/>
      <c r="H244" s="320"/>
      <c r="I244" s="320"/>
      <c r="J244" s="320"/>
      <c r="K244" s="320"/>
      <c r="L244" s="321"/>
      <c r="M244" s="320"/>
      <c r="N244" s="35"/>
      <c r="O244" s="35"/>
      <c r="P244" s="35"/>
      <c r="Q244" s="35"/>
      <c r="R244" s="35"/>
      <c r="S244" s="35"/>
      <c r="T244" s="35"/>
      <c r="U244" s="35"/>
      <c r="V244" s="35"/>
      <c r="W244" s="35"/>
      <c r="X244" s="35"/>
      <c r="Y244" s="35"/>
      <c r="Z244" s="35"/>
      <c r="AA244" s="35"/>
      <c r="AB244" s="35"/>
      <c r="AC244" s="35"/>
    </row>
    <row r="245" spans="1:29">
      <c r="A245" s="35"/>
      <c r="B245" s="320"/>
      <c r="C245" s="320"/>
      <c r="D245" s="320"/>
      <c r="E245" s="320"/>
      <c r="F245" s="320"/>
      <c r="G245" s="320"/>
      <c r="H245" s="320"/>
      <c r="I245" s="320"/>
      <c r="J245" s="320"/>
      <c r="K245" s="320"/>
      <c r="L245" s="321"/>
      <c r="M245" s="320"/>
      <c r="N245" s="35"/>
      <c r="O245" s="35"/>
      <c r="P245" s="35"/>
      <c r="Q245" s="35"/>
      <c r="R245" s="35"/>
      <c r="S245" s="35"/>
      <c r="T245" s="35"/>
      <c r="U245" s="35"/>
      <c r="V245" s="35"/>
      <c r="W245" s="35"/>
      <c r="X245" s="35"/>
      <c r="Y245" s="35"/>
      <c r="Z245" s="35"/>
      <c r="AA245" s="35"/>
      <c r="AB245" s="35"/>
      <c r="AC245" s="35"/>
    </row>
    <row r="246" spans="1:29">
      <c r="A246" s="35"/>
      <c r="B246" s="320"/>
      <c r="C246" s="320"/>
      <c r="D246" s="320"/>
      <c r="E246" s="320"/>
      <c r="F246" s="320"/>
      <c r="G246" s="320"/>
      <c r="H246" s="320"/>
      <c r="I246" s="320"/>
      <c r="J246" s="320"/>
      <c r="K246" s="320"/>
      <c r="L246" s="321"/>
      <c r="M246" s="320"/>
      <c r="N246" s="35"/>
      <c r="O246" s="35"/>
      <c r="P246" s="35"/>
      <c r="Q246" s="35"/>
      <c r="R246" s="35"/>
      <c r="S246" s="35"/>
      <c r="T246" s="35"/>
      <c r="U246" s="35"/>
      <c r="V246" s="35"/>
      <c r="W246" s="35"/>
      <c r="X246" s="35"/>
      <c r="Y246" s="35"/>
      <c r="Z246" s="35"/>
      <c r="AA246" s="35"/>
      <c r="AB246" s="35"/>
      <c r="AC246" s="35"/>
    </row>
    <row r="247" spans="1:29">
      <c r="A247" s="35"/>
      <c r="B247" s="320"/>
      <c r="C247" s="320"/>
      <c r="D247" s="320"/>
      <c r="E247" s="320"/>
      <c r="F247" s="320"/>
      <c r="G247" s="320"/>
      <c r="H247" s="320"/>
      <c r="I247" s="320"/>
      <c r="J247" s="320"/>
      <c r="K247" s="320"/>
      <c r="L247" s="321"/>
      <c r="M247" s="320"/>
      <c r="N247" s="35"/>
      <c r="O247" s="35"/>
      <c r="P247" s="35"/>
      <c r="Q247" s="35"/>
      <c r="R247" s="35"/>
      <c r="S247" s="35"/>
      <c r="T247" s="35"/>
      <c r="U247" s="35"/>
      <c r="V247" s="35"/>
      <c r="W247" s="35"/>
      <c r="X247" s="35"/>
      <c r="Y247" s="35"/>
      <c r="Z247" s="35"/>
      <c r="AA247" s="35"/>
      <c r="AB247" s="35"/>
      <c r="AC247" s="35"/>
    </row>
    <row r="248" spans="1:29">
      <c r="A248" s="35"/>
      <c r="B248" s="320"/>
      <c r="C248" s="320"/>
      <c r="D248" s="320"/>
      <c r="E248" s="320"/>
      <c r="F248" s="320"/>
      <c r="G248" s="320"/>
      <c r="H248" s="320"/>
      <c r="I248" s="320"/>
      <c r="J248" s="320"/>
      <c r="K248" s="320"/>
      <c r="L248" s="321"/>
      <c r="M248" s="320"/>
      <c r="N248" s="35"/>
      <c r="O248" s="35"/>
      <c r="P248" s="35"/>
      <c r="Q248" s="35"/>
      <c r="R248" s="35"/>
      <c r="S248" s="35"/>
      <c r="T248" s="35"/>
      <c r="U248" s="35"/>
      <c r="V248" s="35"/>
      <c r="W248" s="35"/>
      <c r="X248" s="35"/>
      <c r="Y248" s="35"/>
      <c r="Z248" s="35"/>
      <c r="AA248" s="35"/>
      <c r="AB248" s="35"/>
      <c r="AC248" s="35"/>
    </row>
    <row r="249" spans="1:29">
      <c r="A249" s="35"/>
      <c r="B249" s="320"/>
      <c r="C249" s="320"/>
      <c r="D249" s="320"/>
      <c r="E249" s="320"/>
      <c r="F249" s="320"/>
      <c r="G249" s="320"/>
      <c r="H249" s="320"/>
      <c r="I249" s="320"/>
      <c r="J249" s="320"/>
      <c r="K249" s="320"/>
      <c r="L249" s="321"/>
      <c r="M249" s="320"/>
      <c r="N249" s="35"/>
      <c r="O249" s="35"/>
      <c r="P249" s="35"/>
      <c r="Q249" s="35"/>
      <c r="R249" s="35"/>
      <c r="S249" s="35"/>
      <c r="T249" s="35"/>
      <c r="U249" s="35"/>
      <c r="V249" s="35"/>
      <c r="W249" s="35"/>
      <c r="X249" s="35"/>
      <c r="Y249" s="35"/>
      <c r="Z249" s="35"/>
      <c r="AA249" s="35"/>
      <c r="AB249" s="35"/>
      <c r="AC249" s="35"/>
    </row>
    <row r="250" spans="1:29">
      <c r="A250" s="35"/>
      <c r="B250" s="320"/>
      <c r="C250" s="320"/>
      <c r="D250" s="320"/>
      <c r="E250" s="320"/>
      <c r="F250" s="320"/>
      <c r="G250" s="320"/>
      <c r="H250" s="320"/>
      <c r="I250" s="320"/>
      <c r="J250" s="320"/>
      <c r="K250" s="320"/>
      <c r="L250" s="321"/>
      <c r="M250" s="320"/>
      <c r="N250" s="35"/>
      <c r="O250" s="35"/>
      <c r="P250" s="35"/>
      <c r="Q250" s="35"/>
      <c r="R250" s="35"/>
      <c r="S250" s="35"/>
      <c r="T250" s="35"/>
      <c r="U250" s="35"/>
      <c r="V250" s="35"/>
      <c r="W250" s="35"/>
      <c r="X250" s="35"/>
      <c r="Y250" s="35"/>
      <c r="Z250" s="35"/>
      <c r="AA250" s="35"/>
      <c r="AB250" s="35"/>
      <c r="AC250" s="35"/>
    </row>
    <row r="251" spans="1:29">
      <c r="A251" s="35"/>
      <c r="B251" s="320"/>
      <c r="C251" s="320"/>
      <c r="D251" s="320"/>
      <c r="E251" s="320"/>
      <c r="F251" s="320"/>
      <c r="G251" s="320"/>
      <c r="H251" s="320"/>
      <c r="I251" s="320"/>
      <c r="J251" s="320"/>
      <c r="K251" s="320"/>
      <c r="L251" s="321"/>
      <c r="M251" s="320"/>
      <c r="N251" s="35"/>
      <c r="O251" s="35"/>
      <c r="P251" s="35"/>
      <c r="Q251" s="35"/>
      <c r="R251" s="35"/>
      <c r="S251" s="35"/>
      <c r="T251" s="35"/>
      <c r="U251" s="35"/>
      <c r="V251" s="35"/>
      <c r="W251" s="35"/>
      <c r="X251" s="35"/>
      <c r="Y251" s="35"/>
      <c r="Z251" s="35"/>
      <c r="AA251" s="35"/>
      <c r="AB251" s="35"/>
      <c r="AC251" s="35"/>
    </row>
    <row r="252" spans="1:29">
      <c r="A252" s="35"/>
      <c r="B252" s="320"/>
      <c r="C252" s="320"/>
      <c r="D252" s="320"/>
      <c r="E252" s="320"/>
      <c r="F252" s="320"/>
      <c r="G252" s="320"/>
      <c r="H252" s="320"/>
      <c r="I252" s="320"/>
      <c r="J252" s="320"/>
      <c r="K252" s="320"/>
      <c r="L252" s="321"/>
      <c r="M252" s="320"/>
      <c r="N252" s="35"/>
      <c r="O252" s="35"/>
      <c r="P252" s="35"/>
      <c r="Q252" s="35"/>
      <c r="R252" s="35"/>
      <c r="S252" s="35"/>
      <c r="T252" s="35"/>
      <c r="U252" s="35"/>
      <c r="V252" s="35"/>
      <c r="W252" s="35"/>
      <c r="X252" s="35"/>
      <c r="Y252" s="35"/>
      <c r="Z252" s="35"/>
      <c r="AA252" s="35"/>
      <c r="AB252" s="35"/>
      <c r="AC252" s="35"/>
    </row>
    <row r="253" spans="1:29">
      <c r="A253" s="35"/>
      <c r="B253" s="320"/>
      <c r="C253" s="320"/>
      <c r="D253" s="320"/>
      <c r="E253" s="320"/>
      <c r="F253" s="320"/>
      <c r="G253" s="320"/>
      <c r="H253" s="320"/>
      <c r="I253" s="320"/>
      <c r="J253" s="320"/>
      <c r="K253" s="320"/>
      <c r="L253" s="321"/>
      <c r="M253" s="320"/>
      <c r="N253" s="35"/>
      <c r="O253" s="35"/>
      <c r="P253" s="35"/>
      <c r="Q253" s="35"/>
      <c r="R253" s="35"/>
      <c r="S253" s="35"/>
      <c r="T253" s="35"/>
      <c r="U253" s="35"/>
      <c r="V253" s="35"/>
      <c r="W253" s="35"/>
      <c r="X253" s="35"/>
      <c r="Y253" s="35"/>
      <c r="Z253" s="35"/>
      <c r="AA253" s="35"/>
      <c r="AB253" s="35"/>
      <c r="AC253" s="35"/>
    </row>
    <row r="254" spans="1:29">
      <c r="A254" s="35"/>
      <c r="B254" s="320"/>
      <c r="C254" s="320"/>
      <c r="D254" s="320"/>
      <c r="E254" s="320"/>
      <c r="F254" s="320"/>
      <c r="G254" s="320"/>
      <c r="H254" s="320"/>
      <c r="I254" s="320"/>
      <c r="J254" s="320"/>
      <c r="K254" s="320"/>
      <c r="L254" s="321"/>
      <c r="M254" s="320"/>
      <c r="N254" s="35"/>
      <c r="O254" s="35"/>
      <c r="P254" s="35"/>
      <c r="Q254" s="35"/>
      <c r="R254" s="35"/>
      <c r="S254" s="35"/>
      <c r="T254" s="35"/>
      <c r="U254" s="35"/>
      <c r="V254" s="35"/>
      <c r="W254" s="35"/>
      <c r="X254" s="35"/>
      <c r="Y254" s="35"/>
      <c r="Z254" s="35"/>
      <c r="AA254" s="35"/>
      <c r="AB254" s="35"/>
      <c r="AC254" s="35"/>
    </row>
    <row r="255" spans="1:29">
      <c r="A255" s="35"/>
      <c r="B255" s="320"/>
      <c r="C255" s="320"/>
      <c r="D255" s="320"/>
      <c r="E255" s="320"/>
      <c r="F255" s="320"/>
      <c r="G255" s="320"/>
      <c r="H255" s="320"/>
      <c r="I255" s="320"/>
      <c r="J255" s="320"/>
      <c r="K255" s="320"/>
      <c r="L255" s="321"/>
      <c r="M255" s="320"/>
      <c r="N255" s="35"/>
      <c r="O255" s="35"/>
      <c r="P255" s="35"/>
      <c r="Q255" s="35"/>
      <c r="R255" s="35"/>
      <c r="S255" s="35"/>
      <c r="T255" s="35"/>
      <c r="U255" s="35"/>
      <c r="V255" s="35"/>
      <c r="W255" s="35"/>
      <c r="X255" s="35"/>
      <c r="Y255" s="35"/>
      <c r="Z255" s="35"/>
      <c r="AA255" s="35"/>
      <c r="AB255" s="35"/>
      <c r="AC255" s="35"/>
    </row>
    <row r="256" spans="1:29">
      <c r="A256" s="35"/>
      <c r="B256" s="320"/>
      <c r="C256" s="320"/>
      <c r="D256" s="320"/>
      <c r="E256" s="320"/>
      <c r="F256" s="320"/>
      <c r="G256" s="320"/>
      <c r="H256" s="320"/>
      <c r="I256" s="320"/>
      <c r="J256" s="320"/>
      <c r="K256" s="320"/>
      <c r="L256" s="321"/>
      <c r="M256" s="320"/>
      <c r="N256" s="35"/>
      <c r="O256" s="35"/>
      <c r="P256" s="35"/>
      <c r="Q256" s="35"/>
      <c r="R256" s="35"/>
      <c r="S256" s="35"/>
      <c r="T256" s="35"/>
      <c r="U256" s="35"/>
      <c r="V256" s="35"/>
      <c r="W256" s="35"/>
      <c r="X256" s="35"/>
      <c r="Y256" s="35"/>
      <c r="Z256" s="35"/>
      <c r="AA256" s="35"/>
      <c r="AB256" s="35"/>
      <c r="AC256" s="35"/>
    </row>
    <row r="257" spans="1:29">
      <c r="A257" s="35"/>
      <c r="B257" s="320"/>
      <c r="C257" s="320"/>
      <c r="D257" s="320"/>
      <c r="E257" s="320"/>
      <c r="F257" s="320"/>
      <c r="G257" s="320"/>
      <c r="H257" s="320"/>
      <c r="I257" s="320"/>
      <c r="J257" s="320"/>
      <c r="K257" s="320"/>
      <c r="L257" s="321"/>
      <c r="M257" s="320"/>
      <c r="N257" s="35"/>
      <c r="O257" s="35"/>
      <c r="P257" s="35"/>
      <c r="Q257" s="35"/>
      <c r="R257" s="35"/>
      <c r="S257" s="35"/>
      <c r="T257" s="35"/>
      <c r="U257" s="35"/>
      <c r="V257" s="35"/>
      <c r="W257" s="35"/>
      <c r="X257" s="35"/>
      <c r="Y257" s="35"/>
      <c r="Z257" s="35"/>
      <c r="AA257" s="35"/>
      <c r="AB257" s="35"/>
      <c r="AC257" s="35"/>
    </row>
    <row r="258" spans="1:29">
      <c r="A258" s="35"/>
      <c r="B258" s="320"/>
      <c r="C258" s="320"/>
      <c r="D258" s="320"/>
      <c r="E258" s="320"/>
      <c r="F258" s="320"/>
      <c r="G258" s="320"/>
      <c r="H258" s="320"/>
      <c r="I258" s="320"/>
      <c r="J258" s="320"/>
      <c r="K258" s="320"/>
      <c r="L258" s="321"/>
      <c r="M258" s="320"/>
      <c r="N258" s="35"/>
      <c r="O258" s="35"/>
      <c r="P258" s="35"/>
      <c r="Q258" s="35"/>
      <c r="R258" s="35"/>
      <c r="S258" s="35"/>
      <c r="T258" s="35"/>
      <c r="U258" s="35"/>
      <c r="V258" s="35"/>
      <c r="W258" s="35"/>
      <c r="X258" s="35"/>
      <c r="Y258" s="35"/>
      <c r="Z258" s="35"/>
      <c r="AA258" s="35"/>
      <c r="AB258" s="35"/>
      <c r="AC258" s="35"/>
    </row>
    <row r="259" spans="1:29">
      <c r="A259" s="35"/>
      <c r="B259" s="320"/>
      <c r="C259" s="320"/>
      <c r="D259" s="320"/>
      <c r="E259" s="320"/>
      <c r="F259" s="320"/>
      <c r="G259" s="320"/>
      <c r="H259" s="320"/>
      <c r="I259" s="320"/>
      <c r="J259" s="320"/>
      <c r="K259" s="320"/>
      <c r="L259" s="321"/>
      <c r="M259" s="320"/>
      <c r="N259" s="35"/>
      <c r="O259" s="35"/>
      <c r="P259" s="35"/>
      <c r="Q259" s="35"/>
      <c r="R259" s="35"/>
      <c r="S259" s="35"/>
      <c r="T259" s="35"/>
      <c r="U259" s="35"/>
      <c r="V259" s="35"/>
      <c r="W259" s="35"/>
      <c r="X259" s="35"/>
      <c r="Y259" s="35"/>
      <c r="Z259" s="35"/>
      <c r="AA259" s="35"/>
      <c r="AB259" s="35"/>
      <c r="AC259" s="35"/>
    </row>
    <row r="260" spans="1:29">
      <c r="A260" s="35"/>
      <c r="B260" s="320"/>
      <c r="C260" s="320"/>
      <c r="D260" s="320"/>
      <c r="E260" s="320"/>
      <c r="F260" s="320"/>
      <c r="G260" s="320"/>
      <c r="H260" s="320"/>
      <c r="I260" s="320"/>
      <c r="J260" s="320"/>
      <c r="K260" s="320"/>
      <c r="L260" s="321"/>
      <c r="M260" s="320"/>
      <c r="N260" s="35"/>
      <c r="O260" s="35"/>
      <c r="P260" s="35"/>
      <c r="Q260" s="35"/>
      <c r="R260" s="35"/>
      <c r="S260" s="35"/>
      <c r="T260" s="35"/>
      <c r="U260" s="35"/>
      <c r="V260" s="35"/>
      <c r="W260" s="35"/>
      <c r="X260" s="35"/>
      <c r="Y260" s="35"/>
      <c r="Z260" s="35"/>
      <c r="AA260" s="35"/>
      <c r="AB260" s="35"/>
      <c r="AC260" s="35"/>
    </row>
    <row r="261" spans="1:29">
      <c r="A261" s="35"/>
      <c r="B261" s="320"/>
      <c r="C261" s="320"/>
      <c r="D261" s="320"/>
      <c r="E261" s="320"/>
      <c r="F261" s="320"/>
      <c r="G261" s="320"/>
      <c r="H261" s="320"/>
      <c r="I261" s="320"/>
      <c r="J261" s="320"/>
      <c r="K261" s="320"/>
      <c r="L261" s="321"/>
      <c r="M261" s="320"/>
      <c r="N261" s="35"/>
      <c r="O261" s="35"/>
      <c r="P261" s="35"/>
      <c r="Q261" s="35"/>
      <c r="R261" s="35"/>
      <c r="S261" s="35"/>
      <c r="T261" s="35"/>
      <c r="U261" s="35"/>
      <c r="V261" s="35"/>
      <c r="W261" s="35"/>
      <c r="X261" s="35"/>
      <c r="Y261" s="35"/>
      <c r="Z261" s="35"/>
      <c r="AA261" s="35"/>
      <c r="AB261" s="35"/>
      <c r="AC261" s="35"/>
    </row>
    <row r="262" spans="1:29">
      <c r="A262" s="35"/>
      <c r="B262" s="320"/>
      <c r="C262" s="320"/>
      <c r="D262" s="320"/>
      <c r="E262" s="320"/>
      <c r="F262" s="320"/>
      <c r="G262" s="320"/>
      <c r="H262" s="320"/>
      <c r="I262" s="320"/>
      <c r="J262" s="320"/>
      <c r="K262" s="320"/>
      <c r="L262" s="321"/>
      <c r="M262" s="320"/>
      <c r="N262" s="35"/>
      <c r="O262" s="35"/>
      <c r="P262" s="35"/>
      <c r="Q262" s="35"/>
      <c r="R262" s="35"/>
      <c r="S262" s="35"/>
      <c r="T262" s="35"/>
      <c r="U262" s="35"/>
      <c r="V262" s="35"/>
      <c r="W262" s="35"/>
      <c r="X262" s="35"/>
      <c r="Y262" s="35"/>
      <c r="Z262" s="35"/>
      <c r="AA262" s="35"/>
      <c r="AB262" s="35"/>
      <c r="AC262" s="35"/>
    </row>
    <row r="263" spans="1:29">
      <c r="A263" s="35"/>
      <c r="B263" s="320"/>
      <c r="C263" s="320"/>
      <c r="D263" s="320"/>
      <c r="E263" s="320"/>
      <c r="F263" s="320"/>
      <c r="G263" s="320"/>
      <c r="H263" s="320"/>
      <c r="I263" s="320"/>
      <c r="J263" s="320"/>
      <c r="K263" s="320"/>
      <c r="L263" s="321"/>
      <c r="M263" s="320"/>
      <c r="N263" s="35"/>
      <c r="O263" s="35"/>
      <c r="P263" s="35"/>
      <c r="Q263" s="35"/>
      <c r="R263" s="35"/>
      <c r="S263" s="35"/>
      <c r="T263" s="35"/>
      <c r="U263" s="35"/>
      <c r="V263" s="35"/>
      <c r="W263" s="35"/>
      <c r="X263" s="35"/>
      <c r="Y263" s="35"/>
      <c r="Z263" s="35"/>
      <c r="AA263" s="35"/>
      <c r="AB263" s="35"/>
      <c r="AC263" s="35"/>
    </row>
    <row r="264" spans="1:29">
      <c r="A264" s="35"/>
      <c r="B264" s="320"/>
      <c r="C264" s="320"/>
      <c r="D264" s="320"/>
      <c r="E264" s="320"/>
      <c r="F264" s="320"/>
      <c r="G264" s="320"/>
      <c r="H264" s="320"/>
      <c r="I264" s="320"/>
      <c r="J264" s="320"/>
      <c r="K264" s="320"/>
      <c r="L264" s="321"/>
      <c r="M264" s="320"/>
      <c r="N264" s="35"/>
      <c r="O264" s="35"/>
      <c r="P264" s="35"/>
      <c r="Q264" s="35"/>
      <c r="R264" s="35"/>
      <c r="S264" s="35"/>
      <c r="T264" s="35"/>
      <c r="U264" s="35"/>
      <c r="V264" s="35"/>
      <c r="W264" s="35"/>
      <c r="X264" s="35"/>
      <c r="Y264" s="35"/>
      <c r="Z264" s="35"/>
      <c r="AA264" s="35"/>
      <c r="AB264" s="35"/>
      <c r="AC264" s="35"/>
    </row>
    <row r="265" spans="1:29">
      <c r="A265" s="35"/>
      <c r="B265" s="320"/>
      <c r="C265" s="320"/>
      <c r="D265" s="320"/>
      <c r="E265" s="320"/>
      <c r="F265" s="320"/>
      <c r="G265" s="320"/>
      <c r="H265" s="320"/>
      <c r="I265" s="320"/>
      <c r="J265" s="320"/>
      <c r="K265" s="320"/>
      <c r="L265" s="321"/>
      <c r="M265" s="320"/>
      <c r="N265" s="35"/>
      <c r="O265" s="35"/>
      <c r="P265" s="35"/>
      <c r="Q265" s="35"/>
      <c r="R265" s="35"/>
      <c r="S265" s="35"/>
      <c r="T265" s="35"/>
      <c r="U265" s="35"/>
      <c r="V265" s="35"/>
      <c r="W265" s="35"/>
      <c r="X265" s="35"/>
      <c r="Y265" s="35"/>
      <c r="Z265" s="35"/>
      <c r="AA265" s="35"/>
      <c r="AB265" s="35"/>
      <c r="AC265" s="35"/>
    </row>
    <row r="266" spans="1:29">
      <c r="A266" s="35"/>
      <c r="B266" s="320"/>
      <c r="C266" s="320"/>
      <c r="D266" s="320"/>
      <c r="E266" s="320"/>
      <c r="F266" s="320"/>
      <c r="G266" s="320"/>
      <c r="H266" s="320"/>
      <c r="I266" s="320"/>
      <c r="J266" s="320"/>
      <c r="K266" s="320"/>
      <c r="L266" s="321"/>
      <c r="M266" s="320"/>
      <c r="N266" s="35"/>
      <c r="O266" s="35"/>
      <c r="P266" s="35"/>
      <c r="Q266" s="35"/>
      <c r="R266" s="35"/>
      <c r="S266" s="35"/>
      <c r="T266" s="35"/>
      <c r="U266" s="35"/>
      <c r="V266" s="35"/>
      <c r="W266" s="35"/>
      <c r="X266" s="35"/>
      <c r="Y266" s="35"/>
      <c r="Z266" s="35"/>
      <c r="AA266" s="35"/>
      <c r="AB266" s="35"/>
      <c r="AC266" s="35"/>
    </row>
    <row r="267" spans="1:29">
      <c r="A267" s="35"/>
      <c r="B267" s="320"/>
      <c r="C267" s="320"/>
      <c r="D267" s="320"/>
      <c r="E267" s="320"/>
      <c r="F267" s="320"/>
      <c r="G267" s="320"/>
      <c r="H267" s="320"/>
      <c r="I267" s="320"/>
      <c r="J267" s="320"/>
      <c r="K267" s="320"/>
      <c r="L267" s="321"/>
      <c r="M267" s="320"/>
      <c r="N267" s="35"/>
      <c r="O267" s="35"/>
      <c r="P267" s="35"/>
      <c r="Q267" s="35"/>
      <c r="R267" s="35"/>
      <c r="S267" s="35"/>
      <c r="T267" s="35"/>
      <c r="U267" s="35"/>
      <c r="V267" s="35"/>
      <c r="W267" s="35"/>
      <c r="X267" s="35"/>
      <c r="Y267" s="35"/>
      <c r="Z267" s="35"/>
      <c r="AA267" s="35"/>
      <c r="AB267" s="35"/>
      <c r="AC267" s="35"/>
    </row>
    <row r="268" spans="1:29">
      <c r="A268" s="35"/>
      <c r="B268" s="320"/>
      <c r="C268" s="320"/>
      <c r="D268" s="320"/>
      <c r="E268" s="320"/>
      <c r="F268" s="320"/>
      <c r="G268" s="320"/>
      <c r="H268" s="320"/>
      <c r="I268" s="320"/>
      <c r="J268" s="320"/>
      <c r="K268" s="320"/>
      <c r="L268" s="321"/>
      <c r="M268" s="320"/>
      <c r="N268" s="35"/>
      <c r="O268" s="35"/>
      <c r="P268" s="35"/>
      <c r="Q268" s="35"/>
      <c r="R268" s="35"/>
      <c r="S268" s="35"/>
      <c r="T268" s="35"/>
      <c r="U268" s="35"/>
      <c r="V268" s="35"/>
      <c r="W268" s="35"/>
      <c r="X268" s="35"/>
      <c r="Y268" s="35"/>
      <c r="Z268" s="35"/>
      <c r="AA268" s="35"/>
      <c r="AB268" s="35"/>
      <c r="AC268" s="35"/>
    </row>
    <row r="269" spans="1:29">
      <c r="A269" s="35"/>
      <c r="B269" s="320"/>
      <c r="C269" s="320"/>
      <c r="D269" s="320"/>
      <c r="E269" s="320"/>
      <c r="F269" s="320"/>
      <c r="G269" s="320"/>
      <c r="H269" s="320"/>
      <c r="I269" s="320"/>
      <c r="J269" s="320"/>
      <c r="K269" s="320"/>
      <c r="L269" s="321"/>
      <c r="M269" s="320"/>
      <c r="N269" s="35"/>
      <c r="O269" s="35"/>
      <c r="P269" s="35"/>
      <c r="Q269" s="35"/>
      <c r="R269" s="35"/>
      <c r="S269" s="35"/>
      <c r="T269" s="35"/>
      <c r="U269" s="35"/>
      <c r="V269" s="35"/>
      <c r="W269" s="35"/>
      <c r="X269" s="35"/>
      <c r="Y269" s="35"/>
      <c r="Z269" s="35"/>
      <c r="AA269" s="35"/>
      <c r="AB269" s="35"/>
      <c r="AC269" s="35"/>
    </row>
    <row r="270" spans="1:29">
      <c r="A270" s="35"/>
      <c r="B270" s="320"/>
      <c r="C270" s="320"/>
      <c r="D270" s="320"/>
      <c r="E270" s="320"/>
      <c r="F270" s="320"/>
      <c r="G270" s="320"/>
      <c r="H270" s="320"/>
      <c r="I270" s="320"/>
      <c r="J270" s="320"/>
      <c r="K270" s="320"/>
      <c r="L270" s="321"/>
      <c r="M270" s="320"/>
      <c r="N270" s="35"/>
      <c r="O270" s="35"/>
      <c r="P270" s="35"/>
      <c r="Q270" s="35"/>
      <c r="R270" s="35"/>
      <c r="S270" s="35"/>
      <c r="T270" s="35"/>
      <c r="U270" s="35"/>
      <c r="V270" s="35"/>
      <c r="W270" s="35"/>
      <c r="X270" s="35"/>
      <c r="Y270" s="35"/>
      <c r="Z270" s="35"/>
      <c r="AA270" s="35"/>
      <c r="AB270" s="35"/>
      <c r="AC270" s="35"/>
    </row>
    <row r="271" spans="1:29">
      <c r="A271" s="35"/>
      <c r="B271" s="320"/>
      <c r="C271" s="320"/>
      <c r="D271" s="320"/>
      <c r="E271" s="320"/>
      <c r="F271" s="320"/>
      <c r="G271" s="320"/>
      <c r="H271" s="320"/>
      <c r="I271" s="320"/>
      <c r="J271" s="320"/>
      <c r="K271" s="320"/>
      <c r="L271" s="321"/>
      <c r="M271" s="320"/>
      <c r="N271" s="35"/>
      <c r="O271" s="35"/>
      <c r="P271" s="35"/>
      <c r="Q271" s="35"/>
      <c r="R271" s="35"/>
      <c r="S271" s="35"/>
      <c r="T271" s="35"/>
      <c r="U271" s="35"/>
      <c r="V271" s="35"/>
      <c r="W271" s="35"/>
      <c r="X271" s="35"/>
      <c r="Y271" s="35"/>
      <c r="Z271" s="35"/>
      <c r="AA271" s="35"/>
      <c r="AB271" s="35"/>
      <c r="AC271" s="35"/>
    </row>
    <row r="272" spans="1:29">
      <c r="A272" s="35"/>
      <c r="B272" s="320"/>
      <c r="C272" s="320"/>
      <c r="D272" s="320"/>
      <c r="E272" s="320"/>
      <c r="F272" s="320"/>
      <c r="G272" s="320"/>
      <c r="H272" s="320"/>
      <c r="I272" s="320"/>
      <c r="J272" s="320"/>
      <c r="K272" s="320"/>
      <c r="L272" s="321"/>
      <c r="M272" s="320"/>
      <c r="N272" s="35"/>
      <c r="O272" s="35"/>
      <c r="P272" s="35"/>
      <c r="Q272" s="35"/>
      <c r="R272" s="35"/>
      <c r="S272" s="35"/>
      <c r="T272" s="35"/>
      <c r="U272" s="35"/>
      <c r="V272" s="35"/>
      <c r="W272" s="35"/>
      <c r="X272" s="35"/>
      <c r="Y272" s="35"/>
      <c r="Z272" s="35"/>
      <c r="AA272" s="35"/>
      <c r="AB272" s="35"/>
      <c r="AC272" s="35"/>
    </row>
    <row r="273" spans="1:29">
      <c r="A273" s="35"/>
      <c r="B273" s="320"/>
      <c r="C273" s="320"/>
      <c r="D273" s="320"/>
      <c r="E273" s="320"/>
      <c r="F273" s="320"/>
      <c r="G273" s="320"/>
      <c r="H273" s="320"/>
      <c r="I273" s="320"/>
      <c r="J273" s="320"/>
      <c r="K273" s="320"/>
      <c r="L273" s="321"/>
      <c r="M273" s="320"/>
      <c r="N273" s="35"/>
      <c r="O273" s="35"/>
      <c r="P273" s="35"/>
      <c r="Q273" s="35"/>
      <c r="R273" s="35"/>
      <c r="S273" s="35"/>
      <c r="T273" s="35"/>
      <c r="U273" s="35"/>
      <c r="V273" s="35"/>
      <c r="W273" s="35"/>
      <c r="X273" s="35"/>
      <c r="Y273" s="35"/>
      <c r="Z273" s="35"/>
      <c r="AA273" s="35"/>
      <c r="AB273" s="35"/>
      <c r="AC273" s="35"/>
    </row>
    <row r="274" spans="1:29">
      <c r="A274" s="35"/>
      <c r="B274" s="320"/>
      <c r="C274" s="320"/>
      <c r="D274" s="320"/>
      <c r="E274" s="320"/>
      <c r="F274" s="320"/>
      <c r="G274" s="320"/>
      <c r="H274" s="320"/>
      <c r="I274" s="320"/>
      <c r="J274" s="320"/>
      <c r="K274" s="320"/>
      <c r="L274" s="321"/>
      <c r="M274" s="320"/>
      <c r="N274" s="35"/>
      <c r="O274" s="35"/>
      <c r="P274" s="35"/>
      <c r="Q274" s="35"/>
      <c r="R274" s="35"/>
      <c r="S274" s="35"/>
      <c r="T274" s="35"/>
      <c r="U274" s="35"/>
      <c r="V274" s="35"/>
      <c r="W274" s="35"/>
      <c r="X274" s="35"/>
      <c r="Y274" s="35"/>
      <c r="Z274" s="35"/>
      <c r="AA274" s="35"/>
      <c r="AB274" s="35"/>
      <c r="AC274" s="35"/>
    </row>
    <row r="275" spans="1:29">
      <c r="A275" s="35"/>
      <c r="B275" s="320"/>
      <c r="C275" s="320"/>
      <c r="D275" s="320"/>
      <c r="E275" s="320"/>
      <c r="F275" s="320"/>
      <c r="G275" s="320"/>
      <c r="H275" s="320"/>
      <c r="I275" s="320"/>
      <c r="J275" s="320"/>
      <c r="K275" s="320"/>
      <c r="L275" s="321"/>
      <c r="M275" s="320"/>
      <c r="N275" s="35"/>
      <c r="O275" s="35"/>
      <c r="P275" s="35"/>
      <c r="Q275" s="35"/>
      <c r="R275" s="35"/>
      <c r="S275" s="35"/>
      <c r="T275" s="35"/>
      <c r="U275" s="35"/>
      <c r="V275" s="35"/>
      <c r="W275" s="35"/>
      <c r="X275" s="35"/>
      <c r="Y275" s="35"/>
      <c r="Z275" s="35"/>
      <c r="AA275" s="35"/>
      <c r="AB275" s="35"/>
      <c r="AC275" s="35"/>
    </row>
    <row r="276" spans="1:29">
      <c r="A276" s="35"/>
      <c r="B276" s="320"/>
      <c r="C276" s="320"/>
      <c r="D276" s="320"/>
      <c r="E276" s="320"/>
      <c r="F276" s="320"/>
      <c r="G276" s="320"/>
      <c r="H276" s="320"/>
      <c r="I276" s="320"/>
      <c r="J276" s="320"/>
      <c r="K276" s="320"/>
      <c r="L276" s="321"/>
      <c r="M276" s="320"/>
      <c r="N276" s="35"/>
      <c r="O276" s="35"/>
      <c r="P276" s="35"/>
      <c r="Q276" s="35"/>
      <c r="R276" s="35"/>
      <c r="S276" s="35"/>
      <c r="T276" s="35"/>
      <c r="U276" s="35"/>
      <c r="V276" s="35"/>
      <c r="W276" s="35"/>
      <c r="X276" s="35"/>
      <c r="Y276" s="35"/>
      <c r="Z276" s="35"/>
      <c r="AA276" s="35"/>
      <c r="AB276" s="35"/>
      <c r="AC276" s="35"/>
    </row>
    <row r="277" spans="1:29">
      <c r="A277" s="35"/>
      <c r="B277" s="320"/>
      <c r="C277" s="320"/>
      <c r="D277" s="320"/>
      <c r="E277" s="320"/>
      <c r="F277" s="320"/>
      <c r="G277" s="320"/>
      <c r="H277" s="320"/>
      <c r="I277" s="320"/>
      <c r="J277" s="320"/>
      <c r="K277" s="320"/>
      <c r="L277" s="321"/>
      <c r="M277" s="320"/>
      <c r="N277" s="35"/>
      <c r="O277" s="35"/>
      <c r="P277" s="35"/>
      <c r="Q277" s="35"/>
      <c r="R277" s="35"/>
      <c r="S277" s="35"/>
      <c r="T277" s="35"/>
      <c r="U277" s="35"/>
      <c r="V277" s="35"/>
      <c r="W277" s="35"/>
      <c r="X277" s="35"/>
      <c r="Y277" s="35"/>
      <c r="Z277" s="35"/>
      <c r="AA277" s="35"/>
      <c r="AB277" s="35"/>
      <c r="AC277" s="35"/>
    </row>
    <row r="278" spans="1:29">
      <c r="A278" s="35"/>
      <c r="B278" s="320"/>
      <c r="C278" s="320"/>
      <c r="D278" s="320"/>
      <c r="E278" s="320"/>
      <c r="F278" s="320"/>
      <c r="G278" s="320"/>
      <c r="H278" s="320"/>
      <c r="I278" s="320"/>
      <c r="J278" s="320"/>
      <c r="K278" s="320"/>
      <c r="L278" s="321"/>
      <c r="M278" s="320"/>
      <c r="N278" s="35"/>
      <c r="O278" s="35"/>
      <c r="P278" s="35"/>
      <c r="Q278" s="35"/>
      <c r="R278" s="35"/>
      <c r="S278" s="35"/>
      <c r="T278" s="35"/>
      <c r="U278" s="35"/>
      <c r="V278" s="35"/>
      <c r="W278" s="35"/>
      <c r="X278" s="35"/>
      <c r="Y278" s="35"/>
      <c r="Z278" s="35"/>
      <c r="AA278" s="35"/>
      <c r="AB278" s="35"/>
      <c r="AC278" s="35"/>
    </row>
    <row r="279" spans="1:29">
      <c r="A279" s="35"/>
      <c r="B279" s="320"/>
      <c r="C279" s="320"/>
      <c r="D279" s="320"/>
      <c r="E279" s="320"/>
      <c r="F279" s="320"/>
      <c r="G279" s="320"/>
      <c r="H279" s="320"/>
      <c r="I279" s="320"/>
      <c r="J279" s="320"/>
      <c r="K279" s="320"/>
      <c r="L279" s="321"/>
      <c r="M279" s="320"/>
      <c r="N279" s="35"/>
      <c r="O279" s="35"/>
      <c r="P279" s="35"/>
      <c r="Q279" s="35"/>
      <c r="R279" s="35"/>
      <c r="S279" s="35"/>
      <c r="T279" s="35"/>
      <c r="U279" s="35"/>
      <c r="V279" s="35"/>
      <c r="W279" s="35"/>
      <c r="X279" s="35"/>
      <c r="Y279" s="35"/>
      <c r="Z279" s="35"/>
      <c r="AA279" s="35"/>
      <c r="AB279" s="35"/>
      <c r="AC279" s="35"/>
    </row>
    <row r="280" spans="1:29">
      <c r="A280" s="35"/>
      <c r="B280" s="320"/>
      <c r="C280" s="320"/>
      <c r="D280" s="320"/>
      <c r="E280" s="320"/>
      <c r="F280" s="320"/>
      <c r="G280" s="320"/>
      <c r="H280" s="320"/>
      <c r="I280" s="320"/>
      <c r="J280" s="320"/>
      <c r="K280" s="320"/>
      <c r="L280" s="321"/>
      <c r="M280" s="320"/>
      <c r="N280" s="35"/>
      <c r="O280" s="35"/>
      <c r="P280" s="35"/>
      <c r="Q280" s="35"/>
      <c r="R280" s="35"/>
      <c r="S280" s="35"/>
      <c r="T280" s="35"/>
      <c r="U280" s="35"/>
      <c r="V280" s="35"/>
      <c r="W280" s="35"/>
      <c r="X280" s="35"/>
      <c r="Y280" s="35"/>
      <c r="Z280" s="35"/>
      <c r="AA280" s="35"/>
      <c r="AB280" s="35"/>
      <c r="AC280" s="35"/>
    </row>
    <row r="281" spans="1:29">
      <c r="A281" s="35"/>
      <c r="B281" s="320"/>
      <c r="C281" s="320"/>
      <c r="D281" s="320"/>
      <c r="E281" s="320"/>
      <c r="F281" s="320"/>
      <c r="G281" s="320"/>
      <c r="H281" s="320"/>
      <c r="I281" s="320"/>
      <c r="J281" s="320"/>
      <c r="K281" s="320"/>
      <c r="L281" s="321"/>
      <c r="M281" s="320"/>
      <c r="N281" s="35"/>
      <c r="O281" s="35"/>
      <c r="P281" s="35"/>
      <c r="Q281" s="35"/>
      <c r="R281" s="35"/>
      <c r="S281" s="35"/>
      <c r="T281" s="35"/>
      <c r="U281" s="35"/>
      <c r="V281" s="35"/>
      <c r="W281" s="35"/>
      <c r="X281" s="35"/>
      <c r="Y281" s="35"/>
      <c r="Z281" s="35"/>
      <c r="AA281" s="35"/>
      <c r="AB281" s="35"/>
      <c r="AC281" s="35"/>
    </row>
    <row r="282" spans="1:29">
      <c r="A282" s="35"/>
      <c r="B282" s="320"/>
      <c r="C282" s="320"/>
      <c r="D282" s="320"/>
      <c r="E282" s="320"/>
      <c r="F282" s="320"/>
      <c r="G282" s="320"/>
      <c r="H282" s="320"/>
      <c r="I282" s="320"/>
      <c r="J282" s="320"/>
      <c r="K282" s="320"/>
      <c r="L282" s="321"/>
      <c r="M282" s="320"/>
      <c r="N282" s="35"/>
      <c r="O282" s="35"/>
      <c r="P282" s="35"/>
      <c r="Q282" s="35"/>
      <c r="R282" s="35"/>
      <c r="S282" s="35"/>
      <c r="T282" s="35"/>
      <c r="U282" s="35"/>
      <c r="V282" s="35"/>
      <c r="W282" s="35"/>
      <c r="X282" s="35"/>
      <c r="Y282" s="35"/>
      <c r="Z282" s="35"/>
      <c r="AA282" s="35"/>
      <c r="AB282" s="35"/>
      <c r="AC282" s="35"/>
    </row>
    <row r="283" spans="1:29">
      <c r="A283" s="35"/>
      <c r="B283" s="320"/>
      <c r="C283" s="320"/>
      <c r="D283" s="320"/>
      <c r="E283" s="320"/>
      <c r="F283" s="320"/>
      <c r="G283" s="320"/>
      <c r="H283" s="320"/>
      <c r="I283" s="320"/>
      <c r="J283" s="320"/>
      <c r="K283" s="320"/>
      <c r="L283" s="321"/>
      <c r="M283" s="320"/>
      <c r="N283" s="35"/>
      <c r="O283" s="35"/>
      <c r="P283" s="35"/>
      <c r="Q283" s="35"/>
      <c r="R283" s="35"/>
      <c r="S283" s="35"/>
      <c r="T283" s="35"/>
      <c r="U283" s="35"/>
      <c r="V283" s="35"/>
      <c r="W283" s="35"/>
      <c r="X283" s="35"/>
      <c r="Y283" s="35"/>
      <c r="Z283" s="35"/>
      <c r="AA283" s="35"/>
      <c r="AB283" s="35"/>
      <c r="AC283" s="35"/>
    </row>
    <row r="284" spans="1:29">
      <c r="A284" s="35"/>
      <c r="B284" s="320"/>
      <c r="C284" s="320"/>
      <c r="D284" s="320"/>
      <c r="E284" s="320"/>
      <c r="F284" s="320"/>
      <c r="G284" s="320"/>
      <c r="H284" s="320"/>
      <c r="I284" s="320"/>
      <c r="J284" s="320"/>
      <c r="K284" s="320"/>
      <c r="L284" s="321"/>
      <c r="M284" s="320"/>
      <c r="N284" s="35"/>
      <c r="O284" s="35"/>
      <c r="P284" s="35"/>
      <c r="Q284" s="35"/>
      <c r="R284" s="35"/>
      <c r="S284" s="35"/>
      <c r="T284" s="35"/>
      <c r="U284" s="35"/>
      <c r="V284" s="35"/>
      <c r="W284" s="35"/>
      <c r="X284" s="35"/>
      <c r="Y284" s="35"/>
      <c r="Z284" s="35"/>
      <c r="AA284" s="35"/>
      <c r="AB284" s="35"/>
      <c r="AC284" s="35"/>
    </row>
    <row r="285" spans="1:29">
      <c r="A285" s="35"/>
      <c r="B285" s="320"/>
      <c r="C285" s="320"/>
      <c r="D285" s="320"/>
      <c r="E285" s="320"/>
      <c r="F285" s="320"/>
      <c r="G285" s="320"/>
      <c r="H285" s="320"/>
      <c r="I285" s="320"/>
      <c r="J285" s="320"/>
      <c r="K285" s="320"/>
      <c r="L285" s="321"/>
      <c r="M285" s="320"/>
      <c r="N285" s="35"/>
      <c r="O285" s="35"/>
      <c r="P285" s="35"/>
      <c r="Q285" s="35"/>
      <c r="R285" s="35"/>
      <c r="S285" s="35"/>
      <c r="T285" s="35"/>
      <c r="U285" s="35"/>
      <c r="V285" s="35"/>
      <c r="W285" s="35"/>
      <c r="X285" s="35"/>
      <c r="Y285" s="35"/>
      <c r="Z285" s="35"/>
      <c r="AA285" s="35"/>
      <c r="AB285" s="35"/>
      <c r="AC285" s="35"/>
    </row>
    <row r="286" spans="1:29">
      <c r="A286" s="35"/>
      <c r="B286" s="320"/>
      <c r="C286" s="320"/>
      <c r="D286" s="320"/>
      <c r="E286" s="320"/>
      <c r="F286" s="320"/>
      <c r="G286" s="320"/>
      <c r="H286" s="320"/>
      <c r="I286" s="320"/>
      <c r="J286" s="320"/>
      <c r="K286" s="320"/>
      <c r="L286" s="321"/>
      <c r="M286" s="320"/>
      <c r="N286" s="35"/>
      <c r="O286" s="35"/>
      <c r="P286" s="35"/>
      <c r="Q286" s="35"/>
      <c r="R286" s="35"/>
      <c r="S286" s="35"/>
      <c r="T286" s="35"/>
      <c r="U286" s="35"/>
      <c r="V286" s="35"/>
      <c r="W286" s="35"/>
      <c r="X286" s="35"/>
      <c r="Y286" s="35"/>
      <c r="Z286" s="35"/>
      <c r="AA286" s="35"/>
      <c r="AB286" s="35"/>
      <c r="AC286" s="35"/>
    </row>
    <row r="287" spans="1:29">
      <c r="A287" s="35"/>
      <c r="B287" s="320"/>
      <c r="C287" s="320"/>
      <c r="D287" s="320"/>
      <c r="E287" s="320"/>
      <c r="F287" s="320"/>
      <c r="G287" s="320"/>
      <c r="H287" s="320"/>
      <c r="I287" s="320"/>
      <c r="J287" s="320"/>
      <c r="K287" s="320"/>
      <c r="L287" s="321"/>
      <c r="M287" s="320"/>
      <c r="N287" s="35"/>
      <c r="O287" s="35"/>
      <c r="P287" s="35"/>
      <c r="Q287" s="35"/>
      <c r="R287" s="35"/>
      <c r="S287" s="35"/>
      <c r="T287" s="35"/>
      <c r="U287" s="35"/>
      <c r="V287" s="35"/>
      <c r="W287" s="35"/>
      <c r="X287" s="35"/>
      <c r="Y287" s="35"/>
      <c r="Z287" s="35"/>
      <c r="AA287" s="35"/>
      <c r="AB287" s="35"/>
      <c r="AC287" s="35"/>
    </row>
    <row r="288" spans="1:29">
      <c r="A288" s="35"/>
      <c r="B288" s="320"/>
      <c r="C288" s="320"/>
      <c r="D288" s="320"/>
      <c r="E288" s="320"/>
      <c r="F288" s="320"/>
      <c r="G288" s="320"/>
      <c r="H288" s="320"/>
      <c r="I288" s="320"/>
      <c r="J288" s="320"/>
      <c r="K288" s="320"/>
      <c r="L288" s="321"/>
      <c r="M288" s="320"/>
      <c r="N288" s="35"/>
      <c r="O288" s="35"/>
      <c r="P288" s="35"/>
      <c r="Q288" s="35"/>
      <c r="R288" s="35"/>
      <c r="S288" s="35"/>
      <c r="T288" s="35"/>
      <c r="U288" s="35"/>
      <c r="V288" s="35"/>
      <c r="W288" s="35"/>
      <c r="X288" s="35"/>
      <c r="Y288" s="35"/>
      <c r="Z288" s="35"/>
      <c r="AA288" s="35"/>
      <c r="AB288" s="35"/>
      <c r="AC288" s="35"/>
    </row>
    <row r="289" spans="1:29">
      <c r="A289" s="35"/>
      <c r="B289" s="320"/>
      <c r="C289" s="320"/>
      <c r="D289" s="320"/>
      <c r="E289" s="320"/>
      <c r="F289" s="320"/>
      <c r="G289" s="320"/>
      <c r="H289" s="320"/>
      <c r="I289" s="320"/>
      <c r="J289" s="320"/>
      <c r="K289" s="320"/>
      <c r="L289" s="321"/>
      <c r="M289" s="320"/>
      <c r="N289" s="35"/>
      <c r="O289" s="35"/>
      <c r="P289" s="35"/>
      <c r="Q289" s="35"/>
      <c r="R289" s="35"/>
      <c r="S289" s="35"/>
      <c r="T289" s="35"/>
      <c r="U289" s="35"/>
      <c r="V289" s="35"/>
      <c r="W289" s="35"/>
      <c r="X289" s="35"/>
      <c r="Y289" s="35"/>
      <c r="Z289" s="35"/>
      <c r="AA289" s="35"/>
      <c r="AB289" s="35"/>
      <c r="AC289" s="35"/>
    </row>
    <row r="290" spans="1:29">
      <c r="A290" s="35"/>
      <c r="B290" s="320"/>
      <c r="C290" s="320"/>
      <c r="D290" s="320"/>
      <c r="E290" s="320"/>
      <c r="F290" s="320"/>
      <c r="G290" s="320"/>
      <c r="H290" s="320"/>
      <c r="I290" s="320"/>
      <c r="J290" s="320"/>
      <c r="K290" s="320"/>
      <c r="L290" s="321"/>
      <c r="M290" s="320"/>
      <c r="N290" s="35"/>
      <c r="O290" s="35"/>
      <c r="P290" s="35"/>
      <c r="Q290" s="35"/>
      <c r="R290" s="35"/>
      <c r="S290" s="35"/>
      <c r="T290" s="35"/>
      <c r="U290" s="35"/>
      <c r="V290" s="35"/>
      <c r="W290" s="35"/>
      <c r="X290" s="35"/>
      <c r="Y290" s="35"/>
      <c r="Z290" s="35"/>
      <c r="AA290" s="35"/>
      <c r="AB290" s="35"/>
      <c r="AC290" s="35"/>
    </row>
    <row r="291" spans="1:29">
      <c r="A291" s="35"/>
      <c r="B291" s="320"/>
      <c r="C291" s="320"/>
      <c r="D291" s="320"/>
      <c r="E291" s="320"/>
      <c r="F291" s="320"/>
      <c r="G291" s="320"/>
      <c r="H291" s="320"/>
      <c r="I291" s="320"/>
      <c r="J291" s="320"/>
      <c r="K291" s="320"/>
      <c r="L291" s="321"/>
      <c r="M291" s="320"/>
      <c r="N291" s="35"/>
      <c r="O291" s="35"/>
      <c r="P291" s="35"/>
      <c r="Q291" s="35"/>
      <c r="R291" s="35"/>
      <c r="S291" s="35"/>
      <c r="T291" s="35"/>
      <c r="U291" s="35"/>
      <c r="V291" s="35"/>
      <c r="W291" s="35"/>
      <c r="X291" s="35"/>
      <c r="Y291" s="35"/>
      <c r="Z291" s="35"/>
      <c r="AA291" s="35"/>
      <c r="AB291" s="35"/>
      <c r="AC291" s="35"/>
    </row>
    <row r="292" spans="1:29">
      <c r="A292" s="35"/>
      <c r="B292" s="320"/>
      <c r="C292" s="320"/>
      <c r="D292" s="320"/>
      <c r="E292" s="320"/>
      <c r="F292" s="320"/>
      <c r="G292" s="320"/>
      <c r="H292" s="320"/>
      <c r="I292" s="320"/>
      <c r="J292" s="320"/>
      <c r="K292" s="320"/>
      <c r="L292" s="321"/>
      <c r="M292" s="320"/>
      <c r="N292" s="35"/>
      <c r="O292" s="35"/>
      <c r="P292" s="35"/>
      <c r="Q292" s="35"/>
      <c r="R292" s="35"/>
      <c r="S292" s="35"/>
      <c r="T292" s="35"/>
      <c r="U292" s="35"/>
      <c r="V292" s="35"/>
      <c r="W292" s="35"/>
      <c r="X292" s="35"/>
      <c r="Y292" s="35"/>
      <c r="Z292" s="35"/>
      <c r="AA292" s="35"/>
      <c r="AB292" s="35"/>
      <c r="AC292" s="35"/>
    </row>
    <row r="293" spans="1:29">
      <c r="A293" s="35"/>
      <c r="B293" s="320"/>
      <c r="C293" s="320"/>
      <c r="D293" s="320"/>
      <c r="E293" s="320"/>
      <c r="F293" s="320"/>
      <c r="G293" s="320"/>
      <c r="H293" s="320"/>
      <c r="I293" s="320"/>
      <c r="J293" s="320"/>
      <c r="K293" s="320"/>
      <c r="L293" s="321"/>
      <c r="M293" s="320"/>
      <c r="N293" s="35"/>
      <c r="O293" s="35"/>
      <c r="P293" s="35"/>
      <c r="Q293" s="35"/>
      <c r="R293" s="35"/>
      <c r="S293" s="35"/>
      <c r="T293" s="35"/>
      <c r="U293" s="35"/>
      <c r="V293" s="35"/>
      <c r="W293" s="35"/>
      <c r="X293" s="35"/>
      <c r="Y293" s="35"/>
      <c r="Z293" s="35"/>
      <c r="AA293" s="35"/>
      <c r="AB293" s="35"/>
      <c r="AC293" s="35"/>
    </row>
    <row r="294" spans="1:29">
      <c r="A294" s="35"/>
      <c r="B294" s="320"/>
      <c r="C294" s="320"/>
      <c r="D294" s="320"/>
      <c r="E294" s="320"/>
      <c r="F294" s="320"/>
      <c r="G294" s="320"/>
      <c r="H294" s="320"/>
      <c r="I294" s="320"/>
      <c r="J294" s="320"/>
      <c r="K294" s="320"/>
      <c r="L294" s="321"/>
      <c r="M294" s="320"/>
      <c r="N294" s="35"/>
      <c r="O294" s="35"/>
      <c r="P294" s="35"/>
      <c r="Q294" s="35"/>
      <c r="R294" s="35"/>
      <c r="S294" s="35"/>
      <c r="T294" s="35"/>
      <c r="U294" s="35"/>
      <c r="V294" s="35"/>
      <c r="W294" s="35"/>
      <c r="X294" s="35"/>
      <c r="Y294" s="35"/>
      <c r="Z294" s="35"/>
      <c r="AA294" s="35"/>
      <c r="AB294" s="35"/>
      <c r="AC294" s="35"/>
    </row>
    <row r="295" spans="1:29">
      <c r="A295" s="35"/>
      <c r="B295" s="320"/>
      <c r="C295" s="320"/>
      <c r="D295" s="320"/>
      <c r="E295" s="320"/>
      <c r="F295" s="320"/>
      <c r="G295" s="320"/>
      <c r="H295" s="320"/>
      <c r="I295" s="320"/>
      <c r="J295" s="320"/>
      <c r="K295" s="320"/>
      <c r="L295" s="321"/>
      <c r="M295" s="320"/>
      <c r="N295" s="35"/>
      <c r="O295" s="35"/>
      <c r="P295" s="35"/>
      <c r="Q295" s="35"/>
      <c r="R295" s="35"/>
      <c r="S295" s="35"/>
      <c r="T295" s="35"/>
      <c r="U295" s="35"/>
      <c r="V295" s="35"/>
      <c r="W295" s="35"/>
      <c r="X295" s="35"/>
      <c r="Y295" s="35"/>
      <c r="Z295" s="35"/>
      <c r="AA295" s="35"/>
      <c r="AB295" s="35"/>
      <c r="AC295" s="35"/>
    </row>
    <row r="296" spans="1:29">
      <c r="A296" s="35"/>
      <c r="B296" s="320"/>
      <c r="C296" s="320"/>
      <c r="D296" s="320"/>
      <c r="E296" s="320"/>
      <c r="F296" s="320"/>
      <c r="G296" s="320"/>
      <c r="H296" s="320"/>
      <c r="I296" s="320"/>
      <c r="J296" s="320"/>
      <c r="K296" s="320"/>
      <c r="L296" s="321"/>
      <c r="M296" s="320"/>
      <c r="N296" s="35"/>
      <c r="O296" s="35"/>
      <c r="P296" s="35"/>
      <c r="Q296" s="35"/>
      <c r="R296" s="35"/>
      <c r="S296" s="35"/>
      <c r="T296" s="35"/>
      <c r="U296" s="35"/>
      <c r="V296" s="35"/>
      <c r="W296" s="35"/>
      <c r="X296" s="35"/>
      <c r="Y296" s="35"/>
      <c r="Z296" s="35"/>
      <c r="AA296" s="35"/>
      <c r="AB296" s="35"/>
      <c r="AC296" s="35"/>
    </row>
    <row r="297" spans="1:29">
      <c r="A297" s="35"/>
      <c r="B297" s="320"/>
      <c r="C297" s="320"/>
      <c r="D297" s="320"/>
      <c r="E297" s="320"/>
      <c r="F297" s="320"/>
      <c r="G297" s="320"/>
      <c r="H297" s="320"/>
      <c r="I297" s="320"/>
      <c r="J297" s="320"/>
      <c r="K297" s="320"/>
      <c r="L297" s="321"/>
      <c r="M297" s="320"/>
      <c r="N297" s="35"/>
      <c r="O297" s="35"/>
      <c r="P297" s="35"/>
      <c r="Q297" s="35"/>
      <c r="R297" s="35"/>
      <c r="S297" s="35"/>
      <c r="T297" s="35"/>
      <c r="U297" s="35"/>
      <c r="V297" s="35"/>
      <c r="W297" s="35"/>
      <c r="X297" s="35"/>
      <c r="Y297" s="35"/>
      <c r="Z297" s="35"/>
      <c r="AA297" s="35"/>
      <c r="AB297" s="35"/>
      <c r="AC297" s="35"/>
    </row>
    <row r="298" spans="1:29">
      <c r="A298" s="35"/>
      <c r="B298" s="320"/>
      <c r="C298" s="320"/>
      <c r="D298" s="320"/>
      <c r="E298" s="320"/>
      <c r="F298" s="320"/>
      <c r="G298" s="320"/>
      <c r="H298" s="320"/>
      <c r="I298" s="320"/>
      <c r="J298" s="320"/>
      <c r="K298" s="320"/>
      <c r="L298" s="321"/>
      <c r="M298" s="320"/>
      <c r="N298" s="35"/>
      <c r="O298" s="35"/>
      <c r="P298" s="35"/>
      <c r="Q298" s="35"/>
      <c r="R298" s="35"/>
      <c r="S298" s="35"/>
      <c r="T298" s="35"/>
      <c r="U298" s="35"/>
      <c r="V298" s="35"/>
      <c r="W298" s="35"/>
      <c r="X298" s="35"/>
      <c r="Y298" s="35"/>
      <c r="Z298" s="35"/>
      <c r="AA298" s="35"/>
      <c r="AB298" s="35"/>
      <c r="AC298" s="35"/>
    </row>
    <row r="299" spans="1:29">
      <c r="A299" s="35"/>
      <c r="B299" s="320"/>
      <c r="C299" s="320"/>
      <c r="D299" s="320"/>
      <c r="E299" s="320"/>
      <c r="F299" s="320"/>
      <c r="G299" s="320"/>
      <c r="H299" s="320"/>
      <c r="I299" s="320"/>
      <c r="J299" s="320"/>
      <c r="K299" s="320"/>
      <c r="L299" s="321"/>
      <c r="M299" s="320"/>
      <c r="N299" s="35"/>
      <c r="O299" s="35"/>
      <c r="P299" s="35"/>
      <c r="Q299" s="35"/>
      <c r="R299" s="35"/>
      <c r="S299" s="35"/>
      <c r="T299" s="35"/>
      <c r="U299" s="35"/>
      <c r="V299" s="35"/>
      <c r="W299" s="35"/>
      <c r="X299" s="35"/>
      <c r="Y299" s="35"/>
      <c r="Z299" s="35"/>
      <c r="AA299" s="35"/>
      <c r="AB299" s="35"/>
      <c r="AC299" s="35"/>
    </row>
    <row r="300" spans="1:29">
      <c r="A300" s="35"/>
      <c r="B300" s="320"/>
      <c r="C300" s="320"/>
      <c r="D300" s="320"/>
      <c r="E300" s="320"/>
      <c r="F300" s="320"/>
      <c r="G300" s="320"/>
      <c r="H300" s="320"/>
      <c r="I300" s="320"/>
      <c r="J300" s="320"/>
      <c r="K300" s="320"/>
      <c r="L300" s="321"/>
      <c r="M300" s="320"/>
      <c r="N300" s="35"/>
      <c r="O300" s="35"/>
      <c r="P300" s="35"/>
      <c r="Q300" s="35"/>
      <c r="R300" s="35"/>
      <c r="S300" s="35"/>
      <c r="T300" s="35"/>
      <c r="U300" s="35"/>
      <c r="V300" s="35"/>
      <c r="W300" s="35"/>
      <c r="X300" s="35"/>
      <c r="Y300" s="35"/>
      <c r="Z300" s="35"/>
      <c r="AA300" s="35"/>
      <c r="AB300" s="35"/>
      <c r="AC300" s="35"/>
    </row>
    <row r="301" spans="1:29">
      <c r="A301" s="35"/>
      <c r="B301" s="320"/>
      <c r="C301" s="320"/>
      <c r="D301" s="320"/>
      <c r="E301" s="320"/>
      <c r="F301" s="320"/>
      <c r="G301" s="320"/>
      <c r="H301" s="320"/>
      <c r="I301" s="320"/>
      <c r="J301" s="320"/>
      <c r="K301" s="320"/>
      <c r="L301" s="321"/>
      <c r="M301" s="320"/>
      <c r="N301" s="35"/>
      <c r="O301" s="35"/>
      <c r="P301" s="35"/>
      <c r="Q301" s="35"/>
      <c r="R301" s="35"/>
      <c r="S301" s="35"/>
      <c r="T301" s="35"/>
      <c r="U301" s="35"/>
      <c r="V301" s="35"/>
      <c r="W301" s="35"/>
      <c r="X301" s="35"/>
      <c r="Y301" s="35"/>
      <c r="Z301" s="35"/>
      <c r="AA301" s="35"/>
      <c r="AB301" s="35"/>
      <c r="AC301" s="35"/>
    </row>
    <row r="302" spans="1:29">
      <c r="A302" s="35"/>
      <c r="B302" s="320"/>
      <c r="C302" s="320"/>
      <c r="D302" s="320"/>
      <c r="E302" s="320"/>
      <c r="F302" s="320"/>
      <c r="G302" s="320"/>
      <c r="H302" s="320"/>
      <c r="I302" s="320"/>
      <c r="J302" s="320"/>
      <c r="K302" s="320"/>
      <c r="L302" s="321"/>
      <c r="M302" s="320"/>
      <c r="N302" s="35"/>
      <c r="O302" s="35"/>
      <c r="P302" s="35"/>
      <c r="Q302" s="35"/>
      <c r="R302" s="35"/>
      <c r="S302" s="35"/>
      <c r="T302" s="35"/>
      <c r="U302" s="35"/>
      <c r="V302" s="35"/>
      <c r="W302" s="35"/>
      <c r="X302" s="35"/>
      <c r="Y302" s="35"/>
      <c r="Z302" s="35"/>
      <c r="AA302" s="35"/>
      <c r="AB302" s="35"/>
      <c r="AC302" s="35"/>
    </row>
    <row r="303" spans="1:29">
      <c r="A303" s="35"/>
      <c r="B303" s="320"/>
      <c r="C303" s="320"/>
      <c r="D303" s="320"/>
      <c r="E303" s="320"/>
      <c r="F303" s="320"/>
      <c r="G303" s="320"/>
      <c r="H303" s="320"/>
      <c r="I303" s="320"/>
      <c r="J303" s="320"/>
      <c r="K303" s="320"/>
      <c r="L303" s="321"/>
      <c r="M303" s="320"/>
      <c r="N303" s="35"/>
      <c r="O303" s="35"/>
      <c r="P303" s="35"/>
      <c r="Q303" s="35"/>
      <c r="R303" s="35"/>
      <c r="S303" s="35"/>
      <c r="T303" s="35"/>
      <c r="U303" s="35"/>
      <c r="V303" s="35"/>
      <c r="W303" s="35"/>
      <c r="X303" s="35"/>
      <c r="Y303" s="35"/>
      <c r="Z303" s="35"/>
      <c r="AA303" s="35"/>
      <c r="AB303" s="35"/>
      <c r="AC303" s="35"/>
    </row>
    <row r="304" spans="1:29">
      <c r="A304" s="35"/>
      <c r="B304" s="320"/>
      <c r="C304" s="320"/>
      <c r="D304" s="320"/>
      <c r="E304" s="320"/>
      <c r="F304" s="320"/>
      <c r="G304" s="320"/>
      <c r="H304" s="320"/>
      <c r="I304" s="320"/>
      <c r="J304" s="320"/>
      <c r="K304" s="320"/>
      <c r="L304" s="321"/>
      <c r="M304" s="320"/>
      <c r="N304" s="35"/>
      <c r="O304" s="35"/>
      <c r="P304" s="35"/>
      <c r="Q304" s="35"/>
      <c r="R304" s="35"/>
      <c r="S304" s="35"/>
      <c r="T304" s="35"/>
      <c r="U304" s="35"/>
      <c r="V304" s="35"/>
      <c r="W304" s="35"/>
      <c r="X304" s="35"/>
      <c r="Y304" s="35"/>
      <c r="Z304" s="35"/>
      <c r="AA304" s="35"/>
      <c r="AB304" s="35"/>
      <c r="AC304" s="35"/>
    </row>
    <row r="305" spans="1:29">
      <c r="A305" s="35"/>
      <c r="B305" s="320"/>
      <c r="C305" s="320"/>
      <c r="D305" s="320"/>
      <c r="E305" s="320"/>
      <c r="F305" s="320"/>
      <c r="G305" s="320"/>
      <c r="H305" s="320"/>
      <c r="I305" s="320"/>
      <c r="J305" s="320"/>
      <c r="K305" s="320"/>
      <c r="L305" s="321"/>
      <c r="M305" s="320"/>
      <c r="N305" s="35"/>
      <c r="O305" s="35"/>
      <c r="P305" s="35"/>
      <c r="Q305" s="35"/>
      <c r="R305" s="35"/>
      <c r="S305" s="35"/>
      <c r="T305" s="35"/>
      <c r="U305" s="35"/>
      <c r="V305" s="35"/>
      <c r="W305" s="35"/>
      <c r="X305" s="35"/>
      <c r="Y305" s="35"/>
      <c r="Z305" s="35"/>
      <c r="AA305" s="35"/>
      <c r="AB305" s="35"/>
      <c r="AC305" s="35"/>
    </row>
    <row r="306" spans="1:29">
      <c r="A306" s="35"/>
      <c r="B306" s="320"/>
      <c r="C306" s="320"/>
      <c r="D306" s="320"/>
      <c r="E306" s="320"/>
      <c r="F306" s="320"/>
      <c r="G306" s="320"/>
      <c r="H306" s="320"/>
      <c r="I306" s="320"/>
      <c r="J306" s="320"/>
      <c r="K306" s="320"/>
      <c r="L306" s="321"/>
      <c r="M306" s="320"/>
      <c r="N306" s="35"/>
      <c r="O306" s="35"/>
      <c r="P306" s="35"/>
      <c r="Q306" s="35"/>
      <c r="R306" s="35"/>
      <c r="S306" s="35"/>
      <c r="T306" s="35"/>
      <c r="U306" s="35"/>
      <c r="V306" s="35"/>
      <c r="W306" s="35"/>
      <c r="X306" s="35"/>
      <c r="Y306" s="35"/>
      <c r="Z306" s="35"/>
      <c r="AA306" s="35"/>
      <c r="AB306" s="35"/>
      <c r="AC306" s="35"/>
    </row>
    <row r="307" spans="1:29">
      <c r="A307" s="35"/>
      <c r="B307" s="320"/>
      <c r="C307" s="320"/>
      <c r="D307" s="320"/>
      <c r="E307" s="320"/>
      <c r="F307" s="320"/>
      <c r="G307" s="320"/>
      <c r="H307" s="320"/>
      <c r="I307" s="320"/>
      <c r="J307" s="320"/>
      <c r="K307" s="320"/>
      <c r="L307" s="321"/>
      <c r="M307" s="320"/>
      <c r="N307" s="35"/>
      <c r="O307" s="35"/>
      <c r="P307" s="35"/>
      <c r="Q307" s="35"/>
      <c r="R307" s="35"/>
      <c r="S307" s="35"/>
      <c r="T307" s="35"/>
      <c r="U307" s="35"/>
      <c r="V307" s="35"/>
      <c r="W307" s="35"/>
      <c r="X307" s="35"/>
      <c r="Y307" s="35"/>
      <c r="Z307" s="35"/>
      <c r="AA307" s="35"/>
      <c r="AB307" s="35"/>
      <c r="AC307" s="35"/>
    </row>
    <row r="308" spans="1:29">
      <c r="A308" s="35"/>
      <c r="B308" s="320"/>
      <c r="C308" s="320"/>
      <c r="D308" s="320"/>
      <c r="E308" s="320"/>
      <c r="F308" s="320"/>
      <c r="G308" s="320"/>
      <c r="H308" s="320"/>
      <c r="I308" s="320"/>
      <c r="J308" s="320"/>
      <c r="K308" s="320"/>
      <c r="L308" s="321"/>
      <c r="M308" s="320"/>
      <c r="N308" s="35"/>
      <c r="O308" s="35"/>
      <c r="P308" s="35"/>
      <c r="Q308" s="35"/>
      <c r="R308" s="35"/>
      <c r="S308" s="35"/>
      <c r="T308" s="35"/>
      <c r="U308" s="35"/>
      <c r="V308" s="35"/>
      <c r="W308" s="35"/>
      <c r="X308" s="35"/>
      <c r="Y308" s="35"/>
      <c r="Z308" s="35"/>
      <c r="AA308" s="35"/>
      <c r="AB308" s="35"/>
      <c r="AC308" s="35"/>
    </row>
    <row r="309" spans="1:29">
      <c r="A309" s="35"/>
      <c r="B309" s="320"/>
      <c r="C309" s="320"/>
      <c r="D309" s="320"/>
      <c r="E309" s="320"/>
      <c r="F309" s="320"/>
      <c r="G309" s="320"/>
      <c r="H309" s="320"/>
      <c r="I309" s="320"/>
      <c r="J309" s="320"/>
      <c r="K309" s="320"/>
      <c r="L309" s="321"/>
      <c r="M309" s="320"/>
      <c r="N309" s="35"/>
      <c r="O309" s="35"/>
      <c r="P309" s="35"/>
      <c r="Q309" s="35"/>
      <c r="R309" s="35"/>
      <c r="S309" s="35"/>
      <c r="T309" s="35"/>
      <c r="U309" s="35"/>
      <c r="V309" s="35"/>
      <c r="W309" s="35"/>
      <c r="X309" s="35"/>
      <c r="Y309" s="35"/>
      <c r="Z309" s="35"/>
      <c r="AA309" s="35"/>
      <c r="AB309" s="35"/>
      <c r="AC309" s="35"/>
    </row>
    <row r="310" spans="1:29">
      <c r="A310" s="35"/>
      <c r="B310" s="320"/>
      <c r="C310" s="320"/>
      <c r="D310" s="320"/>
      <c r="E310" s="320"/>
      <c r="F310" s="320"/>
      <c r="G310" s="320"/>
      <c r="H310" s="320"/>
      <c r="I310" s="320"/>
      <c r="J310" s="320"/>
      <c r="K310" s="320"/>
      <c r="L310" s="321"/>
      <c r="M310" s="320"/>
      <c r="N310" s="35"/>
      <c r="O310" s="35"/>
      <c r="P310" s="35"/>
      <c r="Q310" s="35"/>
      <c r="R310" s="35"/>
      <c r="S310" s="35"/>
      <c r="T310" s="35"/>
      <c r="U310" s="35"/>
      <c r="V310" s="35"/>
      <c r="W310" s="35"/>
      <c r="X310" s="35"/>
      <c r="Y310" s="35"/>
      <c r="Z310" s="35"/>
      <c r="AA310" s="35"/>
      <c r="AB310" s="35"/>
      <c r="AC310" s="35"/>
    </row>
    <row r="311" spans="1:29">
      <c r="A311" s="35"/>
      <c r="B311" s="320"/>
      <c r="C311" s="320"/>
      <c r="D311" s="320"/>
      <c r="E311" s="320"/>
      <c r="F311" s="320"/>
      <c r="G311" s="320"/>
      <c r="H311" s="320"/>
      <c r="I311" s="320"/>
      <c r="J311" s="320"/>
      <c r="K311" s="320"/>
      <c r="L311" s="321"/>
      <c r="M311" s="320"/>
      <c r="N311" s="35"/>
      <c r="O311" s="35"/>
      <c r="P311" s="35"/>
      <c r="Q311" s="35"/>
      <c r="R311" s="35"/>
      <c r="S311" s="35"/>
      <c r="T311" s="35"/>
      <c r="U311" s="35"/>
      <c r="V311" s="35"/>
      <c r="W311" s="35"/>
      <c r="X311" s="35"/>
      <c r="Y311" s="35"/>
      <c r="Z311" s="35"/>
      <c r="AA311" s="35"/>
      <c r="AB311" s="35"/>
      <c r="AC311" s="35"/>
    </row>
    <row r="312" spans="1:29">
      <c r="A312" s="35"/>
      <c r="B312" s="320"/>
      <c r="C312" s="320"/>
      <c r="D312" s="320"/>
      <c r="E312" s="320"/>
      <c r="F312" s="320"/>
      <c r="G312" s="320"/>
      <c r="H312" s="320"/>
      <c r="I312" s="320"/>
      <c r="J312" s="320"/>
      <c r="K312" s="320"/>
      <c r="L312" s="321"/>
      <c r="M312" s="320"/>
      <c r="N312" s="35"/>
      <c r="O312" s="35"/>
      <c r="P312" s="35"/>
      <c r="Q312" s="35"/>
      <c r="R312" s="35"/>
      <c r="S312" s="35"/>
      <c r="T312" s="35"/>
      <c r="U312" s="35"/>
      <c r="V312" s="35"/>
      <c r="W312" s="35"/>
      <c r="X312" s="35"/>
      <c r="Y312" s="35"/>
      <c r="Z312" s="35"/>
      <c r="AA312" s="35"/>
      <c r="AB312" s="35"/>
      <c r="AC312" s="35"/>
    </row>
    <row r="313" spans="1:29">
      <c r="A313" s="35"/>
      <c r="B313" s="320"/>
      <c r="C313" s="320"/>
      <c r="D313" s="320"/>
      <c r="E313" s="320"/>
      <c r="F313" s="320"/>
      <c r="G313" s="320"/>
      <c r="H313" s="320"/>
      <c r="I313" s="320"/>
      <c r="J313" s="320"/>
      <c r="K313" s="320"/>
      <c r="L313" s="321"/>
      <c r="M313" s="320"/>
      <c r="N313" s="35"/>
      <c r="O313" s="35"/>
      <c r="P313" s="35"/>
      <c r="Q313" s="35"/>
      <c r="R313" s="35"/>
      <c r="S313" s="35"/>
      <c r="T313" s="35"/>
      <c r="U313" s="35"/>
      <c r="V313" s="35"/>
      <c r="W313" s="35"/>
      <c r="X313" s="35"/>
      <c r="Y313" s="35"/>
      <c r="Z313" s="35"/>
      <c r="AA313" s="35"/>
      <c r="AB313" s="35"/>
      <c r="AC313" s="35"/>
    </row>
    <row r="314" spans="1:29">
      <c r="A314" s="35"/>
      <c r="B314" s="320"/>
      <c r="C314" s="320"/>
      <c r="D314" s="320"/>
      <c r="E314" s="320"/>
      <c r="F314" s="320"/>
      <c r="G314" s="320"/>
      <c r="H314" s="320"/>
      <c r="I314" s="320"/>
      <c r="J314" s="320"/>
      <c r="K314" s="320"/>
      <c r="L314" s="321"/>
      <c r="M314" s="320"/>
      <c r="N314" s="35"/>
      <c r="O314" s="35"/>
      <c r="P314" s="35"/>
      <c r="Q314" s="35"/>
      <c r="R314" s="35"/>
      <c r="S314" s="35"/>
      <c r="T314" s="35"/>
      <c r="U314" s="35"/>
      <c r="V314" s="35"/>
      <c r="W314" s="35"/>
      <c r="X314" s="35"/>
      <c r="Y314" s="35"/>
      <c r="Z314" s="35"/>
      <c r="AA314" s="35"/>
      <c r="AB314" s="35"/>
      <c r="AC314" s="35"/>
    </row>
    <row r="315" spans="1:29">
      <c r="A315" s="35"/>
      <c r="B315" s="320"/>
      <c r="C315" s="320"/>
      <c r="D315" s="320"/>
      <c r="E315" s="320"/>
      <c r="F315" s="320"/>
      <c r="G315" s="320"/>
      <c r="H315" s="320"/>
      <c r="I315" s="320"/>
      <c r="J315" s="320"/>
      <c r="K315" s="320"/>
      <c r="L315" s="321"/>
      <c r="M315" s="320"/>
      <c r="N315" s="35"/>
      <c r="O315" s="35"/>
      <c r="P315" s="35"/>
      <c r="Q315" s="35"/>
      <c r="R315" s="35"/>
      <c r="S315" s="35"/>
      <c r="T315" s="35"/>
      <c r="U315" s="35"/>
      <c r="V315" s="35"/>
      <c r="W315" s="35"/>
      <c r="X315" s="35"/>
      <c r="Y315" s="35"/>
      <c r="Z315" s="35"/>
      <c r="AA315" s="35"/>
      <c r="AB315" s="35"/>
      <c r="AC315" s="35"/>
    </row>
    <row r="316" spans="1:29">
      <c r="A316" s="35"/>
      <c r="B316" s="320"/>
      <c r="C316" s="320"/>
      <c r="D316" s="320"/>
      <c r="E316" s="320"/>
      <c r="F316" s="320"/>
      <c r="G316" s="320"/>
      <c r="H316" s="320"/>
      <c r="I316" s="320"/>
      <c r="J316" s="320"/>
      <c r="K316" s="320"/>
      <c r="L316" s="321"/>
      <c r="M316" s="320"/>
      <c r="N316" s="35"/>
      <c r="O316" s="35"/>
      <c r="P316" s="35"/>
      <c r="Q316" s="35"/>
      <c r="R316" s="35"/>
      <c r="S316" s="35"/>
      <c r="T316" s="35"/>
      <c r="U316" s="35"/>
      <c r="V316" s="35"/>
      <c r="W316" s="35"/>
      <c r="X316" s="35"/>
      <c r="Y316" s="35"/>
      <c r="Z316" s="35"/>
      <c r="AA316" s="35"/>
      <c r="AB316" s="35"/>
      <c r="AC316" s="35"/>
    </row>
    <row r="317" spans="1:29">
      <c r="A317" s="35"/>
      <c r="B317" s="320"/>
      <c r="C317" s="320"/>
      <c r="D317" s="320"/>
      <c r="E317" s="320"/>
      <c r="F317" s="320"/>
      <c r="G317" s="320"/>
      <c r="H317" s="320"/>
      <c r="I317" s="320"/>
      <c r="J317" s="320"/>
      <c r="K317" s="320"/>
      <c r="L317" s="321"/>
      <c r="M317" s="320"/>
      <c r="N317" s="35"/>
      <c r="O317" s="35"/>
      <c r="P317" s="35"/>
      <c r="Q317" s="35"/>
      <c r="R317" s="35"/>
      <c r="S317" s="35"/>
      <c r="T317" s="35"/>
      <c r="U317" s="35"/>
      <c r="V317" s="35"/>
      <c r="W317" s="35"/>
      <c r="X317" s="35"/>
      <c r="Y317" s="35"/>
      <c r="Z317" s="35"/>
      <c r="AA317" s="35"/>
      <c r="AB317" s="35"/>
      <c r="AC317" s="35"/>
    </row>
    <row r="318" spans="1:29">
      <c r="A318" s="35"/>
      <c r="B318" s="320"/>
      <c r="C318" s="320"/>
      <c r="D318" s="320"/>
      <c r="E318" s="320"/>
      <c r="F318" s="320"/>
      <c r="G318" s="320"/>
      <c r="H318" s="320"/>
      <c r="I318" s="320"/>
      <c r="J318" s="320"/>
      <c r="K318" s="320"/>
      <c r="L318" s="321"/>
      <c r="M318" s="320"/>
      <c r="N318" s="35"/>
      <c r="O318" s="35"/>
      <c r="P318" s="35"/>
      <c r="Q318" s="35"/>
      <c r="R318" s="35"/>
      <c r="S318" s="35"/>
      <c r="T318" s="35"/>
      <c r="U318" s="35"/>
      <c r="V318" s="35"/>
      <c r="W318" s="35"/>
      <c r="X318" s="35"/>
      <c r="Y318" s="35"/>
      <c r="Z318" s="35"/>
      <c r="AA318" s="35"/>
      <c r="AB318" s="35"/>
      <c r="AC318" s="35"/>
    </row>
    <row r="319" spans="1:29">
      <c r="A319" s="35"/>
      <c r="B319" s="320"/>
      <c r="C319" s="320"/>
      <c r="D319" s="320"/>
      <c r="E319" s="320"/>
      <c r="F319" s="320"/>
      <c r="G319" s="320"/>
      <c r="H319" s="320"/>
      <c r="I319" s="320"/>
      <c r="J319" s="320"/>
      <c r="K319" s="320"/>
      <c r="L319" s="321"/>
      <c r="M319" s="320"/>
      <c r="N319" s="35"/>
      <c r="O319" s="35"/>
      <c r="P319" s="35"/>
      <c r="Q319" s="35"/>
      <c r="R319" s="35"/>
      <c r="S319" s="35"/>
      <c r="T319" s="35"/>
      <c r="U319" s="35"/>
      <c r="V319" s="35"/>
      <c r="W319" s="35"/>
      <c r="X319" s="35"/>
      <c r="Y319" s="35"/>
      <c r="Z319" s="35"/>
      <c r="AA319" s="35"/>
      <c r="AB319" s="35"/>
      <c r="AC319" s="35"/>
    </row>
    <row r="320" spans="1:29">
      <c r="A320" s="35"/>
      <c r="B320" s="320"/>
      <c r="C320" s="320"/>
      <c r="D320" s="320"/>
      <c r="E320" s="320"/>
      <c r="F320" s="320"/>
      <c r="G320" s="320"/>
      <c r="H320" s="320"/>
      <c r="I320" s="320"/>
      <c r="J320" s="320"/>
      <c r="K320" s="320"/>
      <c r="L320" s="321"/>
      <c r="M320" s="320"/>
      <c r="N320" s="35"/>
      <c r="O320" s="35"/>
      <c r="P320" s="35"/>
      <c r="Q320" s="35"/>
      <c r="R320" s="35"/>
      <c r="S320" s="35"/>
      <c r="T320" s="35"/>
      <c r="U320" s="35"/>
      <c r="V320" s="35"/>
      <c r="W320" s="35"/>
      <c r="X320" s="35"/>
      <c r="Y320" s="35"/>
      <c r="Z320" s="35"/>
      <c r="AA320" s="35"/>
      <c r="AB320" s="35"/>
      <c r="AC320" s="35"/>
    </row>
    <row r="321" spans="1:29">
      <c r="A321" s="35"/>
      <c r="B321" s="320"/>
      <c r="C321" s="320"/>
      <c r="D321" s="320"/>
      <c r="E321" s="320"/>
      <c r="F321" s="320"/>
      <c r="G321" s="320"/>
      <c r="H321" s="320"/>
      <c r="I321" s="320"/>
      <c r="J321" s="320"/>
      <c r="K321" s="320"/>
      <c r="L321" s="321"/>
      <c r="M321" s="320"/>
      <c r="N321" s="35"/>
      <c r="O321" s="35"/>
      <c r="P321" s="35"/>
      <c r="Q321" s="35"/>
      <c r="R321" s="35"/>
      <c r="S321" s="35"/>
      <c r="T321" s="35"/>
      <c r="U321" s="35"/>
      <c r="V321" s="35"/>
      <c r="W321" s="35"/>
      <c r="X321" s="35"/>
      <c r="Y321" s="35"/>
      <c r="Z321" s="35"/>
      <c r="AA321" s="35"/>
      <c r="AB321" s="35"/>
      <c r="AC321" s="35"/>
    </row>
    <row r="322" spans="1:29">
      <c r="A322" s="35"/>
      <c r="B322" s="320"/>
      <c r="C322" s="320"/>
      <c r="D322" s="320"/>
      <c r="E322" s="320"/>
      <c r="F322" s="320"/>
      <c r="G322" s="320"/>
      <c r="H322" s="320"/>
      <c r="I322" s="320"/>
      <c r="J322" s="320"/>
      <c r="K322" s="320"/>
      <c r="L322" s="321"/>
      <c r="M322" s="320"/>
      <c r="N322" s="35"/>
      <c r="O322" s="35"/>
      <c r="P322" s="35"/>
      <c r="Q322" s="35"/>
      <c r="R322" s="35"/>
      <c r="S322" s="35"/>
      <c r="T322" s="35"/>
      <c r="U322" s="35"/>
      <c r="V322" s="35"/>
      <c r="W322" s="35"/>
      <c r="X322" s="35"/>
      <c r="Y322" s="35"/>
      <c r="Z322" s="35"/>
      <c r="AA322" s="35"/>
      <c r="AB322" s="35"/>
      <c r="AC322" s="35"/>
    </row>
    <row r="323" spans="1:29">
      <c r="A323" s="35"/>
      <c r="B323" s="320"/>
      <c r="C323" s="320"/>
      <c r="D323" s="320"/>
      <c r="E323" s="320"/>
      <c r="F323" s="320"/>
      <c r="G323" s="320"/>
      <c r="H323" s="320"/>
      <c r="I323" s="320"/>
      <c r="J323" s="320"/>
      <c r="K323" s="320"/>
      <c r="L323" s="321"/>
      <c r="M323" s="320"/>
      <c r="N323" s="35"/>
      <c r="O323" s="35"/>
      <c r="P323" s="35"/>
      <c r="Q323" s="35"/>
      <c r="R323" s="35"/>
      <c r="S323" s="35"/>
      <c r="T323" s="35"/>
      <c r="U323" s="35"/>
      <c r="V323" s="35"/>
      <c r="W323" s="35"/>
      <c r="X323" s="35"/>
      <c r="Y323" s="35"/>
      <c r="Z323" s="35"/>
      <c r="AA323" s="35"/>
      <c r="AB323" s="35"/>
      <c r="AC323" s="35"/>
    </row>
    <row r="324" spans="1:29">
      <c r="A324" s="35"/>
      <c r="B324" s="320"/>
      <c r="C324" s="320"/>
      <c r="D324" s="320"/>
      <c r="E324" s="320"/>
      <c r="F324" s="320"/>
      <c r="G324" s="320"/>
      <c r="H324" s="320"/>
      <c r="I324" s="320"/>
      <c r="J324" s="320"/>
      <c r="K324" s="320"/>
      <c r="L324" s="321"/>
      <c r="M324" s="320"/>
      <c r="N324" s="35"/>
      <c r="O324" s="35"/>
      <c r="P324" s="35"/>
      <c r="Q324" s="35"/>
      <c r="R324" s="35"/>
      <c r="S324" s="35"/>
      <c r="T324" s="35"/>
      <c r="U324" s="35"/>
      <c r="V324" s="35"/>
      <c r="W324" s="35"/>
      <c r="X324" s="35"/>
      <c r="Y324" s="35"/>
      <c r="Z324" s="35"/>
      <c r="AA324" s="35"/>
      <c r="AB324" s="35"/>
      <c r="AC324" s="35"/>
    </row>
    <row r="325" spans="1:29">
      <c r="A325" s="35"/>
      <c r="B325" s="320"/>
      <c r="C325" s="320"/>
      <c r="D325" s="320"/>
      <c r="E325" s="320"/>
      <c r="F325" s="320"/>
      <c r="G325" s="320"/>
      <c r="H325" s="320"/>
      <c r="I325" s="320"/>
      <c r="J325" s="320"/>
      <c r="K325" s="320"/>
      <c r="L325" s="321"/>
      <c r="M325" s="320"/>
      <c r="N325" s="35"/>
      <c r="O325" s="35"/>
      <c r="P325" s="35"/>
      <c r="Q325" s="35"/>
      <c r="R325" s="35"/>
      <c r="S325" s="35"/>
      <c r="T325" s="35"/>
      <c r="U325" s="35"/>
      <c r="V325" s="35"/>
      <c r="W325" s="35"/>
      <c r="X325" s="35"/>
      <c r="Y325" s="35"/>
      <c r="Z325" s="35"/>
      <c r="AA325" s="35"/>
      <c r="AB325" s="35"/>
      <c r="AC325" s="35"/>
    </row>
    <row r="326" spans="1:29">
      <c r="A326" s="35"/>
      <c r="B326" s="320"/>
      <c r="C326" s="320"/>
      <c r="D326" s="320"/>
      <c r="E326" s="320"/>
      <c r="F326" s="320"/>
      <c r="G326" s="320"/>
      <c r="H326" s="320"/>
      <c r="I326" s="320"/>
      <c r="J326" s="320"/>
      <c r="K326" s="320"/>
      <c r="L326" s="321"/>
      <c r="M326" s="320"/>
      <c r="N326" s="35"/>
      <c r="O326" s="35"/>
      <c r="P326" s="35"/>
      <c r="Q326" s="35"/>
      <c r="R326" s="35"/>
      <c r="S326" s="35"/>
      <c r="T326" s="35"/>
      <c r="U326" s="35"/>
      <c r="V326" s="35"/>
      <c r="W326" s="35"/>
      <c r="X326" s="35"/>
      <c r="Y326" s="35"/>
      <c r="Z326" s="35"/>
      <c r="AA326" s="35"/>
      <c r="AB326" s="35"/>
      <c r="AC326" s="35"/>
    </row>
    <row r="327" spans="1:29">
      <c r="A327" s="35"/>
      <c r="B327" s="320"/>
      <c r="C327" s="320"/>
      <c r="D327" s="320"/>
      <c r="E327" s="320"/>
      <c r="F327" s="320"/>
      <c r="G327" s="320"/>
      <c r="H327" s="320"/>
      <c r="I327" s="320"/>
      <c r="J327" s="320"/>
      <c r="K327" s="320"/>
      <c r="L327" s="321"/>
      <c r="M327" s="320"/>
      <c r="N327" s="35"/>
      <c r="O327" s="35"/>
      <c r="P327" s="35"/>
      <c r="Q327" s="35"/>
      <c r="R327" s="35"/>
      <c r="S327" s="35"/>
      <c r="T327" s="35"/>
      <c r="U327" s="35"/>
      <c r="V327" s="35"/>
      <c r="W327" s="35"/>
      <c r="X327" s="35"/>
      <c r="Y327" s="35"/>
      <c r="Z327" s="35"/>
      <c r="AA327" s="35"/>
      <c r="AB327" s="35"/>
      <c r="AC327" s="35"/>
    </row>
    <row r="328" spans="1:29">
      <c r="A328" s="35"/>
      <c r="B328" s="320"/>
      <c r="C328" s="320"/>
      <c r="D328" s="320"/>
      <c r="E328" s="320"/>
      <c r="F328" s="320"/>
      <c r="G328" s="320"/>
      <c r="H328" s="320"/>
      <c r="I328" s="320"/>
      <c r="J328" s="320"/>
      <c r="K328" s="320"/>
      <c r="L328" s="321"/>
      <c r="M328" s="320"/>
      <c r="N328" s="35"/>
      <c r="O328" s="35"/>
      <c r="P328" s="35"/>
      <c r="Q328" s="35"/>
      <c r="R328" s="35"/>
      <c r="S328" s="35"/>
      <c r="T328" s="35"/>
      <c r="U328" s="35"/>
      <c r="V328" s="35"/>
      <c r="W328" s="35"/>
      <c r="X328" s="35"/>
      <c r="Y328" s="35"/>
      <c r="Z328" s="35"/>
      <c r="AA328" s="35"/>
      <c r="AB328" s="35"/>
      <c r="AC328" s="35"/>
    </row>
    <row r="329" spans="1:29">
      <c r="A329" s="35"/>
      <c r="B329" s="320"/>
      <c r="C329" s="320"/>
      <c r="D329" s="320"/>
      <c r="E329" s="320"/>
      <c r="F329" s="320"/>
      <c r="G329" s="320"/>
      <c r="H329" s="320"/>
      <c r="I329" s="320"/>
      <c r="J329" s="320"/>
      <c r="K329" s="320"/>
      <c r="L329" s="321"/>
      <c r="M329" s="320"/>
      <c r="N329" s="35"/>
      <c r="O329" s="35"/>
      <c r="P329" s="35"/>
      <c r="Q329" s="35"/>
      <c r="R329" s="35"/>
      <c r="S329" s="35"/>
      <c r="T329" s="35"/>
      <c r="U329" s="35"/>
      <c r="V329" s="35"/>
      <c r="W329" s="35"/>
      <c r="X329" s="35"/>
      <c r="Y329" s="35"/>
      <c r="Z329" s="35"/>
      <c r="AA329" s="35"/>
      <c r="AB329" s="35"/>
      <c r="AC329" s="35"/>
    </row>
    <row r="330" spans="1:29">
      <c r="A330" s="35"/>
      <c r="B330" s="320"/>
      <c r="C330" s="320"/>
      <c r="D330" s="320"/>
      <c r="E330" s="320"/>
      <c r="F330" s="320"/>
      <c r="G330" s="320"/>
      <c r="H330" s="320"/>
      <c r="I330" s="320"/>
      <c r="J330" s="320"/>
      <c r="K330" s="320"/>
      <c r="L330" s="321"/>
      <c r="M330" s="320"/>
      <c r="N330" s="35"/>
      <c r="O330" s="35"/>
      <c r="P330" s="35"/>
      <c r="Q330" s="35"/>
      <c r="R330" s="35"/>
      <c r="S330" s="35"/>
      <c r="T330" s="35"/>
      <c r="U330" s="35"/>
      <c r="V330" s="35"/>
      <c r="W330" s="35"/>
      <c r="X330" s="35"/>
      <c r="Y330" s="35"/>
      <c r="Z330" s="35"/>
      <c r="AA330" s="35"/>
      <c r="AB330" s="35"/>
      <c r="AC330" s="35"/>
    </row>
    <row r="331" spans="1:29">
      <c r="A331" s="35"/>
      <c r="B331" s="320"/>
      <c r="C331" s="320"/>
      <c r="D331" s="320"/>
      <c r="E331" s="320"/>
      <c r="F331" s="320"/>
      <c r="G331" s="320"/>
      <c r="H331" s="320"/>
      <c r="I331" s="320"/>
      <c r="J331" s="320"/>
      <c r="K331" s="320"/>
      <c r="L331" s="321"/>
      <c r="M331" s="320"/>
      <c r="N331" s="35"/>
      <c r="O331" s="35"/>
      <c r="P331" s="35"/>
      <c r="Q331" s="35"/>
      <c r="R331" s="35"/>
      <c r="S331" s="35"/>
      <c r="T331" s="35"/>
      <c r="U331" s="35"/>
      <c r="V331" s="35"/>
      <c r="W331" s="35"/>
      <c r="X331" s="35"/>
      <c r="Y331" s="35"/>
      <c r="Z331" s="35"/>
      <c r="AA331" s="35"/>
      <c r="AB331" s="35"/>
      <c r="AC331" s="35"/>
    </row>
    <row r="332" spans="1:29">
      <c r="A332" s="35"/>
      <c r="B332" s="320"/>
      <c r="C332" s="320"/>
      <c r="D332" s="320"/>
      <c r="E332" s="320"/>
      <c r="F332" s="320"/>
      <c r="G332" s="320"/>
      <c r="H332" s="320"/>
      <c r="I332" s="320"/>
      <c r="J332" s="320"/>
      <c r="K332" s="320"/>
      <c r="L332" s="321"/>
      <c r="M332" s="320"/>
      <c r="N332" s="35"/>
      <c r="O332" s="35"/>
      <c r="P332" s="35"/>
      <c r="Q332" s="35"/>
      <c r="R332" s="35"/>
      <c r="S332" s="35"/>
      <c r="T332" s="35"/>
      <c r="U332" s="35"/>
      <c r="V332" s="35"/>
      <c r="W332" s="35"/>
      <c r="X332" s="35"/>
      <c r="Y332" s="35"/>
      <c r="Z332" s="35"/>
      <c r="AA332" s="35"/>
      <c r="AB332" s="35"/>
      <c r="AC332" s="35"/>
    </row>
    <row r="333" spans="1:29">
      <c r="A333" s="35"/>
      <c r="B333" s="320"/>
      <c r="C333" s="320"/>
      <c r="D333" s="320"/>
      <c r="E333" s="320"/>
      <c r="F333" s="320"/>
      <c r="G333" s="320"/>
      <c r="H333" s="320"/>
      <c r="I333" s="320"/>
      <c r="J333" s="320"/>
      <c r="K333" s="320"/>
      <c r="L333" s="321"/>
      <c r="M333" s="320"/>
      <c r="N333" s="35"/>
      <c r="O333" s="35"/>
      <c r="P333" s="35"/>
      <c r="Q333" s="35"/>
      <c r="R333" s="35"/>
      <c r="S333" s="35"/>
      <c r="T333" s="35"/>
      <c r="U333" s="35"/>
      <c r="V333" s="35"/>
      <c r="W333" s="35"/>
      <c r="X333" s="35"/>
      <c r="Y333" s="35"/>
      <c r="Z333" s="35"/>
      <c r="AA333" s="35"/>
      <c r="AB333" s="35"/>
      <c r="AC333" s="35"/>
    </row>
    <row r="334" spans="1:29">
      <c r="A334" s="35"/>
      <c r="B334" s="320"/>
      <c r="C334" s="320"/>
      <c r="D334" s="320"/>
      <c r="E334" s="320"/>
      <c r="F334" s="320"/>
      <c r="G334" s="320"/>
      <c r="H334" s="320"/>
      <c r="I334" s="320"/>
      <c r="J334" s="320"/>
      <c r="K334" s="320"/>
      <c r="L334" s="321"/>
      <c r="M334" s="320"/>
      <c r="N334" s="35"/>
      <c r="O334" s="35"/>
      <c r="P334" s="35"/>
      <c r="Q334" s="35"/>
      <c r="R334" s="35"/>
      <c r="S334" s="35"/>
      <c r="T334" s="35"/>
      <c r="U334" s="35"/>
      <c r="V334" s="35"/>
      <c r="W334" s="35"/>
      <c r="X334" s="35"/>
      <c r="Y334" s="35"/>
      <c r="Z334" s="35"/>
      <c r="AA334" s="35"/>
      <c r="AB334" s="35"/>
      <c r="AC334" s="35"/>
    </row>
    <row r="335" spans="1:29">
      <c r="A335" s="35"/>
      <c r="B335" s="320"/>
      <c r="C335" s="320"/>
      <c r="D335" s="320"/>
      <c r="E335" s="320"/>
      <c r="F335" s="320"/>
      <c r="G335" s="320"/>
      <c r="H335" s="320"/>
      <c r="I335" s="320"/>
      <c r="J335" s="320"/>
      <c r="K335" s="320"/>
      <c r="L335" s="321"/>
      <c r="M335" s="320"/>
      <c r="N335" s="35"/>
      <c r="O335" s="35"/>
      <c r="P335" s="35"/>
      <c r="Q335" s="35"/>
      <c r="R335" s="35"/>
      <c r="S335" s="35"/>
      <c r="T335" s="35"/>
      <c r="U335" s="35"/>
      <c r="V335" s="35"/>
      <c r="W335" s="35"/>
      <c r="X335" s="35"/>
      <c r="Y335" s="35"/>
      <c r="Z335" s="35"/>
      <c r="AA335" s="35"/>
      <c r="AB335" s="35"/>
      <c r="AC335" s="35"/>
    </row>
    <row r="336" spans="1:29">
      <c r="A336" s="35"/>
      <c r="B336" s="320"/>
      <c r="C336" s="320"/>
      <c r="D336" s="320"/>
      <c r="E336" s="320"/>
      <c r="F336" s="320"/>
      <c r="G336" s="320"/>
      <c r="H336" s="320"/>
      <c r="I336" s="320"/>
      <c r="J336" s="320"/>
      <c r="K336" s="320"/>
      <c r="L336" s="321"/>
      <c r="M336" s="320"/>
      <c r="N336" s="35"/>
      <c r="O336" s="35"/>
      <c r="P336" s="35"/>
      <c r="Q336" s="35"/>
      <c r="R336" s="35"/>
      <c r="S336" s="35"/>
      <c r="T336" s="35"/>
      <c r="U336" s="35"/>
      <c r="V336" s="35"/>
      <c r="W336" s="35"/>
      <c r="X336" s="35"/>
      <c r="Y336" s="35"/>
      <c r="Z336" s="35"/>
      <c r="AA336" s="35"/>
      <c r="AB336" s="35"/>
      <c r="AC336" s="35"/>
    </row>
    <row r="337" spans="1:29">
      <c r="A337" s="35"/>
      <c r="B337" s="320"/>
      <c r="C337" s="320"/>
      <c r="D337" s="320"/>
      <c r="E337" s="320"/>
      <c r="F337" s="320"/>
      <c r="G337" s="320"/>
      <c r="H337" s="320"/>
      <c r="I337" s="320"/>
      <c r="J337" s="320"/>
      <c r="K337" s="320"/>
      <c r="L337" s="321"/>
      <c r="M337" s="320"/>
      <c r="N337" s="35"/>
      <c r="O337" s="35"/>
      <c r="P337" s="35"/>
      <c r="Q337" s="35"/>
      <c r="R337" s="35"/>
      <c r="S337" s="35"/>
      <c r="T337" s="35"/>
      <c r="U337" s="35"/>
      <c r="V337" s="35"/>
      <c r="W337" s="35"/>
      <c r="X337" s="35"/>
      <c r="Y337" s="35"/>
      <c r="Z337" s="35"/>
      <c r="AA337" s="35"/>
      <c r="AB337" s="35"/>
      <c r="AC337" s="35"/>
    </row>
    <row r="338" spans="1:29">
      <c r="A338" s="35"/>
      <c r="B338" s="320"/>
      <c r="C338" s="320"/>
      <c r="D338" s="320"/>
      <c r="E338" s="320"/>
      <c r="F338" s="320"/>
      <c r="G338" s="320"/>
      <c r="H338" s="320"/>
      <c r="I338" s="320"/>
      <c r="J338" s="320"/>
      <c r="K338" s="320"/>
      <c r="L338" s="321"/>
      <c r="M338" s="320"/>
      <c r="N338" s="35"/>
      <c r="O338" s="35"/>
      <c r="P338" s="35"/>
      <c r="Q338" s="35"/>
      <c r="R338" s="35"/>
      <c r="S338" s="35"/>
      <c r="T338" s="35"/>
      <c r="U338" s="35"/>
      <c r="V338" s="35"/>
      <c r="W338" s="35"/>
      <c r="X338" s="35"/>
      <c r="Y338" s="35"/>
      <c r="Z338" s="35"/>
      <c r="AA338" s="35"/>
      <c r="AB338" s="35"/>
      <c r="AC338" s="35"/>
    </row>
    <row r="339" spans="1:29">
      <c r="A339" s="35"/>
      <c r="B339" s="320"/>
      <c r="C339" s="320"/>
      <c r="D339" s="320"/>
      <c r="E339" s="320"/>
      <c r="F339" s="320"/>
      <c r="G339" s="320"/>
      <c r="H339" s="320"/>
      <c r="I339" s="320"/>
      <c r="J339" s="320"/>
      <c r="K339" s="320"/>
      <c r="L339" s="321"/>
      <c r="M339" s="320"/>
      <c r="N339" s="35"/>
      <c r="O339" s="35"/>
      <c r="P339" s="35"/>
      <c r="Q339" s="35"/>
      <c r="R339" s="35"/>
      <c r="S339" s="35"/>
      <c r="T339" s="35"/>
      <c r="U339" s="35"/>
      <c r="V339" s="35"/>
      <c r="W339" s="35"/>
      <c r="X339" s="35"/>
      <c r="Y339" s="35"/>
      <c r="Z339" s="35"/>
      <c r="AA339" s="35"/>
      <c r="AB339" s="35"/>
      <c r="AC339" s="35"/>
    </row>
    <row r="340" spans="1:29">
      <c r="A340" s="35"/>
      <c r="B340" s="320"/>
      <c r="C340" s="320"/>
      <c r="D340" s="320"/>
      <c r="E340" s="320"/>
      <c r="F340" s="320"/>
      <c r="G340" s="320"/>
      <c r="H340" s="320"/>
      <c r="I340" s="320"/>
      <c r="J340" s="320"/>
      <c r="K340" s="320"/>
      <c r="L340" s="321"/>
      <c r="M340" s="320"/>
      <c r="N340" s="35"/>
      <c r="O340" s="35"/>
      <c r="P340" s="35"/>
      <c r="Q340" s="35"/>
      <c r="R340" s="35"/>
      <c r="S340" s="35"/>
      <c r="T340" s="35"/>
      <c r="U340" s="35"/>
      <c r="V340" s="35"/>
      <c r="W340" s="35"/>
      <c r="X340" s="35"/>
      <c r="Y340" s="35"/>
      <c r="Z340" s="35"/>
      <c r="AA340" s="35"/>
      <c r="AB340" s="35"/>
      <c r="AC340" s="35"/>
    </row>
    <row r="341" spans="1:29">
      <c r="A341" s="35"/>
      <c r="B341" s="320"/>
      <c r="C341" s="320"/>
      <c r="D341" s="320"/>
      <c r="E341" s="320"/>
      <c r="F341" s="320"/>
      <c r="G341" s="320"/>
      <c r="H341" s="320"/>
      <c r="I341" s="320"/>
      <c r="J341" s="320"/>
      <c r="K341" s="320"/>
      <c r="L341" s="321"/>
      <c r="M341" s="320"/>
      <c r="N341" s="35"/>
      <c r="O341" s="35"/>
      <c r="P341" s="35"/>
      <c r="Q341" s="35"/>
      <c r="R341" s="35"/>
      <c r="S341" s="35"/>
      <c r="T341" s="35"/>
      <c r="U341" s="35"/>
      <c r="V341" s="35"/>
      <c r="W341" s="35"/>
      <c r="X341" s="35"/>
      <c r="Y341" s="35"/>
      <c r="Z341" s="35"/>
      <c r="AA341" s="35"/>
      <c r="AB341" s="35"/>
      <c r="AC341" s="35"/>
    </row>
    <row r="342" spans="1:29">
      <c r="A342" s="35"/>
      <c r="B342" s="320"/>
      <c r="C342" s="320"/>
      <c r="D342" s="320"/>
      <c r="E342" s="320"/>
      <c r="F342" s="320"/>
      <c r="G342" s="320"/>
      <c r="H342" s="320"/>
      <c r="I342" s="320"/>
      <c r="J342" s="320"/>
      <c r="K342" s="320"/>
      <c r="L342" s="321"/>
      <c r="M342" s="320"/>
      <c r="N342" s="35"/>
      <c r="O342" s="35"/>
      <c r="P342" s="35"/>
      <c r="Q342" s="35"/>
      <c r="R342" s="35"/>
      <c r="S342" s="35"/>
      <c r="T342" s="35"/>
      <c r="U342" s="35"/>
      <c r="V342" s="35"/>
      <c r="W342" s="35"/>
      <c r="X342" s="35"/>
      <c r="Y342" s="35"/>
      <c r="Z342" s="35"/>
      <c r="AA342" s="35"/>
      <c r="AB342" s="35"/>
      <c r="AC342" s="35"/>
    </row>
    <row r="343" spans="1:29">
      <c r="A343" s="35"/>
      <c r="B343" s="320"/>
      <c r="C343" s="320"/>
      <c r="D343" s="320"/>
      <c r="E343" s="320"/>
      <c r="F343" s="320"/>
      <c r="G343" s="320"/>
      <c r="H343" s="320"/>
      <c r="I343" s="320"/>
      <c r="J343" s="320"/>
      <c r="K343" s="320"/>
      <c r="L343" s="321"/>
      <c r="M343" s="320"/>
      <c r="N343" s="35"/>
      <c r="O343" s="35"/>
      <c r="P343" s="35"/>
      <c r="Q343" s="35"/>
      <c r="R343" s="35"/>
      <c r="S343" s="35"/>
      <c r="T343" s="35"/>
      <c r="U343" s="35"/>
      <c r="V343" s="35"/>
      <c r="W343" s="35"/>
      <c r="X343" s="35"/>
      <c r="Y343" s="35"/>
      <c r="Z343" s="35"/>
      <c r="AA343" s="35"/>
      <c r="AB343" s="35"/>
      <c r="AC343" s="35"/>
    </row>
    <row r="344" spans="1:29">
      <c r="A344" s="35"/>
      <c r="B344" s="320"/>
      <c r="C344" s="320"/>
      <c r="D344" s="320"/>
      <c r="E344" s="320"/>
      <c r="F344" s="320"/>
      <c r="G344" s="320"/>
      <c r="H344" s="320"/>
      <c r="I344" s="320"/>
      <c r="J344" s="320"/>
      <c r="K344" s="320"/>
      <c r="L344" s="321"/>
      <c r="M344" s="320"/>
      <c r="N344" s="35"/>
      <c r="O344" s="35"/>
      <c r="P344" s="35"/>
      <c r="Q344" s="35"/>
      <c r="R344" s="35"/>
      <c r="S344" s="35"/>
      <c r="T344" s="35"/>
      <c r="U344" s="35"/>
      <c r="V344" s="35"/>
      <c r="W344" s="35"/>
      <c r="X344" s="35"/>
      <c r="Y344" s="35"/>
      <c r="Z344" s="35"/>
      <c r="AA344" s="35"/>
      <c r="AB344" s="35"/>
      <c r="AC344" s="35"/>
    </row>
    <row r="345" spans="1:29">
      <c r="A345" s="35"/>
      <c r="B345" s="320"/>
      <c r="C345" s="320"/>
      <c r="D345" s="320"/>
      <c r="E345" s="320"/>
      <c r="F345" s="320"/>
      <c r="G345" s="320"/>
      <c r="H345" s="320"/>
      <c r="I345" s="320"/>
      <c r="J345" s="320"/>
      <c r="K345" s="320"/>
      <c r="L345" s="321"/>
      <c r="M345" s="320"/>
      <c r="N345" s="35"/>
      <c r="O345" s="35"/>
      <c r="P345" s="35"/>
      <c r="Q345" s="35"/>
      <c r="R345" s="35"/>
      <c r="S345" s="35"/>
      <c r="T345" s="35"/>
      <c r="U345" s="35"/>
      <c r="V345" s="35"/>
      <c r="W345" s="35"/>
      <c r="X345" s="35"/>
      <c r="Y345" s="35"/>
      <c r="Z345" s="35"/>
      <c r="AA345" s="35"/>
      <c r="AB345" s="35"/>
      <c r="AC345" s="35"/>
    </row>
    <row r="346" spans="1:29">
      <c r="A346" s="35"/>
      <c r="B346" s="320"/>
      <c r="C346" s="320"/>
      <c r="D346" s="320"/>
      <c r="E346" s="320"/>
      <c r="F346" s="320"/>
      <c r="G346" s="320"/>
      <c r="H346" s="320"/>
      <c r="I346" s="320"/>
      <c r="J346" s="320"/>
      <c r="K346" s="320"/>
      <c r="L346" s="321"/>
      <c r="M346" s="320"/>
      <c r="N346" s="35"/>
      <c r="O346" s="35"/>
      <c r="P346" s="35"/>
      <c r="Q346" s="35"/>
      <c r="R346" s="35"/>
      <c r="S346" s="35"/>
      <c r="T346" s="35"/>
      <c r="U346" s="35"/>
      <c r="V346" s="35"/>
      <c r="W346" s="35"/>
      <c r="X346" s="35"/>
      <c r="Y346" s="35"/>
      <c r="Z346" s="35"/>
      <c r="AA346" s="35"/>
      <c r="AB346" s="35"/>
      <c r="AC346" s="35"/>
    </row>
    <row r="347" spans="1:29">
      <c r="A347" s="35"/>
      <c r="B347" s="320"/>
      <c r="C347" s="320"/>
      <c r="D347" s="320"/>
      <c r="E347" s="320"/>
      <c r="F347" s="320"/>
      <c r="G347" s="320"/>
      <c r="H347" s="320"/>
      <c r="I347" s="320"/>
      <c r="J347" s="320"/>
      <c r="K347" s="320"/>
      <c r="L347" s="321"/>
      <c r="M347" s="320"/>
      <c r="N347" s="35"/>
      <c r="O347" s="35"/>
      <c r="P347" s="35"/>
      <c r="Q347" s="35"/>
      <c r="R347" s="35"/>
      <c r="S347" s="35"/>
      <c r="T347" s="35"/>
      <c r="U347" s="35"/>
      <c r="V347" s="35"/>
      <c r="W347" s="35"/>
      <c r="X347" s="35"/>
      <c r="Y347" s="35"/>
      <c r="Z347" s="35"/>
      <c r="AA347" s="35"/>
      <c r="AB347" s="35"/>
      <c r="AC347" s="35"/>
    </row>
    <row r="348" spans="1:29">
      <c r="A348" s="35"/>
      <c r="B348" s="320"/>
      <c r="C348" s="320"/>
      <c r="D348" s="320"/>
      <c r="E348" s="320"/>
      <c r="F348" s="320"/>
      <c r="G348" s="320"/>
      <c r="H348" s="320"/>
      <c r="I348" s="320"/>
      <c r="J348" s="320"/>
      <c r="K348" s="320"/>
      <c r="L348" s="321"/>
      <c r="M348" s="320"/>
      <c r="N348" s="35"/>
      <c r="O348" s="35"/>
      <c r="P348" s="35"/>
      <c r="Q348" s="35"/>
      <c r="R348" s="35"/>
      <c r="S348" s="35"/>
      <c r="T348" s="35"/>
      <c r="U348" s="35"/>
      <c r="V348" s="35"/>
      <c r="W348" s="35"/>
      <c r="X348" s="35"/>
      <c r="Y348" s="35"/>
      <c r="Z348" s="35"/>
      <c r="AA348" s="35"/>
      <c r="AB348" s="35"/>
      <c r="AC348" s="35"/>
    </row>
    <row r="349" spans="1:29">
      <c r="A349" s="35"/>
      <c r="B349" s="320"/>
      <c r="C349" s="320"/>
      <c r="D349" s="320"/>
      <c r="E349" s="320"/>
      <c r="F349" s="320"/>
      <c r="G349" s="320"/>
      <c r="H349" s="320"/>
      <c r="I349" s="320"/>
      <c r="J349" s="320"/>
      <c r="K349" s="320"/>
      <c r="L349" s="321"/>
      <c r="M349" s="320"/>
      <c r="N349" s="35"/>
      <c r="O349" s="35"/>
      <c r="P349" s="35"/>
      <c r="Q349" s="35"/>
      <c r="R349" s="35"/>
      <c r="S349" s="35"/>
      <c r="T349" s="35"/>
      <c r="U349" s="35"/>
      <c r="V349" s="35"/>
      <c r="W349" s="35"/>
      <c r="X349" s="35"/>
      <c r="Y349" s="35"/>
      <c r="Z349" s="35"/>
      <c r="AA349" s="35"/>
      <c r="AB349" s="35"/>
      <c r="AC349" s="35"/>
    </row>
    <row r="350" spans="1:29">
      <c r="A350" s="35"/>
      <c r="B350" s="320"/>
      <c r="C350" s="320"/>
      <c r="D350" s="320"/>
      <c r="E350" s="320"/>
      <c r="F350" s="320"/>
      <c r="G350" s="320"/>
      <c r="H350" s="320"/>
      <c r="I350" s="320"/>
      <c r="J350" s="320"/>
      <c r="K350" s="320"/>
      <c r="L350" s="321"/>
      <c r="M350" s="320"/>
      <c r="N350" s="35"/>
      <c r="O350" s="35"/>
      <c r="P350" s="35"/>
      <c r="Q350" s="35"/>
      <c r="R350" s="35"/>
      <c r="S350" s="35"/>
      <c r="T350" s="35"/>
      <c r="U350" s="35"/>
      <c r="V350" s="35"/>
      <c r="W350" s="35"/>
      <c r="X350" s="35"/>
      <c r="Y350" s="35"/>
      <c r="Z350" s="35"/>
      <c r="AA350" s="35"/>
      <c r="AB350" s="35"/>
      <c r="AC350" s="35"/>
    </row>
    <row r="351" spans="1:29">
      <c r="A351" s="35"/>
      <c r="B351" s="320"/>
      <c r="C351" s="320"/>
      <c r="D351" s="320"/>
      <c r="E351" s="320"/>
      <c r="F351" s="320"/>
      <c r="G351" s="320"/>
      <c r="H351" s="320"/>
      <c r="I351" s="320"/>
      <c r="J351" s="320"/>
      <c r="K351" s="320"/>
      <c r="L351" s="321"/>
      <c r="M351" s="320"/>
      <c r="N351" s="35"/>
      <c r="O351" s="35"/>
      <c r="P351" s="35"/>
      <c r="Q351" s="35"/>
      <c r="R351" s="35"/>
      <c r="S351" s="35"/>
      <c r="T351" s="35"/>
      <c r="U351" s="35"/>
      <c r="V351" s="35"/>
      <c r="W351" s="35"/>
      <c r="X351" s="35"/>
      <c r="Y351" s="35"/>
      <c r="Z351" s="35"/>
      <c r="AA351" s="35"/>
      <c r="AB351" s="35"/>
      <c r="AC351" s="35"/>
    </row>
    <row r="352" spans="1:29">
      <c r="A352" s="35"/>
      <c r="B352" s="320"/>
      <c r="C352" s="320"/>
      <c r="D352" s="320"/>
      <c r="E352" s="320"/>
      <c r="F352" s="320"/>
      <c r="G352" s="320"/>
      <c r="H352" s="320"/>
      <c r="I352" s="320"/>
      <c r="J352" s="320"/>
      <c r="K352" s="320"/>
      <c r="L352" s="321"/>
      <c r="M352" s="320"/>
      <c r="N352" s="35"/>
      <c r="O352" s="35"/>
      <c r="P352" s="35"/>
      <c r="Q352" s="35"/>
      <c r="R352" s="35"/>
      <c r="S352" s="35"/>
      <c r="T352" s="35"/>
      <c r="U352" s="35"/>
      <c r="V352" s="35"/>
      <c r="W352" s="35"/>
      <c r="X352" s="35"/>
      <c r="Y352" s="35"/>
      <c r="Z352" s="35"/>
      <c r="AA352" s="35"/>
      <c r="AB352" s="35"/>
      <c r="AC352" s="35"/>
    </row>
    <row r="353" spans="1:29">
      <c r="A353" s="35"/>
      <c r="B353" s="320"/>
      <c r="C353" s="320"/>
      <c r="D353" s="320"/>
      <c r="E353" s="320"/>
      <c r="F353" s="320"/>
      <c r="G353" s="320"/>
      <c r="H353" s="320"/>
      <c r="I353" s="320"/>
      <c r="J353" s="320"/>
      <c r="K353" s="320"/>
      <c r="L353" s="321"/>
      <c r="M353" s="320"/>
      <c r="N353" s="35"/>
      <c r="O353" s="35"/>
      <c r="P353" s="35"/>
      <c r="Q353" s="35"/>
      <c r="R353" s="35"/>
      <c r="S353" s="35"/>
      <c r="T353" s="35"/>
      <c r="U353" s="35"/>
      <c r="V353" s="35"/>
      <c r="W353" s="35"/>
      <c r="X353" s="35"/>
      <c r="Y353" s="35"/>
      <c r="Z353" s="35"/>
      <c r="AA353" s="35"/>
      <c r="AB353" s="35"/>
      <c r="AC353" s="35"/>
    </row>
    <row r="354" spans="1:29">
      <c r="A354" s="35"/>
      <c r="B354" s="320"/>
      <c r="C354" s="320"/>
      <c r="D354" s="320"/>
      <c r="E354" s="320"/>
      <c r="F354" s="320"/>
      <c r="G354" s="320"/>
      <c r="H354" s="320"/>
      <c r="I354" s="320"/>
      <c r="J354" s="320"/>
      <c r="K354" s="320"/>
      <c r="L354" s="321"/>
      <c r="M354" s="320"/>
      <c r="N354" s="35"/>
      <c r="O354" s="35"/>
      <c r="P354" s="35"/>
      <c r="Q354" s="35"/>
      <c r="R354" s="35"/>
      <c r="S354" s="35"/>
      <c r="T354" s="35"/>
      <c r="U354" s="35"/>
      <c r="V354" s="35"/>
      <c r="W354" s="35"/>
      <c r="X354" s="35"/>
      <c r="Y354" s="35"/>
      <c r="Z354" s="35"/>
      <c r="AA354" s="35"/>
      <c r="AB354" s="35"/>
      <c r="AC354" s="35"/>
    </row>
    <row r="355" spans="1:29">
      <c r="A355" s="35"/>
      <c r="B355" s="320"/>
      <c r="C355" s="320"/>
      <c r="D355" s="320"/>
      <c r="E355" s="320"/>
      <c r="F355" s="320"/>
      <c r="G355" s="320"/>
      <c r="H355" s="320"/>
      <c r="I355" s="320"/>
      <c r="J355" s="320"/>
      <c r="K355" s="320"/>
      <c r="L355" s="321"/>
      <c r="M355" s="320"/>
      <c r="N355" s="35"/>
      <c r="O355" s="35"/>
      <c r="P355" s="35"/>
      <c r="Q355" s="35"/>
      <c r="R355" s="35"/>
      <c r="S355" s="35"/>
      <c r="T355" s="35"/>
      <c r="U355" s="35"/>
      <c r="V355" s="35"/>
      <c r="W355" s="35"/>
      <c r="X355" s="35"/>
      <c r="Y355" s="35"/>
      <c r="Z355" s="35"/>
      <c r="AA355" s="35"/>
      <c r="AB355" s="35"/>
      <c r="AC355" s="35"/>
    </row>
    <row r="356" spans="1:29">
      <c r="A356" s="35"/>
      <c r="B356" s="320"/>
      <c r="C356" s="320"/>
      <c r="D356" s="320"/>
      <c r="E356" s="320"/>
      <c r="F356" s="320"/>
      <c r="G356" s="320"/>
      <c r="H356" s="320"/>
      <c r="I356" s="320"/>
      <c r="J356" s="320"/>
      <c r="K356" s="320"/>
      <c r="L356" s="321"/>
      <c r="M356" s="320"/>
      <c r="N356" s="35"/>
      <c r="O356" s="35"/>
      <c r="P356" s="35"/>
      <c r="Q356" s="35"/>
      <c r="R356" s="35"/>
      <c r="S356" s="35"/>
      <c r="T356" s="35"/>
      <c r="U356" s="35"/>
      <c r="V356" s="35"/>
      <c r="W356" s="35"/>
      <c r="X356" s="35"/>
      <c r="Y356" s="35"/>
      <c r="Z356" s="35"/>
      <c r="AA356" s="35"/>
      <c r="AB356" s="35"/>
      <c r="AC356" s="35"/>
    </row>
    <row r="357" spans="1:29">
      <c r="A357" s="35"/>
      <c r="B357" s="320"/>
      <c r="C357" s="320"/>
      <c r="D357" s="320"/>
      <c r="E357" s="320"/>
      <c r="F357" s="320"/>
      <c r="G357" s="320"/>
      <c r="H357" s="320"/>
      <c r="I357" s="320"/>
      <c r="J357" s="320"/>
      <c r="K357" s="320"/>
      <c r="L357" s="321"/>
      <c r="M357" s="320"/>
      <c r="N357" s="35"/>
      <c r="O357" s="35"/>
      <c r="P357" s="35"/>
      <c r="Q357" s="35"/>
      <c r="R357" s="35"/>
      <c r="S357" s="35"/>
      <c r="T357" s="35"/>
      <c r="U357" s="35"/>
      <c r="V357" s="35"/>
      <c r="W357" s="35"/>
      <c r="X357" s="35"/>
      <c r="Y357" s="35"/>
      <c r="Z357" s="35"/>
      <c r="AA357" s="35"/>
      <c r="AB357" s="35"/>
      <c r="AC357" s="35"/>
    </row>
    <row r="358" spans="1:29">
      <c r="A358" s="35"/>
      <c r="B358" s="320"/>
      <c r="C358" s="320"/>
      <c r="D358" s="320"/>
      <c r="E358" s="320"/>
      <c r="F358" s="320"/>
      <c r="G358" s="320"/>
      <c r="H358" s="320"/>
      <c r="I358" s="320"/>
      <c r="J358" s="320"/>
      <c r="K358" s="320"/>
      <c r="L358" s="321"/>
      <c r="M358" s="320"/>
      <c r="N358" s="35"/>
      <c r="O358" s="35"/>
      <c r="P358" s="35"/>
      <c r="Q358" s="35"/>
      <c r="R358" s="35"/>
      <c r="S358" s="35"/>
      <c r="T358" s="35"/>
      <c r="U358" s="35"/>
      <c r="V358" s="35"/>
      <c r="W358" s="35"/>
      <c r="X358" s="35"/>
      <c r="Y358" s="35"/>
      <c r="Z358" s="35"/>
      <c r="AA358" s="35"/>
      <c r="AB358" s="35"/>
      <c r="AC358" s="35"/>
    </row>
    <row r="359" spans="1:29">
      <c r="A359" s="35"/>
      <c r="B359" s="320"/>
      <c r="C359" s="320"/>
      <c r="D359" s="320"/>
      <c r="E359" s="320"/>
      <c r="F359" s="320"/>
      <c r="G359" s="320"/>
      <c r="H359" s="320"/>
      <c r="I359" s="320"/>
      <c r="J359" s="320"/>
      <c r="K359" s="320"/>
      <c r="L359" s="321"/>
      <c r="M359" s="320"/>
      <c r="N359" s="35"/>
      <c r="O359" s="35"/>
      <c r="P359" s="35"/>
      <c r="Q359" s="35"/>
      <c r="R359" s="35"/>
      <c r="S359" s="35"/>
      <c r="T359" s="35"/>
      <c r="U359" s="35"/>
      <c r="V359" s="35"/>
      <c r="W359" s="35"/>
      <c r="X359" s="35"/>
      <c r="Y359" s="35"/>
      <c r="Z359" s="35"/>
      <c r="AA359" s="35"/>
      <c r="AB359" s="35"/>
      <c r="AC359" s="35"/>
    </row>
    <row r="360" spans="1:29">
      <c r="A360" s="35"/>
      <c r="B360" s="320"/>
      <c r="C360" s="320"/>
      <c r="D360" s="320"/>
      <c r="E360" s="320"/>
      <c r="F360" s="320"/>
      <c r="G360" s="320"/>
      <c r="H360" s="320"/>
      <c r="I360" s="320"/>
      <c r="J360" s="320"/>
      <c r="K360" s="320"/>
      <c r="L360" s="321"/>
      <c r="M360" s="320"/>
      <c r="N360" s="35"/>
      <c r="O360" s="35"/>
      <c r="P360" s="35"/>
      <c r="Q360" s="35"/>
      <c r="R360" s="35"/>
      <c r="S360" s="35"/>
      <c r="T360" s="35"/>
      <c r="U360" s="35"/>
      <c r="V360" s="35"/>
      <c r="W360" s="35"/>
      <c r="X360" s="35"/>
      <c r="Y360" s="35"/>
      <c r="Z360" s="35"/>
      <c r="AA360" s="35"/>
      <c r="AB360" s="35"/>
      <c r="AC360" s="35"/>
    </row>
    <row r="361" spans="1:29">
      <c r="A361" s="35"/>
      <c r="B361" s="320"/>
      <c r="C361" s="320"/>
      <c r="D361" s="320"/>
      <c r="E361" s="320"/>
      <c r="F361" s="320"/>
      <c r="G361" s="320"/>
      <c r="H361" s="320"/>
      <c r="I361" s="320"/>
      <c r="J361" s="320"/>
      <c r="K361" s="320"/>
      <c r="L361" s="321"/>
      <c r="M361" s="320"/>
      <c r="N361" s="35"/>
      <c r="O361" s="35"/>
      <c r="P361" s="35"/>
      <c r="Q361" s="35"/>
      <c r="R361" s="35"/>
      <c r="S361" s="35"/>
      <c r="T361" s="35"/>
      <c r="U361" s="35"/>
      <c r="V361" s="35"/>
      <c r="W361" s="35"/>
      <c r="X361" s="35"/>
      <c r="Y361" s="35"/>
      <c r="Z361" s="35"/>
      <c r="AA361" s="35"/>
      <c r="AB361" s="35"/>
      <c r="AC361" s="35"/>
    </row>
    <row r="362" spans="1:29">
      <c r="A362" s="35"/>
      <c r="B362" s="320"/>
      <c r="C362" s="320"/>
      <c r="D362" s="320"/>
      <c r="E362" s="320"/>
      <c r="F362" s="320"/>
      <c r="G362" s="320"/>
      <c r="H362" s="320"/>
      <c r="I362" s="320"/>
      <c r="J362" s="320"/>
      <c r="K362" s="320"/>
      <c r="L362" s="321"/>
      <c r="M362" s="320"/>
      <c r="N362" s="35"/>
      <c r="O362" s="35"/>
      <c r="P362" s="35"/>
      <c r="Q362" s="35"/>
      <c r="R362" s="35"/>
      <c r="S362" s="35"/>
      <c r="T362" s="35"/>
      <c r="U362" s="35"/>
      <c r="V362" s="35"/>
      <c r="W362" s="35"/>
      <c r="X362" s="35"/>
      <c r="Y362" s="35"/>
      <c r="Z362" s="35"/>
      <c r="AA362" s="35"/>
      <c r="AB362" s="35"/>
      <c r="AC362" s="35"/>
    </row>
    <row r="363" spans="1:29">
      <c r="A363" s="35"/>
      <c r="B363" s="320"/>
      <c r="C363" s="320"/>
      <c r="D363" s="320"/>
      <c r="E363" s="320"/>
      <c r="F363" s="320"/>
      <c r="G363" s="320"/>
      <c r="H363" s="320"/>
      <c r="I363" s="320"/>
      <c r="J363" s="320"/>
      <c r="K363" s="320"/>
      <c r="L363" s="321"/>
      <c r="M363" s="320"/>
      <c r="N363" s="35"/>
      <c r="O363" s="35"/>
      <c r="P363" s="35"/>
      <c r="Q363" s="35"/>
      <c r="R363" s="35"/>
      <c r="S363" s="35"/>
      <c r="T363" s="35"/>
      <c r="U363" s="35"/>
      <c r="V363" s="35"/>
      <c r="W363" s="35"/>
      <c r="X363" s="35"/>
      <c r="Y363" s="35"/>
      <c r="Z363" s="35"/>
      <c r="AA363" s="35"/>
      <c r="AB363" s="35"/>
      <c r="AC363" s="35"/>
    </row>
    <row r="364" spans="1:29">
      <c r="A364" s="35"/>
      <c r="B364" s="320"/>
      <c r="C364" s="320"/>
      <c r="D364" s="320"/>
      <c r="E364" s="320"/>
      <c r="F364" s="320"/>
      <c r="G364" s="320"/>
      <c r="H364" s="320"/>
      <c r="I364" s="320"/>
      <c r="J364" s="320"/>
      <c r="K364" s="320"/>
      <c r="L364" s="321"/>
      <c r="M364" s="320"/>
      <c r="N364" s="35"/>
      <c r="O364" s="35"/>
      <c r="P364" s="35"/>
      <c r="Q364" s="35"/>
      <c r="R364" s="35"/>
      <c r="S364" s="35"/>
      <c r="T364" s="35"/>
      <c r="U364" s="35"/>
      <c r="V364" s="35"/>
      <c r="W364" s="35"/>
      <c r="X364" s="35"/>
      <c r="Y364" s="35"/>
      <c r="Z364" s="35"/>
      <c r="AA364" s="35"/>
      <c r="AB364" s="35"/>
      <c r="AC364" s="35"/>
    </row>
    <row r="365" spans="1:29">
      <c r="A365" s="35"/>
      <c r="B365" s="320"/>
      <c r="C365" s="320"/>
      <c r="D365" s="320"/>
      <c r="E365" s="320"/>
      <c r="F365" s="320"/>
      <c r="G365" s="320"/>
      <c r="H365" s="320"/>
      <c r="I365" s="320"/>
      <c r="J365" s="320"/>
      <c r="K365" s="320"/>
      <c r="L365" s="321"/>
      <c r="M365" s="320"/>
      <c r="N365" s="35"/>
      <c r="O365" s="35"/>
      <c r="P365" s="35"/>
      <c r="Q365" s="35"/>
      <c r="R365" s="35"/>
      <c r="S365" s="35"/>
      <c r="T365" s="35"/>
      <c r="U365" s="35"/>
      <c r="V365" s="35"/>
      <c r="W365" s="35"/>
      <c r="X365" s="35"/>
      <c r="Y365" s="35"/>
      <c r="Z365" s="35"/>
      <c r="AA365" s="35"/>
      <c r="AB365" s="35"/>
      <c r="AC365" s="35"/>
    </row>
    <row r="366" spans="1:29">
      <c r="A366" s="35"/>
      <c r="B366" s="320"/>
      <c r="C366" s="320"/>
      <c r="D366" s="320"/>
      <c r="E366" s="320"/>
      <c r="F366" s="320"/>
      <c r="G366" s="320"/>
      <c r="H366" s="320"/>
      <c r="I366" s="320"/>
      <c r="J366" s="320"/>
      <c r="K366" s="320"/>
      <c r="L366" s="321"/>
      <c r="M366" s="320"/>
      <c r="N366" s="35"/>
      <c r="O366" s="35"/>
      <c r="P366" s="35"/>
      <c r="Q366" s="35"/>
      <c r="R366" s="35"/>
      <c r="S366" s="35"/>
      <c r="T366" s="35"/>
      <c r="U366" s="35"/>
      <c r="V366" s="35"/>
      <c r="W366" s="35"/>
      <c r="X366" s="35"/>
      <c r="Y366" s="35"/>
      <c r="Z366" s="35"/>
      <c r="AA366" s="35"/>
      <c r="AB366" s="35"/>
      <c r="AC366" s="35"/>
    </row>
    <row r="367" spans="1:29">
      <c r="A367" s="35"/>
      <c r="B367" s="320"/>
      <c r="C367" s="320"/>
      <c r="D367" s="320"/>
      <c r="E367" s="320"/>
      <c r="F367" s="320"/>
      <c r="G367" s="320"/>
      <c r="H367" s="320"/>
      <c r="I367" s="320"/>
      <c r="J367" s="320"/>
      <c r="K367" s="320"/>
      <c r="L367" s="321"/>
      <c r="M367" s="320"/>
      <c r="N367" s="35"/>
      <c r="O367" s="35"/>
      <c r="P367" s="35"/>
      <c r="Q367" s="35"/>
      <c r="R367" s="35"/>
      <c r="S367" s="35"/>
      <c r="T367" s="35"/>
      <c r="U367" s="35"/>
      <c r="V367" s="35"/>
      <c r="W367" s="35"/>
      <c r="X367" s="35"/>
      <c r="Y367" s="35"/>
      <c r="Z367" s="35"/>
      <c r="AA367" s="35"/>
      <c r="AB367" s="35"/>
      <c r="AC367" s="35"/>
    </row>
    <row r="368" spans="1:29">
      <c r="A368" s="35"/>
      <c r="B368" s="320"/>
      <c r="C368" s="320"/>
      <c r="D368" s="320"/>
      <c r="E368" s="320"/>
      <c r="F368" s="320"/>
      <c r="G368" s="320"/>
      <c r="H368" s="320"/>
      <c r="I368" s="320"/>
      <c r="J368" s="320"/>
      <c r="K368" s="320"/>
      <c r="L368" s="321"/>
      <c r="M368" s="320"/>
      <c r="N368" s="35"/>
      <c r="O368" s="35"/>
      <c r="P368" s="35"/>
      <c r="Q368" s="35"/>
      <c r="R368" s="35"/>
      <c r="S368" s="35"/>
      <c r="T368" s="35"/>
      <c r="U368" s="35"/>
      <c r="V368" s="35"/>
      <c r="W368" s="35"/>
      <c r="X368" s="35"/>
      <c r="Y368" s="35"/>
      <c r="Z368" s="35"/>
      <c r="AA368" s="35"/>
      <c r="AB368" s="35"/>
      <c r="AC368" s="35"/>
    </row>
    <row r="369" spans="1:29">
      <c r="A369" s="35"/>
      <c r="B369" s="320"/>
      <c r="C369" s="320"/>
      <c r="D369" s="320"/>
      <c r="E369" s="320"/>
      <c r="F369" s="320"/>
      <c r="G369" s="320"/>
      <c r="H369" s="320"/>
      <c r="I369" s="320"/>
      <c r="J369" s="320"/>
      <c r="K369" s="320"/>
      <c r="L369" s="321"/>
      <c r="M369" s="320"/>
      <c r="N369" s="35"/>
      <c r="O369" s="35"/>
      <c r="P369" s="35"/>
      <c r="Q369" s="35"/>
      <c r="R369" s="35"/>
      <c r="S369" s="35"/>
      <c r="T369" s="35"/>
      <c r="U369" s="35"/>
      <c r="V369" s="35"/>
      <c r="W369" s="35"/>
      <c r="X369" s="35"/>
      <c r="Y369" s="35"/>
      <c r="Z369" s="35"/>
      <c r="AA369" s="35"/>
      <c r="AB369" s="35"/>
      <c r="AC369" s="35"/>
    </row>
    <row r="370" spans="1:29">
      <c r="A370" s="35"/>
      <c r="B370" s="320"/>
      <c r="C370" s="320"/>
      <c r="D370" s="320"/>
      <c r="E370" s="320"/>
      <c r="F370" s="320"/>
      <c r="G370" s="320"/>
      <c r="H370" s="320"/>
      <c r="I370" s="320"/>
      <c r="J370" s="320"/>
      <c r="K370" s="320"/>
      <c r="L370" s="321"/>
      <c r="M370" s="320"/>
      <c r="N370" s="35"/>
      <c r="O370" s="35"/>
      <c r="P370" s="35"/>
      <c r="Q370" s="35"/>
      <c r="R370" s="35"/>
      <c r="S370" s="35"/>
      <c r="T370" s="35"/>
      <c r="U370" s="35"/>
      <c r="V370" s="35"/>
      <c r="W370" s="35"/>
      <c r="X370" s="35"/>
      <c r="Y370" s="35"/>
      <c r="Z370" s="35"/>
      <c r="AA370" s="35"/>
      <c r="AB370" s="35"/>
      <c r="AC370" s="35"/>
    </row>
    <row r="371" spans="1:29">
      <c r="A371" s="35"/>
      <c r="B371" s="320"/>
      <c r="C371" s="320"/>
      <c r="D371" s="320"/>
      <c r="E371" s="320"/>
      <c r="F371" s="320"/>
      <c r="G371" s="320"/>
      <c r="H371" s="320"/>
      <c r="I371" s="320"/>
      <c r="J371" s="320"/>
      <c r="K371" s="320"/>
      <c r="L371" s="321"/>
      <c r="M371" s="320"/>
      <c r="N371" s="35"/>
      <c r="O371" s="35"/>
      <c r="P371" s="35"/>
      <c r="Q371" s="35"/>
      <c r="R371" s="35"/>
      <c r="S371" s="35"/>
      <c r="T371" s="35"/>
      <c r="U371" s="35"/>
      <c r="V371" s="35"/>
      <c r="W371" s="35"/>
      <c r="X371" s="35"/>
      <c r="Y371" s="35"/>
      <c r="Z371" s="35"/>
      <c r="AA371" s="35"/>
      <c r="AB371" s="35"/>
      <c r="AC371" s="35"/>
    </row>
    <row r="372" spans="1:29">
      <c r="A372" s="35"/>
      <c r="B372" s="320"/>
      <c r="C372" s="320"/>
      <c r="D372" s="320"/>
      <c r="E372" s="320"/>
      <c r="F372" s="320"/>
      <c r="G372" s="320"/>
      <c r="H372" s="320"/>
      <c r="I372" s="320"/>
      <c r="J372" s="320"/>
      <c r="K372" s="320"/>
      <c r="L372" s="321"/>
      <c r="M372" s="320"/>
      <c r="N372" s="35"/>
      <c r="O372" s="35"/>
      <c r="P372" s="35"/>
      <c r="Q372" s="35"/>
      <c r="R372" s="35"/>
      <c r="S372" s="35"/>
      <c r="T372" s="35"/>
      <c r="U372" s="35"/>
      <c r="V372" s="35"/>
      <c r="W372" s="35"/>
      <c r="X372" s="35"/>
      <c r="Y372" s="35"/>
      <c r="Z372" s="35"/>
      <c r="AA372" s="35"/>
      <c r="AB372" s="35"/>
      <c r="AC372" s="35"/>
    </row>
    <row r="373" spans="1:29">
      <c r="A373" s="35"/>
      <c r="B373" s="320"/>
      <c r="C373" s="320"/>
      <c r="D373" s="320"/>
      <c r="E373" s="320"/>
      <c r="F373" s="320"/>
      <c r="G373" s="320"/>
      <c r="H373" s="320"/>
      <c r="I373" s="320"/>
      <c r="J373" s="320"/>
      <c r="K373" s="320"/>
      <c r="L373" s="321"/>
      <c r="M373" s="320"/>
      <c r="N373" s="35"/>
      <c r="O373" s="35"/>
      <c r="P373" s="35"/>
      <c r="Q373" s="35"/>
      <c r="R373" s="35"/>
      <c r="S373" s="35"/>
      <c r="T373" s="35"/>
      <c r="U373" s="35"/>
      <c r="V373" s="35"/>
      <c r="W373" s="35"/>
      <c r="X373" s="35"/>
      <c r="Y373" s="35"/>
      <c r="Z373" s="35"/>
      <c r="AA373" s="35"/>
      <c r="AB373" s="35"/>
      <c r="AC373" s="35"/>
    </row>
    <row r="374" spans="1:29">
      <c r="A374" s="35"/>
      <c r="B374" s="320"/>
      <c r="C374" s="320"/>
      <c r="D374" s="320"/>
      <c r="E374" s="320"/>
      <c r="F374" s="320"/>
      <c r="G374" s="320"/>
      <c r="H374" s="320"/>
      <c r="I374" s="320"/>
      <c r="J374" s="320"/>
      <c r="K374" s="320"/>
      <c r="L374" s="321"/>
      <c r="M374" s="320"/>
      <c r="N374" s="35"/>
      <c r="O374" s="35"/>
      <c r="P374" s="35"/>
      <c r="Q374" s="35"/>
      <c r="R374" s="35"/>
      <c r="S374" s="35"/>
      <c r="T374" s="35"/>
      <c r="U374" s="35"/>
      <c r="V374" s="35"/>
      <c r="W374" s="35"/>
      <c r="X374" s="35"/>
      <c r="Y374" s="35"/>
      <c r="Z374" s="35"/>
      <c r="AA374" s="35"/>
      <c r="AB374" s="35"/>
      <c r="AC374" s="35"/>
    </row>
    <row r="375" spans="1:29">
      <c r="A375" s="35"/>
      <c r="B375" s="320"/>
      <c r="C375" s="320"/>
      <c r="D375" s="320"/>
      <c r="E375" s="320"/>
      <c r="F375" s="320"/>
      <c r="G375" s="320"/>
      <c r="H375" s="320"/>
      <c r="I375" s="320"/>
      <c r="J375" s="320"/>
      <c r="K375" s="320"/>
      <c r="L375" s="321"/>
      <c r="M375" s="320"/>
      <c r="N375" s="35"/>
      <c r="O375" s="35"/>
      <c r="P375" s="35"/>
      <c r="Q375" s="35"/>
      <c r="R375" s="35"/>
      <c r="S375" s="35"/>
      <c r="T375" s="35"/>
      <c r="U375" s="35"/>
      <c r="V375" s="35"/>
      <c r="W375" s="35"/>
      <c r="X375" s="35"/>
      <c r="Y375" s="35"/>
      <c r="Z375" s="35"/>
      <c r="AA375" s="35"/>
      <c r="AB375" s="35"/>
      <c r="AC375" s="35"/>
    </row>
    <row r="376" spans="1:29">
      <c r="A376" s="35"/>
      <c r="B376" s="320"/>
      <c r="C376" s="320"/>
      <c r="D376" s="320"/>
      <c r="E376" s="320"/>
      <c r="F376" s="320"/>
      <c r="G376" s="320"/>
      <c r="H376" s="320"/>
      <c r="I376" s="320"/>
      <c r="J376" s="320"/>
      <c r="K376" s="320"/>
      <c r="L376" s="321"/>
      <c r="M376" s="320"/>
      <c r="N376" s="35"/>
      <c r="O376" s="35"/>
      <c r="P376" s="35"/>
      <c r="Q376" s="35"/>
      <c r="R376" s="35"/>
      <c r="S376" s="35"/>
      <c r="T376" s="35"/>
      <c r="U376" s="35"/>
      <c r="V376" s="35"/>
      <c r="W376" s="35"/>
      <c r="X376" s="35"/>
      <c r="Y376" s="35"/>
      <c r="Z376" s="35"/>
      <c r="AA376" s="35"/>
      <c r="AB376" s="35"/>
      <c r="AC376" s="35"/>
    </row>
    <row r="377" spans="1:29">
      <c r="A377" s="35"/>
      <c r="B377" s="320"/>
      <c r="C377" s="320"/>
      <c r="D377" s="320"/>
      <c r="E377" s="320"/>
      <c r="F377" s="320"/>
      <c r="G377" s="320"/>
      <c r="H377" s="320"/>
      <c r="I377" s="320"/>
      <c r="J377" s="320"/>
      <c r="K377" s="320"/>
      <c r="L377" s="321"/>
      <c r="M377" s="320"/>
      <c r="N377" s="35"/>
      <c r="O377" s="35"/>
      <c r="P377" s="35"/>
      <c r="Q377" s="35"/>
      <c r="R377" s="35"/>
      <c r="S377" s="35"/>
      <c r="T377" s="35"/>
      <c r="U377" s="35"/>
      <c r="V377" s="35"/>
      <c r="W377" s="35"/>
      <c r="X377" s="35"/>
      <c r="Y377" s="35"/>
      <c r="Z377" s="35"/>
      <c r="AA377" s="35"/>
      <c r="AB377" s="35"/>
      <c r="AC377" s="35"/>
    </row>
    <row r="378" spans="1:29">
      <c r="A378" s="35"/>
      <c r="B378" s="320"/>
      <c r="C378" s="320"/>
      <c r="D378" s="320"/>
      <c r="E378" s="320"/>
      <c r="F378" s="320"/>
      <c r="G378" s="320"/>
      <c r="H378" s="320"/>
      <c r="I378" s="320"/>
      <c r="J378" s="320"/>
      <c r="K378" s="320"/>
      <c r="L378" s="321"/>
      <c r="M378" s="320"/>
      <c r="N378" s="35"/>
      <c r="O378" s="35"/>
      <c r="P378" s="35"/>
      <c r="Q378" s="35"/>
      <c r="R378" s="35"/>
      <c r="S378" s="35"/>
      <c r="T378" s="35"/>
      <c r="U378" s="35"/>
      <c r="V378" s="35"/>
      <c r="W378" s="35"/>
      <c r="X378" s="35"/>
      <c r="Y378" s="35"/>
      <c r="Z378" s="35"/>
      <c r="AA378" s="35"/>
      <c r="AB378" s="35"/>
      <c r="AC378" s="35"/>
    </row>
    <row r="379" spans="1:29">
      <c r="A379" s="35"/>
      <c r="B379" s="320"/>
      <c r="C379" s="320"/>
      <c r="D379" s="320"/>
      <c r="E379" s="320"/>
      <c r="F379" s="320"/>
      <c r="G379" s="320"/>
      <c r="H379" s="320"/>
      <c r="I379" s="320"/>
      <c r="J379" s="320"/>
      <c r="K379" s="320"/>
      <c r="L379" s="321"/>
      <c r="M379" s="320"/>
      <c r="N379" s="35"/>
      <c r="O379" s="35"/>
      <c r="P379" s="35"/>
      <c r="Q379" s="35"/>
      <c r="R379" s="35"/>
      <c r="S379" s="35"/>
      <c r="T379" s="35"/>
      <c r="U379" s="35"/>
      <c r="V379" s="35"/>
      <c r="W379" s="35"/>
      <c r="X379" s="35"/>
      <c r="Y379" s="35"/>
      <c r="Z379" s="35"/>
      <c r="AA379" s="35"/>
      <c r="AB379" s="35"/>
      <c r="AC379" s="35"/>
    </row>
    <row r="380" spans="1:29">
      <c r="A380" s="35"/>
      <c r="B380" s="320"/>
      <c r="C380" s="320"/>
      <c r="D380" s="320"/>
      <c r="E380" s="320"/>
      <c r="F380" s="320"/>
      <c r="G380" s="320"/>
      <c r="H380" s="320"/>
      <c r="I380" s="320"/>
      <c r="J380" s="320"/>
      <c r="K380" s="320"/>
      <c r="L380" s="321"/>
      <c r="M380" s="320"/>
      <c r="N380" s="35"/>
      <c r="O380" s="35"/>
      <c r="P380" s="35"/>
      <c r="Q380" s="35"/>
      <c r="R380" s="35"/>
      <c r="S380" s="35"/>
      <c r="T380" s="35"/>
      <c r="U380" s="35"/>
      <c r="V380" s="35"/>
      <c r="W380" s="35"/>
      <c r="X380" s="35"/>
      <c r="Y380" s="35"/>
      <c r="Z380" s="35"/>
      <c r="AA380" s="35"/>
      <c r="AB380" s="35"/>
      <c r="AC380" s="35"/>
    </row>
    <row r="381" spans="1:29">
      <c r="A381" s="35"/>
      <c r="B381" s="320"/>
      <c r="C381" s="320"/>
      <c r="D381" s="320"/>
      <c r="E381" s="320"/>
      <c r="F381" s="320"/>
      <c r="G381" s="320"/>
      <c r="H381" s="320"/>
      <c r="I381" s="320"/>
      <c r="J381" s="320"/>
      <c r="K381" s="320"/>
      <c r="L381" s="321"/>
      <c r="M381" s="320"/>
      <c r="N381" s="35"/>
      <c r="O381" s="35"/>
      <c r="P381" s="35"/>
      <c r="Q381" s="35"/>
      <c r="R381" s="35"/>
      <c r="S381" s="35"/>
      <c r="T381" s="35"/>
      <c r="U381" s="35"/>
      <c r="V381" s="35"/>
      <c r="W381" s="35"/>
      <c r="X381" s="35"/>
      <c r="Y381" s="35"/>
      <c r="Z381" s="35"/>
      <c r="AA381" s="35"/>
      <c r="AB381" s="35"/>
      <c r="AC381" s="35"/>
    </row>
    <row r="382" spans="1:29">
      <c r="A382" s="35"/>
      <c r="B382" s="320"/>
      <c r="C382" s="320"/>
      <c r="D382" s="320"/>
      <c r="E382" s="320"/>
      <c r="F382" s="320"/>
      <c r="G382" s="320"/>
      <c r="H382" s="320"/>
      <c r="I382" s="320"/>
      <c r="J382" s="320"/>
      <c r="K382" s="320"/>
      <c r="L382" s="321"/>
      <c r="M382" s="320"/>
      <c r="N382" s="35"/>
      <c r="O382" s="35"/>
      <c r="P382" s="35"/>
      <c r="Q382" s="35"/>
      <c r="R382" s="35"/>
      <c r="S382" s="35"/>
      <c r="T382" s="35"/>
      <c r="U382" s="35"/>
      <c r="V382" s="35"/>
      <c r="W382" s="35"/>
      <c r="X382" s="35"/>
      <c r="Y382" s="35"/>
      <c r="Z382" s="35"/>
      <c r="AA382" s="35"/>
      <c r="AB382" s="35"/>
      <c r="AC382" s="35"/>
    </row>
    <row r="383" spans="1:29">
      <c r="A383" s="35"/>
      <c r="B383" s="320"/>
      <c r="C383" s="320"/>
      <c r="D383" s="320"/>
      <c r="E383" s="320"/>
      <c r="F383" s="320"/>
      <c r="G383" s="320"/>
      <c r="H383" s="320"/>
      <c r="I383" s="320"/>
      <c r="J383" s="320"/>
      <c r="K383" s="320"/>
      <c r="L383" s="321"/>
      <c r="M383" s="320"/>
      <c r="N383" s="35"/>
      <c r="O383" s="35"/>
      <c r="P383" s="35"/>
      <c r="Q383" s="35"/>
      <c r="R383" s="35"/>
      <c r="S383" s="35"/>
      <c r="T383" s="35"/>
      <c r="U383" s="35"/>
      <c r="V383" s="35"/>
      <c r="W383" s="35"/>
      <c r="X383" s="35"/>
      <c r="Y383" s="35"/>
      <c r="Z383" s="35"/>
      <c r="AA383" s="35"/>
      <c r="AB383" s="35"/>
      <c r="AC383" s="35"/>
    </row>
    <row r="384" spans="1:29">
      <c r="A384" s="35"/>
      <c r="B384" s="320"/>
      <c r="C384" s="320"/>
      <c r="D384" s="320"/>
      <c r="E384" s="320"/>
      <c r="F384" s="320"/>
      <c r="G384" s="320"/>
      <c r="H384" s="320"/>
      <c r="I384" s="320"/>
      <c r="J384" s="320"/>
      <c r="K384" s="320"/>
      <c r="L384" s="321"/>
      <c r="M384" s="320"/>
      <c r="N384" s="35"/>
      <c r="O384" s="35"/>
      <c r="P384" s="35"/>
      <c r="Q384" s="35"/>
      <c r="R384" s="35"/>
      <c r="S384" s="35"/>
      <c r="T384" s="35"/>
      <c r="U384" s="35"/>
      <c r="V384" s="35"/>
      <c r="W384" s="35"/>
      <c r="X384" s="35"/>
      <c r="Y384" s="35"/>
      <c r="Z384" s="35"/>
      <c r="AA384" s="35"/>
      <c r="AB384" s="35"/>
      <c r="AC384" s="35"/>
    </row>
    <row r="385" spans="1:29">
      <c r="A385" s="35"/>
      <c r="B385" s="320"/>
      <c r="C385" s="320"/>
      <c r="D385" s="320"/>
      <c r="E385" s="320"/>
      <c r="F385" s="320"/>
      <c r="G385" s="320"/>
      <c r="H385" s="320"/>
      <c r="I385" s="320"/>
      <c r="J385" s="320"/>
      <c r="K385" s="320"/>
      <c r="L385" s="321"/>
      <c r="M385" s="320"/>
      <c r="N385" s="35"/>
      <c r="O385" s="35"/>
      <c r="P385" s="35"/>
      <c r="Q385" s="35"/>
      <c r="R385" s="35"/>
      <c r="S385" s="35"/>
      <c r="T385" s="35"/>
      <c r="U385" s="35"/>
      <c r="V385" s="35"/>
      <c r="W385" s="35"/>
      <c r="X385" s="35"/>
      <c r="Y385" s="35"/>
      <c r="Z385" s="35"/>
      <c r="AA385" s="35"/>
      <c r="AB385" s="35"/>
      <c r="AC385" s="35"/>
    </row>
    <row r="386" spans="1:29">
      <c r="A386" s="35"/>
      <c r="B386" s="320"/>
      <c r="C386" s="320"/>
      <c r="D386" s="320"/>
      <c r="E386" s="320"/>
      <c r="F386" s="320"/>
      <c r="G386" s="320"/>
      <c r="H386" s="320"/>
      <c r="I386" s="320"/>
      <c r="J386" s="320"/>
      <c r="K386" s="320"/>
      <c r="L386" s="321"/>
      <c r="M386" s="320"/>
      <c r="N386" s="35"/>
      <c r="O386" s="35"/>
      <c r="P386" s="35"/>
      <c r="Q386" s="35"/>
      <c r="R386" s="35"/>
      <c r="S386" s="35"/>
      <c r="T386" s="35"/>
      <c r="U386" s="35"/>
      <c r="V386" s="35"/>
      <c r="W386" s="35"/>
      <c r="X386" s="35"/>
      <c r="Y386" s="35"/>
      <c r="Z386" s="35"/>
      <c r="AA386" s="35"/>
      <c r="AB386" s="35"/>
      <c r="AC386" s="35"/>
    </row>
    <row r="387" spans="1:29">
      <c r="A387" s="35"/>
      <c r="B387" s="320"/>
      <c r="C387" s="320"/>
      <c r="D387" s="320"/>
      <c r="E387" s="320"/>
      <c r="F387" s="320"/>
      <c r="G387" s="320"/>
      <c r="H387" s="320"/>
      <c r="I387" s="320"/>
      <c r="J387" s="320"/>
      <c r="K387" s="320"/>
      <c r="L387" s="321"/>
      <c r="M387" s="320"/>
      <c r="N387" s="35"/>
      <c r="O387" s="35"/>
      <c r="P387" s="35"/>
      <c r="Q387" s="35"/>
      <c r="R387" s="35"/>
      <c r="S387" s="35"/>
      <c r="T387" s="35"/>
      <c r="U387" s="35"/>
      <c r="V387" s="35"/>
      <c r="W387" s="35"/>
      <c r="X387" s="35"/>
      <c r="Y387" s="35"/>
      <c r="Z387" s="35"/>
      <c r="AA387" s="35"/>
      <c r="AB387" s="35"/>
      <c r="AC387" s="35"/>
    </row>
    <row r="388" spans="1:29">
      <c r="A388" s="35"/>
      <c r="B388" s="320"/>
      <c r="C388" s="320"/>
      <c r="D388" s="320"/>
      <c r="E388" s="320"/>
      <c r="F388" s="320"/>
      <c r="G388" s="320"/>
      <c r="H388" s="320"/>
      <c r="I388" s="320"/>
      <c r="J388" s="320"/>
      <c r="K388" s="320"/>
      <c r="L388" s="321"/>
      <c r="M388" s="320"/>
      <c r="N388" s="35"/>
      <c r="O388" s="35"/>
      <c r="P388" s="35"/>
      <c r="Q388" s="35"/>
      <c r="R388" s="35"/>
      <c r="S388" s="35"/>
      <c r="T388" s="35"/>
      <c r="U388" s="35"/>
      <c r="V388" s="35"/>
      <c r="W388" s="35"/>
      <c r="X388" s="35"/>
      <c r="Y388" s="35"/>
      <c r="Z388" s="35"/>
      <c r="AA388" s="35"/>
      <c r="AB388" s="35"/>
      <c r="AC388" s="35"/>
    </row>
    <row r="389" spans="1:29">
      <c r="A389" s="35"/>
      <c r="B389" s="320"/>
      <c r="C389" s="320"/>
      <c r="D389" s="320"/>
      <c r="E389" s="320"/>
      <c r="F389" s="320"/>
      <c r="G389" s="320"/>
      <c r="H389" s="320"/>
      <c r="I389" s="320"/>
      <c r="J389" s="320"/>
      <c r="K389" s="320"/>
      <c r="L389" s="321"/>
      <c r="M389" s="320"/>
      <c r="N389" s="35"/>
      <c r="O389" s="35"/>
      <c r="P389" s="35"/>
      <c r="Q389" s="35"/>
      <c r="R389" s="35"/>
      <c r="S389" s="35"/>
      <c r="T389" s="35"/>
      <c r="U389" s="35"/>
      <c r="V389" s="35"/>
      <c r="W389" s="35"/>
      <c r="X389" s="35"/>
      <c r="Y389" s="35"/>
      <c r="Z389" s="35"/>
      <c r="AA389" s="35"/>
      <c r="AB389" s="35"/>
      <c r="AC389" s="35"/>
    </row>
    <row r="390" spans="1:29">
      <c r="A390" s="35"/>
      <c r="B390" s="320"/>
      <c r="C390" s="320"/>
      <c r="D390" s="320"/>
      <c r="E390" s="320"/>
      <c r="F390" s="320"/>
      <c r="G390" s="320"/>
      <c r="H390" s="320"/>
      <c r="I390" s="320"/>
      <c r="J390" s="320"/>
      <c r="K390" s="320"/>
      <c r="L390" s="321"/>
      <c r="M390" s="320"/>
      <c r="N390" s="35"/>
      <c r="O390" s="35"/>
      <c r="P390" s="35"/>
      <c r="Q390" s="35"/>
      <c r="R390" s="35"/>
      <c r="S390" s="35"/>
      <c r="T390" s="35"/>
      <c r="U390" s="35"/>
      <c r="V390" s="35"/>
      <c r="W390" s="35"/>
      <c r="X390" s="35"/>
      <c r="Y390" s="35"/>
      <c r="Z390" s="35"/>
      <c r="AA390" s="35"/>
      <c r="AB390" s="35"/>
      <c r="AC390" s="35"/>
    </row>
    <row r="391" spans="1:29">
      <c r="A391" s="35"/>
      <c r="B391" s="320"/>
      <c r="C391" s="320"/>
      <c r="D391" s="320"/>
      <c r="E391" s="320"/>
      <c r="F391" s="320"/>
      <c r="G391" s="320"/>
      <c r="H391" s="320"/>
      <c r="I391" s="320"/>
      <c r="J391" s="320"/>
      <c r="K391" s="320"/>
      <c r="L391" s="321"/>
      <c r="M391" s="320"/>
      <c r="N391" s="35"/>
      <c r="O391" s="35"/>
      <c r="P391" s="35"/>
      <c r="Q391" s="35"/>
      <c r="R391" s="35"/>
      <c r="S391" s="35"/>
      <c r="T391" s="35"/>
      <c r="U391" s="35"/>
      <c r="V391" s="35"/>
      <c r="W391" s="35"/>
      <c r="X391" s="35"/>
      <c r="Y391" s="35"/>
      <c r="Z391" s="35"/>
      <c r="AA391" s="35"/>
      <c r="AB391" s="35"/>
      <c r="AC391" s="35"/>
    </row>
    <row r="392" spans="1:29">
      <c r="A392" s="35"/>
      <c r="B392" s="320"/>
      <c r="C392" s="320"/>
      <c r="D392" s="320"/>
      <c r="E392" s="320"/>
      <c r="F392" s="320"/>
      <c r="G392" s="320"/>
      <c r="H392" s="320"/>
      <c r="I392" s="320"/>
      <c r="J392" s="320"/>
      <c r="K392" s="320"/>
      <c r="L392" s="321"/>
      <c r="M392" s="320"/>
      <c r="N392" s="35"/>
      <c r="O392" s="35"/>
      <c r="P392" s="35"/>
      <c r="Q392" s="35"/>
      <c r="R392" s="35"/>
      <c r="S392" s="35"/>
      <c r="T392" s="35"/>
      <c r="U392" s="35"/>
      <c r="V392" s="35"/>
      <c r="W392" s="35"/>
      <c r="X392" s="35"/>
      <c r="Y392" s="35"/>
      <c r="Z392" s="35"/>
      <c r="AA392" s="35"/>
      <c r="AB392" s="35"/>
      <c r="AC392" s="35"/>
    </row>
    <row r="393" spans="1:29">
      <c r="A393" s="35"/>
      <c r="B393" s="320"/>
      <c r="C393" s="320"/>
      <c r="D393" s="320"/>
      <c r="E393" s="320"/>
      <c r="F393" s="320"/>
      <c r="G393" s="320"/>
      <c r="H393" s="320"/>
      <c r="I393" s="320"/>
      <c r="J393" s="320"/>
      <c r="K393" s="320"/>
      <c r="L393" s="321"/>
      <c r="M393" s="320"/>
      <c r="N393" s="35"/>
      <c r="O393" s="35"/>
      <c r="P393" s="35"/>
      <c r="Q393" s="35"/>
      <c r="R393" s="35"/>
      <c r="S393" s="35"/>
      <c r="T393" s="35"/>
      <c r="U393" s="35"/>
      <c r="V393" s="35"/>
      <c r="W393" s="35"/>
      <c r="X393" s="35"/>
      <c r="Y393" s="35"/>
      <c r="Z393" s="35"/>
      <c r="AA393" s="35"/>
      <c r="AB393" s="35"/>
      <c r="AC393" s="35"/>
    </row>
    <row r="394" spans="1:29">
      <c r="A394" s="35"/>
      <c r="B394" s="320"/>
      <c r="C394" s="320"/>
      <c r="D394" s="320"/>
      <c r="E394" s="320"/>
      <c r="F394" s="320"/>
      <c r="G394" s="320"/>
      <c r="H394" s="320"/>
      <c r="I394" s="320"/>
      <c r="J394" s="320"/>
      <c r="K394" s="320"/>
      <c r="L394" s="321"/>
      <c r="M394" s="320"/>
      <c r="N394" s="35"/>
      <c r="O394" s="35"/>
      <c r="P394" s="35"/>
      <c r="Q394" s="35"/>
      <c r="R394" s="35"/>
      <c r="S394" s="35"/>
      <c r="T394" s="35"/>
      <c r="U394" s="35"/>
      <c r="V394" s="35"/>
      <c r="W394" s="35"/>
      <c r="X394" s="35"/>
      <c r="Y394" s="35"/>
      <c r="Z394" s="35"/>
      <c r="AA394" s="35"/>
      <c r="AB394" s="35"/>
      <c r="AC394" s="35"/>
    </row>
    <row r="395" spans="1:29">
      <c r="A395" s="35"/>
      <c r="B395" s="320"/>
      <c r="C395" s="320"/>
      <c r="D395" s="320"/>
      <c r="E395" s="320"/>
      <c r="F395" s="320"/>
      <c r="G395" s="320"/>
      <c r="H395" s="320"/>
      <c r="I395" s="320"/>
      <c r="J395" s="320"/>
      <c r="K395" s="320"/>
      <c r="L395" s="321"/>
      <c r="M395" s="320"/>
      <c r="N395" s="35"/>
      <c r="O395" s="35"/>
      <c r="P395" s="35"/>
      <c r="Q395" s="35"/>
      <c r="R395" s="35"/>
      <c r="S395" s="35"/>
      <c r="T395" s="35"/>
      <c r="U395" s="35"/>
      <c r="V395" s="35"/>
      <c r="W395" s="35"/>
      <c r="X395" s="35"/>
      <c r="Y395" s="35"/>
      <c r="Z395" s="35"/>
      <c r="AA395" s="35"/>
      <c r="AB395" s="35"/>
      <c r="AC395" s="35"/>
    </row>
    <row r="396" spans="1:29">
      <c r="A396" s="35"/>
      <c r="B396" s="320"/>
      <c r="C396" s="320"/>
      <c r="D396" s="320"/>
      <c r="E396" s="320"/>
      <c r="F396" s="320"/>
      <c r="G396" s="320"/>
      <c r="H396" s="320"/>
      <c r="I396" s="320"/>
      <c r="J396" s="320"/>
      <c r="K396" s="320"/>
      <c r="L396" s="321"/>
      <c r="M396" s="320"/>
      <c r="N396" s="35"/>
      <c r="O396" s="35"/>
      <c r="P396" s="35"/>
      <c r="Q396" s="35"/>
      <c r="R396" s="35"/>
      <c r="S396" s="35"/>
      <c r="T396" s="35"/>
      <c r="U396" s="35"/>
      <c r="V396" s="35"/>
      <c r="W396" s="35"/>
      <c r="X396" s="35"/>
      <c r="Y396" s="35"/>
      <c r="Z396" s="35"/>
      <c r="AA396" s="35"/>
      <c r="AB396" s="35"/>
      <c r="AC396" s="35"/>
    </row>
    <row r="397" spans="1:29">
      <c r="A397" s="35"/>
      <c r="B397" s="320"/>
      <c r="C397" s="320"/>
      <c r="D397" s="320"/>
      <c r="E397" s="320"/>
      <c r="F397" s="320"/>
      <c r="G397" s="320"/>
      <c r="H397" s="320"/>
      <c r="I397" s="320"/>
      <c r="J397" s="320"/>
      <c r="K397" s="320"/>
      <c r="L397" s="321"/>
      <c r="M397" s="320"/>
      <c r="N397" s="35"/>
      <c r="O397" s="35"/>
      <c r="P397" s="35"/>
      <c r="Q397" s="35"/>
      <c r="R397" s="35"/>
      <c r="S397" s="35"/>
      <c r="T397" s="35"/>
      <c r="U397" s="35"/>
      <c r="V397" s="35"/>
      <c r="W397" s="35"/>
      <c r="X397" s="35"/>
      <c r="Y397" s="35"/>
      <c r="Z397" s="35"/>
      <c r="AA397" s="35"/>
      <c r="AB397" s="35"/>
      <c r="AC397" s="35"/>
    </row>
    <row r="398" spans="1:29">
      <c r="A398" s="35"/>
      <c r="B398" s="320"/>
      <c r="C398" s="320"/>
      <c r="D398" s="320"/>
      <c r="E398" s="320"/>
      <c r="F398" s="320"/>
      <c r="G398" s="320"/>
      <c r="H398" s="320"/>
      <c r="I398" s="320"/>
      <c r="J398" s="320"/>
      <c r="K398" s="320"/>
      <c r="L398" s="321"/>
      <c r="M398" s="320"/>
      <c r="N398" s="35"/>
      <c r="O398" s="35"/>
      <c r="P398" s="35"/>
      <c r="Q398" s="35"/>
      <c r="R398" s="35"/>
      <c r="S398" s="35"/>
      <c r="T398" s="35"/>
      <c r="U398" s="35"/>
      <c r="V398" s="35"/>
      <c r="W398" s="35"/>
      <c r="X398" s="35"/>
      <c r="Y398" s="35"/>
      <c r="Z398" s="35"/>
      <c r="AA398" s="35"/>
      <c r="AB398" s="35"/>
      <c r="AC398" s="35"/>
    </row>
    <row r="399" spans="1:29">
      <c r="A399" s="35"/>
      <c r="B399" s="320"/>
      <c r="C399" s="320"/>
      <c r="D399" s="320"/>
      <c r="E399" s="320"/>
      <c r="F399" s="320"/>
      <c r="G399" s="320"/>
      <c r="H399" s="320"/>
      <c r="I399" s="320"/>
      <c r="J399" s="320"/>
      <c r="K399" s="320"/>
      <c r="L399" s="321"/>
      <c r="M399" s="320"/>
      <c r="N399" s="35"/>
      <c r="O399" s="35"/>
      <c r="P399" s="35"/>
      <c r="Q399" s="35"/>
      <c r="R399" s="35"/>
      <c r="S399" s="35"/>
      <c r="T399" s="35"/>
      <c r="U399" s="35"/>
      <c r="V399" s="35"/>
      <c r="W399" s="35"/>
      <c r="X399" s="35"/>
      <c r="Y399" s="35"/>
      <c r="Z399" s="35"/>
      <c r="AA399" s="35"/>
      <c r="AB399" s="35"/>
      <c r="AC399" s="35"/>
    </row>
    <row r="400" spans="1:29">
      <c r="A400" s="35"/>
      <c r="B400" s="320"/>
      <c r="C400" s="320"/>
      <c r="D400" s="320"/>
      <c r="E400" s="320"/>
      <c r="F400" s="320"/>
      <c r="G400" s="320"/>
      <c r="H400" s="320"/>
      <c r="I400" s="320"/>
      <c r="J400" s="320"/>
      <c r="K400" s="320"/>
      <c r="L400" s="321"/>
      <c r="M400" s="320"/>
      <c r="N400" s="35"/>
      <c r="O400" s="35"/>
      <c r="P400" s="35"/>
      <c r="Q400" s="35"/>
      <c r="R400" s="35"/>
      <c r="S400" s="35"/>
      <c r="T400" s="35"/>
      <c r="U400" s="35"/>
      <c r="V400" s="35"/>
      <c r="W400" s="35"/>
      <c r="X400" s="35"/>
      <c r="Y400" s="35"/>
      <c r="Z400" s="35"/>
      <c r="AA400" s="35"/>
      <c r="AB400" s="35"/>
      <c r="AC400" s="35"/>
    </row>
    <row r="401" spans="1:29">
      <c r="A401" s="35"/>
      <c r="B401" s="320"/>
      <c r="C401" s="320"/>
      <c r="D401" s="320"/>
      <c r="E401" s="320"/>
      <c r="F401" s="320"/>
      <c r="G401" s="320"/>
      <c r="H401" s="320"/>
      <c r="I401" s="320"/>
      <c r="J401" s="320"/>
      <c r="K401" s="320"/>
      <c r="L401" s="321"/>
      <c r="M401" s="320"/>
      <c r="N401" s="35"/>
      <c r="O401" s="35"/>
      <c r="P401" s="35"/>
      <c r="Q401" s="35"/>
      <c r="R401" s="35"/>
      <c r="S401" s="35"/>
      <c r="T401" s="35"/>
      <c r="U401" s="35"/>
      <c r="V401" s="35"/>
      <c r="W401" s="35"/>
      <c r="X401" s="35"/>
      <c r="Y401" s="35"/>
      <c r="Z401" s="35"/>
      <c r="AA401" s="35"/>
      <c r="AB401" s="35"/>
      <c r="AC401" s="35"/>
    </row>
    <row r="402" spans="1:29">
      <c r="A402" s="35"/>
      <c r="B402" s="320"/>
      <c r="C402" s="320"/>
      <c r="D402" s="320"/>
      <c r="E402" s="320"/>
      <c r="F402" s="320"/>
      <c r="G402" s="320"/>
      <c r="H402" s="320"/>
      <c r="I402" s="320"/>
      <c r="J402" s="320"/>
      <c r="K402" s="320"/>
      <c r="L402" s="321"/>
      <c r="M402" s="320"/>
      <c r="N402" s="35"/>
      <c r="O402" s="35"/>
      <c r="P402" s="35"/>
      <c r="Q402" s="35"/>
      <c r="R402" s="35"/>
      <c r="S402" s="35"/>
      <c r="T402" s="35"/>
      <c r="U402" s="35"/>
      <c r="V402" s="35"/>
      <c r="W402" s="35"/>
      <c r="X402" s="35"/>
      <c r="Y402" s="35"/>
      <c r="Z402" s="35"/>
      <c r="AA402" s="35"/>
      <c r="AB402" s="35"/>
      <c r="AC402" s="35"/>
    </row>
    <row r="403" spans="1:29">
      <c r="A403" s="35"/>
      <c r="B403" s="320"/>
      <c r="C403" s="320"/>
      <c r="D403" s="320"/>
      <c r="E403" s="320"/>
      <c r="F403" s="320"/>
      <c r="G403" s="320"/>
      <c r="H403" s="320"/>
      <c r="I403" s="320"/>
      <c r="J403" s="320"/>
      <c r="K403" s="320"/>
      <c r="L403" s="321"/>
      <c r="M403" s="320"/>
      <c r="N403" s="35"/>
      <c r="O403" s="35"/>
      <c r="P403" s="35"/>
      <c r="Q403" s="35"/>
      <c r="R403" s="35"/>
      <c r="S403" s="35"/>
      <c r="T403" s="35"/>
      <c r="U403" s="35"/>
      <c r="V403" s="35"/>
      <c r="W403" s="35"/>
      <c r="X403" s="35"/>
      <c r="Y403" s="35"/>
      <c r="Z403" s="35"/>
      <c r="AA403" s="35"/>
      <c r="AB403" s="35"/>
      <c r="AC403" s="35"/>
    </row>
    <row r="404" spans="1:29">
      <c r="A404" s="35"/>
      <c r="B404" s="320"/>
      <c r="C404" s="320"/>
      <c r="D404" s="320"/>
      <c r="E404" s="320"/>
      <c r="F404" s="320"/>
      <c r="G404" s="320"/>
      <c r="H404" s="320"/>
      <c r="I404" s="320"/>
      <c r="J404" s="320"/>
      <c r="K404" s="320"/>
      <c r="L404" s="321"/>
      <c r="M404" s="320"/>
      <c r="N404" s="35"/>
      <c r="O404" s="35"/>
      <c r="P404" s="35"/>
      <c r="Q404" s="35"/>
      <c r="R404" s="35"/>
      <c r="S404" s="35"/>
      <c r="T404" s="35"/>
      <c r="U404" s="35"/>
      <c r="V404" s="35"/>
      <c r="W404" s="35"/>
      <c r="X404" s="35"/>
      <c r="Y404" s="35"/>
      <c r="Z404" s="35"/>
      <c r="AA404" s="35"/>
      <c r="AB404" s="35"/>
      <c r="AC404" s="35"/>
    </row>
    <row r="405" spans="1:29">
      <c r="A405" s="35"/>
      <c r="B405" s="320"/>
      <c r="C405" s="320"/>
      <c r="D405" s="320"/>
      <c r="E405" s="320"/>
      <c r="F405" s="320"/>
      <c r="G405" s="320"/>
      <c r="H405" s="320"/>
      <c r="I405" s="320"/>
      <c r="J405" s="320"/>
      <c r="K405" s="320"/>
      <c r="L405" s="321"/>
      <c r="M405" s="320"/>
      <c r="N405" s="35"/>
      <c r="O405" s="35"/>
      <c r="P405" s="35"/>
      <c r="Q405" s="35"/>
      <c r="R405" s="35"/>
      <c r="S405" s="35"/>
      <c r="T405" s="35"/>
      <c r="U405" s="35"/>
      <c r="V405" s="35"/>
      <c r="W405" s="35"/>
      <c r="X405" s="35"/>
      <c r="Y405" s="35"/>
      <c r="Z405" s="35"/>
      <c r="AA405" s="35"/>
      <c r="AB405" s="35"/>
      <c r="AC405" s="35"/>
    </row>
    <row r="406" spans="1:29">
      <c r="A406" s="35"/>
      <c r="B406" s="320"/>
      <c r="C406" s="320"/>
      <c r="D406" s="320"/>
      <c r="E406" s="320"/>
      <c r="F406" s="320"/>
      <c r="G406" s="320"/>
      <c r="H406" s="320"/>
      <c r="I406" s="320"/>
      <c r="J406" s="320"/>
      <c r="K406" s="320"/>
      <c r="L406" s="321"/>
      <c r="M406" s="320"/>
      <c r="N406" s="35"/>
      <c r="O406" s="35"/>
      <c r="P406" s="35"/>
      <c r="Q406" s="35"/>
      <c r="R406" s="35"/>
      <c r="S406" s="35"/>
      <c r="T406" s="35"/>
      <c r="U406" s="35"/>
      <c r="V406" s="35"/>
      <c r="W406" s="35"/>
      <c r="X406" s="35"/>
      <c r="Y406" s="35"/>
      <c r="Z406" s="35"/>
      <c r="AA406" s="35"/>
      <c r="AB406" s="35"/>
      <c r="AC406" s="35"/>
    </row>
    <row r="407" spans="1:29">
      <c r="A407" s="35"/>
      <c r="B407" s="320"/>
      <c r="C407" s="320"/>
      <c r="D407" s="320"/>
      <c r="E407" s="320"/>
      <c r="F407" s="320"/>
      <c r="G407" s="320"/>
      <c r="H407" s="320"/>
      <c r="I407" s="320"/>
      <c r="J407" s="320"/>
      <c r="K407" s="320"/>
      <c r="L407" s="321"/>
      <c r="M407" s="320"/>
      <c r="N407" s="35"/>
      <c r="O407" s="35"/>
      <c r="P407" s="35"/>
      <c r="Q407" s="35"/>
      <c r="R407" s="35"/>
      <c r="S407" s="35"/>
      <c r="T407" s="35"/>
      <c r="U407" s="35"/>
      <c r="V407" s="35"/>
      <c r="W407" s="35"/>
      <c r="X407" s="35"/>
      <c r="Y407" s="35"/>
      <c r="Z407" s="35"/>
      <c r="AA407" s="35"/>
      <c r="AB407" s="35"/>
      <c r="AC407" s="35"/>
    </row>
    <row r="408" spans="1:29">
      <c r="A408" s="35"/>
      <c r="B408" s="320"/>
      <c r="C408" s="320"/>
      <c r="D408" s="320"/>
      <c r="E408" s="320"/>
      <c r="F408" s="320"/>
      <c r="G408" s="320"/>
      <c r="H408" s="320"/>
      <c r="I408" s="320"/>
      <c r="J408" s="320"/>
      <c r="K408" s="320"/>
      <c r="L408" s="321"/>
      <c r="M408" s="320"/>
      <c r="N408" s="35"/>
      <c r="O408" s="35"/>
      <c r="P408" s="35"/>
      <c r="Q408" s="35"/>
      <c r="R408" s="35"/>
      <c r="S408" s="35"/>
      <c r="T408" s="35"/>
      <c r="U408" s="35"/>
      <c r="V408" s="35"/>
      <c r="W408" s="35"/>
      <c r="X408" s="35"/>
      <c r="Y408" s="35"/>
      <c r="Z408" s="35"/>
      <c r="AA408" s="35"/>
      <c r="AB408" s="35"/>
      <c r="AC408" s="35"/>
    </row>
    <row r="409" spans="1:29">
      <c r="A409" s="35"/>
      <c r="B409" s="320"/>
      <c r="C409" s="320"/>
      <c r="D409" s="320"/>
      <c r="E409" s="320"/>
      <c r="F409" s="320"/>
      <c r="G409" s="320"/>
      <c r="H409" s="320"/>
      <c r="I409" s="320"/>
      <c r="J409" s="320"/>
      <c r="K409" s="320"/>
      <c r="L409" s="321"/>
      <c r="M409" s="320"/>
      <c r="N409" s="35"/>
      <c r="O409" s="35"/>
      <c r="P409" s="35"/>
      <c r="Q409" s="35"/>
      <c r="R409" s="35"/>
      <c r="S409" s="35"/>
      <c r="T409" s="35"/>
      <c r="U409" s="35"/>
      <c r="V409" s="35"/>
      <c r="W409" s="35"/>
      <c r="X409" s="35"/>
      <c r="Y409" s="35"/>
      <c r="Z409" s="35"/>
      <c r="AA409" s="35"/>
      <c r="AB409" s="35"/>
      <c r="AC409" s="35"/>
    </row>
    <row r="410" spans="1:29">
      <c r="A410" s="35"/>
      <c r="B410" s="320"/>
      <c r="C410" s="320"/>
      <c r="D410" s="320"/>
      <c r="E410" s="320"/>
      <c r="F410" s="320"/>
      <c r="G410" s="320"/>
      <c r="H410" s="320"/>
      <c r="I410" s="320"/>
      <c r="J410" s="320"/>
      <c r="K410" s="320"/>
      <c r="L410" s="321"/>
      <c r="M410" s="320"/>
      <c r="N410" s="35"/>
      <c r="O410" s="35"/>
      <c r="P410" s="35"/>
      <c r="Q410" s="35"/>
      <c r="R410" s="35"/>
      <c r="S410" s="35"/>
      <c r="T410" s="35"/>
      <c r="U410" s="35"/>
      <c r="V410" s="35"/>
      <c r="W410" s="35"/>
      <c r="X410" s="35"/>
      <c r="Y410" s="35"/>
      <c r="Z410" s="35"/>
      <c r="AA410" s="35"/>
      <c r="AB410" s="35"/>
      <c r="AC410" s="35"/>
    </row>
    <row r="411" spans="1:29">
      <c r="A411" s="35"/>
      <c r="B411" s="320"/>
      <c r="C411" s="320"/>
      <c r="D411" s="320"/>
      <c r="E411" s="320"/>
      <c r="F411" s="320"/>
      <c r="G411" s="320"/>
      <c r="H411" s="320"/>
      <c r="I411" s="320"/>
      <c r="J411" s="320"/>
      <c r="K411" s="320"/>
      <c r="L411" s="321"/>
      <c r="M411" s="320"/>
      <c r="N411" s="35"/>
      <c r="O411" s="35"/>
      <c r="P411" s="35"/>
      <c r="Q411" s="35"/>
      <c r="R411" s="35"/>
      <c r="S411" s="35"/>
      <c r="T411" s="35"/>
      <c r="U411" s="35"/>
      <c r="V411" s="35"/>
      <c r="W411" s="35"/>
      <c r="X411" s="35"/>
      <c r="Y411" s="35"/>
      <c r="Z411" s="35"/>
      <c r="AA411" s="35"/>
      <c r="AB411" s="35"/>
      <c r="AC411" s="35"/>
    </row>
    <row r="412" spans="1:29">
      <c r="A412" s="35"/>
      <c r="B412" s="320"/>
      <c r="C412" s="320"/>
      <c r="D412" s="320"/>
      <c r="E412" s="320"/>
      <c r="F412" s="320"/>
      <c r="G412" s="320"/>
      <c r="H412" s="320"/>
      <c r="I412" s="320"/>
      <c r="J412" s="320"/>
      <c r="K412" s="320"/>
      <c r="L412" s="321"/>
      <c r="M412" s="320"/>
      <c r="N412" s="35"/>
      <c r="O412" s="35"/>
      <c r="P412" s="35"/>
      <c r="Q412" s="35"/>
      <c r="R412" s="35"/>
      <c r="S412" s="35"/>
      <c r="T412" s="35"/>
      <c r="U412" s="35"/>
      <c r="V412" s="35"/>
      <c r="W412" s="35"/>
      <c r="X412" s="35"/>
      <c r="Y412" s="35"/>
      <c r="Z412" s="35"/>
      <c r="AA412" s="35"/>
      <c r="AB412" s="35"/>
      <c r="AC412" s="35"/>
    </row>
    <row r="413" spans="1:29">
      <c r="A413" s="35"/>
      <c r="B413" s="320"/>
      <c r="C413" s="320"/>
      <c r="D413" s="320"/>
      <c r="E413" s="320"/>
      <c r="F413" s="320"/>
      <c r="G413" s="320"/>
      <c r="H413" s="320"/>
      <c r="I413" s="320"/>
      <c r="J413" s="320"/>
      <c r="K413" s="320"/>
      <c r="L413" s="321"/>
      <c r="M413" s="320"/>
      <c r="N413" s="35"/>
      <c r="O413" s="35"/>
      <c r="P413" s="35"/>
      <c r="Q413" s="35"/>
      <c r="R413" s="35"/>
      <c r="S413" s="35"/>
      <c r="T413" s="35"/>
      <c r="U413" s="35"/>
      <c r="V413" s="35"/>
      <c r="W413" s="35"/>
      <c r="X413" s="35"/>
      <c r="Y413" s="35"/>
      <c r="Z413" s="35"/>
      <c r="AA413" s="35"/>
      <c r="AB413" s="35"/>
      <c r="AC413" s="35"/>
    </row>
    <row r="414" spans="1:29">
      <c r="A414" s="35"/>
      <c r="B414" s="320"/>
      <c r="C414" s="320"/>
      <c r="D414" s="320"/>
      <c r="E414" s="320"/>
      <c r="F414" s="320"/>
      <c r="G414" s="320"/>
      <c r="H414" s="320"/>
      <c r="I414" s="320"/>
      <c r="J414" s="320"/>
      <c r="K414" s="320"/>
      <c r="L414" s="321"/>
      <c r="M414" s="320"/>
      <c r="N414" s="35"/>
      <c r="O414" s="35"/>
      <c r="P414" s="35"/>
      <c r="Q414" s="35"/>
      <c r="R414" s="35"/>
      <c r="S414" s="35"/>
      <c r="T414" s="35"/>
      <c r="U414" s="35"/>
      <c r="V414" s="35"/>
      <c r="W414" s="35"/>
      <c r="X414" s="35"/>
      <c r="Y414" s="35"/>
      <c r="Z414" s="35"/>
      <c r="AA414" s="35"/>
      <c r="AB414" s="35"/>
      <c r="AC414" s="35"/>
    </row>
    <row r="415" spans="1:29">
      <c r="A415" s="35"/>
      <c r="B415" s="320"/>
      <c r="C415" s="320"/>
      <c r="D415" s="320"/>
      <c r="E415" s="320"/>
      <c r="F415" s="320"/>
      <c r="G415" s="320"/>
      <c r="H415" s="320"/>
      <c r="I415" s="320"/>
      <c r="J415" s="320"/>
      <c r="K415" s="320"/>
      <c r="L415" s="321"/>
      <c r="M415" s="320"/>
      <c r="N415" s="35"/>
      <c r="O415" s="35"/>
      <c r="P415" s="35"/>
      <c r="Q415" s="35"/>
      <c r="R415" s="35"/>
      <c r="S415" s="35"/>
      <c r="T415" s="35"/>
      <c r="U415" s="35"/>
      <c r="V415" s="35"/>
      <c r="W415" s="35"/>
      <c r="X415" s="35"/>
      <c r="Y415" s="35"/>
      <c r="Z415" s="35"/>
      <c r="AA415" s="35"/>
      <c r="AB415" s="35"/>
      <c r="AC415" s="35"/>
    </row>
    <row r="416" spans="1:29">
      <c r="A416" s="35"/>
      <c r="B416" s="320"/>
      <c r="C416" s="320"/>
      <c r="D416" s="320"/>
      <c r="E416" s="320"/>
      <c r="F416" s="320"/>
      <c r="G416" s="320"/>
      <c r="H416" s="320"/>
      <c r="I416" s="320"/>
      <c r="J416" s="320"/>
      <c r="K416" s="320"/>
      <c r="L416" s="321"/>
      <c r="M416" s="320"/>
      <c r="N416" s="35"/>
      <c r="O416" s="35"/>
      <c r="P416" s="35"/>
      <c r="Q416" s="35"/>
      <c r="R416" s="35"/>
      <c r="S416" s="35"/>
      <c r="T416" s="35"/>
      <c r="U416" s="35"/>
      <c r="V416" s="35"/>
      <c r="W416" s="35"/>
      <c r="X416" s="35"/>
      <c r="Y416" s="35"/>
      <c r="Z416" s="35"/>
      <c r="AA416" s="35"/>
      <c r="AB416" s="35"/>
      <c r="AC416" s="35"/>
    </row>
    <row r="417" spans="1:29">
      <c r="A417" s="35"/>
      <c r="B417" s="320"/>
      <c r="C417" s="320"/>
      <c r="D417" s="320"/>
      <c r="E417" s="320"/>
      <c r="F417" s="320"/>
      <c r="G417" s="320"/>
      <c r="H417" s="320"/>
      <c r="I417" s="320"/>
      <c r="J417" s="320"/>
      <c r="K417" s="320"/>
      <c r="L417" s="321"/>
      <c r="M417" s="320"/>
      <c r="N417" s="35"/>
      <c r="O417" s="35"/>
      <c r="P417" s="35"/>
      <c r="Q417" s="35"/>
      <c r="R417" s="35"/>
      <c r="S417" s="35"/>
      <c r="T417" s="35"/>
      <c r="U417" s="35"/>
      <c r="V417" s="35"/>
      <c r="W417" s="35"/>
      <c r="X417" s="35"/>
      <c r="Y417" s="35"/>
      <c r="Z417" s="35"/>
      <c r="AA417" s="35"/>
      <c r="AB417" s="35"/>
      <c r="AC417" s="35"/>
    </row>
    <row r="418" spans="1:29">
      <c r="A418" s="35"/>
      <c r="B418" s="320"/>
      <c r="C418" s="320"/>
      <c r="D418" s="320"/>
      <c r="E418" s="320"/>
      <c r="F418" s="320"/>
      <c r="G418" s="320"/>
      <c r="H418" s="320"/>
      <c r="I418" s="320"/>
      <c r="J418" s="320"/>
      <c r="K418" s="320"/>
      <c r="L418" s="321"/>
      <c r="M418" s="320"/>
      <c r="N418" s="35"/>
      <c r="O418" s="35"/>
      <c r="P418" s="35"/>
      <c r="Q418" s="35"/>
      <c r="R418" s="35"/>
      <c r="S418" s="35"/>
      <c r="T418" s="35"/>
      <c r="U418" s="35"/>
      <c r="V418" s="35"/>
      <c r="W418" s="35"/>
      <c r="X418" s="35"/>
      <c r="Y418" s="35"/>
      <c r="Z418" s="35"/>
      <c r="AA418" s="35"/>
      <c r="AB418" s="35"/>
      <c r="AC418" s="35"/>
    </row>
    <row r="419" spans="1:29">
      <c r="A419" s="35"/>
      <c r="B419" s="320"/>
      <c r="C419" s="320"/>
      <c r="D419" s="320"/>
      <c r="E419" s="320"/>
      <c r="F419" s="320"/>
      <c r="G419" s="320"/>
      <c r="H419" s="320"/>
      <c r="I419" s="320"/>
      <c r="J419" s="320"/>
      <c r="K419" s="320"/>
      <c r="L419" s="321"/>
      <c r="M419" s="320"/>
      <c r="N419" s="35"/>
      <c r="O419" s="35"/>
      <c r="P419" s="35"/>
      <c r="Q419" s="35"/>
      <c r="R419" s="35"/>
      <c r="S419" s="35"/>
      <c r="T419" s="35"/>
      <c r="U419" s="35"/>
      <c r="V419" s="35"/>
      <c r="W419" s="35"/>
      <c r="X419" s="35"/>
      <c r="Y419" s="35"/>
      <c r="Z419" s="35"/>
      <c r="AA419" s="35"/>
      <c r="AB419" s="35"/>
      <c r="AC419" s="35"/>
    </row>
    <row r="420" spans="1:29">
      <c r="A420" s="35"/>
      <c r="B420" s="320"/>
      <c r="C420" s="320"/>
      <c r="D420" s="320"/>
      <c r="E420" s="320"/>
      <c r="F420" s="320"/>
      <c r="G420" s="320"/>
      <c r="H420" s="320"/>
      <c r="I420" s="320"/>
      <c r="J420" s="320"/>
      <c r="K420" s="320"/>
      <c r="L420" s="321"/>
      <c r="M420" s="320"/>
      <c r="N420" s="35"/>
      <c r="O420" s="35"/>
      <c r="P420" s="35"/>
      <c r="Q420" s="35"/>
      <c r="R420" s="35"/>
      <c r="S420" s="35"/>
      <c r="T420" s="35"/>
      <c r="U420" s="35"/>
      <c r="V420" s="35"/>
      <c r="W420" s="35"/>
      <c r="X420" s="35"/>
      <c r="Y420" s="35"/>
      <c r="Z420" s="35"/>
      <c r="AA420" s="35"/>
      <c r="AB420" s="35"/>
      <c r="AC420" s="35"/>
    </row>
    <row r="421" spans="1:29">
      <c r="A421" s="35"/>
      <c r="B421" s="320"/>
      <c r="C421" s="320"/>
      <c r="D421" s="320"/>
      <c r="E421" s="320"/>
      <c r="F421" s="320"/>
      <c r="G421" s="320"/>
      <c r="H421" s="320"/>
      <c r="I421" s="320"/>
      <c r="J421" s="320"/>
      <c r="K421" s="320"/>
      <c r="L421" s="321"/>
      <c r="M421" s="320"/>
      <c r="N421" s="35"/>
      <c r="O421" s="35"/>
      <c r="P421" s="35"/>
      <c r="Q421" s="35"/>
      <c r="R421" s="35"/>
      <c r="S421" s="35"/>
      <c r="T421" s="35"/>
      <c r="U421" s="35"/>
      <c r="V421" s="35"/>
      <c r="W421" s="35"/>
      <c r="X421" s="35"/>
      <c r="Y421" s="35"/>
      <c r="Z421" s="35"/>
      <c r="AA421" s="35"/>
      <c r="AB421" s="35"/>
      <c r="AC421" s="35"/>
    </row>
    <row r="422" spans="1:29">
      <c r="A422" s="35"/>
      <c r="B422" s="320"/>
      <c r="C422" s="320"/>
      <c r="D422" s="320"/>
      <c r="E422" s="320"/>
      <c r="F422" s="320"/>
      <c r="G422" s="320"/>
      <c r="H422" s="320"/>
      <c r="I422" s="320"/>
      <c r="J422" s="320"/>
      <c r="K422" s="320"/>
      <c r="L422" s="321"/>
      <c r="M422" s="320"/>
      <c r="N422" s="35"/>
      <c r="O422" s="35"/>
      <c r="P422" s="35"/>
      <c r="Q422" s="35"/>
      <c r="R422" s="35"/>
      <c r="S422" s="35"/>
      <c r="T422" s="35"/>
      <c r="U422" s="35"/>
      <c r="V422" s="35"/>
      <c r="W422" s="35"/>
      <c r="X422" s="35"/>
      <c r="Y422" s="35"/>
      <c r="Z422" s="35"/>
      <c r="AA422" s="35"/>
      <c r="AB422" s="35"/>
      <c r="AC422" s="35"/>
    </row>
    <row r="423" spans="1:29">
      <c r="A423" s="35"/>
      <c r="B423" s="320"/>
      <c r="C423" s="320"/>
      <c r="D423" s="320"/>
      <c r="E423" s="320"/>
      <c r="F423" s="320"/>
      <c r="G423" s="320"/>
      <c r="H423" s="320"/>
      <c r="I423" s="320"/>
      <c r="J423" s="320"/>
      <c r="K423" s="320"/>
      <c r="L423" s="321"/>
      <c r="M423" s="320"/>
      <c r="N423" s="35"/>
      <c r="O423" s="35"/>
      <c r="P423" s="35"/>
      <c r="Q423" s="35"/>
      <c r="R423" s="35"/>
      <c r="S423" s="35"/>
      <c r="T423" s="35"/>
      <c r="U423" s="35"/>
      <c r="V423" s="35"/>
      <c r="W423" s="35"/>
      <c r="X423" s="35"/>
      <c r="Y423" s="35"/>
      <c r="Z423" s="35"/>
      <c r="AA423" s="35"/>
      <c r="AB423" s="35"/>
      <c r="AC423" s="35"/>
    </row>
    <row r="424" spans="1:29">
      <c r="A424" s="35"/>
      <c r="B424" s="320"/>
      <c r="C424" s="320"/>
      <c r="D424" s="320"/>
      <c r="E424" s="320"/>
      <c r="F424" s="320"/>
      <c r="G424" s="320"/>
      <c r="H424" s="320"/>
      <c r="I424" s="320"/>
      <c r="J424" s="320"/>
      <c r="K424" s="320"/>
      <c r="L424" s="321"/>
      <c r="M424" s="320"/>
      <c r="N424" s="35"/>
      <c r="O424" s="35"/>
      <c r="P424" s="35"/>
      <c r="Q424" s="35"/>
      <c r="R424" s="35"/>
      <c r="S424" s="35"/>
      <c r="T424" s="35"/>
      <c r="U424" s="35"/>
      <c r="V424" s="35"/>
      <c r="W424" s="35"/>
      <c r="X424" s="35"/>
      <c r="Y424" s="35"/>
      <c r="Z424" s="35"/>
      <c r="AA424" s="35"/>
      <c r="AB424" s="35"/>
      <c r="AC424" s="35"/>
    </row>
    <row r="425" spans="1:29">
      <c r="A425" s="35"/>
      <c r="B425" s="320"/>
      <c r="C425" s="320"/>
      <c r="D425" s="320"/>
      <c r="E425" s="320"/>
      <c r="F425" s="320"/>
      <c r="G425" s="320"/>
      <c r="H425" s="320"/>
      <c r="I425" s="320"/>
      <c r="J425" s="320"/>
      <c r="K425" s="320"/>
      <c r="L425" s="321"/>
      <c r="M425" s="320"/>
      <c r="N425" s="35"/>
      <c r="O425" s="35"/>
      <c r="P425" s="35"/>
      <c r="Q425" s="35"/>
      <c r="R425" s="35"/>
      <c r="S425" s="35"/>
      <c r="T425" s="35"/>
      <c r="U425" s="35"/>
      <c r="V425" s="35"/>
      <c r="W425" s="35"/>
      <c r="X425" s="35"/>
      <c r="Y425" s="35"/>
      <c r="Z425" s="35"/>
      <c r="AA425" s="35"/>
      <c r="AB425" s="35"/>
      <c r="AC425" s="35"/>
    </row>
    <row r="426" spans="1:29">
      <c r="A426" s="35"/>
      <c r="B426" s="320"/>
      <c r="C426" s="320"/>
      <c r="D426" s="320"/>
      <c r="E426" s="320"/>
      <c r="F426" s="320"/>
      <c r="G426" s="320"/>
      <c r="H426" s="320"/>
      <c r="I426" s="320"/>
      <c r="J426" s="320"/>
      <c r="K426" s="320"/>
      <c r="L426" s="321"/>
      <c r="M426" s="320"/>
      <c r="N426" s="35"/>
      <c r="O426" s="35"/>
      <c r="P426" s="35"/>
      <c r="Q426" s="35"/>
      <c r="R426" s="35"/>
      <c r="S426" s="35"/>
      <c r="T426" s="35"/>
      <c r="U426" s="35"/>
      <c r="V426" s="35"/>
      <c r="W426" s="35"/>
      <c r="X426" s="35"/>
      <c r="Y426" s="35"/>
      <c r="Z426" s="35"/>
      <c r="AA426" s="35"/>
      <c r="AB426" s="35"/>
      <c r="AC426" s="35"/>
    </row>
    <row r="427" spans="1:29">
      <c r="A427" s="35"/>
      <c r="B427" s="320"/>
      <c r="C427" s="320"/>
      <c r="D427" s="320"/>
      <c r="E427" s="320"/>
      <c r="F427" s="320"/>
      <c r="G427" s="320"/>
      <c r="H427" s="320"/>
      <c r="I427" s="320"/>
      <c r="J427" s="320"/>
      <c r="K427" s="320"/>
      <c r="L427" s="321"/>
      <c r="M427" s="320"/>
      <c r="N427" s="35"/>
      <c r="O427" s="35"/>
      <c r="P427" s="35"/>
      <c r="Q427" s="35"/>
      <c r="R427" s="35"/>
      <c r="S427" s="35"/>
      <c r="T427" s="35"/>
      <c r="U427" s="35"/>
      <c r="V427" s="35"/>
      <c r="W427" s="35"/>
      <c r="X427" s="35"/>
      <c r="Y427" s="35"/>
      <c r="Z427" s="35"/>
      <c r="AA427" s="35"/>
      <c r="AB427" s="35"/>
      <c r="AC427" s="35"/>
    </row>
    <row r="428" spans="1:29">
      <c r="A428" s="35"/>
      <c r="B428" s="320"/>
      <c r="C428" s="320"/>
      <c r="D428" s="320"/>
      <c r="E428" s="320"/>
      <c r="F428" s="320"/>
      <c r="G428" s="320"/>
      <c r="H428" s="320"/>
      <c r="I428" s="320"/>
      <c r="J428" s="320"/>
      <c r="K428" s="320"/>
      <c r="L428" s="321"/>
      <c r="M428" s="320"/>
      <c r="N428" s="35"/>
      <c r="O428" s="35"/>
      <c r="P428" s="35"/>
      <c r="Q428" s="35"/>
      <c r="R428" s="35"/>
      <c r="S428" s="35"/>
      <c r="T428" s="35"/>
      <c r="U428" s="35"/>
      <c r="V428" s="35"/>
      <c r="W428" s="35"/>
      <c r="X428" s="35"/>
      <c r="Y428" s="35"/>
      <c r="Z428" s="35"/>
      <c r="AA428" s="35"/>
      <c r="AB428" s="35"/>
      <c r="AC428" s="35"/>
    </row>
    <row r="429" spans="1:29">
      <c r="A429" s="35"/>
      <c r="B429" s="320"/>
      <c r="C429" s="320"/>
      <c r="D429" s="320"/>
      <c r="E429" s="320"/>
      <c r="F429" s="320"/>
      <c r="G429" s="320"/>
      <c r="H429" s="320"/>
      <c r="I429" s="320"/>
      <c r="J429" s="320"/>
      <c r="K429" s="320"/>
      <c r="L429" s="321"/>
      <c r="M429" s="320"/>
      <c r="N429" s="35"/>
      <c r="O429" s="35"/>
      <c r="P429" s="35"/>
      <c r="Q429" s="35"/>
      <c r="R429" s="35"/>
      <c r="S429" s="35"/>
      <c r="T429" s="35"/>
      <c r="U429" s="35"/>
      <c r="V429" s="35"/>
      <c r="W429" s="35"/>
      <c r="X429" s="35"/>
      <c r="Y429" s="35"/>
      <c r="Z429" s="35"/>
      <c r="AA429" s="35"/>
      <c r="AB429" s="35"/>
      <c r="AC429" s="35"/>
    </row>
    <row r="430" spans="1:29">
      <c r="A430" s="35"/>
      <c r="B430" s="320"/>
      <c r="C430" s="320"/>
      <c r="D430" s="320"/>
      <c r="E430" s="320"/>
      <c r="F430" s="320"/>
      <c r="G430" s="320"/>
      <c r="H430" s="320"/>
      <c r="I430" s="320"/>
      <c r="J430" s="320"/>
      <c r="K430" s="320"/>
      <c r="L430" s="321"/>
      <c r="M430" s="320"/>
      <c r="N430" s="35"/>
      <c r="O430" s="35"/>
      <c r="P430" s="35"/>
      <c r="Q430" s="35"/>
      <c r="R430" s="35"/>
      <c r="S430" s="35"/>
      <c r="T430" s="35"/>
      <c r="U430" s="35"/>
      <c r="V430" s="35"/>
      <c r="W430" s="35"/>
      <c r="X430" s="35"/>
      <c r="Y430" s="35"/>
      <c r="Z430" s="35"/>
      <c r="AA430" s="35"/>
      <c r="AB430" s="35"/>
      <c r="AC430" s="35"/>
    </row>
    <row r="431" spans="1:29">
      <c r="A431" s="35"/>
      <c r="B431" s="320"/>
      <c r="C431" s="320"/>
      <c r="D431" s="320"/>
      <c r="E431" s="320"/>
      <c r="F431" s="320"/>
      <c r="G431" s="320"/>
      <c r="H431" s="320"/>
      <c r="I431" s="320"/>
      <c r="J431" s="320"/>
      <c r="K431" s="320"/>
      <c r="L431" s="321"/>
      <c r="M431" s="320"/>
      <c r="N431" s="35"/>
      <c r="O431" s="35"/>
      <c r="P431" s="35"/>
      <c r="Q431" s="35"/>
      <c r="R431" s="35"/>
      <c r="S431" s="35"/>
      <c r="T431" s="35"/>
      <c r="U431" s="35"/>
      <c r="V431" s="35"/>
      <c r="W431" s="35"/>
      <c r="X431" s="35"/>
      <c r="Y431" s="35"/>
      <c r="Z431" s="35"/>
      <c r="AA431" s="35"/>
      <c r="AB431" s="35"/>
      <c r="AC431" s="35"/>
    </row>
    <row r="432" spans="1:29">
      <c r="A432" s="35"/>
      <c r="B432" s="320"/>
      <c r="C432" s="320"/>
      <c r="D432" s="320"/>
      <c r="E432" s="320"/>
      <c r="F432" s="320"/>
      <c r="G432" s="320"/>
      <c r="H432" s="320"/>
      <c r="I432" s="320"/>
      <c r="J432" s="320"/>
      <c r="K432" s="320"/>
      <c r="L432" s="321"/>
      <c r="M432" s="320"/>
      <c r="N432" s="35"/>
      <c r="O432" s="35"/>
      <c r="P432" s="35"/>
      <c r="Q432" s="35"/>
      <c r="R432" s="35"/>
      <c r="S432" s="35"/>
      <c r="T432" s="35"/>
      <c r="U432" s="35"/>
      <c r="V432" s="35"/>
      <c r="W432" s="35"/>
      <c r="X432" s="35"/>
      <c r="Y432" s="35"/>
      <c r="Z432" s="35"/>
      <c r="AA432" s="35"/>
      <c r="AB432" s="35"/>
      <c r="AC432" s="35"/>
    </row>
    <row r="433" spans="1:29">
      <c r="A433" s="35"/>
      <c r="B433" s="320"/>
      <c r="C433" s="320"/>
      <c r="D433" s="320"/>
      <c r="E433" s="320"/>
      <c r="F433" s="320"/>
      <c r="G433" s="320"/>
      <c r="H433" s="320"/>
      <c r="I433" s="320"/>
      <c r="J433" s="320"/>
      <c r="K433" s="320"/>
      <c r="L433" s="321"/>
      <c r="M433" s="320"/>
      <c r="N433" s="35"/>
      <c r="O433" s="35"/>
      <c r="P433" s="35"/>
      <c r="Q433" s="35"/>
      <c r="R433" s="35"/>
      <c r="S433" s="35"/>
      <c r="T433" s="35"/>
      <c r="U433" s="35"/>
      <c r="V433" s="35"/>
      <c r="W433" s="35"/>
      <c r="X433" s="35"/>
      <c r="Y433" s="35"/>
      <c r="Z433" s="35"/>
      <c r="AA433" s="35"/>
      <c r="AB433" s="35"/>
      <c r="AC433" s="35"/>
    </row>
    <row r="434" spans="1:29">
      <c r="A434" s="35"/>
      <c r="B434" s="320"/>
      <c r="C434" s="320"/>
      <c r="D434" s="320"/>
      <c r="E434" s="320"/>
      <c r="F434" s="320"/>
      <c r="G434" s="320"/>
      <c r="H434" s="320"/>
      <c r="I434" s="320"/>
      <c r="J434" s="320"/>
      <c r="K434" s="320"/>
      <c r="L434" s="321"/>
      <c r="M434" s="320"/>
      <c r="N434" s="35"/>
      <c r="O434" s="35"/>
      <c r="P434" s="35"/>
      <c r="Q434" s="35"/>
      <c r="R434" s="35"/>
      <c r="S434" s="35"/>
      <c r="T434" s="35"/>
      <c r="U434" s="35"/>
      <c r="V434" s="35"/>
      <c r="W434" s="35"/>
      <c r="X434" s="35"/>
      <c r="Y434" s="35"/>
      <c r="Z434" s="35"/>
      <c r="AA434" s="35"/>
      <c r="AB434" s="35"/>
      <c r="AC434" s="35"/>
    </row>
    <row r="435" spans="1:29">
      <c r="A435" s="35"/>
      <c r="B435" s="320"/>
      <c r="C435" s="320"/>
      <c r="D435" s="320"/>
      <c r="E435" s="320"/>
      <c r="F435" s="320"/>
      <c r="G435" s="320"/>
      <c r="H435" s="320"/>
      <c r="I435" s="320"/>
      <c r="J435" s="320"/>
      <c r="K435" s="320"/>
      <c r="L435" s="321"/>
      <c r="M435" s="320"/>
      <c r="N435" s="35"/>
      <c r="O435" s="35"/>
      <c r="P435" s="35"/>
      <c r="Q435" s="35"/>
      <c r="R435" s="35"/>
      <c r="S435" s="35"/>
      <c r="T435" s="35"/>
      <c r="U435" s="35"/>
      <c r="V435" s="35"/>
      <c r="W435" s="35"/>
      <c r="X435" s="35"/>
      <c r="Y435" s="35"/>
      <c r="Z435" s="35"/>
      <c r="AA435" s="35"/>
      <c r="AB435" s="35"/>
      <c r="AC435" s="35"/>
    </row>
    <row r="436" spans="1:29">
      <c r="A436" s="35"/>
      <c r="B436" s="320"/>
      <c r="C436" s="320"/>
      <c r="D436" s="320"/>
      <c r="E436" s="320"/>
      <c r="F436" s="320"/>
      <c r="G436" s="320"/>
      <c r="H436" s="320"/>
      <c r="I436" s="320"/>
      <c r="J436" s="320"/>
      <c r="K436" s="320"/>
      <c r="L436" s="321"/>
      <c r="M436" s="320"/>
      <c r="N436" s="35"/>
      <c r="O436" s="35"/>
      <c r="P436" s="35"/>
      <c r="Q436" s="35"/>
      <c r="R436" s="35"/>
      <c r="S436" s="35"/>
      <c r="T436" s="35"/>
      <c r="U436" s="35"/>
      <c r="V436" s="35"/>
      <c r="W436" s="35"/>
      <c r="X436" s="35"/>
      <c r="Y436" s="35"/>
      <c r="Z436" s="35"/>
      <c r="AA436" s="35"/>
      <c r="AB436" s="35"/>
      <c r="AC436" s="35"/>
    </row>
    <row r="437" spans="1:29">
      <c r="A437" s="35"/>
      <c r="B437" s="320"/>
      <c r="C437" s="320"/>
      <c r="D437" s="320"/>
      <c r="E437" s="320"/>
      <c r="F437" s="320"/>
      <c r="G437" s="320"/>
      <c r="H437" s="320"/>
      <c r="I437" s="320"/>
      <c r="J437" s="320"/>
      <c r="K437" s="320"/>
      <c r="L437" s="321"/>
      <c r="M437" s="320"/>
      <c r="N437" s="35"/>
      <c r="O437" s="35"/>
      <c r="P437" s="35"/>
      <c r="Q437" s="35"/>
      <c r="R437" s="35"/>
      <c r="S437" s="35"/>
      <c r="T437" s="35"/>
      <c r="U437" s="35"/>
      <c r="V437" s="35"/>
      <c r="W437" s="35"/>
      <c r="X437" s="35"/>
      <c r="Y437" s="35"/>
      <c r="Z437" s="35"/>
      <c r="AA437" s="35"/>
      <c r="AB437" s="35"/>
      <c r="AC437" s="35"/>
    </row>
    <row r="438" spans="1:29">
      <c r="A438" s="35"/>
      <c r="B438" s="320"/>
      <c r="C438" s="320"/>
      <c r="D438" s="320"/>
      <c r="E438" s="320"/>
      <c r="F438" s="320"/>
      <c r="G438" s="320"/>
      <c r="H438" s="320"/>
      <c r="I438" s="320"/>
      <c r="J438" s="320"/>
      <c r="K438" s="320"/>
      <c r="L438" s="321"/>
      <c r="M438" s="320"/>
      <c r="N438" s="35"/>
      <c r="O438" s="35"/>
      <c r="P438" s="35"/>
      <c r="Q438" s="35"/>
      <c r="R438" s="35"/>
      <c r="S438" s="35"/>
      <c r="T438" s="35"/>
      <c r="U438" s="35"/>
      <c r="V438" s="35"/>
      <c r="W438" s="35"/>
      <c r="X438" s="35"/>
      <c r="Y438" s="35"/>
      <c r="Z438" s="35"/>
      <c r="AA438" s="35"/>
      <c r="AB438" s="35"/>
      <c r="AC438" s="35"/>
    </row>
    <row r="439" spans="1:29">
      <c r="A439" s="35"/>
      <c r="B439" s="320"/>
      <c r="C439" s="320"/>
      <c r="D439" s="320"/>
      <c r="E439" s="320"/>
      <c r="F439" s="320"/>
      <c r="G439" s="320"/>
      <c r="H439" s="320"/>
      <c r="I439" s="320"/>
      <c r="J439" s="320"/>
      <c r="K439" s="320"/>
      <c r="L439" s="321"/>
      <c r="M439" s="320"/>
      <c r="N439" s="35"/>
      <c r="O439" s="35"/>
      <c r="P439" s="35"/>
      <c r="Q439" s="35"/>
      <c r="R439" s="35"/>
      <c r="S439" s="35"/>
      <c r="T439" s="35"/>
      <c r="U439" s="35"/>
      <c r="V439" s="35"/>
      <c r="W439" s="35"/>
      <c r="X439" s="35"/>
      <c r="Y439" s="35"/>
      <c r="Z439" s="35"/>
      <c r="AA439" s="35"/>
      <c r="AB439" s="35"/>
      <c r="AC439" s="35"/>
    </row>
    <row r="440" spans="1:29">
      <c r="A440" s="35"/>
      <c r="B440" s="320"/>
      <c r="C440" s="320"/>
      <c r="D440" s="320"/>
      <c r="E440" s="320"/>
      <c r="F440" s="320"/>
      <c r="G440" s="320"/>
      <c r="H440" s="320"/>
      <c r="I440" s="320"/>
      <c r="J440" s="320"/>
      <c r="K440" s="320"/>
      <c r="L440" s="321"/>
      <c r="M440" s="320"/>
      <c r="N440" s="35"/>
      <c r="O440" s="35"/>
      <c r="P440" s="35"/>
      <c r="Q440" s="35"/>
      <c r="R440" s="35"/>
      <c r="S440" s="35"/>
      <c r="T440" s="35"/>
      <c r="U440" s="35"/>
      <c r="V440" s="35"/>
      <c r="W440" s="35"/>
      <c r="X440" s="35"/>
      <c r="Y440" s="35"/>
      <c r="Z440" s="35"/>
      <c r="AA440" s="35"/>
      <c r="AB440" s="35"/>
      <c r="AC440" s="35"/>
    </row>
    <row r="441" spans="1:29">
      <c r="A441" s="35"/>
      <c r="B441" s="320"/>
      <c r="C441" s="320"/>
      <c r="D441" s="320"/>
      <c r="E441" s="320"/>
      <c r="F441" s="320"/>
      <c r="G441" s="320"/>
      <c r="H441" s="320"/>
      <c r="I441" s="320"/>
      <c r="J441" s="320"/>
      <c r="K441" s="320"/>
      <c r="L441" s="321"/>
      <c r="M441" s="320"/>
      <c r="N441" s="35"/>
      <c r="O441" s="35"/>
      <c r="P441" s="35"/>
      <c r="Q441" s="35"/>
      <c r="R441" s="35"/>
      <c r="S441" s="35"/>
      <c r="T441" s="35"/>
      <c r="U441" s="35"/>
      <c r="V441" s="35"/>
      <c r="W441" s="35"/>
      <c r="X441" s="35"/>
      <c r="Y441" s="35"/>
      <c r="Z441" s="35"/>
      <c r="AA441" s="35"/>
      <c r="AB441" s="35"/>
      <c r="AC441" s="35"/>
    </row>
    <row r="442" spans="1:29">
      <c r="A442" s="35"/>
      <c r="B442" s="320"/>
      <c r="C442" s="320"/>
      <c r="D442" s="320"/>
      <c r="E442" s="320"/>
      <c r="F442" s="320"/>
      <c r="G442" s="320"/>
      <c r="H442" s="320"/>
      <c r="I442" s="320"/>
      <c r="J442" s="320"/>
      <c r="K442" s="320"/>
      <c r="L442" s="321"/>
      <c r="M442" s="320"/>
      <c r="N442" s="35"/>
      <c r="O442" s="35"/>
      <c r="P442" s="35"/>
      <c r="Q442" s="35"/>
      <c r="R442" s="35"/>
      <c r="S442" s="35"/>
      <c r="T442" s="35"/>
      <c r="U442" s="35"/>
      <c r="V442" s="35"/>
      <c r="W442" s="35"/>
      <c r="X442" s="35"/>
      <c r="Y442" s="35"/>
      <c r="Z442" s="35"/>
      <c r="AA442" s="35"/>
      <c r="AB442" s="35"/>
      <c r="AC442" s="35"/>
    </row>
    <row r="443" spans="1:29">
      <c r="A443" s="35"/>
      <c r="B443" s="320"/>
      <c r="C443" s="320"/>
      <c r="D443" s="320"/>
      <c r="E443" s="320"/>
      <c r="F443" s="320"/>
      <c r="G443" s="320"/>
      <c r="H443" s="320"/>
      <c r="I443" s="320"/>
      <c r="J443" s="320"/>
      <c r="K443" s="320"/>
      <c r="L443" s="321"/>
      <c r="M443" s="320"/>
      <c r="N443" s="35"/>
      <c r="O443" s="35"/>
      <c r="P443" s="35"/>
      <c r="Q443" s="35"/>
      <c r="R443" s="35"/>
      <c r="S443" s="35"/>
      <c r="T443" s="35"/>
      <c r="U443" s="35"/>
      <c r="V443" s="35"/>
      <c r="W443" s="35"/>
      <c r="X443" s="35"/>
      <c r="Y443" s="35"/>
      <c r="Z443" s="35"/>
      <c r="AA443" s="35"/>
      <c r="AB443" s="35"/>
      <c r="AC443" s="35"/>
    </row>
    <row r="444" spans="1:29">
      <c r="A444" s="35"/>
      <c r="B444" s="320"/>
      <c r="C444" s="320"/>
      <c r="D444" s="320"/>
      <c r="E444" s="320"/>
      <c r="F444" s="320"/>
      <c r="G444" s="320"/>
      <c r="H444" s="320"/>
      <c r="I444" s="320"/>
      <c r="J444" s="320"/>
      <c r="K444" s="320"/>
      <c r="L444" s="321"/>
      <c r="M444" s="320"/>
      <c r="N444" s="35"/>
      <c r="O444" s="35"/>
      <c r="P444" s="35"/>
      <c r="Q444" s="35"/>
      <c r="R444" s="35"/>
      <c r="S444" s="35"/>
      <c r="T444" s="35"/>
      <c r="U444" s="35"/>
      <c r="V444" s="35"/>
      <c r="W444" s="35"/>
      <c r="X444" s="35"/>
      <c r="Y444" s="35"/>
      <c r="Z444" s="35"/>
      <c r="AA444" s="35"/>
      <c r="AB444" s="35"/>
      <c r="AC444" s="35"/>
    </row>
    <row r="445" spans="1:29">
      <c r="A445" s="35"/>
      <c r="B445" s="320"/>
      <c r="C445" s="320"/>
      <c r="D445" s="320"/>
      <c r="E445" s="320"/>
      <c r="F445" s="320"/>
      <c r="G445" s="320"/>
      <c r="H445" s="320"/>
      <c r="I445" s="320"/>
      <c r="J445" s="320"/>
      <c r="K445" s="320"/>
      <c r="L445" s="321"/>
      <c r="M445" s="320"/>
      <c r="N445" s="35"/>
      <c r="O445" s="35"/>
      <c r="P445" s="35"/>
      <c r="Q445" s="35"/>
      <c r="R445" s="35"/>
      <c r="S445" s="35"/>
      <c r="T445" s="35"/>
      <c r="U445" s="35"/>
      <c r="V445" s="35"/>
      <c r="W445" s="35"/>
      <c r="X445" s="35"/>
      <c r="Y445" s="35"/>
      <c r="Z445" s="35"/>
      <c r="AA445" s="35"/>
      <c r="AB445" s="35"/>
      <c r="AC445" s="35"/>
    </row>
    <row r="446" spans="1:29">
      <c r="A446" s="35"/>
      <c r="B446" s="320"/>
      <c r="C446" s="320"/>
      <c r="D446" s="320"/>
      <c r="E446" s="320"/>
      <c r="F446" s="320"/>
      <c r="G446" s="320"/>
      <c r="H446" s="320"/>
      <c r="I446" s="320"/>
      <c r="J446" s="320"/>
      <c r="K446" s="320"/>
      <c r="L446" s="321"/>
      <c r="M446" s="320"/>
      <c r="N446" s="35"/>
      <c r="O446" s="35"/>
      <c r="P446" s="35"/>
      <c r="Q446" s="35"/>
      <c r="R446" s="35"/>
      <c r="S446" s="35"/>
      <c r="T446" s="35"/>
      <c r="U446" s="35"/>
      <c r="V446" s="35"/>
      <c r="W446" s="35"/>
      <c r="X446" s="35"/>
      <c r="Y446" s="35"/>
      <c r="Z446" s="35"/>
      <c r="AA446" s="35"/>
      <c r="AB446" s="35"/>
      <c r="AC446" s="35"/>
    </row>
    <row r="447" spans="1:29">
      <c r="A447" s="35"/>
      <c r="B447" s="320"/>
      <c r="C447" s="320"/>
      <c r="D447" s="320"/>
      <c r="E447" s="320"/>
      <c r="F447" s="320"/>
      <c r="G447" s="320"/>
      <c r="H447" s="320"/>
      <c r="I447" s="320"/>
      <c r="J447" s="320"/>
      <c r="K447" s="320"/>
      <c r="L447" s="321"/>
      <c r="M447" s="320"/>
      <c r="N447" s="35"/>
      <c r="O447" s="35"/>
      <c r="P447" s="35"/>
      <c r="Q447" s="35"/>
      <c r="R447" s="35"/>
      <c r="S447" s="35"/>
      <c r="T447" s="35"/>
      <c r="U447" s="35"/>
      <c r="V447" s="35"/>
      <c r="W447" s="35"/>
      <c r="X447" s="35"/>
      <c r="Y447" s="35"/>
      <c r="Z447" s="35"/>
      <c r="AA447" s="35"/>
      <c r="AB447" s="35"/>
      <c r="AC447" s="35"/>
    </row>
    <row r="448" spans="1:29">
      <c r="A448" s="35"/>
      <c r="B448" s="320"/>
      <c r="C448" s="320"/>
      <c r="D448" s="320"/>
      <c r="E448" s="320"/>
      <c r="F448" s="320"/>
      <c r="G448" s="320"/>
      <c r="H448" s="320"/>
      <c r="I448" s="320"/>
      <c r="J448" s="320"/>
      <c r="K448" s="320"/>
      <c r="L448" s="321"/>
      <c r="M448" s="320"/>
      <c r="N448" s="35"/>
      <c r="O448" s="35"/>
      <c r="P448" s="35"/>
      <c r="Q448" s="35"/>
      <c r="R448" s="35"/>
      <c r="S448" s="35"/>
      <c r="T448" s="35"/>
      <c r="U448" s="35"/>
      <c r="V448" s="35"/>
      <c r="W448" s="35"/>
      <c r="X448" s="35"/>
      <c r="Y448" s="35"/>
      <c r="Z448" s="35"/>
      <c r="AA448" s="35"/>
      <c r="AB448" s="35"/>
      <c r="AC448" s="35"/>
    </row>
    <row r="449" spans="1:29">
      <c r="A449" s="35"/>
      <c r="B449" s="320"/>
      <c r="C449" s="320"/>
      <c r="D449" s="320"/>
      <c r="E449" s="320"/>
      <c r="F449" s="320"/>
      <c r="G449" s="320"/>
      <c r="H449" s="320"/>
      <c r="I449" s="320"/>
      <c r="J449" s="320"/>
      <c r="K449" s="320"/>
      <c r="L449" s="321"/>
      <c r="M449" s="320"/>
      <c r="N449" s="35"/>
      <c r="O449" s="35"/>
      <c r="P449" s="35"/>
      <c r="Q449" s="35"/>
      <c r="R449" s="35"/>
      <c r="S449" s="35"/>
      <c r="T449" s="35"/>
      <c r="U449" s="35"/>
      <c r="V449" s="35"/>
      <c r="W449" s="35"/>
      <c r="X449" s="35"/>
      <c r="Y449" s="35"/>
      <c r="Z449" s="35"/>
      <c r="AA449" s="35"/>
      <c r="AB449" s="35"/>
      <c r="AC449" s="35"/>
    </row>
    <row r="450" spans="1:29">
      <c r="A450" s="35"/>
      <c r="B450" s="320"/>
      <c r="C450" s="320"/>
      <c r="D450" s="320"/>
      <c r="E450" s="320"/>
      <c r="F450" s="320"/>
      <c r="G450" s="320"/>
      <c r="H450" s="320"/>
      <c r="I450" s="320"/>
      <c r="J450" s="320"/>
      <c r="K450" s="320"/>
      <c r="L450" s="321"/>
      <c r="M450" s="320"/>
      <c r="N450" s="35"/>
      <c r="O450" s="35"/>
      <c r="P450" s="35"/>
      <c r="Q450" s="35"/>
      <c r="R450" s="35"/>
      <c r="S450" s="35"/>
      <c r="T450" s="35"/>
      <c r="U450" s="35"/>
      <c r="V450" s="35"/>
      <c r="W450" s="35"/>
      <c r="X450" s="35"/>
      <c r="Y450" s="35"/>
      <c r="Z450" s="35"/>
      <c r="AA450" s="35"/>
      <c r="AB450" s="35"/>
      <c r="AC450" s="35"/>
    </row>
    <row r="451" spans="1:29">
      <c r="A451" s="35"/>
      <c r="B451" s="320"/>
      <c r="C451" s="320"/>
      <c r="D451" s="320"/>
      <c r="E451" s="320"/>
      <c r="F451" s="320"/>
      <c r="G451" s="320"/>
      <c r="H451" s="320"/>
      <c r="I451" s="320"/>
      <c r="J451" s="320"/>
      <c r="K451" s="320"/>
      <c r="L451" s="321"/>
      <c r="M451" s="320"/>
      <c r="N451" s="35"/>
      <c r="O451" s="35"/>
      <c r="P451" s="35"/>
      <c r="Q451" s="35"/>
      <c r="R451" s="35"/>
      <c r="S451" s="35"/>
      <c r="T451" s="35"/>
      <c r="U451" s="35"/>
      <c r="V451" s="35"/>
      <c r="W451" s="35"/>
      <c r="X451" s="35"/>
      <c r="Y451" s="35"/>
      <c r="Z451" s="35"/>
      <c r="AA451" s="35"/>
      <c r="AB451" s="35"/>
      <c r="AC451" s="35"/>
    </row>
    <row r="452" spans="1:29">
      <c r="A452" s="35"/>
      <c r="B452" s="320"/>
      <c r="C452" s="320"/>
      <c r="D452" s="320"/>
      <c r="E452" s="320"/>
      <c r="F452" s="320"/>
      <c r="G452" s="320"/>
      <c r="H452" s="320"/>
      <c r="I452" s="320"/>
      <c r="J452" s="320"/>
      <c r="K452" s="320"/>
      <c r="L452" s="321"/>
      <c r="M452" s="320"/>
      <c r="N452" s="35"/>
      <c r="O452" s="35"/>
      <c r="P452" s="35"/>
      <c r="Q452" s="35"/>
      <c r="R452" s="35"/>
      <c r="S452" s="35"/>
      <c r="T452" s="35"/>
      <c r="U452" s="35"/>
      <c r="V452" s="35"/>
      <c r="W452" s="35"/>
      <c r="X452" s="35"/>
      <c r="Y452" s="35"/>
      <c r="Z452" s="35"/>
      <c r="AA452" s="35"/>
      <c r="AB452" s="35"/>
      <c r="AC452" s="35"/>
    </row>
    <row r="453" spans="1:29">
      <c r="A453" s="35"/>
      <c r="B453" s="320"/>
      <c r="C453" s="320"/>
      <c r="D453" s="320"/>
      <c r="E453" s="320"/>
      <c r="F453" s="320"/>
      <c r="G453" s="320"/>
      <c r="H453" s="320"/>
      <c r="I453" s="320"/>
      <c r="J453" s="320"/>
      <c r="K453" s="320"/>
      <c r="L453" s="321"/>
      <c r="M453" s="320"/>
      <c r="N453" s="35"/>
      <c r="O453" s="35"/>
      <c r="P453" s="35"/>
      <c r="Q453" s="35"/>
      <c r="R453" s="35"/>
      <c r="S453" s="35"/>
      <c r="T453" s="35"/>
      <c r="U453" s="35"/>
      <c r="V453" s="35"/>
      <c r="W453" s="35"/>
      <c r="X453" s="35"/>
      <c r="Y453" s="35"/>
      <c r="Z453" s="35"/>
      <c r="AA453" s="35"/>
      <c r="AB453" s="35"/>
      <c r="AC453" s="35"/>
    </row>
    <row r="454" spans="1:29">
      <c r="A454" s="35"/>
      <c r="B454" s="320"/>
      <c r="C454" s="320"/>
      <c r="D454" s="320"/>
      <c r="E454" s="320"/>
      <c r="F454" s="320"/>
      <c r="G454" s="320"/>
      <c r="H454" s="320"/>
      <c r="I454" s="320"/>
      <c r="J454" s="320"/>
      <c r="K454" s="320"/>
      <c r="L454" s="321"/>
      <c r="M454" s="320"/>
      <c r="N454" s="35"/>
      <c r="O454" s="35"/>
      <c r="P454" s="35"/>
      <c r="Q454" s="35"/>
      <c r="R454" s="35"/>
      <c r="S454" s="35"/>
      <c r="T454" s="35"/>
      <c r="U454" s="35"/>
      <c r="V454" s="35"/>
      <c r="W454" s="35"/>
      <c r="X454" s="35"/>
      <c r="Y454" s="35"/>
      <c r="Z454" s="35"/>
      <c r="AA454" s="35"/>
      <c r="AB454" s="35"/>
      <c r="AC454" s="35"/>
    </row>
    <row r="455" spans="1:29">
      <c r="A455" s="35"/>
      <c r="B455" s="320"/>
      <c r="C455" s="320"/>
      <c r="D455" s="320"/>
      <c r="E455" s="320"/>
      <c r="F455" s="320"/>
      <c r="G455" s="320"/>
      <c r="H455" s="320"/>
      <c r="I455" s="320"/>
      <c r="J455" s="320"/>
      <c r="K455" s="320"/>
      <c r="L455" s="321"/>
      <c r="M455" s="320"/>
      <c r="N455" s="35"/>
      <c r="O455" s="35"/>
      <c r="P455" s="35"/>
      <c r="Q455" s="35"/>
      <c r="R455" s="35"/>
      <c r="S455" s="35"/>
      <c r="T455" s="35"/>
      <c r="U455" s="35"/>
      <c r="V455" s="35"/>
      <c r="W455" s="35"/>
      <c r="X455" s="35"/>
      <c r="Y455" s="35"/>
      <c r="Z455" s="35"/>
      <c r="AA455" s="35"/>
      <c r="AB455" s="35"/>
      <c r="AC455" s="35"/>
    </row>
    <row r="456" spans="1:29">
      <c r="A456" s="35"/>
      <c r="B456" s="320"/>
      <c r="C456" s="320"/>
      <c r="D456" s="320"/>
      <c r="E456" s="320"/>
      <c r="F456" s="320"/>
      <c r="G456" s="320"/>
      <c r="H456" s="320"/>
      <c r="I456" s="320"/>
      <c r="J456" s="320"/>
      <c r="K456" s="320"/>
      <c r="L456" s="321"/>
      <c r="M456" s="320"/>
      <c r="N456" s="35"/>
      <c r="O456" s="35"/>
      <c r="P456" s="35"/>
      <c r="Q456" s="35"/>
      <c r="R456" s="35"/>
      <c r="S456" s="35"/>
      <c r="T456" s="35"/>
      <c r="U456" s="35"/>
      <c r="V456" s="35"/>
      <c r="W456" s="35"/>
      <c r="X456" s="35"/>
      <c r="Y456" s="35"/>
      <c r="Z456" s="35"/>
      <c r="AA456" s="35"/>
      <c r="AB456" s="35"/>
      <c r="AC456" s="35"/>
    </row>
    <row r="457" spans="1:29">
      <c r="A457" s="35"/>
      <c r="B457" s="320"/>
      <c r="C457" s="320"/>
      <c r="D457" s="320"/>
      <c r="E457" s="320"/>
      <c r="F457" s="320"/>
      <c r="G457" s="320"/>
      <c r="H457" s="320"/>
      <c r="I457" s="320"/>
      <c r="J457" s="320"/>
      <c r="K457" s="320"/>
      <c r="L457" s="321"/>
      <c r="M457" s="320"/>
      <c r="N457" s="35"/>
      <c r="O457" s="35"/>
      <c r="P457" s="35"/>
      <c r="Q457" s="35"/>
      <c r="R457" s="35"/>
      <c r="S457" s="35"/>
      <c r="T457" s="35"/>
      <c r="U457" s="35"/>
      <c r="V457" s="35"/>
      <c r="W457" s="35"/>
      <c r="X457" s="35"/>
      <c r="Y457" s="35"/>
      <c r="Z457" s="35"/>
      <c r="AA457" s="35"/>
      <c r="AB457" s="35"/>
      <c r="AC457" s="35"/>
    </row>
    <row r="458" spans="1:29">
      <c r="A458" s="35"/>
      <c r="B458" s="320"/>
      <c r="C458" s="320"/>
      <c r="D458" s="320"/>
      <c r="E458" s="320"/>
      <c r="F458" s="320"/>
      <c r="G458" s="320"/>
      <c r="H458" s="320"/>
      <c r="I458" s="320"/>
      <c r="J458" s="320"/>
      <c r="K458" s="320"/>
      <c r="L458" s="321"/>
      <c r="M458" s="320"/>
      <c r="N458" s="35"/>
      <c r="O458" s="35"/>
      <c r="P458" s="35"/>
      <c r="Q458" s="35"/>
      <c r="R458" s="35"/>
      <c r="S458" s="35"/>
      <c r="T458" s="35"/>
      <c r="U458" s="35"/>
      <c r="V458" s="35"/>
      <c r="W458" s="35"/>
      <c r="X458" s="35"/>
      <c r="Y458" s="35"/>
      <c r="Z458" s="35"/>
      <c r="AA458" s="35"/>
      <c r="AB458" s="35"/>
      <c r="AC458" s="35"/>
    </row>
    <row r="459" spans="1:29">
      <c r="A459" s="35"/>
      <c r="B459" s="320"/>
      <c r="C459" s="320"/>
      <c r="D459" s="320"/>
      <c r="E459" s="320"/>
      <c r="F459" s="320"/>
      <c r="G459" s="320"/>
      <c r="H459" s="320"/>
      <c r="I459" s="320"/>
      <c r="J459" s="320"/>
      <c r="K459" s="320"/>
      <c r="L459" s="321"/>
      <c r="M459" s="320"/>
      <c r="N459" s="35"/>
      <c r="O459" s="35"/>
      <c r="P459" s="35"/>
      <c r="Q459" s="35"/>
      <c r="R459" s="35"/>
      <c r="S459" s="35"/>
      <c r="T459" s="35"/>
      <c r="U459" s="35"/>
      <c r="V459" s="35"/>
      <c r="W459" s="35"/>
      <c r="X459" s="35"/>
      <c r="Y459" s="35"/>
      <c r="Z459" s="35"/>
      <c r="AA459" s="35"/>
      <c r="AB459" s="35"/>
      <c r="AC459" s="35"/>
    </row>
    <row r="460" spans="1:29">
      <c r="A460" s="35"/>
      <c r="B460" s="320"/>
      <c r="C460" s="320"/>
      <c r="D460" s="320"/>
      <c r="E460" s="320"/>
      <c r="F460" s="320"/>
      <c r="G460" s="320"/>
      <c r="H460" s="320"/>
      <c r="I460" s="320"/>
      <c r="J460" s="320"/>
      <c r="K460" s="320"/>
      <c r="L460" s="321"/>
      <c r="M460" s="320"/>
      <c r="N460" s="35"/>
      <c r="O460" s="35"/>
      <c r="P460" s="35"/>
      <c r="Q460" s="35"/>
      <c r="R460" s="35"/>
      <c r="S460" s="35"/>
      <c r="T460" s="35"/>
      <c r="U460" s="35"/>
      <c r="V460" s="35"/>
      <c r="W460" s="35"/>
      <c r="X460" s="35"/>
      <c r="Y460" s="35"/>
      <c r="Z460" s="35"/>
      <c r="AA460" s="35"/>
      <c r="AB460" s="35"/>
      <c r="AC460" s="35"/>
    </row>
    <row r="461" spans="1:29">
      <c r="A461" s="35"/>
      <c r="B461" s="320"/>
      <c r="C461" s="320"/>
      <c r="D461" s="320"/>
      <c r="E461" s="320"/>
      <c r="F461" s="320"/>
      <c r="G461" s="320"/>
      <c r="H461" s="320"/>
      <c r="I461" s="320"/>
      <c r="J461" s="320"/>
      <c r="K461" s="320"/>
      <c r="L461" s="321"/>
      <c r="M461" s="320"/>
      <c r="N461" s="35"/>
      <c r="O461" s="35"/>
      <c r="P461" s="35"/>
      <c r="Q461" s="35"/>
      <c r="R461" s="35"/>
      <c r="S461" s="35"/>
      <c r="T461" s="35"/>
      <c r="U461" s="35"/>
      <c r="V461" s="35"/>
      <c r="W461" s="35"/>
      <c r="X461" s="35"/>
      <c r="Y461" s="35"/>
      <c r="Z461" s="35"/>
      <c r="AA461" s="35"/>
      <c r="AB461" s="35"/>
      <c r="AC461" s="35"/>
    </row>
    <row r="462" spans="1:29">
      <c r="A462" s="35"/>
      <c r="B462" s="320"/>
      <c r="C462" s="320"/>
      <c r="D462" s="320"/>
      <c r="E462" s="320"/>
      <c r="F462" s="320"/>
      <c r="G462" s="320"/>
      <c r="H462" s="320"/>
      <c r="I462" s="320"/>
      <c r="J462" s="320"/>
      <c r="K462" s="320"/>
      <c r="L462" s="321"/>
      <c r="M462" s="320"/>
      <c r="N462" s="35"/>
      <c r="O462" s="35"/>
      <c r="P462" s="35"/>
      <c r="Q462" s="35"/>
      <c r="R462" s="35"/>
      <c r="S462" s="35"/>
      <c r="T462" s="35"/>
      <c r="U462" s="35"/>
      <c r="V462" s="35"/>
      <c r="W462" s="35"/>
      <c r="X462" s="35"/>
      <c r="Y462" s="35"/>
      <c r="Z462" s="35"/>
      <c r="AA462" s="35"/>
      <c r="AB462" s="35"/>
      <c r="AC462" s="35"/>
    </row>
    <row r="463" spans="1:29">
      <c r="A463" s="35"/>
      <c r="B463" s="320"/>
      <c r="C463" s="320"/>
      <c r="D463" s="320"/>
      <c r="E463" s="320"/>
      <c r="F463" s="320"/>
      <c r="G463" s="320"/>
      <c r="H463" s="320"/>
      <c r="I463" s="320"/>
      <c r="J463" s="320"/>
      <c r="K463" s="320"/>
      <c r="L463" s="321"/>
      <c r="M463" s="320"/>
      <c r="N463" s="35"/>
      <c r="O463" s="35"/>
      <c r="P463" s="35"/>
      <c r="Q463" s="35"/>
      <c r="R463" s="35"/>
      <c r="S463" s="35"/>
      <c r="T463" s="35"/>
      <c r="U463" s="35"/>
      <c r="V463" s="35"/>
      <c r="W463" s="35"/>
      <c r="X463" s="35"/>
      <c r="Y463" s="35"/>
      <c r="Z463" s="35"/>
      <c r="AA463" s="35"/>
      <c r="AB463" s="35"/>
      <c r="AC463" s="35"/>
    </row>
    <row r="464" spans="1:29">
      <c r="A464" s="35"/>
      <c r="B464" s="320"/>
      <c r="C464" s="320"/>
      <c r="D464" s="320"/>
      <c r="E464" s="320"/>
      <c r="F464" s="320"/>
      <c r="G464" s="320"/>
      <c r="H464" s="320"/>
      <c r="I464" s="320"/>
      <c r="J464" s="320"/>
      <c r="K464" s="320"/>
      <c r="L464" s="321"/>
      <c r="M464" s="320"/>
      <c r="N464" s="35"/>
      <c r="O464" s="35"/>
      <c r="P464" s="35"/>
      <c r="Q464" s="35"/>
      <c r="R464" s="35"/>
      <c r="S464" s="35"/>
      <c r="T464" s="35"/>
      <c r="U464" s="35"/>
      <c r="V464" s="35"/>
      <c r="W464" s="35"/>
      <c r="X464" s="35"/>
      <c r="Y464" s="35"/>
      <c r="Z464" s="35"/>
      <c r="AA464" s="35"/>
      <c r="AB464" s="35"/>
      <c r="AC464" s="35"/>
    </row>
    <row r="465" spans="1:29">
      <c r="A465" s="35"/>
      <c r="B465" s="320"/>
      <c r="C465" s="320"/>
      <c r="D465" s="320"/>
      <c r="E465" s="320"/>
      <c r="F465" s="320"/>
      <c r="G465" s="320"/>
      <c r="H465" s="320"/>
      <c r="I465" s="320"/>
      <c r="J465" s="320"/>
      <c r="K465" s="320"/>
      <c r="L465" s="321"/>
      <c r="M465" s="320"/>
      <c r="N465" s="35"/>
      <c r="O465" s="35"/>
      <c r="P465" s="35"/>
      <c r="Q465" s="35"/>
      <c r="R465" s="35"/>
      <c r="S465" s="35"/>
      <c r="T465" s="35"/>
      <c r="U465" s="35"/>
      <c r="V465" s="35"/>
      <c r="W465" s="35"/>
      <c r="X465" s="35"/>
      <c r="Y465" s="35"/>
      <c r="Z465" s="35"/>
      <c r="AA465" s="35"/>
      <c r="AB465" s="35"/>
      <c r="AC465" s="35"/>
    </row>
    <row r="466" spans="1:29">
      <c r="A466" s="35"/>
      <c r="B466" s="320"/>
      <c r="C466" s="320"/>
      <c r="D466" s="320"/>
      <c r="E466" s="320"/>
      <c r="F466" s="320"/>
      <c r="G466" s="320"/>
      <c r="H466" s="320"/>
      <c r="I466" s="320"/>
      <c r="J466" s="320"/>
      <c r="K466" s="320"/>
      <c r="L466" s="321"/>
      <c r="M466" s="320"/>
      <c r="N466" s="35"/>
      <c r="O466" s="35"/>
      <c r="P466" s="35"/>
      <c r="Q466" s="35"/>
      <c r="R466" s="35"/>
      <c r="S466" s="35"/>
      <c r="T466" s="35"/>
      <c r="U466" s="35"/>
      <c r="V466" s="35"/>
      <c r="W466" s="35"/>
      <c r="X466" s="35"/>
      <c r="Y466" s="35"/>
      <c r="Z466" s="35"/>
      <c r="AA466" s="35"/>
      <c r="AB466" s="35"/>
      <c r="AC466" s="35"/>
    </row>
    <row r="467" spans="1:29">
      <c r="A467" s="35"/>
      <c r="B467" s="320"/>
      <c r="C467" s="320"/>
      <c r="D467" s="320"/>
      <c r="E467" s="320"/>
      <c r="F467" s="320"/>
      <c r="G467" s="320"/>
      <c r="H467" s="320"/>
      <c r="I467" s="320"/>
      <c r="J467" s="320"/>
      <c r="K467" s="320"/>
      <c r="L467" s="321"/>
      <c r="M467" s="320"/>
      <c r="N467" s="35"/>
      <c r="O467" s="35"/>
      <c r="P467" s="35"/>
      <c r="Q467" s="35"/>
      <c r="R467" s="35"/>
      <c r="S467" s="35"/>
      <c r="T467" s="35"/>
      <c r="U467" s="35"/>
      <c r="V467" s="35"/>
      <c r="W467" s="35"/>
      <c r="X467" s="35"/>
      <c r="Y467" s="35"/>
      <c r="Z467" s="35"/>
      <c r="AA467" s="35"/>
      <c r="AB467" s="35"/>
      <c r="AC467" s="35"/>
    </row>
    <row r="468" spans="1:29">
      <c r="A468" s="35"/>
      <c r="B468" s="320"/>
      <c r="C468" s="320"/>
      <c r="D468" s="320"/>
      <c r="E468" s="320"/>
      <c r="F468" s="320"/>
      <c r="G468" s="320"/>
      <c r="H468" s="320"/>
      <c r="I468" s="320"/>
      <c r="J468" s="320"/>
      <c r="K468" s="320"/>
      <c r="L468" s="321"/>
      <c r="M468" s="320"/>
      <c r="N468" s="35"/>
      <c r="O468" s="35"/>
      <c r="P468" s="35"/>
      <c r="Q468" s="35"/>
      <c r="R468" s="35"/>
      <c r="S468" s="35"/>
      <c r="T468" s="35"/>
      <c r="U468" s="35"/>
      <c r="V468" s="35"/>
      <c r="W468" s="35"/>
      <c r="X468" s="35"/>
      <c r="Y468" s="35"/>
      <c r="Z468" s="35"/>
      <c r="AA468" s="35"/>
      <c r="AB468" s="35"/>
      <c r="AC468" s="35"/>
    </row>
    <row r="469" spans="1:29">
      <c r="A469" s="35"/>
      <c r="B469" s="320"/>
      <c r="C469" s="320"/>
      <c r="D469" s="320"/>
      <c r="E469" s="320"/>
      <c r="F469" s="320"/>
      <c r="G469" s="320"/>
      <c r="H469" s="320"/>
      <c r="I469" s="320"/>
      <c r="J469" s="320"/>
      <c r="K469" s="320"/>
      <c r="L469" s="321"/>
      <c r="M469" s="320"/>
      <c r="N469" s="35"/>
      <c r="O469" s="35"/>
      <c r="P469" s="35"/>
      <c r="Q469" s="35"/>
      <c r="R469" s="35"/>
      <c r="S469" s="35"/>
      <c r="T469" s="35"/>
      <c r="U469" s="35"/>
      <c r="V469" s="35"/>
      <c r="W469" s="35"/>
      <c r="X469" s="35"/>
      <c r="Y469" s="35"/>
      <c r="Z469" s="35"/>
      <c r="AA469" s="35"/>
      <c r="AB469" s="35"/>
      <c r="AC469" s="35"/>
    </row>
    <row r="470" spans="1:29">
      <c r="A470" s="35"/>
      <c r="B470" s="320"/>
      <c r="C470" s="320"/>
      <c r="D470" s="320"/>
      <c r="E470" s="320"/>
      <c r="F470" s="320"/>
      <c r="G470" s="320"/>
      <c r="H470" s="320"/>
      <c r="I470" s="320"/>
      <c r="J470" s="320"/>
      <c r="K470" s="320"/>
      <c r="L470" s="321"/>
      <c r="M470" s="320"/>
      <c r="N470" s="35"/>
      <c r="O470" s="35"/>
      <c r="P470" s="35"/>
      <c r="Q470" s="35"/>
      <c r="R470" s="35"/>
      <c r="S470" s="35"/>
      <c r="T470" s="35"/>
      <c r="U470" s="35"/>
      <c r="V470" s="35"/>
      <c r="W470" s="35"/>
      <c r="X470" s="35"/>
      <c r="Y470" s="35"/>
      <c r="Z470" s="35"/>
      <c r="AA470" s="35"/>
      <c r="AB470" s="35"/>
      <c r="AC470" s="35"/>
    </row>
    <row r="471" spans="1:29">
      <c r="A471" s="35"/>
      <c r="B471" s="320"/>
      <c r="C471" s="320"/>
      <c r="D471" s="320"/>
      <c r="E471" s="320"/>
      <c r="F471" s="320"/>
      <c r="G471" s="320"/>
      <c r="H471" s="320"/>
      <c r="I471" s="320"/>
      <c r="J471" s="320"/>
      <c r="K471" s="320"/>
      <c r="L471" s="321"/>
      <c r="M471" s="320"/>
      <c r="N471" s="35"/>
      <c r="O471" s="35"/>
      <c r="P471" s="35"/>
      <c r="Q471" s="35"/>
      <c r="R471" s="35"/>
      <c r="S471" s="35"/>
      <c r="T471" s="35"/>
      <c r="U471" s="35"/>
      <c r="V471" s="35"/>
      <c r="W471" s="35"/>
      <c r="X471" s="35"/>
      <c r="Y471" s="35"/>
      <c r="Z471" s="35"/>
      <c r="AA471" s="35"/>
      <c r="AB471" s="35"/>
      <c r="AC471" s="35"/>
    </row>
    <row r="472" spans="1:29">
      <c r="A472" s="35"/>
      <c r="B472" s="320"/>
      <c r="C472" s="320"/>
      <c r="D472" s="320"/>
      <c r="E472" s="320"/>
      <c r="F472" s="320"/>
      <c r="G472" s="320"/>
      <c r="H472" s="320"/>
      <c r="I472" s="320"/>
      <c r="J472" s="320"/>
      <c r="K472" s="320"/>
      <c r="L472" s="321"/>
      <c r="M472" s="320"/>
      <c r="N472" s="35"/>
      <c r="O472" s="35"/>
      <c r="P472" s="35"/>
      <c r="Q472" s="35"/>
      <c r="R472" s="35"/>
      <c r="S472" s="35"/>
      <c r="T472" s="35"/>
      <c r="U472" s="35"/>
      <c r="V472" s="35"/>
      <c r="W472" s="35"/>
      <c r="X472" s="35"/>
      <c r="Y472" s="35"/>
      <c r="Z472" s="35"/>
      <c r="AA472" s="35"/>
      <c r="AB472" s="35"/>
      <c r="AC472" s="35"/>
    </row>
    <row r="473" spans="1:29">
      <c r="A473" s="35"/>
      <c r="B473" s="320"/>
      <c r="C473" s="320"/>
      <c r="D473" s="320"/>
      <c r="E473" s="320"/>
      <c r="F473" s="320"/>
      <c r="G473" s="320"/>
      <c r="H473" s="320"/>
      <c r="I473" s="320"/>
      <c r="J473" s="320"/>
      <c r="K473" s="320"/>
      <c r="L473" s="321"/>
      <c r="M473" s="320"/>
      <c r="N473" s="35"/>
      <c r="O473" s="35"/>
      <c r="P473" s="35"/>
      <c r="Q473" s="35"/>
      <c r="R473" s="35"/>
      <c r="S473" s="35"/>
      <c r="T473" s="35"/>
      <c r="U473" s="35"/>
      <c r="V473" s="35"/>
      <c r="W473" s="35"/>
      <c r="X473" s="35"/>
      <c r="Y473" s="35"/>
      <c r="Z473" s="35"/>
      <c r="AA473" s="35"/>
      <c r="AB473" s="35"/>
      <c r="AC473" s="35"/>
    </row>
    <row r="474" spans="1:29">
      <c r="A474" s="35"/>
      <c r="B474" s="320"/>
      <c r="C474" s="320"/>
      <c r="D474" s="320"/>
      <c r="E474" s="320"/>
      <c r="F474" s="320"/>
      <c r="G474" s="320"/>
      <c r="H474" s="320"/>
      <c r="I474" s="320"/>
      <c r="J474" s="320"/>
      <c r="K474" s="320"/>
      <c r="L474" s="321"/>
      <c r="M474" s="320"/>
      <c r="N474" s="35"/>
      <c r="O474" s="35"/>
      <c r="P474" s="35"/>
      <c r="Q474" s="35"/>
      <c r="R474" s="35"/>
      <c r="S474" s="35"/>
      <c r="T474" s="35"/>
      <c r="U474" s="35"/>
      <c r="V474" s="35"/>
      <c r="W474" s="35"/>
      <c r="X474" s="35"/>
      <c r="Y474" s="35"/>
      <c r="Z474" s="35"/>
      <c r="AA474" s="35"/>
      <c r="AB474" s="35"/>
      <c r="AC474" s="35"/>
    </row>
    <row r="475" spans="1:29">
      <c r="A475" s="35"/>
      <c r="B475" s="320"/>
      <c r="C475" s="320"/>
      <c r="D475" s="320"/>
      <c r="E475" s="320"/>
      <c r="F475" s="320"/>
      <c r="G475" s="320"/>
      <c r="H475" s="320"/>
      <c r="I475" s="320"/>
      <c r="J475" s="320"/>
      <c r="K475" s="320"/>
      <c r="L475" s="321"/>
      <c r="M475" s="320"/>
      <c r="N475" s="35"/>
      <c r="O475" s="35"/>
      <c r="P475" s="35"/>
      <c r="Q475" s="35"/>
      <c r="R475" s="35"/>
      <c r="S475" s="35"/>
      <c r="T475" s="35"/>
      <c r="U475" s="35"/>
      <c r="V475" s="35"/>
      <c r="W475" s="35"/>
      <c r="X475" s="35"/>
      <c r="Y475" s="35"/>
      <c r="Z475" s="35"/>
      <c r="AA475" s="35"/>
      <c r="AB475" s="35"/>
      <c r="AC475" s="35"/>
    </row>
    <row r="476" spans="1:29">
      <c r="A476" s="35"/>
      <c r="B476" s="320"/>
      <c r="C476" s="320"/>
      <c r="D476" s="320"/>
      <c r="E476" s="320"/>
      <c r="F476" s="320"/>
      <c r="G476" s="320"/>
      <c r="H476" s="320"/>
      <c r="I476" s="320"/>
      <c r="J476" s="320"/>
      <c r="K476" s="320"/>
      <c r="L476" s="321"/>
      <c r="M476" s="320"/>
      <c r="N476" s="35"/>
      <c r="O476" s="35"/>
      <c r="P476" s="35"/>
      <c r="Q476" s="35"/>
      <c r="R476" s="35"/>
      <c r="S476" s="35"/>
      <c r="T476" s="35"/>
      <c r="U476" s="35"/>
      <c r="V476" s="35"/>
      <c r="W476" s="35"/>
      <c r="X476" s="35"/>
      <c r="Y476" s="35"/>
      <c r="Z476" s="35"/>
      <c r="AA476" s="35"/>
      <c r="AB476" s="35"/>
      <c r="AC476" s="35"/>
    </row>
    <row r="477" spans="1:29">
      <c r="A477" s="35"/>
      <c r="B477" s="320"/>
      <c r="C477" s="320"/>
      <c r="D477" s="320"/>
      <c r="E477" s="320"/>
      <c r="F477" s="320"/>
      <c r="G477" s="320"/>
      <c r="H477" s="320"/>
      <c r="I477" s="320"/>
      <c r="J477" s="320"/>
      <c r="K477" s="320"/>
      <c r="L477" s="321"/>
      <c r="M477" s="320"/>
      <c r="N477" s="35"/>
      <c r="O477" s="35"/>
      <c r="P477" s="35"/>
      <c r="Q477" s="35"/>
      <c r="R477" s="35"/>
      <c r="S477" s="35"/>
      <c r="T477" s="35"/>
      <c r="U477" s="35"/>
      <c r="V477" s="35"/>
      <c r="W477" s="35"/>
      <c r="X477" s="35"/>
      <c r="Y477" s="35"/>
      <c r="Z477" s="35"/>
      <c r="AA477" s="35"/>
      <c r="AB477" s="35"/>
      <c r="AC477" s="35"/>
    </row>
    <row r="478" spans="1:29">
      <c r="A478" s="35"/>
      <c r="B478" s="320"/>
      <c r="C478" s="320"/>
      <c r="D478" s="320"/>
      <c r="E478" s="320"/>
      <c r="F478" s="320"/>
      <c r="G478" s="320"/>
      <c r="H478" s="320"/>
      <c r="I478" s="320"/>
      <c r="J478" s="320"/>
      <c r="K478" s="320"/>
      <c r="L478" s="321"/>
      <c r="M478" s="320"/>
      <c r="N478" s="35"/>
      <c r="O478" s="35"/>
      <c r="P478" s="35"/>
      <c r="Q478" s="35"/>
      <c r="R478" s="35"/>
      <c r="S478" s="35"/>
      <c r="T478" s="35"/>
      <c r="U478" s="35"/>
      <c r="V478" s="35"/>
      <c r="W478" s="35"/>
      <c r="X478" s="35"/>
      <c r="Y478" s="35"/>
      <c r="Z478" s="35"/>
      <c r="AA478" s="35"/>
      <c r="AB478" s="35"/>
      <c r="AC478" s="35"/>
    </row>
    <row r="479" spans="1:29">
      <c r="A479" s="35"/>
      <c r="B479" s="320"/>
      <c r="C479" s="320"/>
      <c r="D479" s="320"/>
      <c r="E479" s="320"/>
      <c r="F479" s="320"/>
      <c r="G479" s="320"/>
      <c r="H479" s="320"/>
      <c r="I479" s="320"/>
      <c r="J479" s="320"/>
      <c r="K479" s="320"/>
      <c r="L479" s="321"/>
      <c r="M479" s="320"/>
      <c r="N479" s="35"/>
      <c r="O479" s="35"/>
      <c r="P479" s="35"/>
      <c r="Q479" s="35"/>
      <c r="R479" s="35"/>
      <c r="S479" s="35"/>
      <c r="T479" s="35"/>
      <c r="U479" s="35"/>
      <c r="V479" s="35"/>
      <c r="W479" s="35"/>
      <c r="X479" s="35"/>
      <c r="Y479" s="35"/>
      <c r="Z479" s="35"/>
      <c r="AA479" s="35"/>
      <c r="AB479" s="35"/>
      <c r="AC479" s="35"/>
    </row>
    <row r="480" spans="1:29">
      <c r="A480" s="35"/>
      <c r="B480" s="320"/>
      <c r="C480" s="320"/>
      <c r="D480" s="320"/>
      <c r="E480" s="320"/>
      <c r="F480" s="320"/>
      <c r="G480" s="320"/>
      <c r="H480" s="320"/>
      <c r="I480" s="320"/>
      <c r="J480" s="320"/>
      <c r="K480" s="320"/>
      <c r="L480" s="321"/>
      <c r="M480" s="320"/>
      <c r="N480" s="35"/>
      <c r="O480" s="35"/>
      <c r="P480" s="35"/>
      <c r="Q480" s="35"/>
      <c r="R480" s="35"/>
      <c r="S480" s="35"/>
      <c r="T480" s="35"/>
      <c r="U480" s="35"/>
      <c r="V480" s="35"/>
      <c r="W480" s="35"/>
      <c r="X480" s="35"/>
      <c r="Y480" s="35"/>
      <c r="Z480" s="35"/>
      <c r="AA480" s="35"/>
      <c r="AB480" s="35"/>
      <c r="AC480" s="35"/>
    </row>
    <row r="481" spans="1:29">
      <c r="A481" s="35"/>
      <c r="B481" s="320"/>
      <c r="C481" s="320"/>
      <c r="D481" s="320"/>
      <c r="E481" s="320"/>
      <c r="F481" s="320"/>
      <c r="G481" s="320"/>
      <c r="H481" s="320"/>
      <c r="I481" s="320"/>
      <c r="J481" s="320"/>
      <c r="K481" s="320"/>
      <c r="L481" s="321"/>
      <c r="M481" s="320"/>
      <c r="N481" s="35"/>
      <c r="O481" s="35"/>
      <c r="P481" s="35"/>
      <c r="Q481" s="35"/>
      <c r="R481" s="35"/>
      <c r="S481" s="35"/>
      <c r="T481" s="35"/>
      <c r="U481" s="35"/>
      <c r="V481" s="35"/>
      <c r="W481" s="35"/>
      <c r="X481" s="35"/>
      <c r="Y481" s="35"/>
      <c r="Z481" s="35"/>
      <c r="AA481" s="35"/>
      <c r="AB481" s="35"/>
      <c r="AC481" s="35"/>
    </row>
    <row r="482" spans="1:29">
      <c r="A482" s="35"/>
      <c r="B482" s="320"/>
      <c r="C482" s="320"/>
      <c r="D482" s="320"/>
      <c r="E482" s="320"/>
      <c r="F482" s="320"/>
      <c r="G482" s="320"/>
      <c r="H482" s="320"/>
      <c r="I482" s="320"/>
      <c r="J482" s="320"/>
      <c r="K482" s="320"/>
      <c r="L482" s="321"/>
      <c r="M482" s="320"/>
      <c r="N482" s="35"/>
      <c r="O482" s="35"/>
      <c r="P482" s="35"/>
      <c r="Q482" s="35"/>
      <c r="R482" s="35"/>
      <c r="S482" s="35"/>
      <c r="T482" s="35"/>
      <c r="U482" s="35"/>
      <c r="V482" s="35"/>
      <c r="W482" s="35"/>
      <c r="X482" s="35"/>
      <c r="Y482" s="35"/>
      <c r="Z482" s="35"/>
      <c r="AA482" s="35"/>
      <c r="AB482" s="35"/>
      <c r="AC482" s="35"/>
    </row>
    <row r="483" spans="1:29">
      <c r="A483" s="35"/>
      <c r="B483" s="320"/>
      <c r="C483" s="320"/>
      <c r="D483" s="320"/>
      <c r="E483" s="320"/>
      <c r="F483" s="320"/>
      <c r="G483" s="320"/>
      <c r="H483" s="320"/>
      <c r="I483" s="320"/>
      <c r="J483" s="320"/>
      <c r="K483" s="320"/>
      <c r="L483" s="321"/>
      <c r="M483" s="320"/>
      <c r="N483" s="35"/>
      <c r="O483" s="35"/>
      <c r="P483" s="35"/>
      <c r="Q483" s="35"/>
      <c r="R483" s="35"/>
      <c r="S483" s="35"/>
      <c r="T483" s="35"/>
      <c r="U483" s="35"/>
      <c r="V483" s="35"/>
      <c r="W483" s="35"/>
      <c r="X483" s="35"/>
      <c r="Y483" s="35"/>
      <c r="Z483" s="35"/>
      <c r="AA483" s="35"/>
      <c r="AB483" s="35"/>
      <c r="AC483" s="35"/>
    </row>
    <row r="484" spans="1:29">
      <c r="A484" s="35"/>
      <c r="B484" s="320"/>
      <c r="C484" s="320"/>
      <c r="D484" s="320"/>
      <c r="E484" s="320"/>
      <c r="F484" s="320"/>
      <c r="G484" s="320"/>
      <c r="H484" s="320"/>
      <c r="I484" s="320"/>
      <c r="J484" s="320"/>
      <c r="K484" s="320"/>
      <c r="L484" s="321"/>
      <c r="M484" s="320"/>
      <c r="N484" s="35"/>
      <c r="O484" s="35"/>
      <c r="P484" s="35"/>
      <c r="Q484" s="35"/>
      <c r="R484" s="35"/>
      <c r="S484" s="35"/>
      <c r="T484" s="35"/>
      <c r="U484" s="35"/>
      <c r="V484" s="35"/>
      <c r="W484" s="35"/>
      <c r="X484" s="35"/>
      <c r="Y484" s="35"/>
      <c r="Z484" s="35"/>
      <c r="AA484" s="35"/>
      <c r="AB484" s="35"/>
      <c r="AC484" s="35"/>
    </row>
    <row r="485" spans="1:29">
      <c r="A485" s="35"/>
      <c r="B485" s="320"/>
      <c r="C485" s="320"/>
      <c r="D485" s="320"/>
      <c r="E485" s="320"/>
      <c r="F485" s="320"/>
      <c r="G485" s="320"/>
      <c r="H485" s="320"/>
      <c r="I485" s="320"/>
      <c r="J485" s="320"/>
      <c r="K485" s="320"/>
      <c r="L485" s="321"/>
      <c r="M485" s="320"/>
      <c r="N485" s="35"/>
      <c r="O485" s="35"/>
      <c r="P485" s="35"/>
      <c r="Q485" s="35"/>
      <c r="R485" s="35"/>
      <c r="S485" s="35"/>
      <c r="T485" s="35"/>
      <c r="U485" s="35"/>
      <c r="V485" s="35"/>
      <c r="W485" s="35"/>
      <c r="X485" s="35"/>
      <c r="Y485" s="35"/>
      <c r="Z485" s="35"/>
      <c r="AA485" s="35"/>
      <c r="AB485" s="35"/>
      <c r="AC485" s="35"/>
    </row>
    <row r="486" spans="1:29">
      <c r="A486" s="35"/>
      <c r="B486" s="320"/>
      <c r="C486" s="320"/>
      <c r="D486" s="320"/>
      <c r="E486" s="320"/>
      <c r="F486" s="320"/>
      <c r="G486" s="320"/>
      <c r="H486" s="320"/>
      <c r="I486" s="320"/>
      <c r="J486" s="320"/>
      <c r="K486" s="320"/>
      <c r="L486" s="321"/>
      <c r="M486" s="320"/>
      <c r="N486" s="35"/>
      <c r="O486" s="35"/>
      <c r="P486" s="35"/>
      <c r="Q486" s="35"/>
      <c r="R486" s="35"/>
      <c r="S486" s="35"/>
      <c r="T486" s="35"/>
      <c r="U486" s="35"/>
      <c r="V486" s="35"/>
      <c r="W486" s="35"/>
      <c r="X486" s="35"/>
      <c r="Y486" s="35"/>
      <c r="Z486" s="35"/>
      <c r="AA486" s="35"/>
      <c r="AB486" s="35"/>
      <c r="AC486" s="35"/>
    </row>
    <row r="487" spans="1:29">
      <c r="A487" s="35"/>
      <c r="B487" s="320"/>
      <c r="C487" s="320"/>
      <c r="D487" s="320"/>
      <c r="E487" s="320"/>
      <c r="F487" s="320"/>
      <c r="G487" s="320"/>
      <c r="H487" s="320"/>
      <c r="I487" s="320"/>
      <c r="J487" s="320"/>
      <c r="K487" s="320"/>
      <c r="L487" s="321"/>
      <c r="M487" s="320"/>
      <c r="N487" s="35"/>
      <c r="O487" s="35"/>
      <c r="P487" s="35"/>
      <c r="Q487" s="35"/>
      <c r="R487" s="35"/>
      <c r="S487" s="35"/>
      <c r="T487" s="35"/>
      <c r="U487" s="35"/>
      <c r="V487" s="35"/>
      <c r="W487" s="35"/>
      <c r="X487" s="35"/>
      <c r="Y487" s="35"/>
      <c r="Z487" s="35"/>
      <c r="AA487" s="35"/>
      <c r="AB487" s="35"/>
      <c r="AC487" s="35"/>
    </row>
    <row r="488" spans="1:29">
      <c r="A488" s="35"/>
      <c r="B488" s="320"/>
      <c r="C488" s="320"/>
      <c r="D488" s="320"/>
      <c r="E488" s="320"/>
      <c r="F488" s="320"/>
      <c r="G488" s="320"/>
      <c r="H488" s="320"/>
      <c r="I488" s="320"/>
      <c r="J488" s="320"/>
      <c r="K488" s="320"/>
      <c r="L488" s="321"/>
      <c r="M488" s="320"/>
      <c r="N488" s="35"/>
      <c r="O488" s="35"/>
      <c r="P488" s="35"/>
      <c r="Q488" s="35"/>
      <c r="R488" s="35"/>
      <c r="S488" s="35"/>
      <c r="T488" s="35"/>
      <c r="U488" s="35"/>
      <c r="V488" s="35"/>
      <c r="W488" s="35"/>
      <c r="X488" s="35"/>
      <c r="Y488" s="35"/>
      <c r="Z488" s="35"/>
      <c r="AA488" s="35"/>
      <c r="AB488" s="35"/>
      <c r="AC488" s="35"/>
    </row>
    <row r="489" spans="1:29">
      <c r="A489" s="35"/>
      <c r="B489" s="320"/>
      <c r="C489" s="320"/>
      <c r="D489" s="320"/>
      <c r="E489" s="320"/>
      <c r="F489" s="320"/>
      <c r="G489" s="320"/>
      <c r="H489" s="320"/>
      <c r="I489" s="320"/>
      <c r="J489" s="320"/>
      <c r="K489" s="320"/>
      <c r="L489" s="321"/>
      <c r="M489" s="320"/>
      <c r="N489" s="35"/>
      <c r="O489" s="35"/>
      <c r="P489" s="35"/>
      <c r="Q489" s="35"/>
      <c r="R489" s="35"/>
      <c r="S489" s="35"/>
      <c r="T489" s="35"/>
      <c r="U489" s="35"/>
      <c r="V489" s="35"/>
      <c r="W489" s="35"/>
      <c r="X489" s="35"/>
      <c r="Y489" s="35"/>
      <c r="Z489" s="35"/>
      <c r="AA489" s="35"/>
      <c r="AB489" s="35"/>
      <c r="AC489" s="35"/>
    </row>
    <row r="490" spans="1:29">
      <c r="A490" s="35"/>
      <c r="B490" s="320"/>
      <c r="C490" s="320"/>
      <c r="D490" s="320"/>
      <c r="E490" s="320"/>
      <c r="F490" s="320"/>
      <c r="G490" s="320"/>
      <c r="H490" s="320"/>
      <c r="I490" s="320"/>
      <c r="J490" s="320"/>
      <c r="K490" s="320"/>
      <c r="L490" s="321"/>
      <c r="M490" s="320"/>
      <c r="N490" s="35"/>
      <c r="O490" s="35"/>
      <c r="P490" s="35"/>
      <c r="Q490" s="35"/>
      <c r="R490" s="35"/>
      <c r="S490" s="35"/>
      <c r="T490" s="35"/>
      <c r="U490" s="35"/>
      <c r="V490" s="35"/>
      <c r="W490" s="35"/>
      <c r="X490" s="35"/>
      <c r="Y490" s="35"/>
      <c r="Z490" s="35"/>
      <c r="AA490" s="35"/>
      <c r="AB490" s="35"/>
      <c r="AC490" s="35"/>
    </row>
    <row r="491" spans="1:29">
      <c r="A491" s="35"/>
      <c r="B491" s="320"/>
      <c r="C491" s="320"/>
      <c r="D491" s="320"/>
      <c r="E491" s="320"/>
      <c r="F491" s="320"/>
      <c r="G491" s="320"/>
      <c r="H491" s="320"/>
      <c r="I491" s="320"/>
      <c r="J491" s="320"/>
      <c r="K491" s="320"/>
      <c r="L491" s="321"/>
      <c r="M491" s="320"/>
      <c r="N491" s="35"/>
      <c r="O491" s="35"/>
      <c r="P491" s="35"/>
      <c r="Q491" s="35"/>
      <c r="R491" s="35"/>
      <c r="S491" s="35"/>
      <c r="T491" s="35"/>
      <c r="U491" s="35"/>
      <c r="V491" s="35"/>
      <c r="W491" s="35"/>
      <c r="X491" s="35"/>
      <c r="Y491" s="35"/>
      <c r="Z491" s="35"/>
      <c r="AA491" s="35"/>
      <c r="AB491" s="35"/>
      <c r="AC491" s="35"/>
    </row>
    <row r="492" spans="1:29">
      <c r="A492" s="35"/>
      <c r="B492" s="320"/>
      <c r="C492" s="320"/>
      <c r="D492" s="320"/>
      <c r="E492" s="320"/>
      <c r="F492" s="320"/>
      <c r="G492" s="320"/>
      <c r="H492" s="320"/>
      <c r="I492" s="320"/>
      <c r="J492" s="320"/>
      <c r="K492" s="320"/>
      <c r="L492" s="321"/>
      <c r="M492" s="320"/>
      <c r="N492" s="35"/>
      <c r="O492" s="35"/>
      <c r="P492" s="35"/>
      <c r="Q492" s="35"/>
      <c r="R492" s="35"/>
      <c r="S492" s="35"/>
      <c r="T492" s="35"/>
      <c r="U492" s="35"/>
      <c r="V492" s="35"/>
      <c r="W492" s="35"/>
      <c r="X492" s="35"/>
      <c r="Y492" s="35"/>
      <c r="Z492" s="35"/>
      <c r="AA492" s="35"/>
      <c r="AB492" s="35"/>
      <c r="AC492" s="35"/>
    </row>
    <row r="493" spans="1:29">
      <c r="A493" s="35"/>
      <c r="B493" s="320"/>
      <c r="C493" s="320"/>
      <c r="D493" s="320"/>
      <c r="E493" s="320"/>
      <c r="F493" s="320"/>
      <c r="G493" s="320"/>
      <c r="H493" s="320"/>
      <c r="I493" s="320"/>
      <c r="J493" s="320"/>
      <c r="K493" s="320"/>
      <c r="L493" s="321"/>
      <c r="M493" s="320"/>
      <c r="N493" s="35"/>
      <c r="O493" s="35"/>
      <c r="P493" s="35"/>
      <c r="Q493" s="35"/>
      <c r="R493" s="35"/>
      <c r="S493" s="35"/>
      <c r="T493" s="35"/>
      <c r="U493" s="35"/>
      <c r="V493" s="35"/>
      <c r="W493" s="35"/>
      <c r="X493" s="35"/>
      <c r="Y493" s="35"/>
      <c r="Z493" s="35"/>
      <c r="AA493" s="35"/>
      <c r="AB493" s="35"/>
      <c r="AC493" s="35"/>
    </row>
    <row r="494" spans="1:29">
      <c r="A494" s="35"/>
      <c r="B494" s="320"/>
      <c r="C494" s="320"/>
      <c r="D494" s="320"/>
      <c r="E494" s="320"/>
      <c r="F494" s="320"/>
      <c r="G494" s="320"/>
      <c r="H494" s="320"/>
      <c r="I494" s="320"/>
      <c r="J494" s="320"/>
      <c r="K494" s="320"/>
      <c r="L494" s="321"/>
      <c r="M494" s="320"/>
      <c r="N494" s="35"/>
      <c r="O494" s="35"/>
      <c r="P494" s="35"/>
      <c r="Q494" s="35"/>
      <c r="R494" s="35"/>
      <c r="S494" s="35"/>
      <c r="T494" s="35"/>
      <c r="U494" s="35"/>
      <c r="V494" s="35"/>
      <c r="W494" s="35"/>
      <c r="X494" s="35"/>
      <c r="Y494" s="35"/>
      <c r="Z494" s="35"/>
      <c r="AA494" s="35"/>
      <c r="AB494" s="35"/>
      <c r="AC494" s="35"/>
    </row>
    <row r="495" spans="1:29">
      <c r="A495" s="35"/>
      <c r="B495" s="320"/>
      <c r="C495" s="320"/>
      <c r="D495" s="320"/>
      <c r="E495" s="320"/>
      <c r="F495" s="320"/>
      <c r="G495" s="320"/>
      <c r="H495" s="320"/>
      <c r="I495" s="320"/>
      <c r="J495" s="320"/>
      <c r="K495" s="320"/>
      <c r="L495" s="321"/>
      <c r="M495" s="320"/>
      <c r="N495" s="35"/>
      <c r="O495" s="35"/>
      <c r="P495" s="35"/>
      <c r="Q495" s="35"/>
      <c r="R495" s="35"/>
      <c r="S495" s="35"/>
      <c r="T495" s="35"/>
      <c r="U495" s="35"/>
      <c r="V495" s="35"/>
      <c r="W495" s="35"/>
      <c r="X495" s="35"/>
      <c r="Y495" s="35"/>
      <c r="Z495" s="35"/>
      <c r="AA495" s="35"/>
      <c r="AB495" s="35"/>
      <c r="AC495" s="35"/>
    </row>
    <row r="496" spans="1:29">
      <c r="A496" s="35"/>
      <c r="B496" s="320"/>
      <c r="C496" s="320"/>
      <c r="D496" s="320"/>
      <c r="E496" s="320"/>
      <c r="F496" s="320"/>
      <c r="G496" s="320"/>
      <c r="H496" s="320"/>
      <c r="I496" s="320"/>
      <c r="J496" s="320"/>
      <c r="K496" s="320"/>
      <c r="L496" s="321"/>
      <c r="M496" s="320"/>
      <c r="N496" s="35"/>
      <c r="O496" s="35"/>
      <c r="P496" s="35"/>
      <c r="Q496" s="35"/>
      <c r="R496" s="35"/>
      <c r="S496" s="35"/>
      <c r="T496" s="35"/>
      <c r="U496" s="35"/>
      <c r="V496" s="35"/>
      <c r="W496" s="35"/>
      <c r="X496" s="35"/>
      <c r="Y496" s="35"/>
      <c r="Z496" s="35"/>
      <c r="AA496" s="35"/>
      <c r="AB496" s="35"/>
      <c r="AC496" s="35"/>
    </row>
    <row r="497" spans="1:29">
      <c r="A497" s="35"/>
      <c r="B497" s="320"/>
      <c r="C497" s="320"/>
      <c r="D497" s="320"/>
      <c r="E497" s="320"/>
      <c r="F497" s="320"/>
      <c r="G497" s="320"/>
      <c r="H497" s="320"/>
      <c r="I497" s="320"/>
      <c r="J497" s="320"/>
      <c r="K497" s="320"/>
      <c r="L497" s="321"/>
      <c r="M497" s="320"/>
      <c r="N497" s="35"/>
      <c r="O497" s="35"/>
      <c r="P497" s="35"/>
      <c r="Q497" s="35"/>
      <c r="R497" s="35"/>
      <c r="S497" s="35"/>
      <c r="T497" s="35"/>
      <c r="U497" s="35"/>
      <c r="V497" s="35"/>
      <c r="W497" s="35"/>
      <c r="X497" s="35"/>
      <c r="Y497" s="35"/>
      <c r="Z497" s="35"/>
      <c r="AA497" s="35"/>
      <c r="AB497" s="35"/>
      <c r="AC497" s="35"/>
    </row>
    <row r="498" spans="1:29">
      <c r="A498" s="35"/>
      <c r="B498" s="320"/>
      <c r="C498" s="320"/>
      <c r="D498" s="320"/>
      <c r="E498" s="320"/>
      <c r="F498" s="320"/>
      <c r="G498" s="320"/>
      <c r="H498" s="320"/>
      <c r="I498" s="320"/>
      <c r="J498" s="320"/>
      <c r="K498" s="320"/>
      <c r="L498" s="321"/>
      <c r="M498" s="320"/>
      <c r="N498" s="35"/>
      <c r="O498" s="35"/>
      <c r="P498" s="35"/>
      <c r="Q498" s="35"/>
      <c r="R498" s="35"/>
      <c r="S498" s="35"/>
      <c r="T498" s="35"/>
      <c r="U498" s="35"/>
      <c r="V498" s="35"/>
      <c r="W498" s="35"/>
      <c r="X498" s="35"/>
      <c r="Y498" s="35"/>
      <c r="Z498" s="35"/>
      <c r="AA498" s="35"/>
      <c r="AB498" s="35"/>
      <c r="AC498" s="35"/>
    </row>
    <row r="499" spans="1:29">
      <c r="A499" s="35"/>
      <c r="B499" s="320"/>
      <c r="C499" s="320"/>
      <c r="D499" s="320"/>
      <c r="E499" s="320"/>
      <c r="F499" s="320"/>
      <c r="G499" s="320"/>
      <c r="H499" s="320"/>
      <c r="I499" s="320"/>
      <c r="J499" s="320"/>
      <c r="K499" s="320"/>
      <c r="L499" s="321"/>
      <c r="M499" s="320"/>
      <c r="N499" s="35"/>
      <c r="O499" s="35"/>
      <c r="P499" s="35"/>
      <c r="Q499" s="35"/>
      <c r="R499" s="35"/>
      <c r="S499" s="35"/>
      <c r="T499" s="35"/>
      <c r="U499" s="35"/>
      <c r="V499" s="35"/>
      <c r="W499" s="35"/>
      <c r="X499" s="35"/>
      <c r="Y499" s="35"/>
      <c r="Z499" s="35"/>
      <c r="AA499" s="35"/>
      <c r="AB499" s="35"/>
      <c r="AC499" s="35"/>
    </row>
    <row r="500" spans="1:29">
      <c r="A500" s="35"/>
      <c r="B500" s="320"/>
      <c r="C500" s="320"/>
      <c r="D500" s="320"/>
      <c r="E500" s="320"/>
      <c r="F500" s="320"/>
      <c r="G500" s="320"/>
      <c r="H500" s="320"/>
      <c r="I500" s="320"/>
      <c r="J500" s="320"/>
      <c r="K500" s="320"/>
      <c r="L500" s="321"/>
      <c r="M500" s="320"/>
      <c r="N500" s="35"/>
      <c r="O500" s="35"/>
      <c r="P500" s="35"/>
      <c r="Q500" s="35"/>
      <c r="R500" s="35"/>
      <c r="S500" s="35"/>
      <c r="T500" s="35"/>
      <c r="U500" s="35"/>
      <c r="V500" s="35"/>
      <c r="W500" s="35"/>
      <c r="X500" s="35"/>
      <c r="Y500" s="35"/>
      <c r="Z500" s="35"/>
      <c r="AA500" s="35"/>
      <c r="AB500" s="35"/>
      <c r="AC500" s="35"/>
    </row>
    <row r="501" spans="1:29">
      <c r="A501" s="35"/>
      <c r="B501" s="320"/>
      <c r="C501" s="320"/>
      <c r="D501" s="320"/>
      <c r="E501" s="320"/>
      <c r="F501" s="320"/>
      <c r="G501" s="320"/>
      <c r="H501" s="320"/>
      <c r="I501" s="320"/>
      <c r="J501" s="320"/>
      <c r="K501" s="320"/>
      <c r="L501" s="321"/>
      <c r="M501" s="320"/>
      <c r="N501" s="35"/>
      <c r="O501" s="35"/>
      <c r="P501" s="35"/>
      <c r="Q501" s="35"/>
      <c r="R501" s="35"/>
      <c r="S501" s="35"/>
      <c r="T501" s="35"/>
      <c r="U501" s="35"/>
      <c r="V501" s="35"/>
      <c r="W501" s="35"/>
      <c r="X501" s="35"/>
      <c r="Y501" s="35"/>
      <c r="Z501" s="35"/>
      <c r="AA501" s="35"/>
      <c r="AB501" s="35"/>
      <c r="AC501" s="35"/>
    </row>
    <row r="502" spans="1:29">
      <c r="A502" s="35"/>
      <c r="B502" s="320"/>
      <c r="C502" s="320"/>
      <c r="D502" s="320"/>
      <c r="E502" s="320"/>
      <c r="F502" s="320"/>
      <c r="G502" s="320"/>
      <c r="H502" s="320"/>
      <c r="I502" s="320"/>
      <c r="J502" s="320"/>
      <c r="K502" s="320"/>
      <c r="L502" s="321"/>
      <c r="M502" s="320"/>
      <c r="N502" s="35"/>
      <c r="O502" s="35"/>
      <c r="P502" s="35"/>
      <c r="Q502" s="35"/>
      <c r="R502" s="35"/>
      <c r="S502" s="35"/>
      <c r="T502" s="35"/>
      <c r="U502" s="35"/>
      <c r="V502" s="35"/>
      <c r="W502" s="35"/>
      <c r="X502" s="35"/>
      <c r="Y502" s="35"/>
      <c r="Z502" s="35"/>
      <c r="AA502" s="35"/>
      <c r="AB502" s="35"/>
      <c r="AC502" s="35"/>
    </row>
    <row r="503" spans="1:29">
      <c r="A503" s="35"/>
      <c r="B503" s="320"/>
      <c r="C503" s="320"/>
      <c r="D503" s="320"/>
      <c r="E503" s="320"/>
      <c r="F503" s="320"/>
      <c r="G503" s="320"/>
      <c r="H503" s="320"/>
      <c r="I503" s="320"/>
      <c r="J503" s="320"/>
      <c r="K503" s="320"/>
      <c r="L503" s="321"/>
      <c r="M503" s="320"/>
      <c r="N503" s="35"/>
      <c r="O503" s="35"/>
      <c r="P503" s="35"/>
      <c r="Q503" s="35"/>
      <c r="R503" s="35"/>
      <c r="S503" s="35"/>
      <c r="T503" s="35"/>
      <c r="U503" s="35"/>
      <c r="V503" s="35"/>
      <c r="W503" s="35"/>
      <c r="X503" s="35"/>
      <c r="Y503" s="35"/>
      <c r="Z503" s="35"/>
      <c r="AA503" s="35"/>
      <c r="AB503" s="35"/>
      <c r="AC503" s="35"/>
    </row>
    <row r="504" spans="1:29">
      <c r="A504" s="35"/>
      <c r="B504" s="320"/>
      <c r="C504" s="320"/>
      <c r="D504" s="320"/>
      <c r="E504" s="320"/>
      <c r="F504" s="320"/>
      <c r="G504" s="320"/>
      <c r="H504" s="320"/>
      <c r="I504" s="320"/>
      <c r="J504" s="320"/>
      <c r="K504" s="320"/>
      <c r="L504" s="321"/>
      <c r="M504" s="320"/>
      <c r="N504" s="35"/>
      <c r="O504" s="35"/>
      <c r="P504" s="35"/>
      <c r="Q504" s="35"/>
      <c r="R504" s="35"/>
      <c r="S504" s="35"/>
      <c r="T504" s="35"/>
      <c r="U504" s="35"/>
      <c r="V504" s="35"/>
      <c r="W504" s="35"/>
      <c r="X504" s="35"/>
      <c r="Y504" s="35"/>
      <c r="Z504" s="35"/>
      <c r="AA504" s="35"/>
      <c r="AB504" s="35"/>
      <c r="AC504" s="35"/>
    </row>
    <row r="505" spans="1:29">
      <c r="A505" s="35"/>
      <c r="B505" s="320"/>
      <c r="C505" s="320"/>
      <c r="D505" s="320"/>
      <c r="E505" s="320"/>
      <c r="F505" s="320"/>
      <c r="G505" s="320"/>
      <c r="H505" s="320"/>
      <c r="I505" s="320"/>
      <c r="J505" s="320"/>
      <c r="K505" s="320"/>
      <c r="L505" s="321"/>
      <c r="M505" s="320"/>
      <c r="N505" s="35"/>
      <c r="O505" s="35"/>
      <c r="P505" s="35"/>
      <c r="Q505" s="35"/>
      <c r="R505" s="35"/>
      <c r="S505" s="35"/>
      <c r="T505" s="35"/>
      <c r="U505" s="35"/>
      <c r="V505" s="35"/>
      <c r="W505" s="35"/>
      <c r="X505" s="35"/>
      <c r="Y505" s="35"/>
      <c r="Z505" s="35"/>
      <c r="AA505" s="35"/>
      <c r="AB505" s="35"/>
      <c r="AC505" s="35"/>
    </row>
    <row r="506" spans="1:29">
      <c r="A506" s="35"/>
      <c r="B506" s="320"/>
      <c r="C506" s="320"/>
      <c r="D506" s="320"/>
      <c r="E506" s="320"/>
      <c r="F506" s="320"/>
      <c r="G506" s="320"/>
      <c r="H506" s="320"/>
      <c r="I506" s="320"/>
      <c r="J506" s="320"/>
      <c r="K506" s="320"/>
      <c r="L506" s="321"/>
      <c r="M506" s="320"/>
      <c r="N506" s="35"/>
      <c r="O506" s="35"/>
      <c r="P506" s="35"/>
      <c r="Q506" s="35"/>
      <c r="R506" s="35"/>
      <c r="S506" s="35"/>
      <c r="T506" s="35"/>
      <c r="U506" s="35"/>
      <c r="V506" s="35"/>
      <c r="W506" s="35"/>
      <c r="X506" s="35"/>
      <c r="Y506" s="35"/>
      <c r="Z506" s="35"/>
      <c r="AA506" s="35"/>
      <c r="AB506" s="35"/>
      <c r="AC506" s="35"/>
    </row>
    <row r="507" spans="1:29">
      <c r="A507" s="35"/>
      <c r="B507" s="320"/>
      <c r="C507" s="320"/>
      <c r="D507" s="320"/>
      <c r="E507" s="320"/>
      <c r="F507" s="320"/>
      <c r="G507" s="320"/>
      <c r="H507" s="320"/>
      <c r="I507" s="320"/>
      <c r="J507" s="320"/>
      <c r="K507" s="320"/>
      <c r="L507" s="321"/>
      <c r="M507" s="320"/>
      <c r="N507" s="35"/>
      <c r="O507" s="35"/>
      <c r="P507" s="35"/>
      <c r="Q507" s="35"/>
      <c r="R507" s="35"/>
      <c r="S507" s="35"/>
      <c r="T507" s="35"/>
      <c r="U507" s="35"/>
      <c r="V507" s="35"/>
      <c r="W507" s="35"/>
      <c r="X507" s="35"/>
      <c r="Y507" s="35"/>
      <c r="Z507" s="35"/>
      <c r="AA507" s="35"/>
      <c r="AB507" s="35"/>
      <c r="AC507" s="35"/>
    </row>
    <row r="508" spans="1:29">
      <c r="A508" s="35"/>
      <c r="B508" s="320"/>
      <c r="C508" s="320"/>
      <c r="D508" s="320"/>
      <c r="E508" s="320"/>
      <c r="F508" s="320"/>
      <c r="G508" s="320"/>
      <c r="H508" s="320"/>
      <c r="I508" s="320"/>
      <c r="J508" s="320"/>
      <c r="K508" s="320"/>
      <c r="L508" s="321"/>
      <c r="M508" s="320"/>
      <c r="N508" s="35"/>
      <c r="O508" s="35"/>
      <c r="P508" s="35"/>
      <c r="Q508" s="35"/>
      <c r="R508" s="35"/>
      <c r="S508" s="35"/>
      <c r="T508" s="35"/>
      <c r="U508" s="35"/>
      <c r="V508" s="35"/>
      <c r="W508" s="35"/>
      <c r="X508" s="35"/>
      <c r="Y508" s="35"/>
      <c r="Z508" s="35"/>
      <c r="AA508" s="35"/>
      <c r="AB508" s="35"/>
      <c r="AC508" s="35"/>
    </row>
    <row r="509" spans="1:29">
      <c r="A509" s="35"/>
      <c r="B509" s="320"/>
      <c r="C509" s="320"/>
      <c r="D509" s="320"/>
      <c r="E509" s="320"/>
      <c r="F509" s="320"/>
      <c r="G509" s="320"/>
      <c r="H509" s="320"/>
      <c r="I509" s="320"/>
      <c r="J509" s="320"/>
      <c r="K509" s="320"/>
      <c r="L509" s="321"/>
      <c r="M509" s="320"/>
      <c r="N509" s="35"/>
      <c r="O509" s="35"/>
      <c r="P509" s="35"/>
      <c r="Q509" s="35"/>
      <c r="R509" s="35"/>
      <c r="S509" s="35"/>
      <c r="T509" s="35"/>
      <c r="U509" s="35"/>
      <c r="V509" s="35"/>
      <c r="W509" s="35"/>
      <c r="X509" s="35"/>
      <c r="Y509" s="35"/>
      <c r="Z509" s="35"/>
      <c r="AA509" s="35"/>
      <c r="AB509" s="35"/>
      <c r="AC509" s="35"/>
    </row>
    <row r="510" spans="1:29">
      <c r="A510" s="35"/>
      <c r="B510" s="320"/>
      <c r="C510" s="320"/>
      <c r="D510" s="320"/>
      <c r="E510" s="320"/>
      <c r="F510" s="320"/>
      <c r="G510" s="320"/>
      <c r="H510" s="320"/>
      <c r="I510" s="320"/>
      <c r="J510" s="320"/>
      <c r="K510" s="320"/>
      <c r="L510" s="321"/>
      <c r="M510" s="320"/>
      <c r="N510" s="35"/>
      <c r="O510" s="35"/>
      <c r="P510" s="35"/>
      <c r="Q510" s="35"/>
      <c r="R510" s="35"/>
      <c r="S510" s="35"/>
      <c r="T510" s="35"/>
      <c r="U510" s="35"/>
      <c r="V510" s="35"/>
      <c r="W510" s="35"/>
      <c r="X510" s="35"/>
      <c r="Y510" s="35"/>
      <c r="Z510" s="35"/>
      <c r="AA510" s="35"/>
      <c r="AB510" s="35"/>
      <c r="AC510" s="35"/>
    </row>
    <row r="511" spans="1:29">
      <c r="A511" s="35"/>
      <c r="B511" s="320"/>
      <c r="C511" s="320"/>
      <c r="D511" s="320"/>
      <c r="E511" s="320"/>
      <c r="F511" s="320"/>
      <c r="G511" s="320"/>
      <c r="H511" s="320"/>
      <c r="I511" s="320"/>
      <c r="J511" s="320"/>
      <c r="K511" s="320"/>
      <c r="L511" s="321"/>
      <c r="M511" s="320"/>
      <c r="N511" s="35"/>
      <c r="O511" s="35"/>
      <c r="P511" s="35"/>
      <c r="Q511" s="35"/>
      <c r="R511" s="35"/>
      <c r="S511" s="35"/>
      <c r="T511" s="35"/>
      <c r="U511" s="35"/>
      <c r="V511" s="35"/>
      <c r="W511" s="35"/>
      <c r="X511" s="35"/>
      <c r="Y511" s="35"/>
      <c r="Z511" s="35"/>
      <c r="AA511" s="35"/>
      <c r="AB511" s="35"/>
      <c r="AC511" s="35"/>
    </row>
    <row r="512" spans="1:29">
      <c r="A512" s="35"/>
      <c r="B512" s="320"/>
      <c r="C512" s="320"/>
      <c r="D512" s="320"/>
      <c r="E512" s="320"/>
      <c r="F512" s="320"/>
      <c r="G512" s="320"/>
      <c r="H512" s="320"/>
      <c r="I512" s="320"/>
      <c r="J512" s="320"/>
      <c r="K512" s="320"/>
      <c r="L512" s="321"/>
      <c r="M512" s="320"/>
      <c r="N512" s="35"/>
      <c r="O512" s="35"/>
      <c r="P512" s="35"/>
      <c r="Q512" s="35"/>
      <c r="R512" s="35"/>
      <c r="S512" s="35"/>
      <c r="T512" s="35"/>
      <c r="U512" s="35"/>
      <c r="V512" s="35"/>
      <c r="W512" s="35"/>
      <c r="X512" s="35"/>
      <c r="Y512" s="35"/>
      <c r="Z512" s="35"/>
      <c r="AA512" s="35"/>
      <c r="AB512" s="35"/>
      <c r="AC512" s="35"/>
    </row>
    <row r="513" spans="1:29">
      <c r="A513" s="35"/>
      <c r="B513" s="320"/>
      <c r="C513" s="320"/>
      <c r="D513" s="320"/>
      <c r="E513" s="320"/>
      <c r="F513" s="320"/>
      <c r="G513" s="320"/>
      <c r="H513" s="320"/>
      <c r="I513" s="320"/>
      <c r="J513" s="320"/>
      <c r="K513" s="320"/>
      <c r="L513" s="321"/>
      <c r="M513" s="320"/>
      <c r="N513" s="35"/>
      <c r="O513" s="35"/>
      <c r="P513" s="35"/>
      <c r="Q513" s="35"/>
      <c r="R513" s="35"/>
      <c r="S513" s="35"/>
      <c r="T513" s="35"/>
      <c r="U513" s="35"/>
      <c r="V513" s="35"/>
      <c r="W513" s="35"/>
      <c r="X513" s="35"/>
      <c r="Y513" s="35"/>
      <c r="Z513" s="35"/>
      <c r="AA513" s="35"/>
      <c r="AB513" s="35"/>
      <c r="AC513" s="35"/>
    </row>
    <row r="514" spans="1:29">
      <c r="A514" s="35"/>
      <c r="B514" s="320"/>
      <c r="C514" s="320"/>
      <c r="D514" s="320"/>
      <c r="E514" s="320"/>
      <c r="F514" s="320"/>
      <c r="G514" s="320"/>
      <c r="H514" s="320"/>
      <c r="I514" s="320"/>
      <c r="J514" s="320"/>
      <c r="K514" s="320"/>
      <c r="L514" s="321"/>
      <c r="M514" s="320"/>
      <c r="N514" s="35"/>
      <c r="O514" s="35"/>
      <c r="P514" s="35"/>
      <c r="Q514" s="35"/>
      <c r="R514" s="35"/>
      <c r="S514" s="35"/>
      <c r="T514" s="35"/>
      <c r="U514" s="35"/>
      <c r="V514" s="35"/>
      <c r="W514" s="35"/>
      <c r="X514" s="35"/>
      <c r="Y514" s="35"/>
      <c r="Z514" s="35"/>
      <c r="AA514" s="35"/>
      <c r="AB514" s="35"/>
      <c r="AC514" s="35"/>
    </row>
    <row r="515" spans="1:29">
      <c r="A515" s="35"/>
      <c r="B515" s="320"/>
      <c r="C515" s="320"/>
      <c r="D515" s="320"/>
      <c r="E515" s="320"/>
      <c r="F515" s="320"/>
      <c r="G515" s="320"/>
      <c r="H515" s="320"/>
      <c r="I515" s="320"/>
      <c r="J515" s="320"/>
      <c r="K515" s="320"/>
      <c r="L515" s="321"/>
      <c r="M515" s="320"/>
      <c r="N515" s="35"/>
      <c r="O515" s="35"/>
      <c r="P515" s="35"/>
      <c r="Q515" s="35"/>
      <c r="R515" s="35"/>
      <c r="S515" s="35"/>
      <c r="T515" s="35"/>
      <c r="U515" s="35"/>
      <c r="V515" s="35"/>
      <c r="W515" s="35"/>
      <c r="X515" s="35"/>
      <c r="Y515" s="35"/>
      <c r="Z515" s="35"/>
      <c r="AA515" s="35"/>
      <c r="AB515" s="35"/>
      <c r="AC515" s="35"/>
    </row>
    <row r="516" spans="1:29">
      <c r="A516" s="35"/>
      <c r="B516" s="320"/>
      <c r="C516" s="320"/>
      <c r="D516" s="320"/>
      <c r="E516" s="320"/>
      <c r="F516" s="320"/>
      <c r="G516" s="320"/>
      <c r="H516" s="320"/>
      <c r="I516" s="320"/>
      <c r="J516" s="320"/>
      <c r="K516" s="320"/>
      <c r="L516" s="321"/>
      <c r="M516" s="320"/>
      <c r="N516" s="35"/>
      <c r="O516" s="35"/>
      <c r="P516" s="35"/>
      <c r="Q516" s="35"/>
      <c r="R516" s="35"/>
      <c r="S516" s="35"/>
      <c r="T516" s="35"/>
      <c r="U516" s="35"/>
      <c r="V516" s="35"/>
      <c r="W516" s="35"/>
      <c r="X516" s="35"/>
      <c r="Y516" s="35"/>
      <c r="Z516" s="35"/>
      <c r="AA516" s="35"/>
      <c r="AB516" s="35"/>
      <c r="AC516" s="35"/>
    </row>
    <row r="517" spans="1:29">
      <c r="A517" s="35"/>
      <c r="B517" s="320"/>
      <c r="C517" s="320"/>
      <c r="D517" s="320"/>
      <c r="E517" s="320"/>
      <c r="F517" s="320"/>
      <c r="G517" s="320"/>
      <c r="H517" s="320"/>
      <c r="I517" s="320"/>
      <c r="J517" s="320"/>
      <c r="K517" s="320"/>
      <c r="L517" s="321"/>
      <c r="M517" s="320"/>
      <c r="N517" s="35"/>
      <c r="O517" s="35"/>
      <c r="P517" s="35"/>
      <c r="Q517" s="35"/>
      <c r="R517" s="35"/>
      <c r="S517" s="35"/>
      <c r="T517" s="35"/>
      <c r="U517" s="35"/>
      <c r="V517" s="35"/>
      <c r="W517" s="35"/>
      <c r="X517" s="35"/>
      <c r="Y517" s="35"/>
      <c r="Z517" s="35"/>
      <c r="AA517" s="35"/>
      <c r="AB517" s="35"/>
      <c r="AC517" s="35"/>
    </row>
    <row r="518" spans="1:29">
      <c r="A518" s="35"/>
      <c r="B518" s="320"/>
      <c r="C518" s="320"/>
      <c r="D518" s="320"/>
      <c r="E518" s="320"/>
      <c r="F518" s="320"/>
      <c r="G518" s="320"/>
      <c r="H518" s="320"/>
      <c r="I518" s="320"/>
      <c r="J518" s="320"/>
      <c r="K518" s="320"/>
      <c r="L518" s="321"/>
      <c r="M518" s="320"/>
      <c r="N518" s="35"/>
      <c r="O518" s="35"/>
      <c r="P518" s="35"/>
      <c r="Q518" s="35"/>
      <c r="R518" s="35"/>
      <c r="S518" s="35"/>
      <c r="T518" s="35"/>
      <c r="U518" s="35"/>
      <c r="V518" s="35"/>
      <c r="W518" s="35"/>
      <c r="X518" s="35"/>
      <c r="Y518" s="35"/>
      <c r="Z518" s="35"/>
      <c r="AA518" s="35"/>
      <c r="AB518" s="35"/>
      <c r="AC518" s="35"/>
    </row>
    <row r="519" spans="1:29">
      <c r="A519" s="35"/>
      <c r="B519" s="320"/>
      <c r="C519" s="320"/>
      <c r="D519" s="320"/>
      <c r="E519" s="320"/>
      <c r="F519" s="320"/>
      <c r="G519" s="320"/>
      <c r="H519" s="320"/>
      <c r="I519" s="320"/>
      <c r="J519" s="320"/>
      <c r="K519" s="320"/>
      <c r="L519" s="321"/>
      <c r="M519" s="320"/>
      <c r="N519" s="35"/>
      <c r="O519" s="35"/>
      <c r="P519" s="35"/>
      <c r="Q519" s="35"/>
      <c r="R519" s="35"/>
      <c r="S519" s="35"/>
      <c r="T519" s="35"/>
      <c r="U519" s="35"/>
      <c r="V519" s="35"/>
      <c r="W519" s="35"/>
      <c r="X519" s="35"/>
      <c r="Y519" s="35"/>
      <c r="Z519" s="35"/>
      <c r="AA519" s="35"/>
      <c r="AB519" s="35"/>
      <c r="AC519" s="35"/>
    </row>
    <row r="520" spans="1:29">
      <c r="A520" s="35"/>
      <c r="B520" s="320"/>
      <c r="C520" s="320"/>
      <c r="D520" s="320"/>
      <c r="E520" s="320"/>
      <c r="F520" s="320"/>
      <c r="G520" s="320"/>
      <c r="H520" s="320"/>
      <c r="I520" s="320"/>
      <c r="J520" s="320"/>
      <c r="K520" s="320"/>
      <c r="L520" s="321"/>
      <c r="M520" s="320"/>
      <c r="N520" s="35"/>
      <c r="O520" s="35"/>
      <c r="P520" s="35"/>
      <c r="Q520" s="35"/>
      <c r="R520" s="35"/>
      <c r="S520" s="35"/>
      <c r="T520" s="35"/>
      <c r="U520" s="35"/>
      <c r="V520" s="35"/>
      <c r="W520" s="35"/>
      <c r="X520" s="35"/>
      <c r="Y520" s="35"/>
      <c r="Z520" s="35"/>
      <c r="AA520" s="35"/>
      <c r="AB520" s="35"/>
      <c r="AC520" s="35"/>
    </row>
    <row r="521" spans="1:29">
      <c r="A521" s="35"/>
      <c r="B521" s="320"/>
      <c r="C521" s="320"/>
      <c r="D521" s="320"/>
      <c r="E521" s="320"/>
      <c r="F521" s="320"/>
      <c r="G521" s="320"/>
      <c r="H521" s="320"/>
      <c r="I521" s="320"/>
      <c r="J521" s="320"/>
      <c r="K521" s="320"/>
      <c r="L521" s="321"/>
      <c r="M521" s="320"/>
      <c r="N521" s="35"/>
      <c r="O521" s="35"/>
      <c r="P521" s="35"/>
      <c r="Q521" s="35"/>
      <c r="R521" s="35"/>
      <c r="S521" s="35"/>
      <c r="T521" s="35"/>
      <c r="U521" s="35"/>
      <c r="V521" s="35"/>
      <c r="W521" s="35"/>
      <c r="X521" s="35"/>
      <c r="Y521" s="35"/>
      <c r="Z521" s="35"/>
      <c r="AA521" s="35"/>
      <c r="AB521" s="35"/>
      <c r="AC521" s="35"/>
    </row>
    <row r="522" spans="1:29">
      <c r="A522" s="35"/>
      <c r="B522" s="320"/>
      <c r="C522" s="320"/>
      <c r="D522" s="320"/>
      <c r="E522" s="320"/>
      <c r="F522" s="320"/>
      <c r="G522" s="320"/>
      <c r="H522" s="320"/>
      <c r="I522" s="320"/>
      <c r="J522" s="320"/>
      <c r="K522" s="320"/>
      <c r="L522" s="321"/>
      <c r="M522" s="320"/>
      <c r="N522" s="35"/>
      <c r="O522" s="35"/>
      <c r="P522" s="35"/>
      <c r="Q522" s="35"/>
      <c r="R522" s="35"/>
      <c r="S522" s="35"/>
      <c r="T522" s="35"/>
      <c r="U522" s="35"/>
      <c r="V522" s="35"/>
      <c r="W522" s="35"/>
      <c r="X522" s="35"/>
      <c r="Y522" s="35"/>
      <c r="Z522" s="35"/>
      <c r="AA522" s="35"/>
      <c r="AB522" s="35"/>
      <c r="AC522" s="35"/>
    </row>
    <row r="523" spans="1:29">
      <c r="A523" s="35"/>
      <c r="B523" s="320"/>
      <c r="C523" s="320"/>
      <c r="D523" s="320"/>
      <c r="E523" s="320"/>
      <c r="F523" s="320"/>
      <c r="G523" s="320"/>
      <c r="H523" s="320"/>
      <c r="I523" s="320"/>
      <c r="J523" s="320"/>
      <c r="K523" s="320"/>
      <c r="L523" s="321"/>
      <c r="M523" s="320"/>
      <c r="N523" s="35"/>
      <c r="O523" s="35"/>
      <c r="P523" s="35"/>
      <c r="Q523" s="35"/>
      <c r="R523" s="35"/>
      <c r="S523" s="35"/>
      <c r="T523" s="35"/>
      <c r="U523" s="35"/>
      <c r="V523" s="35"/>
      <c r="W523" s="35"/>
      <c r="X523" s="35"/>
      <c r="Y523" s="35"/>
      <c r="Z523" s="35"/>
      <c r="AA523" s="35"/>
      <c r="AB523" s="35"/>
      <c r="AC523" s="35"/>
    </row>
    <row r="524" spans="1:29">
      <c r="A524" s="35"/>
      <c r="B524" s="320"/>
      <c r="C524" s="320"/>
      <c r="D524" s="320"/>
      <c r="E524" s="320"/>
      <c r="F524" s="320"/>
      <c r="G524" s="320"/>
      <c r="H524" s="320"/>
      <c r="I524" s="320"/>
      <c r="J524" s="320"/>
      <c r="K524" s="320"/>
      <c r="L524" s="321"/>
      <c r="M524" s="320"/>
      <c r="N524" s="35"/>
      <c r="O524" s="35"/>
      <c r="P524" s="35"/>
      <c r="Q524" s="35"/>
      <c r="R524" s="35"/>
      <c r="S524" s="35"/>
      <c r="T524" s="35"/>
      <c r="U524" s="35"/>
      <c r="V524" s="35"/>
      <c r="W524" s="35"/>
      <c r="X524" s="35"/>
      <c r="Y524" s="35"/>
      <c r="Z524" s="35"/>
      <c r="AA524" s="35"/>
      <c r="AB524" s="35"/>
      <c r="AC524" s="35"/>
    </row>
    <row r="525" spans="1:29">
      <c r="A525" s="35"/>
      <c r="B525" s="320"/>
      <c r="C525" s="320"/>
      <c r="D525" s="320"/>
      <c r="E525" s="320"/>
      <c r="F525" s="320"/>
      <c r="G525" s="320"/>
      <c r="H525" s="320"/>
      <c r="I525" s="320"/>
      <c r="J525" s="320"/>
      <c r="K525" s="320"/>
      <c r="L525" s="321"/>
      <c r="M525" s="320"/>
      <c r="N525" s="35"/>
      <c r="O525" s="35"/>
      <c r="P525" s="35"/>
      <c r="Q525" s="35"/>
      <c r="R525" s="35"/>
      <c r="S525" s="35"/>
      <c r="T525" s="35"/>
      <c r="U525" s="35"/>
      <c r="V525" s="35"/>
      <c r="W525" s="35"/>
      <c r="X525" s="35"/>
      <c r="Y525" s="35"/>
      <c r="Z525" s="35"/>
      <c r="AA525" s="35"/>
      <c r="AB525" s="35"/>
      <c r="AC525" s="35"/>
    </row>
    <row r="526" spans="1:29">
      <c r="A526" s="35"/>
      <c r="B526" s="320"/>
      <c r="C526" s="320"/>
      <c r="D526" s="320"/>
      <c r="E526" s="320"/>
      <c r="F526" s="320"/>
      <c r="G526" s="320"/>
      <c r="H526" s="320"/>
      <c r="I526" s="320"/>
      <c r="J526" s="320"/>
      <c r="K526" s="320"/>
      <c r="L526" s="321"/>
      <c r="M526" s="320"/>
      <c r="N526" s="35"/>
      <c r="O526" s="35"/>
      <c r="P526" s="35"/>
      <c r="Q526" s="35"/>
      <c r="R526" s="35"/>
      <c r="S526" s="35"/>
      <c r="T526" s="35"/>
      <c r="U526" s="35"/>
      <c r="V526" s="35"/>
      <c r="W526" s="35"/>
      <c r="X526" s="35"/>
      <c r="Y526" s="35"/>
      <c r="Z526" s="35"/>
      <c r="AA526" s="35"/>
      <c r="AB526" s="35"/>
      <c r="AC526" s="35"/>
    </row>
    <row r="527" spans="1:29">
      <c r="A527" s="35"/>
      <c r="B527" s="320"/>
      <c r="C527" s="320"/>
      <c r="D527" s="320"/>
      <c r="E527" s="320"/>
      <c r="F527" s="320"/>
      <c r="G527" s="320"/>
      <c r="H527" s="320"/>
      <c r="I527" s="320"/>
      <c r="J527" s="320"/>
      <c r="K527" s="320"/>
      <c r="L527" s="321"/>
      <c r="M527" s="320"/>
      <c r="N527" s="35"/>
      <c r="O527" s="35"/>
      <c r="P527" s="35"/>
      <c r="Q527" s="35"/>
      <c r="R527" s="35"/>
      <c r="S527" s="35"/>
      <c r="T527" s="35"/>
      <c r="U527" s="35"/>
      <c r="V527" s="35"/>
      <c r="W527" s="35"/>
      <c r="X527" s="35"/>
      <c r="Y527" s="35"/>
      <c r="Z527" s="35"/>
      <c r="AA527" s="35"/>
      <c r="AB527" s="35"/>
      <c r="AC527" s="35"/>
    </row>
    <row r="528" spans="1:29">
      <c r="A528" s="35"/>
      <c r="B528" s="320"/>
      <c r="C528" s="320"/>
      <c r="D528" s="320"/>
      <c r="E528" s="320"/>
      <c r="F528" s="320"/>
      <c r="G528" s="320"/>
      <c r="H528" s="320"/>
      <c r="I528" s="320"/>
      <c r="J528" s="320"/>
      <c r="K528" s="320"/>
      <c r="L528" s="321"/>
      <c r="M528" s="320"/>
      <c r="N528" s="35"/>
      <c r="O528" s="35"/>
      <c r="P528" s="35"/>
      <c r="Q528" s="35"/>
      <c r="R528" s="35"/>
      <c r="S528" s="35"/>
      <c r="T528" s="35"/>
      <c r="U528" s="35"/>
      <c r="V528" s="35"/>
      <c r="W528" s="35"/>
      <c r="X528" s="35"/>
      <c r="Y528" s="35"/>
      <c r="Z528" s="35"/>
      <c r="AA528" s="35"/>
      <c r="AB528" s="35"/>
      <c r="AC528" s="35"/>
    </row>
    <row r="529" spans="1:29">
      <c r="A529" s="35"/>
      <c r="B529" s="320"/>
      <c r="C529" s="320"/>
      <c r="D529" s="320"/>
      <c r="E529" s="320"/>
      <c r="F529" s="320"/>
      <c r="G529" s="320"/>
      <c r="H529" s="320"/>
      <c r="I529" s="320"/>
      <c r="J529" s="320"/>
      <c r="K529" s="320"/>
      <c r="L529" s="321"/>
      <c r="M529" s="320"/>
      <c r="N529" s="35"/>
      <c r="O529" s="35"/>
      <c r="P529" s="35"/>
      <c r="Q529" s="35"/>
      <c r="R529" s="35"/>
      <c r="S529" s="35"/>
      <c r="T529" s="35"/>
      <c r="U529" s="35"/>
      <c r="V529" s="35"/>
      <c r="W529" s="35"/>
      <c r="X529" s="35"/>
      <c r="Y529" s="35"/>
      <c r="Z529" s="35"/>
      <c r="AA529" s="35"/>
      <c r="AB529" s="35"/>
      <c r="AC529" s="35"/>
    </row>
    <row r="530" spans="1:29">
      <c r="A530" s="35"/>
      <c r="B530" s="320"/>
      <c r="C530" s="320"/>
      <c r="D530" s="320"/>
      <c r="E530" s="320"/>
      <c r="F530" s="320"/>
      <c r="G530" s="320"/>
      <c r="H530" s="320"/>
      <c r="I530" s="320"/>
      <c r="J530" s="320"/>
      <c r="K530" s="320"/>
      <c r="L530" s="321"/>
      <c r="M530" s="320"/>
      <c r="N530" s="35"/>
      <c r="O530" s="35"/>
      <c r="P530" s="35"/>
      <c r="Q530" s="35"/>
      <c r="R530" s="35"/>
      <c r="S530" s="35"/>
      <c r="T530" s="35"/>
      <c r="U530" s="35"/>
      <c r="V530" s="35"/>
      <c r="W530" s="35"/>
      <c r="X530" s="35"/>
      <c r="Y530" s="35"/>
      <c r="Z530" s="35"/>
      <c r="AA530" s="35"/>
      <c r="AB530" s="35"/>
      <c r="AC530" s="35"/>
    </row>
    <row r="531" spans="1:29">
      <c r="A531" s="35"/>
      <c r="B531" s="320"/>
      <c r="C531" s="320"/>
      <c r="D531" s="320"/>
      <c r="E531" s="320"/>
      <c r="F531" s="320"/>
      <c r="G531" s="320"/>
      <c r="H531" s="320"/>
      <c r="I531" s="320"/>
      <c r="J531" s="320"/>
      <c r="K531" s="320"/>
      <c r="L531" s="321"/>
      <c r="M531" s="320"/>
      <c r="N531" s="35"/>
      <c r="O531" s="35"/>
      <c r="P531" s="35"/>
      <c r="Q531" s="35"/>
      <c r="R531" s="35"/>
      <c r="S531" s="35"/>
      <c r="T531" s="35"/>
      <c r="U531" s="35"/>
      <c r="V531" s="35"/>
      <c r="W531" s="35"/>
      <c r="X531" s="35"/>
      <c r="Y531" s="35"/>
      <c r="Z531" s="35"/>
      <c r="AA531" s="35"/>
      <c r="AB531" s="35"/>
      <c r="AC531" s="35"/>
    </row>
    <row r="532" spans="1:29">
      <c r="A532" s="35"/>
      <c r="B532" s="320"/>
      <c r="C532" s="320"/>
      <c r="D532" s="320"/>
      <c r="E532" s="320"/>
      <c r="F532" s="320"/>
      <c r="G532" s="320"/>
      <c r="H532" s="320"/>
      <c r="I532" s="320"/>
      <c r="J532" s="320"/>
      <c r="K532" s="320"/>
      <c r="L532" s="321"/>
      <c r="M532" s="320"/>
      <c r="N532" s="35"/>
      <c r="O532" s="35"/>
      <c r="P532" s="35"/>
      <c r="Q532" s="35"/>
      <c r="R532" s="35"/>
      <c r="S532" s="35"/>
      <c r="T532" s="35"/>
      <c r="U532" s="35"/>
      <c r="V532" s="35"/>
      <c r="W532" s="35"/>
      <c r="X532" s="35"/>
      <c r="Y532" s="35"/>
      <c r="Z532" s="35"/>
      <c r="AA532" s="35"/>
      <c r="AB532" s="35"/>
      <c r="AC532" s="35"/>
    </row>
    <row r="533" spans="1:29">
      <c r="A533" s="35"/>
      <c r="B533" s="320"/>
      <c r="C533" s="320"/>
      <c r="D533" s="320"/>
      <c r="E533" s="320"/>
      <c r="F533" s="320"/>
      <c r="G533" s="320"/>
      <c r="H533" s="320"/>
      <c r="I533" s="320"/>
      <c r="J533" s="320"/>
      <c r="K533" s="320"/>
      <c r="L533" s="321"/>
      <c r="M533" s="320"/>
      <c r="N533" s="35"/>
      <c r="O533" s="35"/>
      <c r="P533" s="35"/>
      <c r="Q533" s="35"/>
      <c r="R533" s="35"/>
      <c r="S533" s="35"/>
      <c r="T533" s="35"/>
      <c r="U533" s="35"/>
      <c r="V533" s="35"/>
      <c r="W533" s="35"/>
      <c r="X533" s="35"/>
      <c r="Y533" s="35"/>
      <c r="Z533" s="35"/>
      <c r="AA533" s="35"/>
      <c r="AB533" s="35"/>
      <c r="AC533" s="35"/>
    </row>
    <row r="534" spans="1:29">
      <c r="A534" s="35"/>
      <c r="B534" s="320"/>
      <c r="C534" s="320"/>
      <c r="D534" s="320"/>
      <c r="E534" s="320"/>
      <c r="F534" s="320"/>
      <c r="G534" s="320"/>
      <c r="H534" s="320"/>
      <c r="I534" s="320"/>
      <c r="J534" s="320"/>
      <c r="K534" s="320"/>
      <c r="L534" s="321"/>
      <c r="M534" s="320"/>
      <c r="N534" s="35"/>
      <c r="O534" s="35"/>
      <c r="P534" s="35"/>
      <c r="Q534" s="35"/>
      <c r="R534" s="35"/>
      <c r="S534" s="35"/>
      <c r="T534" s="35"/>
      <c r="U534" s="35"/>
      <c r="V534" s="35"/>
      <c r="W534" s="35"/>
      <c r="X534" s="35"/>
      <c r="Y534" s="35"/>
      <c r="Z534" s="35"/>
      <c r="AA534" s="35"/>
      <c r="AB534" s="35"/>
      <c r="AC534" s="35"/>
    </row>
    <row r="535" spans="1:29">
      <c r="A535" s="35"/>
      <c r="B535" s="320"/>
      <c r="C535" s="320"/>
      <c r="D535" s="320"/>
      <c r="E535" s="320"/>
      <c r="F535" s="320"/>
      <c r="G535" s="320"/>
      <c r="H535" s="320"/>
      <c r="I535" s="320"/>
      <c r="J535" s="320"/>
      <c r="K535" s="320"/>
      <c r="L535" s="321"/>
      <c r="M535" s="320"/>
      <c r="N535" s="35"/>
      <c r="O535" s="35"/>
      <c r="P535" s="35"/>
      <c r="Q535" s="35"/>
      <c r="R535" s="35"/>
      <c r="S535" s="35"/>
      <c r="T535" s="35"/>
      <c r="U535" s="35"/>
      <c r="V535" s="35"/>
      <c r="W535" s="35"/>
      <c r="X535" s="35"/>
      <c r="Y535" s="35"/>
      <c r="Z535" s="35"/>
      <c r="AA535" s="35"/>
      <c r="AB535" s="35"/>
      <c r="AC535" s="35"/>
    </row>
    <row r="536" spans="1:29">
      <c r="A536" s="35"/>
      <c r="B536" s="320"/>
      <c r="C536" s="320"/>
      <c r="D536" s="320"/>
      <c r="E536" s="320"/>
      <c r="F536" s="320"/>
      <c r="G536" s="320"/>
      <c r="H536" s="320"/>
      <c r="I536" s="320"/>
      <c r="J536" s="320"/>
      <c r="K536" s="320"/>
      <c r="L536" s="321"/>
      <c r="M536" s="320"/>
      <c r="N536" s="35"/>
      <c r="O536" s="35"/>
      <c r="P536" s="35"/>
      <c r="Q536" s="35"/>
      <c r="R536" s="35"/>
      <c r="S536" s="35"/>
      <c r="T536" s="35"/>
      <c r="U536" s="35"/>
      <c r="V536" s="35"/>
      <c r="W536" s="35"/>
      <c r="X536" s="35"/>
      <c r="Y536" s="35"/>
      <c r="Z536" s="35"/>
      <c r="AA536" s="35"/>
      <c r="AB536" s="35"/>
      <c r="AC536" s="35"/>
    </row>
    <row r="537" spans="1:29">
      <c r="A537" s="35"/>
      <c r="B537" s="320"/>
      <c r="C537" s="320"/>
      <c r="D537" s="320"/>
      <c r="E537" s="320"/>
      <c r="F537" s="320"/>
      <c r="G537" s="320"/>
      <c r="H537" s="320"/>
      <c r="I537" s="320"/>
      <c r="J537" s="320"/>
      <c r="K537" s="320"/>
      <c r="L537" s="321"/>
      <c r="M537" s="320"/>
      <c r="N537" s="35"/>
      <c r="O537" s="35"/>
      <c r="P537" s="35"/>
      <c r="Q537" s="35"/>
      <c r="R537" s="35"/>
      <c r="S537" s="35"/>
      <c r="T537" s="35"/>
      <c r="U537" s="35"/>
      <c r="V537" s="35"/>
      <c r="W537" s="35"/>
      <c r="X537" s="35"/>
      <c r="Y537" s="35"/>
      <c r="Z537" s="35"/>
      <c r="AA537" s="35"/>
      <c r="AB537" s="35"/>
      <c r="AC537" s="35"/>
    </row>
    <row r="538" spans="1:29">
      <c r="A538" s="35"/>
      <c r="B538" s="320"/>
      <c r="C538" s="320"/>
      <c r="D538" s="320"/>
      <c r="E538" s="320"/>
      <c r="F538" s="320"/>
      <c r="G538" s="320"/>
      <c r="H538" s="320"/>
      <c r="I538" s="320"/>
      <c r="J538" s="320"/>
      <c r="K538" s="320"/>
      <c r="L538" s="321"/>
      <c r="M538" s="320"/>
      <c r="N538" s="35"/>
      <c r="O538" s="35"/>
      <c r="P538" s="35"/>
      <c r="Q538" s="35"/>
      <c r="R538" s="35"/>
      <c r="S538" s="35"/>
      <c r="T538" s="35"/>
      <c r="U538" s="35"/>
      <c r="V538" s="35"/>
      <c r="W538" s="35"/>
      <c r="X538" s="35"/>
      <c r="Y538" s="35"/>
      <c r="Z538" s="35"/>
      <c r="AA538" s="35"/>
      <c r="AB538" s="35"/>
      <c r="AC538" s="35"/>
    </row>
    <row r="539" spans="1:29">
      <c r="A539" s="35"/>
      <c r="B539" s="320"/>
      <c r="C539" s="320"/>
      <c r="D539" s="320"/>
      <c r="E539" s="320"/>
      <c r="F539" s="320"/>
      <c r="G539" s="320"/>
      <c r="H539" s="320"/>
      <c r="I539" s="320"/>
      <c r="J539" s="320"/>
      <c r="K539" s="320"/>
      <c r="L539" s="321"/>
      <c r="M539" s="320"/>
      <c r="N539" s="35"/>
      <c r="O539" s="35"/>
      <c r="P539" s="35"/>
      <c r="Q539" s="35"/>
      <c r="R539" s="35"/>
      <c r="S539" s="35"/>
      <c r="T539" s="35"/>
      <c r="U539" s="35"/>
      <c r="V539" s="35"/>
      <c r="W539" s="35"/>
      <c r="X539" s="35"/>
      <c r="Y539" s="35"/>
      <c r="Z539" s="35"/>
      <c r="AA539" s="35"/>
      <c r="AB539" s="35"/>
      <c r="AC539" s="35"/>
    </row>
    <row r="540" spans="1:29">
      <c r="A540" s="35"/>
      <c r="B540" s="320"/>
      <c r="C540" s="320"/>
      <c r="D540" s="320"/>
      <c r="E540" s="320"/>
      <c r="F540" s="320"/>
      <c r="G540" s="320"/>
      <c r="H540" s="320"/>
      <c r="I540" s="320"/>
      <c r="J540" s="320"/>
      <c r="K540" s="320"/>
      <c r="L540" s="321"/>
      <c r="M540" s="320"/>
      <c r="N540" s="35"/>
      <c r="O540" s="35"/>
      <c r="P540" s="35"/>
      <c r="Q540" s="35"/>
      <c r="R540" s="35"/>
      <c r="S540" s="35"/>
      <c r="T540" s="35"/>
      <c r="U540" s="35"/>
      <c r="V540" s="35"/>
      <c r="W540" s="35"/>
      <c r="X540" s="35"/>
      <c r="Y540" s="35"/>
      <c r="Z540" s="35"/>
      <c r="AA540" s="35"/>
      <c r="AB540" s="35"/>
      <c r="AC540" s="35"/>
    </row>
    <row r="541" spans="1:29">
      <c r="A541" s="35"/>
      <c r="B541" s="320"/>
      <c r="C541" s="320"/>
      <c r="D541" s="320"/>
      <c r="E541" s="320"/>
      <c r="F541" s="320"/>
      <c r="G541" s="320"/>
      <c r="H541" s="320"/>
      <c r="I541" s="320"/>
      <c r="J541" s="320"/>
      <c r="K541" s="320"/>
      <c r="L541" s="321"/>
      <c r="M541" s="320"/>
      <c r="N541" s="35"/>
      <c r="O541" s="35"/>
      <c r="P541" s="35"/>
      <c r="Q541" s="35"/>
      <c r="R541" s="35"/>
      <c r="S541" s="35"/>
      <c r="T541" s="35"/>
      <c r="U541" s="35"/>
      <c r="V541" s="35"/>
      <c r="W541" s="35"/>
      <c r="X541" s="35"/>
      <c r="Y541" s="35"/>
      <c r="Z541" s="35"/>
      <c r="AA541" s="35"/>
      <c r="AB541" s="35"/>
      <c r="AC541" s="35"/>
    </row>
    <row r="542" spans="1:29">
      <c r="A542" s="35"/>
      <c r="B542" s="320"/>
      <c r="C542" s="320"/>
      <c r="D542" s="320"/>
      <c r="E542" s="320"/>
      <c r="F542" s="320"/>
      <c r="G542" s="320"/>
      <c r="H542" s="320"/>
      <c r="I542" s="320"/>
      <c r="J542" s="320"/>
      <c r="K542" s="320"/>
      <c r="L542" s="321"/>
      <c r="M542" s="320"/>
      <c r="N542" s="35"/>
      <c r="O542" s="35"/>
      <c r="P542" s="35"/>
      <c r="Q542" s="35"/>
      <c r="R542" s="35"/>
      <c r="S542" s="35"/>
      <c r="T542" s="35"/>
      <c r="U542" s="35"/>
      <c r="V542" s="35"/>
      <c r="W542" s="35"/>
      <c r="X542" s="35"/>
      <c r="Y542" s="35"/>
      <c r="Z542" s="35"/>
      <c r="AA542" s="35"/>
      <c r="AB542" s="35"/>
      <c r="AC542" s="35"/>
    </row>
    <row r="543" spans="1:29">
      <c r="A543" s="35"/>
      <c r="B543" s="320"/>
      <c r="C543" s="320"/>
      <c r="D543" s="320"/>
      <c r="E543" s="320"/>
      <c r="F543" s="320"/>
      <c r="G543" s="320"/>
      <c r="H543" s="320"/>
      <c r="I543" s="320"/>
      <c r="J543" s="320"/>
      <c r="K543" s="320"/>
      <c r="L543" s="321"/>
      <c r="M543" s="320"/>
      <c r="N543" s="35"/>
      <c r="O543" s="35"/>
      <c r="P543" s="35"/>
      <c r="Q543" s="35"/>
      <c r="R543" s="35"/>
      <c r="S543" s="35"/>
      <c r="T543" s="35"/>
      <c r="U543" s="35"/>
      <c r="V543" s="35"/>
      <c r="W543" s="35"/>
      <c r="X543" s="35"/>
      <c r="Y543" s="35"/>
      <c r="Z543" s="35"/>
      <c r="AA543" s="35"/>
      <c r="AB543" s="35"/>
      <c r="AC543" s="35"/>
    </row>
    <row r="544" spans="1:29">
      <c r="A544" s="35"/>
      <c r="B544" s="320"/>
      <c r="C544" s="320"/>
      <c r="D544" s="320"/>
      <c r="E544" s="320"/>
      <c r="F544" s="320"/>
      <c r="G544" s="320"/>
      <c r="H544" s="320"/>
      <c r="I544" s="320"/>
      <c r="J544" s="320"/>
      <c r="K544" s="320"/>
      <c r="L544" s="321"/>
      <c r="M544" s="320"/>
      <c r="N544" s="35"/>
      <c r="O544" s="35"/>
      <c r="P544" s="35"/>
      <c r="Q544" s="35"/>
      <c r="R544" s="35"/>
      <c r="S544" s="35"/>
      <c r="T544" s="35"/>
      <c r="U544" s="35"/>
      <c r="V544" s="35"/>
      <c r="W544" s="35"/>
      <c r="X544" s="35"/>
      <c r="Y544" s="35"/>
      <c r="Z544" s="35"/>
      <c r="AA544" s="35"/>
      <c r="AB544" s="35"/>
      <c r="AC544" s="35"/>
    </row>
    <row r="545" spans="1:29">
      <c r="A545" s="35"/>
      <c r="B545" s="320"/>
      <c r="C545" s="320"/>
      <c r="D545" s="320"/>
      <c r="E545" s="320"/>
      <c r="F545" s="320"/>
      <c r="G545" s="320"/>
      <c r="H545" s="320"/>
      <c r="I545" s="320"/>
      <c r="J545" s="320"/>
      <c r="K545" s="320"/>
      <c r="L545" s="321"/>
      <c r="M545" s="320"/>
      <c r="N545" s="35"/>
      <c r="O545" s="35"/>
      <c r="P545" s="35"/>
      <c r="Q545" s="35"/>
      <c r="R545" s="35"/>
      <c r="S545" s="35"/>
      <c r="T545" s="35"/>
      <c r="U545" s="35"/>
      <c r="V545" s="35"/>
      <c r="W545" s="35"/>
      <c r="X545" s="35"/>
      <c r="Y545" s="35"/>
      <c r="Z545" s="35"/>
      <c r="AA545" s="35"/>
      <c r="AB545" s="35"/>
      <c r="AC545" s="35"/>
    </row>
    <row r="546" spans="1:29">
      <c r="A546" s="35"/>
      <c r="B546" s="320"/>
      <c r="C546" s="320"/>
      <c r="D546" s="320"/>
      <c r="E546" s="320"/>
      <c r="F546" s="320"/>
      <c r="G546" s="320"/>
      <c r="H546" s="320"/>
      <c r="I546" s="320"/>
      <c r="J546" s="320"/>
      <c r="K546" s="320"/>
      <c r="L546" s="321"/>
      <c r="M546" s="320"/>
      <c r="N546" s="35"/>
      <c r="O546" s="35"/>
      <c r="P546" s="35"/>
      <c r="Q546" s="35"/>
      <c r="R546" s="35"/>
      <c r="S546" s="35"/>
      <c r="T546" s="35"/>
      <c r="U546" s="35"/>
      <c r="V546" s="35"/>
      <c r="W546" s="35"/>
      <c r="X546" s="35"/>
      <c r="Y546" s="35"/>
      <c r="Z546" s="35"/>
      <c r="AA546" s="35"/>
      <c r="AB546" s="35"/>
      <c r="AC546" s="35"/>
    </row>
    <row r="547" spans="1:29">
      <c r="A547" s="35"/>
      <c r="B547" s="320"/>
      <c r="C547" s="320"/>
      <c r="D547" s="320"/>
      <c r="E547" s="320"/>
      <c r="F547" s="320"/>
      <c r="G547" s="320"/>
      <c r="H547" s="320"/>
      <c r="I547" s="320"/>
      <c r="J547" s="320"/>
      <c r="K547" s="320"/>
      <c r="L547" s="321"/>
      <c r="M547" s="320"/>
      <c r="N547" s="35"/>
      <c r="O547" s="35"/>
      <c r="P547" s="35"/>
      <c r="Q547" s="35"/>
      <c r="R547" s="35"/>
      <c r="S547" s="35"/>
      <c r="T547" s="35"/>
      <c r="U547" s="35"/>
      <c r="V547" s="35"/>
      <c r="W547" s="35"/>
      <c r="X547" s="35"/>
      <c r="Y547" s="35"/>
      <c r="Z547" s="35"/>
      <c r="AA547" s="35"/>
      <c r="AB547" s="35"/>
      <c r="AC547" s="35"/>
    </row>
    <row r="548" spans="1:29">
      <c r="A548" s="35"/>
      <c r="B548" s="320"/>
      <c r="C548" s="320"/>
      <c r="D548" s="320"/>
      <c r="E548" s="320"/>
      <c r="F548" s="320"/>
      <c r="G548" s="320"/>
      <c r="H548" s="320"/>
      <c r="I548" s="320"/>
      <c r="J548" s="320"/>
      <c r="K548" s="320"/>
      <c r="L548" s="321"/>
      <c r="M548" s="320"/>
      <c r="N548" s="35"/>
      <c r="O548" s="35"/>
      <c r="P548" s="35"/>
      <c r="Q548" s="35"/>
      <c r="R548" s="35"/>
      <c r="S548" s="35"/>
      <c r="T548" s="35"/>
      <c r="U548" s="35"/>
      <c r="V548" s="35"/>
      <c r="W548" s="35"/>
      <c r="X548" s="35"/>
      <c r="Y548" s="35"/>
      <c r="Z548" s="35"/>
      <c r="AA548" s="35"/>
      <c r="AB548" s="35"/>
      <c r="AC548" s="35"/>
    </row>
    <row r="549" spans="1:29">
      <c r="A549" s="35"/>
      <c r="B549" s="320"/>
      <c r="C549" s="320"/>
      <c r="D549" s="320"/>
      <c r="E549" s="320"/>
      <c r="F549" s="320"/>
      <c r="G549" s="320"/>
      <c r="H549" s="320"/>
      <c r="I549" s="320"/>
      <c r="J549" s="320"/>
      <c r="K549" s="320"/>
      <c r="L549" s="321"/>
      <c r="M549" s="320"/>
      <c r="N549" s="35"/>
      <c r="O549" s="35"/>
      <c r="P549" s="35"/>
      <c r="Q549" s="35"/>
      <c r="R549" s="35"/>
      <c r="S549" s="35"/>
      <c r="T549" s="35"/>
      <c r="U549" s="35"/>
      <c r="V549" s="35"/>
      <c r="W549" s="35"/>
      <c r="X549" s="35"/>
      <c r="Y549" s="35"/>
      <c r="Z549" s="35"/>
      <c r="AA549" s="35"/>
      <c r="AB549" s="35"/>
      <c r="AC549" s="35"/>
    </row>
    <row r="550" spans="1:29">
      <c r="A550" s="35"/>
      <c r="B550" s="320"/>
      <c r="C550" s="320"/>
      <c r="D550" s="320"/>
      <c r="E550" s="320"/>
      <c r="F550" s="320"/>
      <c r="G550" s="320"/>
      <c r="H550" s="320"/>
      <c r="I550" s="320"/>
      <c r="J550" s="320"/>
      <c r="K550" s="320"/>
      <c r="L550" s="321"/>
      <c r="M550" s="320"/>
      <c r="N550" s="35"/>
      <c r="O550" s="35"/>
      <c r="P550" s="35"/>
      <c r="Q550" s="35"/>
      <c r="R550" s="35"/>
      <c r="S550" s="35"/>
      <c r="T550" s="35"/>
      <c r="U550" s="35"/>
      <c r="V550" s="35"/>
      <c r="W550" s="35"/>
      <c r="X550" s="35"/>
      <c r="Y550" s="35"/>
      <c r="Z550" s="35"/>
      <c r="AA550" s="35"/>
      <c r="AB550" s="35"/>
      <c r="AC550" s="35"/>
    </row>
    <row r="551" spans="1:29">
      <c r="A551" s="35"/>
      <c r="B551" s="320"/>
      <c r="C551" s="320"/>
      <c r="D551" s="320"/>
      <c r="E551" s="320"/>
      <c r="F551" s="320"/>
      <c r="G551" s="320"/>
      <c r="H551" s="320"/>
      <c r="I551" s="320"/>
      <c r="J551" s="320"/>
      <c r="K551" s="320"/>
      <c r="L551" s="321"/>
      <c r="M551" s="320"/>
      <c r="N551" s="35"/>
      <c r="O551" s="35"/>
      <c r="P551" s="35"/>
      <c r="Q551" s="35"/>
      <c r="R551" s="35"/>
      <c r="S551" s="35"/>
      <c r="T551" s="35"/>
      <c r="U551" s="35"/>
      <c r="V551" s="35"/>
      <c r="W551" s="35"/>
      <c r="X551" s="35"/>
      <c r="Y551" s="35"/>
      <c r="Z551" s="35"/>
      <c r="AA551" s="35"/>
      <c r="AB551" s="35"/>
      <c r="AC551" s="35"/>
    </row>
    <row r="552" spans="1:29">
      <c r="A552" s="35"/>
      <c r="B552" s="320"/>
      <c r="C552" s="320"/>
      <c r="D552" s="320"/>
      <c r="E552" s="320"/>
      <c r="F552" s="320"/>
      <c r="G552" s="320"/>
      <c r="H552" s="320"/>
      <c r="I552" s="320"/>
      <c r="J552" s="320"/>
      <c r="K552" s="320"/>
      <c r="L552" s="321"/>
      <c r="M552" s="320"/>
      <c r="N552" s="35"/>
      <c r="O552" s="35"/>
      <c r="P552" s="35"/>
      <c r="Q552" s="35"/>
      <c r="R552" s="35"/>
      <c r="S552" s="35"/>
      <c r="T552" s="35"/>
      <c r="U552" s="35"/>
      <c r="V552" s="35"/>
      <c r="W552" s="35"/>
      <c r="X552" s="35"/>
      <c r="Y552" s="35"/>
      <c r="Z552" s="35"/>
      <c r="AA552" s="35"/>
      <c r="AB552" s="35"/>
      <c r="AC552" s="35"/>
    </row>
    <row r="553" spans="1:29">
      <c r="A553" s="35"/>
      <c r="B553" s="320"/>
      <c r="C553" s="320"/>
      <c r="D553" s="320"/>
      <c r="E553" s="320"/>
      <c r="F553" s="320"/>
      <c r="G553" s="320"/>
      <c r="H553" s="320"/>
      <c r="I553" s="320"/>
      <c r="J553" s="320"/>
      <c r="K553" s="320"/>
      <c r="L553" s="321"/>
      <c r="M553" s="320"/>
      <c r="N553" s="35"/>
      <c r="O553" s="35"/>
      <c r="P553" s="35"/>
      <c r="Q553" s="35"/>
      <c r="R553" s="35"/>
      <c r="S553" s="35"/>
      <c r="T553" s="35"/>
      <c r="U553" s="35"/>
      <c r="V553" s="35"/>
      <c r="W553" s="35"/>
      <c r="X553" s="35"/>
      <c r="Y553" s="35"/>
      <c r="Z553" s="35"/>
      <c r="AA553" s="35"/>
      <c r="AB553" s="35"/>
      <c r="AC553" s="35"/>
    </row>
    <row r="554" spans="1:29">
      <c r="A554" s="35"/>
      <c r="B554" s="320"/>
      <c r="C554" s="320"/>
      <c r="D554" s="320"/>
      <c r="E554" s="320"/>
      <c r="F554" s="320"/>
      <c r="G554" s="320"/>
      <c r="H554" s="320"/>
      <c r="I554" s="320"/>
      <c r="J554" s="320"/>
      <c r="K554" s="320"/>
      <c r="L554" s="321"/>
      <c r="M554" s="320"/>
      <c r="N554" s="35"/>
      <c r="O554" s="35"/>
      <c r="P554" s="35"/>
      <c r="Q554" s="35"/>
      <c r="R554" s="35"/>
      <c r="S554" s="35"/>
      <c r="T554" s="35"/>
      <c r="U554" s="35"/>
      <c r="V554" s="35"/>
      <c r="W554" s="35"/>
      <c r="X554" s="35"/>
      <c r="Y554" s="35"/>
      <c r="Z554" s="35"/>
      <c r="AA554" s="35"/>
      <c r="AB554" s="35"/>
      <c r="AC554" s="35"/>
    </row>
    <row r="555" spans="1:29">
      <c r="A555" s="35"/>
      <c r="B555" s="320"/>
      <c r="C555" s="320"/>
      <c r="D555" s="320"/>
      <c r="E555" s="320"/>
      <c r="F555" s="320"/>
      <c r="G555" s="320"/>
      <c r="H555" s="320"/>
      <c r="I555" s="320"/>
      <c r="J555" s="320"/>
      <c r="K555" s="320"/>
      <c r="L555" s="321"/>
      <c r="M555" s="320"/>
      <c r="N555" s="35"/>
      <c r="O555" s="35"/>
      <c r="P555" s="35"/>
      <c r="Q555" s="35"/>
      <c r="R555" s="35"/>
      <c r="S555" s="35"/>
      <c r="T555" s="35"/>
      <c r="U555" s="35"/>
      <c r="V555" s="35"/>
      <c r="W555" s="35"/>
      <c r="X555" s="35"/>
      <c r="Y555" s="35"/>
      <c r="Z555" s="35"/>
      <c r="AA555" s="35"/>
      <c r="AB555" s="35"/>
      <c r="AC555" s="35"/>
    </row>
    <row r="556" spans="1:29">
      <c r="A556" s="35"/>
      <c r="B556" s="320"/>
      <c r="C556" s="320"/>
      <c r="D556" s="320"/>
      <c r="E556" s="320"/>
      <c r="F556" s="320"/>
      <c r="G556" s="320"/>
      <c r="H556" s="320"/>
      <c r="I556" s="320"/>
      <c r="J556" s="320"/>
      <c r="K556" s="320"/>
      <c r="L556" s="321"/>
      <c r="M556" s="320"/>
      <c r="N556" s="35"/>
      <c r="O556" s="35"/>
      <c r="P556" s="35"/>
      <c r="Q556" s="35"/>
      <c r="R556" s="35"/>
      <c r="S556" s="35"/>
      <c r="T556" s="35"/>
      <c r="U556" s="35"/>
      <c r="V556" s="35"/>
      <c r="W556" s="35"/>
      <c r="X556" s="35"/>
      <c r="Y556" s="35"/>
      <c r="Z556" s="35"/>
      <c r="AA556" s="35"/>
      <c r="AB556" s="35"/>
      <c r="AC556" s="35"/>
    </row>
    <row r="557" spans="1:29">
      <c r="A557" s="35"/>
      <c r="B557" s="320"/>
      <c r="C557" s="320"/>
      <c r="D557" s="320"/>
      <c r="E557" s="320"/>
      <c r="F557" s="320"/>
      <c r="G557" s="320"/>
      <c r="H557" s="320"/>
      <c r="I557" s="320"/>
      <c r="J557" s="320"/>
      <c r="K557" s="320"/>
      <c r="L557" s="321"/>
      <c r="M557" s="320"/>
      <c r="N557" s="35"/>
      <c r="O557" s="35"/>
      <c r="P557" s="35"/>
      <c r="Q557" s="35"/>
      <c r="R557" s="35"/>
      <c r="S557" s="35"/>
      <c r="T557" s="35"/>
      <c r="U557" s="35"/>
      <c r="V557" s="35"/>
      <c r="W557" s="35"/>
      <c r="X557" s="35"/>
      <c r="Y557" s="35"/>
      <c r="Z557" s="35"/>
      <c r="AA557" s="35"/>
      <c r="AB557" s="35"/>
      <c r="AC557" s="35"/>
    </row>
    <row r="558" spans="1:29">
      <c r="A558" s="35"/>
      <c r="B558" s="320"/>
      <c r="C558" s="320"/>
      <c r="D558" s="320"/>
      <c r="E558" s="320"/>
      <c r="F558" s="320"/>
      <c r="G558" s="320"/>
      <c r="H558" s="320"/>
      <c r="I558" s="320"/>
      <c r="J558" s="320"/>
      <c r="K558" s="320"/>
      <c r="L558" s="321"/>
      <c r="M558" s="320"/>
      <c r="N558" s="35"/>
      <c r="O558" s="35"/>
      <c r="P558" s="35"/>
      <c r="Q558" s="35"/>
      <c r="R558" s="35"/>
      <c r="S558" s="35"/>
      <c r="T558" s="35"/>
      <c r="U558" s="35"/>
      <c r="V558" s="35"/>
      <c r="W558" s="35"/>
      <c r="X558" s="35"/>
      <c r="Y558" s="35"/>
      <c r="Z558" s="35"/>
      <c r="AA558" s="35"/>
      <c r="AB558" s="35"/>
      <c r="AC558" s="35"/>
    </row>
    <row r="559" spans="1:29">
      <c r="A559" s="35"/>
      <c r="B559" s="320"/>
      <c r="C559" s="320"/>
      <c r="D559" s="320"/>
      <c r="E559" s="320"/>
      <c r="F559" s="320"/>
      <c r="G559" s="320"/>
      <c r="H559" s="320"/>
      <c r="I559" s="320"/>
      <c r="J559" s="320"/>
      <c r="K559" s="320"/>
      <c r="L559" s="321"/>
      <c r="M559" s="320"/>
      <c r="N559" s="35"/>
      <c r="O559" s="35"/>
      <c r="P559" s="35"/>
      <c r="Q559" s="35"/>
      <c r="R559" s="35"/>
      <c r="S559" s="35"/>
      <c r="T559" s="35"/>
      <c r="U559" s="35"/>
      <c r="V559" s="35"/>
      <c r="W559" s="35"/>
      <c r="X559" s="35"/>
      <c r="Y559" s="35"/>
      <c r="Z559" s="35"/>
      <c r="AA559" s="35"/>
      <c r="AB559" s="35"/>
      <c r="AC559" s="35"/>
    </row>
    <row r="560" spans="1:29">
      <c r="A560" s="35"/>
      <c r="B560" s="320"/>
      <c r="C560" s="320"/>
      <c r="D560" s="320"/>
      <c r="E560" s="320"/>
      <c r="F560" s="320"/>
      <c r="G560" s="320"/>
      <c r="H560" s="320"/>
      <c r="I560" s="320"/>
      <c r="J560" s="320"/>
      <c r="K560" s="320"/>
      <c r="L560" s="321"/>
      <c r="M560" s="320"/>
      <c r="N560" s="35"/>
      <c r="O560" s="35"/>
      <c r="P560" s="35"/>
      <c r="Q560" s="35"/>
      <c r="R560" s="35"/>
      <c r="S560" s="35"/>
      <c r="T560" s="35"/>
      <c r="U560" s="35"/>
      <c r="V560" s="35"/>
      <c r="W560" s="35"/>
      <c r="X560" s="35"/>
      <c r="Y560" s="35"/>
      <c r="Z560" s="35"/>
      <c r="AA560" s="35"/>
      <c r="AB560" s="35"/>
      <c r="AC560" s="35"/>
    </row>
    <row r="561" spans="1:29">
      <c r="A561" s="35"/>
      <c r="B561" s="320"/>
      <c r="C561" s="320"/>
      <c r="D561" s="320"/>
      <c r="E561" s="320"/>
      <c r="F561" s="320"/>
      <c r="G561" s="320"/>
      <c r="H561" s="320"/>
      <c r="I561" s="320"/>
      <c r="J561" s="320"/>
      <c r="K561" s="320"/>
      <c r="L561" s="321"/>
      <c r="M561" s="320"/>
      <c r="N561" s="35"/>
      <c r="O561" s="35"/>
      <c r="P561" s="35"/>
      <c r="Q561" s="35"/>
      <c r="R561" s="35"/>
      <c r="S561" s="35"/>
      <c r="T561" s="35"/>
      <c r="U561" s="35"/>
      <c r="V561" s="35"/>
      <c r="W561" s="35"/>
      <c r="X561" s="35"/>
      <c r="Y561" s="35"/>
      <c r="Z561" s="35"/>
      <c r="AA561" s="35"/>
      <c r="AB561" s="35"/>
      <c r="AC561" s="35"/>
    </row>
    <row r="562" spans="1:29">
      <c r="A562" s="35"/>
      <c r="B562" s="320"/>
      <c r="C562" s="320"/>
      <c r="D562" s="320"/>
      <c r="E562" s="320"/>
      <c r="F562" s="320"/>
      <c r="G562" s="320"/>
      <c r="H562" s="320"/>
      <c r="I562" s="320"/>
      <c r="J562" s="320"/>
      <c r="K562" s="320"/>
      <c r="L562" s="321"/>
      <c r="M562" s="320"/>
      <c r="N562" s="35"/>
      <c r="O562" s="35"/>
      <c r="P562" s="35"/>
      <c r="Q562" s="35"/>
      <c r="R562" s="35"/>
      <c r="S562" s="35"/>
      <c r="T562" s="35"/>
      <c r="U562" s="35"/>
      <c r="V562" s="35"/>
      <c r="W562" s="35"/>
      <c r="X562" s="35"/>
      <c r="Y562" s="35"/>
      <c r="Z562" s="35"/>
      <c r="AA562" s="35"/>
      <c r="AB562" s="35"/>
      <c r="AC562" s="35"/>
    </row>
    <row r="563" spans="1:29">
      <c r="A563" s="35"/>
      <c r="B563" s="320"/>
      <c r="C563" s="320"/>
      <c r="D563" s="320"/>
      <c r="E563" s="320"/>
      <c r="F563" s="320"/>
      <c r="G563" s="320"/>
      <c r="H563" s="320"/>
      <c r="I563" s="320"/>
      <c r="J563" s="320"/>
      <c r="K563" s="320"/>
      <c r="L563" s="321"/>
      <c r="M563" s="320"/>
      <c r="N563" s="35"/>
      <c r="O563" s="35"/>
      <c r="P563" s="35"/>
      <c r="Q563" s="35"/>
      <c r="R563" s="35"/>
      <c r="S563" s="35"/>
      <c r="T563" s="35"/>
      <c r="U563" s="35"/>
      <c r="V563" s="35"/>
      <c r="W563" s="35"/>
      <c r="X563" s="35"/>
      <c r="Y563" s="35"/>
      <c r="Z563" s="35"/>
      <c r="AA563" s="35"/>
      <c r="AB563" s="35"/>
      <c r="AC563" s="35"/>
    </row>
    <row r="564" spans="1:29">
      <c r="A564" s="35"/>
      <c r="B564" s="320"/>
      <c r="C564" s="320"/>
      <c r="D564" s="320"/>
      <c r="E564" s="320"/>
      <c r="F564" s="320"/>
      <c r="G564" s="320"/>
      <c r="H564" s="320"/>
      <c r="I564" s="320"/>
      <c r="J564" s="320"/>
      <c r="K564" s="320"/>
      <c r="L564" s="321"/>
      <c r="M564" s="320"/>
      <c r="N564" s="35"/>
      <c r="O564" s="35"/>
      <c r="P564" s="35"/>
      <c r="Q564" s="35"/>
      <c r="R564" s="35"/>
      <c r="S564" s="35"/>
      <c r="T564" s="35"/>
      <c r="U564" s="35"/>
      <c r="V564" s="35"/>
      <c r="W564" s="35"/>
      <c r="X564" s="35"/>
      <c r="Y564" s="35"/>
      <c r="Z564" s="35"/>
      <c r="AA564" s="35"/>
      <c r="AB564" s="35"/>
      <c r="AC564" s="35"/>
    </row>
    <row r="565" spans="1:29">
      <c r="A565" s="35"/>
      <c r="B565" s="320"/>
      <c r="C565" s="320"/>
      <c r="D565" s="320"/>
      <c r="E565" s="320"/>
      <c r="F565" s="320"/>
      <c r="G565" s="320"/>
      <c r="H565" s="320"/>
      <c r="I565" s="320"/>
      <c r="J565" s="320"/>
      <c r="K565" s="320"/>
      <c r="L565" s="321"/>
      <c r="M565" s="320"/>
      <c r="N565" s="35"/>
      <c r="O565" s="35"/>
      <c r="P565" s="35"/>
      <c r="Q565" s="35"/>
      <c r="R565" s="35"/>
      <c r="S565" s="35"/>
      <c r="T565" s="35"/>
      <c r="U565" s="35"/>
      <c r="V565" s="35"/>
      <c r="W565" s="35"/>
      <c r="X565" s="35"/>
      <c r="Y565" s="35"/>
      <c r="Z565" s="35"/>
      <c r="AA565" s="35"/>
      <c r="AB565" s="35"/>
      <c r="AC565" s="35"/>
    </row>
    <row r="566" spans="1:29">
      <c r="A566" s="35"/>
      <c r="B566" s="320"/>
      <c r="C566" s="320"/>
      <c r="D566" s="320"/>
      <c r="E566" s="320"/>
      <c r="F566" s="320"/>
      <c r="G566" s="320"/>
      <c r="H566" s="320"/>
      <c r="I566" s="320"/>
      <c r="J566" s="320"/>
      <c r="K566" s="320"/>
      <c r="L566" s="321"/>
      <c r="M566" s="320"/>
      <c r="N566" s="35"/>
      <c r="O566" s="35"/>
      <c r="P566" s="35"/>
      <c r="Q566" s="35"/>
      <c r="R566" s="35"/>
      <c r="S566" s="35"/>
      <c r="T566" s="35"/>
      <c r="U566" s="35"/>
      <c r="V566" s="35"/>
      <c r="W566" s="35"/>
      <c r="X566" s="35"/>
      <c r="Y566" s="35"/>
      <c r="Z566" s="35"/>
      <c r="AA566" s="35"/>
      <c r="AB566" s="35"/>
      <c r="AC566" s="35"/>
    </row>
    <row r="567" spans="1:29">
      <c r="A567" s="35"/>
      <c r="B567" s="320"/>
      <c r="C567" s="320"/>
      <c r="D567" s="320"/>
      <c r="E567" s="320"/>
      <c r="F567" s="320"/>
      <c r="G567" s="320"/>
      <c r="H567" s="320"/>
      <c r="I567" s="320"/>
      <c r="J567" s="320"/>
      <c r="K567" s="320"/>
      <c r="L567" s="321"/>
      <c r="M567" s="320"/>
      <c r="N567" s="35"/>
      <c r="O567" s="35"/>
      <c r="P567" s="35"/>
      <c r="Q567" s="35"/>
      <c r="R567" s="35"/>
      <c r="S567" s="35"/>
      <c r="T567" s="35"/>
      <c r="U567" s="35"/>
      <c r="V567" s="35"/>
      <c r="W567" s="35"/>
      <c r="X567" s="35"/>
      <c r="Y567" s="35"/>
      <c r="Z567" s="35"/>
      <c r="AA567" s="35"/>
      <c r="AB567" s="35"/>
      <c r="AC567" s="35"/>
    </row>
    <row r="568" spans="1:29">
      <c r="A568" s="35"/>
      <c r="B568" s="320"/>
      <c r="C568" s="320"/>
      <c r="D568" s="320"/>
      <c r="E568" s="320"/>
      <c r="F568" s="320"/>
      <c r="G568" s="320"/>
      <c r="H568" s="320"/>
      <c r="I568" s="320"/>
      <c r="J568" s="320"/>
      <c r="K568" s="320"/>
      <c r="L568" s="321"/>
      <c r="M568" s="320"/>
      <c r="N568" s="35"/>
      <c r="O568" s="35"/>
      <c r="P568" s="35"/>
      <c r="Q568" s="35"/>
      <c r="R568" s="35"/>
      <c r="S568" s="35"/>
      <c r="T568" s="35"/>
      <c r="U568" s="35"/>
      <c r="V568" s="35"/>
      <c r="W568" s="35"/>
      <c r="X568" s="35"/>
      <c r="Y568" s="35"/>
      <c r="Z568" s="35"/>
      <c r="AA568" s="35"/>
      <c r="AB568" s="35"/>
      <c r="AC568" s="35"/>
    </row>
    <row r="569" spans="1:29">
      <c r="A569" s="35"/>
      <c r="B569" s="320"/>
      <c r="C569" s="320"/>
      <c r="D569" s="320"/>
      <c r="E569" s="320"/>
      <c r="F569" s="320"/>
      <c r="G569" s="320"/>
      <c r="H569" s="320"/>
      <c r="I569" s="320"/>
      <c r="J569" s="320"/>
      <c r="K569" s="320"/>
      <c r="L569" s="321"/>
      <c r="M569" s="320"/>
      <c r="N569" s="35"/>
      <c r="O569" s="35"/>
      <c r="P569" s="35"/>
      <c r="Q569" s="35"/>
      <c r="R569" s="35"/>
      <c r="S569" s="35"/>
      <c r="T569" s="35"/>
      <c r="U569" s="35"/>
      <c r="V569" s="35"/>
      <c r="W569" s="35"/>
      <c r="X569" s="35"/>
      <c r="Y569" s="35"/>
      <c r="Z569" s="35"/>
      <c r="AA569" s="35"/>
      <c r="AB569" s="35"/>
      <c r="AC569" s="35"/>
    </row>
    <row r="570" spans="1:29">
      <c r="A570" s="35"/>
      <c r="B570" s="320"/>
      <c r="C570" s="320"/>
      <c r="D570" s="320"/>
      <c r="E570" s="320"/>
      <c r="F570" s="320"/>
      <c r="G570" s="320"/>
      <c r="H570" s="320"/>
      <c r="I570" s="320"/>
      <c r="J570" s="320"/>
      <c r="K570" s="320"/>
      <c r="L570" s="321"/>
      <c r="M570" s="320"/>
      <c r="N570" s="35"/>
      <c r="O570" s="35"/>
      <c r="P570" s="35"/>
      <c r="Q570" s="35"/>
      <c r="R570" s="35"/>
      <c r="S570" s="35"/>
      <c r="T570" s="35"/>
      <c r="U570" s="35"/>
      <c r="V570" s="35"/>
      <c r="W570" s="35"/>
      <c r="X570" s="35"/>
      <c r="Y570" s="35"/>
      <c r="Z570" s="35"/>
      <c r="AA570" s="35"/>
      <c r="AB570" s="35"/>
      <c r="AC570" s="35"/>
    </row>
    <row r="571" spans="1:29">
      <c r="A571" s="35"/>
      <c r="B571" s="320"/>
      <c r="C571" s="320"/>
      <c r="D571" s="320"/>
      <c r="E571" s="320"/>
      <c r="F571" s="320"/>
      <c r="G571" s="320"/>
      <c r="H571" s="320"/>
      <c r="I571" s="320"/>
      <c r="J571" s="320"/>
      <c r="K571" s="320"/>
      <c r="L571" s="321"/>
      <c r="M571" s="320"/>
      <c r="N571" s="35"/>
      <c r="O571" s="35"/>
      <c r="P571" s="35"/>
      <c r="Q571" s="35"/>
      <c r="R571" s="35"/>
      <c r="S571" s="35"/>
      <c r="T571" s="35"/>
      <c r="U571" s="35"/>
      <c r="V571" s="35"/>
      <c r="W571" s="35"/>
      <c r="X571" s="35"/>
      <c r="Y571" s="35"/>
      <c r="Z571" s="35"/>
      <c r="AA571" s="35"/>
      <c r="AB571" s="35"/>
      <c r="AC571" s="35"/>
    </row>
    <row r="572" spans="1:29">
      <c r="A572" s="35"/>
      <c r="B572" s="320"/>
      <c r="C572" s="320"/>
      <c r="D572" s="320"/>
      <c r="E572" s="320"/>
      <c r="F572" s="320"/>
      <c r="G572" s="320"/>
      <c r="H572" s="320"/>
      <c r="I572" s="320"/>
      <c r="J572" s="320"/>
      <c r="K572" s="320"/>
      <c r="L572" s="321"/>
      <c r="M572" s="320"/>
      <c r="N572" s="35"/>
      <c r="O572" s="35"/>
      <c r="P572" s="35"/>
      <c r="Q572" s="35"/>
      <c r="R572" s="35"/>
      <c r="S572" s="35"/>
      <c r="T572" s="35"/>
      <c r="U572" s="35"/>
      <c r="V572" s="35"/>
      <c r="W572" s="35"/>
      <c r="X572" s="35"/>
      <c r="Y572" s="35"/>
      <c r="Z572" s="35"/>
      <c r="AA572" s="35"/>
      <c r="AB572" s="35"/>
      <c r="AC572" s="35"/>
    </row>
    <row r="573" spans="1:29">
      <c r="A573" s="35"/>
      <c r="B573" s="320"/>
      <c r="C573" s="320"/>
      <c r="D573" s="320"/>
      <c r="E573" s="320"/>
      <c r="F573" s="320"/>
      <c r="G573" s="320"/>
      <c r="H573" s="320"/>
      <c r="I573" s="320"/>
      <c r="J573" s="320"/>
      <c r="K573" s="320"/>
      <c r="L573" s="321"/>
      <c r="M573" s="320"/>
      <c r="N573" s="35"/>
      <c r="O573" s="35"/>
      <c r="P573" s="35"/>
      <c r="Q573" s="35"/>
      <c r="R573" s="35"/>
      <c r="S573" s="35"/>
      <c r="T573" s="35"/>
      <c r="U573" s="35"/>
      <c r="V573" s="35"/>
      <c r="W573" s="35"/>
      <c r="X573" s="35"/>
      <c r="Y573" s="35"/>
      <c r="Z573" s="35"/>
      <c r="AA573" s="35"/>
      <c r="AB573" s="35"/>
      <c r="AC573" s="35"/>
    </row>
    <row r="574" spans="1:29">
      <c r="A574" s="35"/>
      <c r="B574" s="320"/>
      <c r="C574" s="320"/>
      <c r="D574" s="320"/>
      <c r="E574" s="320"/>
      <c r="F574" s="320"/>
      <c r="G574" s="320"/>
      <c r="H574" s="320"/>
      <c r="I574" s="320"/>
      <c r="J574" s="320"/>
      <c r="K574" s="320"/>
      <c r="L574" s="321"/>
      <c r="M574" s="320"/>
      <c r="N574" s="35"/>
      <c r="O574" s="35"/>
      <c r="P574" s="35"/>
      <c r="Q574" s="35"/>
      <c r="R574" s="35"/>
      <c r="S574" s="35"/>
      <c r="T574" s="35"/>
      <c r="U574" s="35"/>
      <c r="V574" s="35"/>
      <c r="W574" s="35"/>
      <c r="X574" s="35"/>
      <c r="Y574" s="35"/>
      <c r="Z574" s="35"/>
      <c r="AA574" s="35"/>
      <c r="AB574" s="35"/>
      <c r="AC574" s="35"/>
    </row>
    <row r="575" spans="1:29">
      <c r="A575" s="35"/>
      <c r="B575" s="320"/>
      <c r="C575" s="320"/>
      <c r="D575" s="320"/>
      <c r="E575" s="320"/>
      <c r="F575" s="320"/>
      <c r="G575" s="320"/>
      <c r="H575" s="320"/>
      <c r="I575" s="320"/>
      <c r="J575" s="320"/>
      <c r="K575" s="320"/>
      <c r="L575" s="321"/>
      <c r="M575" s="320"/>
      <c r="N575" s="35"/>
      <c r="O575" s="35"/>
      <c r="P575" s="35"/>
      <c r="Q575" s="35"/>
      <c r="R575" s="35"/>
      <c r="S575" s="35"/>
      <c r="T575" s="35"/>
      <c r="U575" s="35"/>
      <c r="V575" s="35"/>
      <c r="W575" s="35"/>
      <c r="X575" s="35"/>
      <c r="Y575" s="35"/>
      <c r="Z575" s="35"/>
      <c r="AA575" s="35"/>
      <c r="AB575" s="35"/>
      <c r="AC575" s="35"/>
    </row>
    <row r="576" spans="1:29">
      <c r="A576" s="35"/>
      <c r="B576" s="320"/>
      <c r="C576" s="320"/>
      <c r="D576" s="320"/>
      <c r="E576" s="320"/>
      <c r="F576" s="320"/>
      <c r="G576" s="320"/>
      <c r="H576" s="320"/>
      <c r="I576" s="320"/>
      <c r="J576" s="320"/>
      <c r="K576" s="320"/>
      <c r="L576" s="321"/>
      <c r="M576" s="320"/>
      <c r="N576" s="35"/>
      <c r="O576" s="35"/>
      <c r="P576" s="35"/>
      <c r="Q576" s="35"/>
      <c r="R576" s="35"/>
      <c r="S576" s="35"/>
      <c r="T576" s="35"/>
      <c r="U576" s="35"/>
      <c r="V576" s="35"/>
      <c r="W576" s="35"/>
      <c r="X576" s="35"/>
      <c r="Y576" s="35"/>
      <c r="Z576" s="35"/>
      <c r="AA576" s="35"/>
      <c r="AB576" s="35"/>
      <c r="AC576" s="35"/>
    </row>
    <row r="577" spans="1:29">
      <c r="A577" s="35"/>
      <c r="B577" s="320"/>
      <c r="C577" s="320"/>
      <c r="D577" s="320"/>
      <c r="E577" s="320"/>
      <c r="F577" s="320"/>
      <c r="G577" s="320"/>
      <c r="H577" s="320"/>
      <c r="I577" s="320"/>
      <c r="J577" s="320"/>
      <c r="K577" s="320"/>
      <c r="L577" s="321"/>
      <c r="M577" s="320"/>
      <c r="N577" s="35"/>
      <c r="O577" s="35"/>
      <c r="P577" s="35"/>
      <c r="Q577" s="35"/>
      <c r="R577" s="35"/>
      <c r="S577" s="35"/>
      <c r="T577" s="35"/>
      <c r="U577" s="35"/>
      <c r="V577" s="35"/>
      <c r="W577" s="35"/>
      <c r="X577" s="35"/>
      <c r="Y577" s="35"/>
      <c r="Z577" s="35"/>
      <c r="AA577" s="35"/>
      <c r="AB577" s="35"/>
      <c r="AC577" s="35"/>
    </row>
    <row r="578" spans="1:29">
      <c r="A578" s="35"/>
      <c r="B578" s="320"/>
      <c r="C578" s="320"/>
      <c r="D578" s="320"/>
      <c r="E578" s="320"/>
      <c r="F578" s="320"/>
      <c r="G578" s="320"/>
      <c r="H578" s="320"/>
      <c r="I578" s="320"/>
      <c r="J578" s="320"/>
      <c r="K578" s="320"/>
      <c r="L578" s="321"/>
      <c r="M578" s="320"/>
      <c r="N578" s="35"/>
      <c r="O578" s="35"/>
      <c r="P578" s="35"/>
      <c r="Q578" s="35"/>
      <c r="R578" s="35"/>
      <c r="S578" s="35"/>
      <c r="T578" s="35"/>
      <c r="U578" s="35"/>
      <c r="V578" s="35"/>
      <c r="W578" s="35"/>
      <c r="X578" s="35"/>
      <c r="Y578" s="35"/>
      <c r="Z578" s="35"/>
      <c r="AA578" s="35"/>
      <c r="AB578" s="35"/>
      <c r="AC578" s="35"/>
    </row>
  </sheetData>
  <pageMargins left="0" right="0" top="0" bottom="0" header="0" footer="0"/>
  <pageSetup paperSize="5" scale="29" orientation="landscape" r:id="rId1"/>
  <headerFooter alignWithMargins="0"/>
  <rowBreaks count="1" manualBreakCount="1">
    <brk id="104" max="22"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0000FF"/>
    <pageSetUpPr fitToPage="1"/>
  </sheetPr>
  <dimension ref="A1:EF490"/>
  <sheetViews>
    <sheetView showGridLines="0" zoomScaleNormal="100" workbookViewId="0">
      <pane xSplit="1" ySplit="8" topLeftCell="O9" activePane="bottomRight" state="frozen"/>
      <selection activeCell="G31" sqref="G31"/>
      <selection pane="topRight" activeCell="G31" sqref="G31"/>
      <selection pane="bottomLeft" activeCell="G31" sqref="G31"/>
      <selection pane="bottomRight" activeCell="Y28" sqref="Y28"/>
    </sheetView>
  </sheetViews>
  <sheetFormatPr defaultRowHeight="12.75" outlineLevelRow="1" outlineLevelCol="1"/>
  <cols>
    <col min="1" max="1" width="43.1640625" customWidth="1"/>
    <col min="2" max="9" width="10.1640625" style="590" hidden="1" customWidth="1" outlineLevel="1"/>
    <col min="10" max="10" width="10.1640625" style="378" hidden="1" customWidth="1" outlineLevel="1" collapsed="1"/>
    <col min="11" max="11" width="10.1640625" style="378" hidden="1" customWidth="1" outlineLevel="1"/>
    <col min="12" max="14" width="10.1640625" style="378" hidden="1" customWidth="1" outlineLevel="1" collapsed="1"/>
    <col min="15" max="15" width="10.1640625" style="378" customWidth="1" collapsed="1"/>
    <col min="16" max="21" width="10.1640625" style="378" customWidth="1"/>
    <col min="22" max="26" width="10.1640625" style="378" customWidth="1" outlineLevel="1"/>
  </cols>
  <sheetData>
    <row r="1" spans="1:136">
      <c r="A1" s="1" t="s">
        <v>89</v>
      </c>
      <c r="B1" s="608"/>
      <c r="C1" s="608"/>
      <c r="D1" s="608"/>
      <c r="E1" s="608"/>
      <c r="F1" s="608"/>
      <c r="G1" s="608"/>
      <c r="H1" s="608"/>
      <c r="I1" s="609"/>
      <c r="J1" s="608"/>
      <c r="K1" s="610"/>
      <c r="L1" s="610"/>
      <c r="M1" s="610"/>
      <c r="T1" s="4" t="s">
        <v>1</v>
      </c>
      <c r="U1" s="610"/>
      <c r="V1" s="610"/>
      <c r="W1" s="610"/>
      <c r="X1" s="610"/>
      <c r="Y1" s="610"/>
      <c r="Z1" s="610"/>
    </row>
    <row r="2" spans="1:136" ht="12.75" customHeight="1">
      <c r="A2" s="2" t="s">
        <v>470</v>
      </c>
      <c r="B2" s="608"/>
      <c r="C2" s="608"/>
      <c r="D2" s="608"/>
      <c r="E2" s="608"/>
      <c r="F2" s="608"/>
      <c r="G2" s="608"/>
      <c r="H2" s="608"/>
      <c r="I2" s="609"/>
      <c r="J2" s="608"/>
      <c r="K2" s="611"/>
      <c r="L2" s="610"/>
      <c r="M2" s="610"/>
      <c r="T2" s="6" t="s">
        <v>3</v>
      </c>
      <c r="U2" s="610"/>
      <c r="V2" s="610"/>
      <c r="W2" s="610"/>
      <c r="X2" s="610"/>
      <c r="Y2" s="610"/>
      <c r="Z2" s="610"/>
    </row>
    <row r="3" spans="1:136" ht="12.75" customHeight="1">
      <c r="A3" s="52"/>
      <c r="B3" s="608"/>
      <c r="C3" s="608"/>
      <c r="D3" s="608"/>
      <c r="E3" s="608"/>
      <c r="F3" s="608"/>
      <c r="G3" s="608"/>
      <c r="H3" s="608"/>
      <c r="I3" s="612"/>
      <c r="J3" s="613"/>
      <c r="K3" s="611"/>
      <c r="L3" s="611"/>
      <c r="M3" s="611"/>
      <c r="T3" s="7" t="s">
        <v>4</v>
      </c>
      <c r="U3" s="610"/>
      <c r="V3" s="610"/>
      <c r="W3" s="610"/>
      <c r="X3" s="610"/>
      <c r="Y3" s="610"/>
      <c r="Z3" s="610"/>
    </row>
    <row r="4" spans="1:136" ht="12.75" customHeight="1">
      <c r="B4" s="608"/>
      <c r="C4" s="608"/>
      <c r="D4" s="608"/>
      <c r="E4" s="608"/>
      <c r="F4" s="608"/>
      <c r="G4" s="608"/>
      <c r="H4" s="608"/>
      <c r="I4" s="609"/>
      <c r="J4" s="608"/>
      <c r="K4" s="610"/>
      <c r="L4" s="610"/>
      <c r="M4" s="610"/>
      <c r="T4" s="6" t="s">
        <v>5</v>
      </c>
      <c r="U4" s="610"/>
      <c r="V4" s="610"/>
      <c r="W4" s="610"/>
      <c r="X4" s="610"/>
      <c r="Y4" s="610"/>
      <c r="Z4" s="610"/>
    </row>
    <row r="5" spans="1:136" ht="12.75" customHeight="1">
      <c r="A5" s="35"/>
      <c r="B5" s="608"/>
      <c r="C5" s="608"/>
      <c r="D5" s="608"/>
      <c r="E5" s="608"/>
      <c r="F5" s="608"/>
      <c r="G5" s="608"/>
      <c r="H5" s="608"/>
      <c r="I5" s="609"/>
      <c r="J5" s="608"/>
      <c r="K5" s="610"/>
      <c r="L5" s="610"/>
      <c r="M5" s="610"/>
      <c r="N5" s="610"/>
      <c r="P5" s="324"/>
      <c r="Q5" s="610"/>
      <c r="S5" s="9"/>
      <c r="T5" s="610"/>
      <c r="U5" s="610"/>
      <c r="V5" s="610"/>
      <c r="W5" s="610"/>
      <c r="X5" s="610"/>
      <c r="Y5" s="610"/>
      <c r="Z5" s="610"/>
    </row>
    <row r="6" spans="1:136">
      <c r="A6" s="462"/>
      <c r="B6" s="614"/>
      <c r="C6" s="614"/>
      <c r="D6" s="614"/>
      <c r="E6" s="614"/>
      <c r="F6" s="614"/>
      <c r="G6" s="614"/>
      <c r="H6" s="614"/>
      <c r="I6" s="615"/>
      <c r="J6" s="614"/>
      <c r="K6" s="616"/>
      <c r="L6" s="616"/>
      <c r="M6" s="617"/>
      <c r="N6" s="617"/>
      <c r="O6" s="617"/>
      <c r="P6" s="617"/>
      <c r="Q6" s="617"/>
      <c r="R6" s="617"/>
      <c r="S6" s="617"/>
      <c r="T6" s="616"/>
      <c r="U6" s="616"/>
      <c r="V6" s="616"/>
      <c r="W6" s="616"/>
      <c r="X6" s="616"/>
      <c r="Y6" s="616"/>
      <c r="Z6" s="616"/>
    </row>
    <row r="7" spans="1:136" hidden="1" outlineLevel="1">
      <c r="A7" s="463"/>
      <c r="B7" s="618"/>
      <c r="C7" s="618"/>
      <c r="D7" s="618"/>
      <c r="E7" s="618"/>
      <c r="F7" s="618"/>
      <c r="G7" s="618"/>
      <c r="H7" s="618"/>
      <c r="I7" s="619"/>
      <c r="J7" s="618"/>
      <c r="K7" s="620"/>
      <c r="L7" s="620"/>
      <c r="M7" s="620"/>
      <c r="N7" s="620"/>
      <c r="O7" s="620"/>
      <c r="P7" s="620"/>
      <c r="Q7" s="620"/>
      <c r="R7" s="620"/>
      <c r="S7" s="620"/>
      <c r="T7" s="620"/>
      <c r="U7" s="620"/>
      <c r="V7" s="620"/>
      <c r="W7" s="620"/>
      <c r="X7" s="620"/>
      <c r="Y7" s="620"/>
      <c r="Z7" s="620"/>
    </row>
    <row r="8" spans="1:136" s="82" customFormat="1" collapsed="1">
      <c r="A8" s="79" t="s">
        <v>6</v>
      </c>
      <c r="B8" s="621">
        <v>2001</v>
      </c>
      <c r="C8" s="621">
        <v>2002</v>
      </c>
      <c r="D8" s="621">
        <v>2003</v>
      </c>
      <c r="E8" s="621">
        <v>2004</v>
      </c>
      <c r="F8" s="621">
        <v>2005</v>
      </c>
      <c r="G8" s="621">
        <v>2006</v>
      </c>
      <c r="H8" s="621">
        <v>2007</v>
      </c>
      <c r="I8" s="622">
        <v>2008</v>
      </c>
      <c r="J8" s="623" t="s">
        <v>104</v>
      </c>
      <c r="K8" s="599">
        <v>2010</v>
      </c>
      <c r="L8" s="599">
        <f>+IS!M8</f>
        <v>2011</v>
      </c>
      <c r="M8" s="599">
        <f>+IS!N8</f>
        <v>2012</v>
      </c>
      <c r="N8" s="599">
        <f>+IS!O8</f>
        <v>2013</v>
      </c>
      <c r="O8" s="599">
        <f>+IS!P8</f>
        <v>2014</v>
      </c>
      <c r="P8" s="599">
        <f>+IS!Q8</f>
        <v>2015</v>
      </c>
      <c r="Q8" s="599">
        <f>+IS!R8</f>
        <v>2016</v>
      </c>
      <c r="R8" s="599">
        <f>+IS!S8</f>
        <v>2017</v>
      </c>
      <c r="S8" s="599" t="str">
        <f>+IS!T8</f>
        <v>2018E</v>
      </c>
      <c r="T8" s="599" t="str">
        <f>+IS!U8</f>
        <v>2019E</v>
      </c>
      <c r="U8" s="599" t="str">
        <f>+IS!V8</f>
        <v>2020E</v>
      </c>
      <c r="V8" s="599" t="str">
        <f>+IS!W8</f>
        <v>2021E</v>
      </c>
      <c r="W8" s="599" t="str">
        <f>+IS!X8</f>
        <v>2022E</v>
      </c>
      <c r="X8" s="599" t="str">
        <f>+IS!Y8</f>
        <v>2023E</v>
      </c>
      <c r="Y8" s="599" t="str">
        <f>+IS!Z8</f>
        <v>2024E</v>
      </c>
      <c r="Z8" s="599" t="str">
        <f>+IS!AA8</f>
        <v>2025E</v>
      </c>
      <c r="AL8"/>
      <c r="AM8"/>
      <c r="AN8"/>
      <c r="AO8"/>
      <c r="AP8"/>
      <c r="AQ8"/>
    </row>
    <row r="9" spans="1:136" s="90" customFormat="1" ht="6" customHeight="1">
      <c r="A9" s="87"/>
      <c r="B9" s="103"/>
      <c r="C9" s="103"/>
      <c r="D9" s="103"/>
      <c r="E9" s="103"/>
      <c r="F9" s="103"/>
      <c r="G9" s="103"/>
      <c r="H9" s="103"/>
      <c r="I9" s="103"/>
      <c r="J9" s="103"/>
      <c r="K9" s="103"/>
      <c r="L9" s="103"/>
      <c r="M9" s="91"/>
      <c r="N9" s="91"/>
      <c r="O9" s="91"/>
      <c r="P9" s="502"/>
      <c r="Q9" s="158"/>
      <c r="R9" s="158"/>
      <c r="S9" s="158"/>
      <c r="T9" s="158"/>
      <c r="U9" s="158"/>
      <c r="V9" s="158"/>
      <c r="W9" s="158"/>
      <c r="X9" s="158"/>
      <c r="Y9" s="158"/>
      <c r="Z9" s="158"/>
      <c r="AA9" s="87"/>
      <c r="AB9" s="87"/>
      <c r="AC9" s="88"/>
      <c r="AD9" s="88"/>
      <c r="AE9" s="88"/>
      <c r="AF9" s="88"/>
      <c r="AG9" s="88"/>
      <c r="AH9" s="88"/>
      <c r="AI9" s="88"/>
      <c r="AJ9" s="88"/>
      <c r="AK9" s="88"/>
      <c r="AL9"/>
      <c r="AM9"/>
      <c r="AN9"/>
      <c r="AO9"/>
      <c r="AP9"/>
      <c r="AQ9"/>
      <c r="AR9" s="88"/>
      <c r="AS9" s="88"/>
      <c r="AT9" s="88"/>
      <c r="AU9" s="88"/>
      <c r="AV9" s="88"/>
      <c r="AW9" s="88"/>
      <c r="AX9" s="88"/>
      <c r="AY9" s="88"/>
      <c r="AZ9" s="88"/>
      <c r="BA9" s="88"/>
      <c r="BB9" s="88"/>
      <c r="BC9" s="88"/>
      <c r="BD9" s="88"/>
      <c r="BE9" s="88"/>
      <c r="BF9" s="88"/>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O9" s="39"/>
      <c r="DK9" s="39"/>
      <c r="DL9" s="39"/>
      <c r="DM9" s="39"/>
      <c r="DN9" s="39"/>
      <c r="DO9" s="39"/>
      <c r="DP9" s="39"/>
      <c r="DQ9" s="91"/>
      <c r="DR9" s="39"/>
      <c r="DS9" s="39"/>
      <c r="DT9" s="39"/>
      <c r="DU9" s="39"/>
      <c r="DV9" s="39"/>
      <c r="DW9" s="39"/>
      <c r="DX9" s="39"/>
      <c r="DY9" s="39"/>
      <c r="DZ9" s="39"/>
      <c r="EA9" s="92"/>
      <c r="EB9" s="92"/>
      <c r="EC9" s="92"/>
      <c r="ED9" s="92"/>
      <c r="EE9" s="92"/>
      <c r="EF9" s="92"/>
    </row>
    <row r="10" spans="1:136">
      <c r="A10" s="228" t="s">
        <v>471</v>
      </c>
      <c r="B10" s="576"/>
      <c r="C10" s="576"/>
      <c r="D10" s="576"/>
      <c r="E10" s="576"/>
      <c r="F10" s="576"/>
      <c r="G10" s="576"/>
      <c r="H10" s="576"/>
      <c r="I10" s="624"/>
      <c r="J10" s="132"/>
      <c r="K10" s="132"/>
      <c r="L10" s="132"/>
      <c r="M10" s="576"/>
      <c r="N10" s="576"/>
      <c r="O10" s="576"/>
      <c r="P10" s="576"/>
      <c r="Q10" s="625"/>
      <c r="R10" s="625"/>
      <c r="S10" s="625"/>
      <c r="T10" s="626"/>
      <c r="U10" s="626"/>
      <c r="V10" s="626"/>
      <c r="W10" s="626"/>
      <c r="X10" s="626"/>
      <c r="Y10" s="626"/>
      <c r="Z10" s="626"/>
    </row>
    <row r="11" spans="1:136">
      <c r="A11" s="206" t="s">
        <v>472</v>
      </c>
      <c r="B11" s="627">
        <v>2026.462</v>
      </c>
      <c r="C11" s="627">
        <v>3394</v>
      </c>
      <c r="D11" s="627">
        <v>3476</v>
      </c>
      <c r="E11" s="627">
        <v>2665</v>
      </c>
      <c r="F11" s="627">
        <v>2632</v>
      </c>
      <c r="G11" s="627">
        <v>3059.9994168284788</v>
      </c>
      <c r="H11" s="627">
        <v>2957.0450000000001</v>
      </c>
      <c r="I11" s="375">
        <v>2893.1969309999999</v>
      </c>
      <c r="J11" s="375">
        <v>858</v>
      </c>
      <c r="K11" s="628">
        <v>4139</v>
      </c>
      <c r="L11" s="628">
        <v>3547</v>
      </c>
      <c r="M11" s="628">
        <v>3055</v>
      </c>
      <c r="N11" s="628">
        <v>3935</v>
      </c>
      <c r="O11" s="629">
        <v>2201</v>
      </c>
      <c r="P11" s="629">
        <v>7291</v>
      </c>
      <c r="Q11" s="629">
        <v>1669</v>
      </c>
      <c r="R11" s="629">
        <v>2936</v>
      </c>
      <c r="S11" s="375">
        <f ca="1">IS!T55</f>
        <v>3680.6691693880102</v>
      </c>
      <c r="T11" s="375">
        <f ca="1">IS!U55</f>
        <v>3923.9929305477581</v>
      </c>
      <c r="U11" s="375">
        <f ca="1">IS!V55</f>
        <v>4174.2336998476121</v>
      </c>
      <c r="V11" s="375">
        <f ca="1">IS!W55</f>
        <v>4436.0269253008137</v>
      </c>
      <c r="W11" s="375">
        <f ca="1">IS!X55</f>
        <v>4678.3444140981974</v>
      </c>
      <c r="X11" s="375">
        <f ca="1">IS!Y55</f>
        <v>4909.4750836484136</v>
      </c>
      <c r="Y11" s="375">
        <f ca="1">IS!Z55</f>
        <v>5148.9943739832279</v>
      </c>
      <c r="Z11" s="375">
        <f ca="1">IS!AA55</f>
        <v>5395.733892915001</v>
      </c>
      <c r="AA11" s="474"/>
    </row>
    <row r="12" spans="1:136" hidden="1" outlineLevel="1">
      <c r="A12" s="206" t="s">
        <v>473</v>
      </c>
      <c r="B12" s="627">
        <v>680</v>
      </c>
      <c r="C12" s="627">
        <v>709</v>
      </c>
      <c r="D12" s="627">
        <v>804</v>
      </c>
      <c r="E12" s="627">
        <v>868</v>
      </c>
      <c r="F12" s="627">
        <v>869</v>
      </c>
      <c r="G12" s="627">
        <v>884</v>
      </c>
      <c r="H12" s="630">
        <v>873</v>
      </c>
      <c r="I12" s="628">
        <v>963</v>
      </c>
      <c r="J12" s="627">
        <v>557</v>
      </c>
      <c r="K12" s="630">
        <f>1440-K13</f>
        <v>1230</v>
      </c>
      <c r="L12" s="630">
        <f>1485-L13</f>
        <v>1260</v>
      </c>
      <c r="M12" s="630">
        <f>1345-M13</f>
        <v>1128</v>
      </c>
      <c r="N12" s="630">
        <f>1077-N13</f>
        <v>860</v>
      </c>
      <c r="O12" s="630">
        <f>1059-O13</f>
        <v>854</v>
      </c>
      <c r="P12" s="630">
        <f>894-P13</f>
        <v>713</v>
      </c>
      <c r="Q12" s="630">
        <f>823-Q13</f>
        <v>647</v>
      </c>
      <c r="R12" s="630">
        <f>816-R13</f>
        <v>638</v>
      </c>
      <c r="S12" s="627">
        <f ca="1">+BS!V100</f>
        <v>675.64649746746579</v>
      </c>
      <c r="T12" s="627">
        <f ca="1">+BS!W100</f>
        <v>724.15637694683392</v>
      </c>
      <c r="U12" s="627">
        <f ca="1">+BS!X100</f>
        <v>772.92481576361718</v>
      </c>
      <c r="V12" s="627">
        <f ca="1">+BS!Y100</f>
        <v>822.08909836936971</v>
      </c>
      <c r="W12" s="627">
        <f ca="1">+BS!Z100</f>
        <v>871.57560926914311</v>
      </c>
      <c r="X12" s="627">
        <f ca="1">+BS!AA100</f>
        <v>922.55707394881506</v>
      </c>
      <c r="Y12" s="627">
        <f ca="1">+BS!AB100</f>
        <v>975.03859987126566</v>
      </c>
      <c r="Z12" s="627">
        <f ca="1">+BS!AC100</f>
        <v>1029.0282891237448</v>
      </c>
      <c r="AA12" s="474"/>
    </row>
    <row r="13" spans="1:136" hidden="1" outlineLevel="1">
      <c r="A13" s="351" t="s">
        <v>474</v>
      </c>
      <c r="B13" s="375">
        <v>962</v>
      </c>
      <c r="C13" s="375">
        <v>7</v>
      </c>
      <c r="D13" s="375">
        <v>9</v>
      </c>
      <c r="E13" s="375">
        <v>11</v>
      </c>
      <c r="F13" s="375">
        <v>10</v>
      </c>
      <c r="G13" s="375">
        <v>7</v>
      </c>
      <c r="H13" s="628">
        <v>13</v>
      </c>
      <c r="I13" s="628">
        <v>23</v>
      </c>
      <c r="J13" s="375">
        <v>26</v>
      </c>
      <c r="K13" s="375">
        <f>IS!L26</f>
        <v>210</v>
      </c>
      <c r="L13" s="375">
        <f>IS!M26</f>
        <v>225</v>
      </c>
      <c r="M13" s="375">
        <f>IS!N26</f>
        <v>217</v>
      </c>
      <c r="N13" s="375">
        <f>IS!O26</f>
        <v>217</v>
      </c>
      <c r="O13" s="375">
        <f>IS!P26</f>
        <v>205</v>
      </c>
      <c r="P13" s="375">
        <f>IS!Q26</f>
        <v>181</v>
      </c>
      <c r="Q13" s="375">
        <f>IS!R26</f>
        <v>176</v>
      </c>
      <c r="R13" s="375">
        <f>IS!S26</f>
        <v>178</v>
      </c>
      <c r="S13" s="375">
        <f>IS!T26</f>
        <v>175</v>
      </c>
      <c r="T13" s="375">
        <f>IS!U26</f>
        <v>175</v>
      </c>
      <c r="U13" s="375">
        <f>IS!V26</f>
        <v>175</v>
      </c>
      <c r="V13" s="375">
        <f>IS!W26</f>
        <v>175</v>
      </c>
      <c r="W13" s="375">
        <f>IS!X26</f>
        <v>175</v>
      </c>
      <c r="X13" s="375">
        <f>IS!Y26</f>
        <v>175</v>
      </c>
      <c r="Y13" s="375">
        <f>IS!Z26</f>
        <v>175</v>
      </c>
      <c r="Z13" s="375">
        <f>IS!AA26</f>
        <v>175</v>
      </c>
      <c r="AA13" s="474"/>
    </row>
    <row r="14" spans="1:136" collapsed="1">
      <c r="A14" s="351" t="s">
        <v>475</v>
      </c>
      <c r="B14" s="375">
        <v>1642</v>
      </c>
      <c r="C14" s="375">
        <v>716</v>
      </c>
      <c r="D14" s="375">
        <v>813</v>
      </c>
      <c r="E14" s="375">
        <v>879</v>
      </c>
      <c r="F14" s="375">
        <v>879</v>
      </c>
      <c r="G14" s="375">
        <v>891</v>
      </c>
      <c r="H14" s="375">
        <v>886</v>
      </c>
      <c r="I14" s="375">
        <v>986</v>
      </c>
      <c r="J14" s="375">
        <v>583</v>
      </c>
      <c r="K14" s="375">
        <f t="shared" ref="K14:U14" si="0">K12+K13</f>
        <v>1440</v>
      </c>
      <c r="L14" s="375">
        <f t="shared" si="0"/>
        <v>1485</v>
      </c>
      <c r="M14" s="375">
        <f t="shared" si="0"/>
        <v>1345</v>
      </c>
      <c r="N14" s="375">
        <f t="shared" si="0"/>
        <v>1077</v>
      </c>
      <c r="O14" s="375">
        <f t="shared" si="0"/>
        <v>1059</v>
      </c>
      <c r="P14" s="375">
        <f t="shared" si="0"/>
        <v>894</v>
      </c>
      <c r="Q14" s="375">
        <f t="shared" si="0"/>
        <v>823</v>
      </c>
      <c r="R14" s="375">
        <f>R12+R13</f>
        <v>816</v>
      </c>
      <c r="S14" s="375">
        <f t="shared" ca="1" si="0"/>
        <v>850.64649746746579</v>
      </c>
      <c r="T14" s="631">
        <f t="shared" ca="1" si="0"/>
        <v>899.15637694683392</v>
      </c>
      <c r="U14" s="631">
        <f t="shared" ca="1" si="0"/>
        <v>947.92481576361718</v>
      </c>
      <c r="V14" s="631">
        <f ca="1">V12+V13</f>
        <v>997.08909836936971</v>
      </c>
      <c r="W14" s="631">
        <f ca="1">W12+W13</f>
        <v>1046.5756092691431</v>
      </c>
      <c r="X14" s="631">
        <f ca="1">X12+X13</f>
        <v>1097.5570739488151</v>
      </c>
      <c r="Y14" s="631">
        <f ca="1">Y12+Y13</f>
        <v>1150.0385998712657</v>
      </c>
      <c r="Z14" s="631">
        <f ca="1">Z12+Z13</f>
        <v>1204.0282891237448</v>
      </c>
      <c r="AA14" s="607"/>
      <c r="AB14" s="607"/>
      <c r="AC14" s="607"/>
      <c r="AD14" s="607"/>
    </row>
    <row r="15" spans="1:136">
      <c r="A15" s="206" t="s">
        <v>476</v>
      </c>
      <c r="B15" s="627">
        <v>414</v>
      </c>
      <c r="C15" s="627">
        <v>278</v>
      </c>
      <c r="D15" s="627">
        <v>244</v>
      </c>
      <c r="E15" s="627">
        <v>41</v>
      </c>
      <c r="F15" s="627">
        <v>-408</v>
      </c>
      <c r="G15" s="627">
        <v>-168</v>
      </c>
      <c r="H15" s="627">
        <v>-436</v>
      </c>
      <c r="I15" s="628">
        <v>-208</v>
      </c>
      <c r="J15" s="627">
        <v>48</v>
      </c>
      <c r="K15" s="630">
        <v>251</v>
      </c>
      <c r="L15" s="630">
        <v>-351</v>
      </c>
      <c r="M15" s="630">
        <v>410</v>
      </c>
      <c r="N15" s="630">
        <v>-64</v>
      </c>
      <c r="O15" s="632">
        <v>-186</v>
      </c>
      <c r="P15" s="632">
        <v>-30</v>
      </c>
      <c r="Q15" s="632">
        <v>-141</v>
      </c>
      <c r="R15" s="632">
        <v>-1206</v>
      </c>
      <c r="S15" s="627">
        <f>+BS!V52-BS!U52+BS!U17-BS!V17</f>
        <v>-144</v>
      </c>
      <c r="T15" s="633">
        <f>+BS!W52-BS!V52+BS!V17-BS!W17</f>
        <v>-144</v>
      </c>
      <c r="U15" s="633">
        <f>+BS!X52-BS!W52+BS!W17-BS!X17</f>
        <v>-144</v>
      </c>
      <c r="V15" s="633">
        <f>+BS!Y52-BS!X52+BS!X17-BS!Y17</f>
        <v>-144</v>
      </c>
      <c r="W15" s="633">
        <f>+BS!Z52-BS!Y52+BS!Y17-BS!Z17</f>
        <v>-144</v>
      </c>
      <c r="X15" s="633">
        <f>+BS!AA52-BS!Z52+BS!Z17-BS!AA17</f>
        <v>-144</v>
      </c>
      <c r="Y15" s="633">
        <f>+BS!AB52-BS!AA52+BS!AA17-BS!AB17</f>
        <v>-144</v>
      </c>
      <c r="Z15" s="633">
        <f>+BS!AC52-BS!AB52+BS!AB17-BS!AC17</f>
        <v>-144</v>
      </c>
    </row>
    <row r="16" spans="1:136">
      <c r="A16" s="206" t="s">
        <v>477</v>
      </c>
      <c r="B16" s="627">
        <v>23</v>
      </c>
      <c r="C16" s="627">
        <v>116</v>
      </c>
      <c r="D16" s="627">
        <v>-45</v>
      </c>
      <c r="E16" s="627">
        <v>23</v>
      </c>
      <c r="F16" s="627">
        <v>65</v>
      </c>
      <c r="G16" s="627">
        <v>-200</v>
      </c>
      <c r="H16" s="627">
        <v>-268</v>
      </c>
      <c r="I16" s="628">
        <v>-39</v>
      </c>
      <c r="J16" s="627">
        <v>16</v>
      </c>
      <c r="K16" s="630">
        <v>-165</v>
      </c>
      <c r="L16" s="630">
        <v>-115</v>
      </c>
      <c r="M16" s="630">
        <v>-599</v>
      </c>
      <c r="N16" s="630">
        <v>492</v>
      </c>
      <c r="O16" s="632">
        <v>184</v>
      </c>
      <c r="P16" s="632">
        <v>44</v>
      </c>
      <c r="Q16" s="632">
        <v>31</v>
      </c>
      <c r="R16" s="632">
        <v>-24</v>
      </c>
      <c r="S16" s="627">
        <f ca="1">BS!U14-BS!V14</f>
        <v>12.13367134120881</v>
      </c>
      <c r="T16" s="633">
        <f ca="1">BS!V14-BS!W14</f>
        <v>-84.56223120595314</v>
      </c>
      <c r="U16" s="633">
        <f ca="1">BS!W14-BS!X14</f>
        <v>-103.31017461331658</v>
      </c>
      <c r="V16" s="633">
        <f ca="1">BS!X14-BS!Y14</f>
        <v>-118.89830664357623</v>
      </c>
      <c r="W16" s="633">
        <f ca="1">BS!Y14-BS!Z14</f>
        <v>-118.83791194298146</v>
      </c>
      <c r="X16" s="633">
        <f ca="1">BS!Z14-BS!AA14</f>
        <v>-119.00885442959134</v>
      </c>
      <c r="Y16" s="633">
        <f ca="1">BS!AA14-BS!AB14</f>
        <v>-119.41544446238368</v>
      </c>
      <c r="Z16" s="633">
        <f ca="1">BS!AB14-BS!AC14</f>
        <v>-120.06042769538089</v>
      </c>
      <c r="AA16" s="752"/>
      <c r="AB16" s="69"/>
      <c r="AC16" s="69"/>
      <c r="AD16" s="69"/>
      <c r="AE16" s="69"/>
      <c r="AF16" s="69"/>
      <c r="AG16" s="69"/>
      <c r="AH16" s="69"/>
      <c r="AI16" s="69"/>
      <c r="AJ16" s="69"/>
      <c r="AK16" s="69"/>
      <c r="AW16" s="239"/>
      <c r="AX16" s="239"/>
      <c r="AY16" s="239"/>
      <c r="AZ16" s="239"/>
      <c r="BA16" s="239"/>
      <c r="BB16" s="239"/>
    </row>
    <row r="17" spans="1:27">
      <c r="A17" s="206" t="s">
        <v>478</v>
      </c>
      <c r="B17" s="627">
        <v>-107</v>
      </c>
      <c r="C17" s="627">
        <v>-220</v>
      </c>
      <c r="D17" s="627">
        <v>197</v>
      </c>
      <c r="E17" s="627">
        <v>-65</v>
      </c>
      <c r="F17" s="627">
        <v>-42</v>
      </c>
      <c r="G17" s="627">
        <v>-149</v>
      </c>
      <c r="H17" s="627">
        <v>-191</v>
      </c>
      <c r="I17" s="628">
        <v>-151</v>
      </c>
      <c r="J17" s="627">
        <v>234</v>
      </c>
      <c r="K17" s="630">
        <v>-359</v>
      </c>
      <c r="L17" s="630">
        <v>-556</v>
      </c>
      <c r="M17" s="630">
        <v>-129</v>
      </c>
      <c r="N17" s="630">
        <v>-116</v>
      </c>
      <c r="O17" s="632">
        <v>-188</v>
      </c>
      <c r="P17" s="632">
        <v>-49</v>
      </c>
      <c r="Q17" s="632">
        <v>62</v>
      </c>
      <c r="R17" s="632">
        <v>-18</v>
      </c>
      <c r="S17" s="627">
        <f ca="1">BS!U15-BS!V15</f>
        <v>-39.831560967182668</v>
      </c>
      <c r="T17" s="633">
        <f ca="1">BS!V15-BS!W15</f>
        <v>-40.290448789136917</v>
      </c>
      <c r="U17" s="633">
        <f ca="1">BS!W15-BS!X15</f>
        <v>-52.870737461587396</v>
      </c>
      <c r="V17" s="633">
        <f ca="1">BS!X15-BS!Y15</f>
        <v>-76.971789474106117</v>
      </c>
      <c r="W17" s="633">
        <f ca="1">BS!Y15-BS!Z15</f>
        <v>-78.772037340580482</v>
      </c>
      <c r="X17" s="633">
        <f ca="1">BS!Z15-BS!AA15</f>
        <v>-78.455250566004906</v>
      </c>
      <c r="Y17" s="633">
        <f ca="1">BS!AA15-BS!AB15</f>
        <v>-80.884718252784751</v>
      </c>
      <c r="Z17" s="633">
        <f ca="1">BS!AB15-BS!AC15</f>
        <v>-81.05311793884357</v>
      </c>
      <c r="AA17" s="752"/>
    </row>
    <row r="18" spans="1:27">
      <c r="A18" s="206" t="s">
        <v>479</v>
      </c>
      <c r="B18" s="627">
        <v>-73</v>
      </c>
      <c r="C18" s="627">
        <v>-116</v>
      </c>
      <c r="D18" s="627">
        <v>-116</v>
      </c>
      <c r="E18" s="627">
        <v>152</v>
      </c>
      <c r="F18" s="627">
        <v>74</v>
      </c>
      <c r="G18" s="627">
        <v>256</v>
      </c>
      <c r="H18" s="627">
        <v>241</v>
      </c>
      <c r="I18" s="628">
        <v>29</v>
      </c>
      <c r="J18" s="627">
        <v>-13</v>
      </c>
      <c r="K18" s="630">
        <v>83</v>
      </c>
      <c r="L18" s="630">
        <v>300</v>
      </c>
      <c r="M18" s="630">
        <v>505</v>
      </c>
      <c r="N18" s="630">
        <v>793</v>
      </c>
      <c r="O18" s="632">
        <v>387</v>
      </c>
      <c r="P18" s="632">
        <v>659</v>
      </c>
      <c r="Q18" s="632">
        <v>409</v>
      </c>
      <c r="R18" s="632">
        <v>5</v>
      </c>
      <c r="S18" s="627">
        <f ca="1">BS!V42+BS!V43+BS!V44-BS!U42-BS!U43-BS!U44</f>
        <v>-12.987417662287044</v>
      </c>
      <c r="T18" s="633">
        <f ca="1">BS!W42+BS!W43+BS!W44-BS!V42-BS!V43-BS!V44</f>
        <v>137.84950510805766</v>
      </c>
      <c r="U18" s="633">
        <f ca="1">BS!X42+BS!X43+BS!X44-BS!W42-BS!W43-BS!W44</f>
        <v>184.66203548762553</v>
      </c>
      <c r="V18" s="633">
        <f ca="1">BS!Y42+BS!Y43+BS!Y44-BS!X42-BS!X43-BS!X44</f>
        <v>235.07013172430402</v>
      </c>
      <c r="W18" s="633">
        <f ca="1">BS!Z42+BS!Z43+BS!Z44-BS!Y42-BS!Y43-BS!Y44</f>
        <v>246.59742473606877</v>
      </c>
      <c r="X18" s="633">
        <f ca="1">BS!AA42+BS!AA43+BS!AA44-BS!Z42-BS!Z43-BS!Z44</f>
        <v>254.39444028811965</v>
      </c>
      <c r="Y18" s="633">
        <f ca="1">BS!AB42+BS!AB43+BS!AB44-BS!AA42-BS!AA43-BS!AA44</f>
        <v>255.14621191580795</v>
      </c>
      <c r="Z18" s="633">
        <f ca="1">BS!AC42+BS!AC43+BS!AC44-BS!AB42-BS!AB43-BS!AB44</f>
        <v>256.60423456179581</v>
      </c>
    </row>
    <row r="19" spans="1:27">
      <c r="A19" s="206" t="s">
        <v>480</v>
      </c>
      <c r="B19" s="627">
        <v>74</v>
      </c>
      <c r="C19" s="627">
        <v>277</v>
      </c>
      <c r="D19" s="627">
        <v>-125</v>
      </c>
      <c r="E19" s="627">
        <v>-251</v>
      </c>
      <c r="F19" s="627">
        <v>-33</v>
      </c>
      <c r="G19" s="627">
        <v>-105</v>
      </c>
      <c r="H19" s="627">
        <v>124</v>
      </c>
      <c r="I19" s="628">
        <v>0</v>
      </c>
      <c r="J19" s="627">
        <v>0</v>
      </c>
      <c r="K19" s="630"/>
      <c r="L19" s="630">
        <v>0</v>
      </c>
      <c r="M19" s="630">
        <v>0</v>
      </c>
      <c r="N19" s="630">
        <v>0</v>
      </c>
      <c r="O19" s="632">
        <v>0</v>
      </c>
      <c r="P19" s="632">
        <v>0</v>
      </c>
      <c r="Q19" s="632">
        <v>0</v>
      </c>
      <c r="R19" s="632">
        <v>0</v>
      </c>
      <c r="S19" s="627">
        <v>0</v>
      </c>
      <c r="T19" s="633">
        <v>0</v>
      </c>
      <c r="U19" s="633">
        <v>0</v>
      </c>
      <c r="V19" s="633">
        <v>0</v>
      </c>
      <c r="W19" s="633">
        <v>0</v>
      </c>
      <c r="X19" s="633">
        <v>0</v>
      </c>
      <c r="Y19" s="633">
        <v>0</v>
      </c>
      <c r="Z19" s="633">
        <v>0</v>
      </c>
    </row>
    <row r="20" spans="1:27">
      <c r="A20" s="351" t="s">
        <v>481</v>
      </c>
      <c r="B20" s="375">
        <v>-407</v>
      </c>
      <c r="C20" s="375">
        <v>-552</v>
      </c>
      <c r="D20" s="375">
        <v>2</v>
      </c>
      <c r="E20" s="375">
        <v>164</v>
      </c>
      <c r="F20" s="375">
        <v>-159</v>
      </c>
      <c r="G20" s="375">
        <v>-330</v>
      </c>
      <c r="H20" s="375">
        <v>-209</v>
      </c>
      <c r="I20" s="628">
        <v>450</v>
      </c>
      <c r="J20" s="375">
        <v>334</v>
      </c>
      <c r="K20" s="628">
        <f>42-776</f>
        <v>-734</v>
      </c>
      <c r="L20" s="628">
        <f>-374+676</f>
        <v>302</v>
      </c>
      <c r="M20" s="628">
        <f>217-1166</f>
        <v>-949</v>
      </c>
      <c r="N20" s="628">
        <f>62-42</f>
        <v>20</v>
      </c>
      <c r="O20" s="629">
        <f>135-86</f>
        <v>49</v>
      </c>
      <c r="P20" s="629">
        <f>28+152</f>
        <v>180</v>
      </c>
      <c r="Q20" s="629">
        <f>+-176+60</f>
        <v>-116</v>
      </c>
      <c r="R20" s="629">
        <f>14+-637</f>
        <v>-623</v>
      </c>
      <c r="S20" s="375">
        <f ca="1">BS!U16-BS!V16</f>
        <v>0</v>
      </c>
      <c r="T20" s="631">
        <f ca="1">BS!V16-BS!W16</f>
        <v>0</v>
      </c>
      <c r="U20" s="631">
        <f ca="1">BS!W16-BS!X16</f>
        <v>0</v>
      </c>
      <c r="V20" s="631">
        <f ca="1">BS!X16-BS!Y16</f>
        <v>0</v>
      </c>
      <c r="W20" s="631">
        <f ca="1">BS!Y16-BS!Z16</f>
        <v>0</v>
      </c>
      <c r="X20" s="631">
        <f ca="1">BS!Z16-BS!AA16</f>
        <v>0</v>
      </c>
      <c r="Y20" s="631">
        <f ca="1">BS!AA16-BS!AB16</f>
        <v>0</v>
      </c>
      <c r="Z20" s="631">
        <f ca="1">BS!AB16-BS!AC16</f>
        <v>0</v>
      </c>
      <c r="AA20" s="474"/>
    </row>
    <row r="21" spans="1:27">
      <c r="A21" s="351" t="s">
        <v>482</v>
      </c>
      <c r="B21" s="375">
        <v>-490</v>
      </c>
      <c r="C21" s="375">
        <v>-495</v>
      </c>
      <c r="D21" s="375">
        <v>-87</v>
      </c>
      <c r="E21" s="375">
        <v>23</v>
      </c>
      <c r="F21" s="375">
        <v>-95</v>
      </c>
      <c r="G21" s="375">
        <v>-528</v>
      </c>
      <c r="H21" s="375">
        <v>-303</v>
      </c>
      <c r="I21" s="375">
        <v>289</v>
      </c>
      <c r="J21" s="375">
        <v>571</v>
      </c>
      <c r="K21" s="375">
        <f>SUM(K16:K20)</f>
        <v>-1175</v>
      </c>
      <c r="L21" s="375">
        <f t="shared" ref="L21:Z21" si="1">SUM(L16:L20)</f>
        <v>-69</v>
      </c>
      <c r="M21" s="375">
        <f t="shared" si="1"/>
        <v>-1172</v>
      </c>
      <c r="N21" s="375">
        <f t="shared" si="1"/>
        <v>1189</v>
      </c>
      <c r="O21" s="375">
        <f t="shared" si="1"/>
        <v>432</v>
      </c>
      <c r="P21" s="375">
        <f t="shared" si="1"/>
        <v>834</v>
      </c>
      <c r="Q21" s="375">
        <f t="shared" si="1"/>
        <v>386</v>
      </c>
      <c r="R21" s="375">
        <f>SUM(R16:R20)</f>
        <v>-660</v>
      </c>
      <c r="S21" s="375">
        <f t="shared" ca="1" si="1"/>
        <v>-40.685307288260901</v>
      </c>
      <c r="T21" s="631">
        <f t="shared" ca="1" si="1"/>
        <v>12.996825112967599</v>
      </c>
      <c r="U21" s="631">
        <f t="shared" ca="1" si="1"/>
        <v>28.481123412721558</v>
      </c>
      <c r="V21" s="631">
        <f t="shared" ca="1" si="1"/>
        <v>39.200035606621668</v>
      </c>
      <c r="W21" s="631">
        <f t="shared" ca="1" si="1"/>
        <v>48.987475452506828</v>
      </c>
      <c r="X21" s="631">
        <f t="shared" ca="1" si="1"/>
        <v>56.930335292523409</v>
      </c>
      <c r="Y21" s="631">
        <f t="shared" ca="1" si="1"/>
        <v>54.846049200639527</v>
      </c>
      <c r="Z21" s="631">
        <f t="shared" ca="1" si="1"/>
        <v>55.490688927571341</v>
      </c>
    </row>
    <row r="22" spans="1:27">
      <c r="A22" s="464" t="s">
        <v>483</v>
      </c>
      <c r="B22" s="634">
        <v>-335</v>
      </c>
      <c r="C22" s="634">
        <v>-173</v>
      </c>
      <c r="D22" s="634">
        <v>-327</v>
      </c>
      <c r="E22" s="634">
        <v>400</v>
      </c>
      <c r="F22" s="634">
        <v>456</v>
      </c>
      <c r="G22" s="634">
        <v>465</v>
      </c>
      <c r="H22" s="634">
        <v>466.95499999999998</v>
      </c>
      <c r="I22" s="635">
        <v>181</v>
      </c>
      <c r="J22" s="634">
        <v>229</v>
      </c>
      <c r="K22" s="635">
        <f>6+174-1596+55+329+125</f>
        <v>-907</v>
      </c>
      <c r="L22" s="635">
        <f>181+81-354</f>
        <v>-92</v>
      </c>
      <c r="M22" s="635">
        <f>56+162-107+126+48</f>
        <v>285</v>
      </c>
      <c r="N22" s="635">
        <f>128-30+97-385+608-19-126</f>
        <v>273</v>
      </c>
      <c r="O22" s="636">
        <f>141+240+493-628-184-6</f>
        <v>56</v>
      </c>
      <c r="P22" s="636">
        <f>136+345+748-6822+778-436-56+58+199-211</f>
        <v>-5261</v>
      </c>
      <c r="Q22" s="636">
        <f>+-592+140+446+428-0-9-43-301+75-43</f>
        <v>101</v>
      </c>
      <c r="R22" s="636">
        <f>+-333+137+334+11+1317-186-40-460+152-225</f>
        <v>707</v>
      </c>
      <c r="S22" s="634">
        <f>+BS!U30+BS!U31-BS!U54-BS!V30-BS!V31+BS!V54+BS!V55-BS!U55</f>
        <v>0</v>
      </c>
      <c r="T22" s="634">
        <f>+BS!V30+BS!V31-BS!V54-BS!W30-BS!W31+BS!W54+BS!W55-BS!V55</f>
        <v>0</v>
      </c>
      <c r="U22" s="634">
        <f>+BS!W30+BS!W31-BS!W54-BS!X30-BS!X31+BS!X54+BS!X55-BS!W55</f>
        <v>0</v>
      </c>
      <c r="V22" s="634">
        <f>+BS!X30+BS!X31-BS!X54-BS!Y30-BS!Y31+BS!Y54+BS!Y55-BS!X55</f>
        <v>0</v>
      </c>
      <c r="W22" s="634">
        <f>+BS!Y30+BS!Y31-BS!Y54-BS!Z30-BS!Z31+BS!Z54+BS!Z55-BS!Y55</f>
        <v>0</v>
      </c>
      <c r="X22" s="634">
        <f>+BS!Z30+BS!Z31-BS!Z54-BS!AA30-BS!AA31+BS!AA54+BS!AA55-BS!Z55</f>
        <v>0</v>
      </c>
      <c r="Y22" s="634">
        <f>+BS!AA30+BS!AA31-BS!AA54-BS!AB30-BS!AB31+BS!AB54+BS!AB55-BS!AA55</f>
        <v>0</v>
      </c>
      <c r="Z22" s="634">
        <f>+BS!AB30+BS!AB31-BS!AB54-BS!AC30-BS!AC31+BS!AC54+BS!AC55-BS!AB55</f>
        <v>0</v>
      </c>
      <c r="AA22" s="474"/>
    </row>
    <row r="23" spans="1:27">
      <c r="A23" s="231" t="s">
        <v>484</v>
      </c>
      <c r="B23" s="637">
        <v>3257.462</v>
      </c>
      <c r="C23" s="637">
        <v>3720</v>
      </c>
      <c r="D23" s="637">
        <v>4119</v>
      </c>
      <c r="E23" s="637">
        <v>4008</v>
      </c>
      <c r="F23" s="637">
        <v>3464</v>
      </c>
      <c r="G23" s="637">
        <v>3719.9994168284788</v>
      </c>
      <c r="H23" s="637">
        <v>3571</v>
      </c>
      <c r="I23" s="637">
        <v>4141.1969310000004</v>
      </c>
      <c r="J23" s="637">
        <v>2289</v>
      </c>
      <c r="K23" s="637">
        <f t="shared" ref="K23:U23" si="2">SUM(K11,K14,K15,K21,K22)</f>
        <v>3748</v>
      </c>
      <c r="L23" s="637">
        <f t="shared" si="2"/>
        <v>4520</v>
      </c>
      <c r="M23" s="637">
        <f t="shared" si="2"/>
        <v>3923</v>
      </c>
      <c r="N23" s="637">
        <f t="shared" si="2"/>
        <v>6410</v>
      </c>
      <c r="O23" s="637">
        <f t="shared" si="2"/>
        <v>3562</v>
      </c>
      <c r="P23" s="637">
        <f t="shared" si="2"/>
        <v>3728</v>
      </c>
      <c r="Q23" s="637">
        <f t="shared" si="2"/>
        <v>2838</v>
      </c>
      <c r="R23" s="637">
        <f>SUM(R11,R14,R15,R21,R22)</f>
        <v>2593</v>
      </c>
      <c r="S23" s="637">
        <f t="shared" ca="1" si="2"/>
        <v>4346.6303595672143</v>
      </c>
      <c r="T23" s="637">
        <f t="shared" ca="1" si="2"/>
        <v>4692.1461326075596</v>
      </c>
      <c r="U23" s="637">
        <f t="shared" ca="1" si="2"/>
        <v>5006.6396390239515</v>
      </c>
      <c r="V23" s="637">
        <f ca="1">SUM(V11,V14,V15,V21,V22)</f>
        <v>5328.3160592768054</v>
      </c>
      <c r="W23" s="637">
        <f ca="1">SUM(W11,W14,W15,W21,W22)</f>
        <v>5629.9074988198472</v>
      </c>
      <c r="X23" s="637">
        <f ca="1">SUM(X11,X14,X15,X21,X22)</f>
        <v>5919.962492889752</v>
      </c>
      <c r="Y23" s="637">
        <f ca="1">SUM(Y11,Y14,Y15,Y21,Y22)</f>
        <v>6209.8790230551331</v>
      </c>
      <c r="Z23" s="637">
        <f ca="1">SUM(Z11,Z14,Z15,Z21,Z22)</f>
        <v>6511.2528709663175</v>
      </c>
    </row>
    <row r="24" spans="1:27">
      <c r="A24" s="42"/>
      <c r="B24" s="627"/>
      <c r="C24" s="627"/>
      <c r="D24" s="627"/>
      <c r="E24" s="627"/>
      <c r="F24" s="627"/>
      <c r="G24" s="627"/>
      <c r="H24" s="627"/>
      <c r="I24" s="375"/>
      <c r="J24" s="627"/>
      <c r="K24" s="627"/>
      <c r="L24" s="627"/>
      <c r="M24" s="627"/>
      <c r="N24" s="627"/>
      <c r="O24" s="627"/>
      <c r="P24" s="627"/>
      <c r="Q24" s="627"/>
      <c r="R24" s="627"/>
      <c r="S24" s="638"/>
      <c r="T24" s="638"/>
      <c r="U24" s="638"/>
      <c r="V24" s="638"/>
      <c r="W24" s="638"/>
      <c r="X24" s="638"/>
      <c r="Y24" s="638"/>
      <c r="Z24" s="638"/>
    </row>
    <row r="25" spans="1:27">
      <c r="A25" s="228" t="s">
        <v>485</v>
      </c>
      <c r="B25" s="627"/>
      <c r="C25" s="627"/>
      <c r="D25" s="627"/>
      <c r="E25" s="627"/>
      <c r="F25" s="627"/>
      <c r="G25" s="627"/>
      <c r="H25" s="627"/>
      <c r="I25" s="637"/>
      <c r="J25" s="625"/>
      <c r="K25" s="625"/>
      <c r="L25" s="625"/>
      <c r="M25" s="625"/>
      <c r="N25" s="625"/>
      <c r="O25" s="625"/>
      <c r="P25" s="625"/>
      <c r="Q25" s="625"/>
      <c r="R25" s="625"/>
      <c r="S25" s="625"/>
      <c r="T25" s="639"/>
      <c r="U25" s="639"/>
      <c r="V25" s="639"/>
      <c r="W25" s="639"/>
      <c r="X25" s="639"/>
      <c r="Y25" s="639"/>
      <c r="Z25" s="639"/>
    </row>
    <row r="26" spans="1:27">
      <c r="A26" s="206" t="s">
        <v>486</v>
      </c>
      <c r="B26" s="627">
        <v>-1101</v>
      </c>
      <c r="C26" s="627">
        <v>-1184</v>
      </c>
      <c r="D26" s="627">
        <v>-1085</v>
      </c>
      <c r="E26" s="627">
        <v>-1006</v>
      </c>
      <c r="F26" s="627">
        <v>-1171</v>
      </c>
      <c r="G26" s="627">
        <v>-1169</v>
      </c>
      <c r="H26" s="627">
        <v>-1241</v>
      </c>
      <c r="I26" s="628">
        <v>-1367</v>
      </c>
      <c r="J26" s="627">
        <v>-817</v>
      </c>
      <c r="K26" s="630">
        <v>-1661</v>
      </c>
      <c r="L26" s="630">
        <v>-1771</v>
      </c>
      <c r="M26" s="630">
        <v>-1610</v>
      </c>
      <c r="N26" s="632">
        <v>-1622</v>
      </c>
      <c r="O26" s="632">
        <v>-1642</v>
      </c>
      <c r="P26" s="627">
        <v>-1514</v>
      </c>
      <c r="Q26" s="627">
        <v>-1224</v>
      </c>
      <c r="R26" s="627">
        <v>-1014</v>
      </c>
      <c r="S26" s="627">
        <f ca="1">-BS!V95</f>
        <v>-1211.1624366866472</v>
      </c>
      <c r="T26" s="633">
        <f ca="1">-BS!W95</f>
        <v>-1212.7469869842032</v>
      </c>
      <c r="U26" s="633">
        <f ca="1">-BS!X95</f>
        <v>-1219.2109704195825</v>
      </c>
      <c r="V26" s="633">
        <f ca="1">-BS!Y95</f>
        <v>-1229.1070651438117</v>
      </c>
      <c r="W26" s="633">
        <f ca="1">-BS!Z95</f>
        <v>-1237.1627724943353</v>
      </c>
      <c r="X26" s="633">
        <f ca="1">-BS!AA95</f>
        <v>-1274.5366169917986</v>
      </c>
      <c r="Y26" s="633">
        <f ca="1">-BS!AB95</f>
        <v>-1312.0381480612621</v>
      </c>
      <c r="Z26" s="633">
        <f ca="1">-BS!AC95</f>
        <v>-1349.7422313119816</v>
      </c>
      <c r="AA26" s="474"/>
    </row>
    <row r="27" spans="1:27">
      <c r="A27" s="206" t="s">
        <v>487</v>
      </c>
      <c r="B27" s="627">
        <v>21</v>
      </c>
      <c r="C27" s="627">
        <v>219</v>
      </c>
      <c r="D27" s="627">
        <v>96</v>
      </c>
      <c r="E27" s="627">
        <v>18</v>
      </c>
      <c r="F27" s="627">
        <v>1668</v>
      </c>
      <c r="G27" s="627">
        <v>946</v>
      </c>
      <c r="H27" s="627">
        <v>216</v>
      </c>
      <c r="I27" s="628">
        <v>97</v>
      </c>
      <c r="J27" s="627">
        <v>41</v>
      </c>
      <c r="K27" s="630">
        <v>4039</v>
      </c>
      <c r="L27" s="630">
        <v>0</v>
      </c>
      <c r="M27" s="630">
        <v>200</v>
      </c>
      <c r="N27" s="630">
        <f>143+60+55</f>
        <v>258</v>
      </c>
      <c r="O27" s="630">
        <v>7</v>
      </c>
      <c r="P27" s="630">
        <f>4735+1050</f>
        <v>5785</v>
      </c>
      <c r="Q27" s="630">
        <f>303+138</f>
        <v>441</v>
      </c>
      <c r="R27" s="630">
        <f>604+109</f>
        <v>713</v>
      </c>
      <c r="S27" s="640">
        <v>0</v>
      </c>
      <c r="T27" s="641">
        <v>0</v>
      </c>
      <c r="U27" s="641">
        <v>0</v>
      </c>
      <c r="V27" s="641">
        <v>0</v>
      </c>
      <c r="W27" s="641">
        <v>0</v>
      </c>
      <c r="X27" s="641">
        <v>0</v>
      </c>
      <c r="Y27" s="641">
        <v>0</v>
      </c>
      <c r="Z27" s="641">
        <v>0</v>
      </c>
    </row>
    <row r="28" spans="1:27">
      <c r="A28" s="206" t="s">
        <v>488</v>
      </c>
      <c r="B28" s="627">
        <v>-194</v>
      </c>
      <c r="C28" s="627">
        <v>-122</v>
      </c>
      <c r="D28" s="627">
        <v>-98</v>
      </c>
      <c r="E28" s="627">
        <v>-137</v>
      </c>
      <c r="F28" s="627">
        <v>0</v>
      </c>
      <c r="G28" s="627">
        <v>0</v>
      </c>
      <c r="H28" s="627">
        <v>-7437</v>
      </c>
      <c r="I28" s="628">
        <v>-99</v>
      </c>
      <c r="J28" s="627">
        <v>0</v>
      </c>
      <c r="K28" s="630">
        <v>-9848</v>
      </c>
      <c r="L28" s="630">
        <v>0</v>
      </c>
      <c r="M28" s="630">
        <v>0</v>
      </c>
      <c r="N28" s="630">
        <v>-119</v>
      </c>
      <c r="O28" s="630">
        <v>-7</v>
      </c>
      <c r="P28" s="630">
        <v>-527</v>
      </c>
      <c r="Q28" s="630">
        <v>-246</v>
      </c>
      <c r="R28" s="630">
        <v>0</v>
      </c>
      <c r="S28" s="640">
        <v>0</v>
      </c>
      <c r="T28" s="641">
        <v>0</v>
      </c>
      <c r="U28" s="641">
        <v>0</v>
      </c>
      <c r="V28" s="641">
        <v>0</v>
      </c>
      <c r="W28" s="641">
        <v>0</v>
      </c>
      <c r="X28" s="641">
        <v>0</v>
      </c>
      <c r="Y28" s="641">
        <v>0</v>
      </c>
      <c r="Z28" s="641">
        <v>0</v>
      </c>
    </row>
    <row r="29" spans="1:27">
      <c r="A29" s="351" t="s">
        <v>489</v>
      </c>
      <c r="B29" s="634">
        <v>52</v>
      </c>
      <c r="C29" s="634">
        <v>35</v>
      </c>
      <c r="D29" s="634">
        <v>38</v>
      </c>
      <c r="E29" s="634">
        <v>69</v>
      </c>
      <c r="F29" s="634">
        <v>28</v>
      </c>
      <c r="G29" s="634">
        <v>107</v>
      </c>
      <c r="H29" s="634">
        <v>46</v>
      </c>
      <c r="I29" s="635">
        <v>49</v>
      </c>
      <c r="J29" s="634">
        <v>50</v>
      </c>
      <c r="K29" s="635">
        <v>8</v>
      </c>
      <c r="L29" s="635">
        <v>43</v>
      </c>
      <c r="M29" s="635">
        <f>133-410</f>
        <v>-277</v>
      </c>
      <c r="N29" s="642">
        <v>0</v>
      </c>
      <c r="O29" s="635">
        <v>0</v>
      </c>
      <c r="P29" s="635">
        <f>+-611-544+60</f>
        <v>-1095</v>
      </c>
      <c r="Q29" s="635">
        <v>0</v>
      </c>
      <c r="R29" s="635">
        <v>0</v>
      </c>
      <c r="S29" s="642">
        <v>0</v>
      </c>
      <c r="T29" s="642">
        <v>0</v>
      </c>
      <c r="U29" s="642">
        <v>0</v>
      </c>
      <c r="V29" s="642">
        <v>0</v>
      </c>
      <c r="W29" s="642">
        <v>0</v>
      </c>
      <c r="X29" s="642">
        <v>0</v>
      </c>
      <c r="Y29" s="642">
        <v>0</v>
      </c>
      <c r="Z29" s="642">
        <v>0</v>
      </c>
    </row>
    <row r="30" spans="1:27">
      <c r="A30" s="231" t="s">
        <v>490</v>
      </c>
      <c r="B30" s="637">
        <v>-1525.125</v>
      </c>
      <c r="C30" s="637">
        <v>-1052</v>
      </c>
      <c r="D30" s="637">
        <v>-1049</v>
      </c>
      <c r="E30" s="637">
        <v>-1056</v>
      </c>
      <c r="F30" s="637">
        <v>525</v>
      </c>
      <c r="G30" s="637">
        <v>-116</v>
      </c>
      <c r="H30" s="637">
        <v>-8416</v>
      </c>
      <c r="I30" s="637">
        <v>-1320</v>
      </c>
      <c r="J30" s="637">
        <v>-726</v>
      </c>
      <c r="K30" s="637">
        <f t="shared" ref="K30:U30" si="3">+SUM(K26:K29)</f>
        <v>-7462</v>
      </c>
      <c r="L30" s="637">
        <f t="shared" si="3"/>
        <v>-1728</v>
      </c>
      <c r="M30" s="637">
        <f t="shared" si="3"/>
        <v>-1687</v>
      </c>
      <c r="N30" s="637">
        <f t="shared" si="3"/>
        <v>-1483</v>
      </c>
      <c r="O30" s="637">
        <f t="shared" si="3"/>
        <v>-1642</v>
      </c>
      <c r="P30" s="637">
        <f t="shared" si="3"/>
        <v>2649</v>
      </c>
      <c r="Q30" s="637">
        <f t="shared" si="3"/>
        <v>-1029</v>
      </c>
      <c r="R30" s="637">
        <f>+SUM(R26:R29)</f>
        <v>-301</v>
      </c>
      <c r="S30" s="637">
        <f t="shared" ca="1" si="3"/>
        <v>-1211.1624366866472</v>
      </c>
      <c r="T30" s="637">
        <f t="shared" ca="1" si="3"/>
        <v>-1212.7469869842032</v>
      </c>
      <c r="U30" s="637">
        <f t="shared" ca="1" si="3"/>
        <v>-1219.2109704195825</v>
      </c>
      <c r="V30" s="637">
        <f ca="1">+SUM(V26:V29)</f>
        <v>-1229.1070651438117</v>
      </c>
      <c r="W30" s="637">
        <f ca="1">+SUM(W26:W29)</f>
        <v>-1237.1627724943353</v>
      </c>
      <c r="X30" s="637">
        <f ca="1">+SUM(X26:X29)</f>
        <v>-1274.5366169917986</v>
      </c>
      <c r="Y30" s="637">
        <f ca="1">+SUM(Y26:Y29)</f>
        <v>-1312.0381480612621</v>
      </c>
      <c r="Z30" s="637">
        <f ca="1">+SUM(Z26:Z29)</f>
        <v>-1349.7422313119816</v>
      </c>
    </row>
    <row r="31" spans="1:27">
      <c r="A31" s="42"/>
      <c r="B31" s="627"/>
      <c r="C31" s="627"/>
      <c r="D31" s="627"/>
      <c r="E31" s="627"/>
      <c r="F31" s="627"/>
      <c r="G31" s="627"/>
      <c r="H31" s="627"/>
      <c r="I31" s="375"/>
      <c r="J31" s="627"/>
      <c r="K31" s="627"/>
      <c r="L31" s="627"/>
      <c r="M31" s="627"/>
      <c r="N31" s="627"/>
      <c r="O31" s="627"/>
      <c r="P31" s="627"/>
      <c r="Q31" s="627"/>
      <c r="R31" s="627"/>
      <c r="S31" s="627"/>
      <c r="T31" s="633"/>
      <c r="U31" s="633"/>
      <c r="V31" s="633"/>
      <c r="W31" s="633"/>
      <c r="X31" s="633"/>
      <c r="Y31" s="633"/>
      <c r="Z31" s="633"/>
    </row>
    <row r="32" spans="1:27">
      <c r="A32" s="228" t="s">
        <v>491</v>
      </c>
      <c r="B32" s="627"/>
      <c r="C32" s="627"/>
      <c r="D32" s="627"/>
      <c r="E32" s="627"/>
      <c r="F32" s="627"/>
      <c r="G32" s="627"/>
      <c r="H32" s="627"/>
      <c r="I32" s="637"/>
      <c r="J32" s="625"/>
      <c r="K32" s="625"/>
      <c r="L32" s="625"/>
      <c r="M32" s="625"/>
      <c r="N32" s="625"/>
      <c r="O32" s="625"/>
      <c r="P32" s="625"/>
      <c r="Q32" s="625"/>
      <c r="R32" s="625"/>
      <c r="S32" s="625"/>
      <c r="T32" s="639"/>
      <c r="U32" s="639"/>
      <c r="V32" s="639"/>
      <c r="W32" s="639"/>
      <c r="X32" s="639"/>
      <c r="Y32" s="639"/>
      <c r="Z32" s="639"/>
    </row>
    <row r="33" spans="1:54" hidden="1" outlineLevel="1">
      <c r="A33" s="206" t="s">
        <v>492</v>
      </c>
      <c r="B33" s="627">
        <v>8425.2999999999993</v>
      </c>
      <c r="C33" s="627">
        <v>0</v>
      </c>
      <c r="D33" s="627">
        <v>0</v>
      </c>
      <c r="E33" s="627">
        <v>0</v>
      </c>
      <c r="F33" s="627">
        <v>0</v>
      </c>
      <c r="G33" s="627">
        <v>0</v>
      </c>
      <c r="H33" s="627">
        <v>0</v>
      </c>
      <c r="I33" s="643">
        <v>0</v>
      </c>
      <c r="J33" s="625">
        <v>0</v>
      </c>
      <c r="K33" s="625"/>
      <c r="L33" s="625">
        <v>0</v>
      </c>
      <c r="M33" s="640">
        <v>0</v>
      </c>
      <c r="N33" s="640">
        <v>0</v>
      </c>
      <c r="O33" s="640">
        <v>0</v>
      </c>
      <c r="P33" s="640">
        <v>0</v>
      </c>
      <c r="Q33" s="640">
        <v>0</v>
      </c>
      <c r="R33" s="640">
        <v>0</v>
      </c>
      <c r="S33" s="640">
        <v>0</v>
      </c>
      <c r="T33" s="641">
        <v>0</v>
      </c>
      <c r="U33" s="641">
        <v>0</v>
      </c>
      <c r="V33" s="641">
        <v>0</v>
      </c>
      <c r="W33" s="641">
        <v>0</v>
      </c>
      <c r="X33" s="641">
        <v>0</v>
      </c>
      <c r="Y33" s="641">
        <v>0</v>
      </c>
      <c r="Z33" s="641">
        <v>0</v>
      </c>
    </row>
    <row r="34" spans="1:54" collapsed="1">
      <c r="A34" s="206" t="s">
        <v>493</v>
      </c>
      <c r="B34" s="627">
        <v>0</v>
      </c>
      <c r="C34" s="627">
        <v>-170</v>
      </c>
      <c r="D34" s="627">
        <v>-372</v>
      </c>
      <c r="E34" s="627">
        <v>-688</v>
      </c>
      <c r="F34" s="627">
        <v>-1175</v>
      </c>
      <c r="G34" s="627">
        <v>-1254</v>
      </c>
      <c r="H34" s="627">
        <v>-3708</v>
      </c>
      <c r="I34" s="628">
        <v>-777</v>
      </c>
      <c r="J34" s="627">
        <v>0</v>
      </c>
      <c r="K34" s="627"/>
      <c r="L34" s="625">
        <v>0</v>
      </c>
      <c r="M34" s="632">
        <v>0</v>
      </c>
      <c r="N34" s="630">
        <v>-2900</v>
      </c>
      <c r="O34" s="630">
        <v>-1700</v>
      </c>
      <c r="P34" s="632">
        <v>-3622</v>
      </c>
      <c r="Q34" s="632">
        <v>-2601</v>
      </c>
      <c r="R34" s="632">
        <v>-2174</v>
      </c>
      <c r="S34" s="630">
        <v>-2000</v>
      </c>
      <c r="T34" s="630">
        <v>-2000</v>
      </c>
      <c r="U34" s="630">
        <v>-2000</v>
      </c>
      <c r="V34" s="644">
        <f>+U34*1.05</f>
        <v>-2100</v>
      </c>
      <c r="W34" s="644">
        <f>+V34*1.05</f>
        <v>-2205</v>
      </c>
      <c r="X34" s="644">
        <f>+W34*1.075</f>
        <v>-2370.375</v>
      </c>
      <c r="Y34" s="644">
        <f>+X34*1.075</f>
        <v>-2548.1531249999998</v>
      </c>
      <c r="Z34" s="644">
        <f>+Y34*1.075</f>
        <v>-2739.2646093749995</v>
      </c>
      <c r="AA34" s="474"/>
    </row>
    <row r="35" spans="1:54" hidden="1" outlineLevel="1">
      <c r="A35" s="206" t="s">
        <v>494</v>
      </c>
      <c r="B35" s="627"/>
      <c r="C35" s="627"/>
      <c r="D35" s="627"/>
      <c r="E35" s="627"/>
      <c r="F35" s="627"/>
      <c r="G35" s="627"/>
      <c r="H35" s="627"/>
      <c r="I35" s="628"/>
      <c r="J35" s="627">
        <v>2282</v>
      </c>
      <c r="K35" s="627"/>
      <c r="L35" s="625">
        <v>0</v>
      </c>
      <c r="M35" s="627">
        <v>0</v>
      </c>
      <c r="N35" s="630">
        <v>0</v>
      </c>
      <c r="O35" s="630">
        <v>0</v>
      </c>
      <c r="P35" s="630">
        <v>0</v>
      </c>
      <c r="Q35" s="630">
        <v>0</v>
      </c>
      <c r="R35" s="630">
        <v>0</v>
      </c>
      <c r="S35" s="630">
        <v>0</v>
      </c>
      <c r="T35" s="630">
        <v>0</v>
      </c>
      <c r="U35" s="630">
        <v>0</v>
      </c>
      <c r="V35" s="630">
        <v>0</v>
      </c>
      <c r="W35" s="630">
        <v>0</v>
      </c>
      <c r="X35" s="630">
        <v>0</v>
      </c>
      <c r="Y35" s="630">
        <v>0</v>
      </c>
      <c r="Z35" s="630">
        <v>0</v>
      </c>
    </row>
    <row r="36" spans="1:54" collapsed="1">
      <c r="A36" s="206" t="s">
        <v>495</v>
      </c>
      <c r="B36" s="627">
        <v>2505</v>
      </c>
      <c r="C36" s="627">
        <v>-1036</v>
      </c>
      <c r="D36" s="627">
        <v>819</v>
      </c>
      <c r="E36" s="627">
        <v>-635</v>
      </c>
      <c r="F36" s="627">
        <v>-1005</v>
      </c>
      <c r="G36" s="627">
        <v>343</v>
      </c>
      <c r="H36" s="627">
        <v>5649</v>
      </c>
      <c r="I36" s="628">
        <v>-5912</v>
      </c>
      <c r="J36" s="627">
        <v>-446</v>
      </c>
      <c r="K36" s="630">
        <v>-864</v>
      </c>
      <c r="L36" s="630">
        <v>-565</v>
      </c>
      <c r="M36" s="630">
        <v>93</v>
      </c>
      <c r="N36" s="630">
        <f>+-607+613+1329</f>
        <v>1335</v>
      </c>
      <c r="O36" s="632">
        <f>-2713+2082+398</f>
        <v>-233</v>
      </c>
      <c r="P36" s="632">
        <f>613-710-931</f>
        <v>-1028</v>
      </c>
      <c r="Q36" s="632">
        <f>1540-1031+1741</f>
        <v>2250</v>
      </c>
      <c r="R36" s="632">
        <f>1808-1911+1027</f>
        <v>924</v>
      </c>
      <c r="S36" s="632">
        <v>300</v>
      </c>
      <c r="T36" s="632">
        <v>900</v>
      </c>
      <c r="U36" s="632">
        <v>900</v>
      </c>
      <c r="V36" s="632">
        <v>900</v>
      </c>
      <c r="W36" s="632">
        <v>900</v>
      </c>
      <c r="X36" s="632">
        <v>900</v>
      </c>
      <c r="Y36" s="632">
        <v>900</v>
      </c>
      <c r="Z36" s="632">
        <v>900</v>
      </c>
    </row>
    <row r="37" spans="1:54">
      <c r="A37" s="206" t="s">
        <v>496</v>
      </c>
      <c r="B37" s="627">
        <v>4077</v>
      </c>
      <c r="C37" s="627">
        <v>3325</v>
      </c>
      <c r="D37" s="627">
        <v>1577</v>
      </c>
      <c r="E37" s="627">
        <v>832</v>
      </c>
      <c r="F37" s="627">
        <v>69</v>
      </c>
      <c r="G37" s="627">
        <v>69</v>
      </c>
      <c r="H37" s="627">
        <v>6495</v>
      </c>
      <c r="I37" s="628">
        <v>7018</v>
      </c>
      <c r="J37" s="627">
        <v>3</v>
      </c>
      <c r="K37" s="630">
        <v>9433</v>
      </c>
      <c r="L37" s="630">
        <v>36</v>
      </c>
      <c r="M37" s="630">
        <v>6775</v>
      </c>
      <c r="N37" s="630">
        <v>3248</v>
      </c>
      <c r="O37" s="630">
        <v>3032</v>
      </c>
      <c r="P37" s="630">
        <f>4624</f>
        <v>4624</v>
      </c>
      <c r="Q37" s="630">
        <v>5640</v>
      </c>
      <c r="R37" s="630">
        <v>350</v>
      </c>
      <c r="S37" s="632">
        <v>150</v>
      </c>
      <c r="T37" s="632">
        <v>300</v>
      </c>
      <c r="U37" s="632">
        <v>300</v>
      </c>
      <c r="V37" s="632">
        <v>100</v>
      </c>
      <c r="W37" s="632">
        <v>100</v>
      </c>
      <c r="X37" s="632">
        <v>100</v>
      </c>
      <c r="Y37" s="632">
        <v>100</v>
      </c>
      <c r="Z37" s="632">
        <v>100</v>
      </c>
      <c r="AA37" s="474"/>
    </row>
    <row r="38" spans="1:54">
      <c r="A38" s="206" t="s">
        <v>497</v>
      </c>
      <c r="B38" s="627">
        <v>-705</v>
      </c>
      <c r="C38" s="627">
        <v>-609</v>
      </c>
      <c r="D38" s="627">
        <v>-491</v>
      </c>
      <c r="E38" s="627">
        <v>-842</v>
      </c>
      <c r="F38" s="627">
        <v>-775</v>
      </c>
      <c r="G38" s="627">
        <v>-1324</v>
      </c>
      <c r="H38" s="627">
        <v>-1472</v>
      </c>
      <c r="I38" s="628">
        <v>-795</v>
      </c>
      <c r="J38" s="627">
        <v>-763</v>
      </c>
      <c r="K38" s="630">
        <v>-2134</v>
      </c>
      <c r="L38" s="630">
        <v>-1114</v>
      </c>
      <c r="M38" s="630">
        <v>-4495</v>
      </c>
      <c r="N38" s="630">
        <v>-7559</v>
      </c>
      <c r="O38" s="630">
        <v>-3017</v>
      </c>
      <c r="P38" s="630">
        <v>-4975</v>
      </c>
      <c r="Q38" s="630">
        <v>-6186</v>
      </c>
      <c r="R38" s="630">
        <v>-1470</v>
      </c>
      <c r="S38" s="632">
        <v>-500</v>
      </c>
      <c r="T38" s="632">
        <v>-800</v>
      </c>
      <c r="U38" s="632">
        <v>-750</v>
      </c>
      <c r="V38" s="632">
        <v>-750</v>
      </c>
      <c r="W38" s="632">
        <v>-1000</v>
      </c>
      <c r="X38" s="632">
        <v>-1000</v>
      </c>
      <c r="Y38" s="632">
        <v>-1000</v>
      </c>
      <c r="Z38" s="632">
        <v>-1000</v>
      </c>
      <c r="AA38" s="474"/>
    </row>
    <row r="39" spans="1:54" hidden="1" outlineLevel="1">
      <c r="A39" s="206" t="s">
        <v>498</v>
      </c>
      <c r="B39" s="627">
        <v>8425</v>
      </c>
      <c r="C39" s="627">
        <v>0</v>
      </c>
      <c r="D39" s="627">
        <v>0</v>
      </c>
      <c r="E39" s="627">
        <v>0</v>
      </c>
      <c r="F39" s="627">
        <v>0</v>
      </c>
      <c r="G39" s="627">
        <v>0</v>
      </c>
      <c r="H39" s="627">
        <v>0</v>
      </c>
      <c r="I39" s="628">
        <v>0</v>
      </c>
      <c r="J39" s="627">
        <v>0</v>
      </c>
      <c r="K39" s="630"/>
      <c r="L39" s="630">
        <v>0</v>
      </c>
      <c r="M39" s="630">
        <v>0</v>
      </c>
      <c r="N39" s="630">
        <v>0</v>
      </c>
      <c r="O39" s="630">
        <v>0</v>
      </c>
      <c r="P39" s="630">
        <v>0</v>
      </c>
      <c r="Q39" s="630">
        <v>0</v>
      </c>
      <c r="R39" s="630">
        <v>0</v>
      </c>
      <c r="S39" s="630">
        <v>0</v>
      </c>
      <c r="T39" s="630">
        <v>0</v>
      </c>
      <c r="U39" s="630">
        <v>0</v>
      </c>
      <c r="V39" s="630">
        <v>0</v>
      </c>
      <c r="W39" s="630">
        <v>0</v>
      </c>
      <c r="X39" s="630">
        <v>0</v>
      </c>
      <c r="Y39" s="630">
        <v>0</v>
      </c>
      <c r="Z39" s="630">
        <v>0</v>
      </c>
    </row>
    <row r="40" spans="1:54" hidden="1" outlineLevel="1">
      <c r="A40" s="206" t="s">
        <v>499</v>
      </c>
      <c r="B40" s="627">
        <v>0</v>
      </c>
      <c r="C40" s="627">
        <v>0</v>
      </c>
      <c r="D40" s="627">
        <v>0</v>
      </c>
      <c r="E40" s="627">
        <v>0</v>
      </c>
      <c r="F40" s="627">
        <v>0</v>
      </c>
      <c r="G40" s="627">
        <v>0</v>
      </c>
      <c r="H40" s="627">
        <v>0</v>
      </c>
      <c r="I40" s="628">
        <v>0</v>
      </c>
      <c r="J40" s="627">
        <v>0</v>
      </c>
      <c r="K40" s="630"/>
      <c r="L40" s="630">
        <v>0</v>
      </c>
      <c r="M40" s="630">
        <v>0</v>
      </c>
      <c r="N40" s="630">
        <v>0</v>
      </c>
      <c r="O40" s="630">
        <v>0</v>
      </c>
      <c r="P40" s="630">
        <v>0</v>
      </c>
      <c r="Q40" s="630">
        <v>0</v>
      </c>
      <c r="R40" s="630">
        <v>0</v>
      </c>
      <c r="S40" s="630">
        <v>0</v>
      </c>
      <c r="T40" s="644">
        <v>0</v>
      </c>
      <c r="U40" s="644">
        <v>0</v>
      </c>
      <c r="V40" s="644">
        <v>0</v>
      </c>
      <c r="W40" s="644">
        <v>0</v>
      </c>
      <c r="X40" s="644">
        <v>0</v>
      </c>
      <c r="Y40" s="644">
        <v>0</v>
      </c>
      <c r="Z40" s="644">
        <v>0</v>
      </c>
    </row>
    <row r="41" spans="1:54" hidden="1" outlineLevel="1">
      <c r="A41" s="206" t="s">
        <v>500</v>
      </c>
      <c r="B41" s="627">
        <v>-16350</v>
      </c>
      <c r="C41" s="627">
        <v>-3850</v>
      </c>
      <c r="D41" s="627">
        <v>-2757</v>
      </c>
      <c r="E41" s="627">
        <v>0</v>
      </c>
      <c r="F41" s="627">
        <v>0</v>
      </c>
      <c r="G41" s="627">
        <v>0</v>
      </c>
      <c r="H41" s="627">
        <v>0</v>
      </c>
      <c r="I41" s="628">
        <v>0</v>
      </c>
      <c r="J41" s="627">
        <v>0</v>
      </c>
      <c r="K41" s="630"/>
      <c r="L41" s="630">
        <v>0</v>
      </c>
      <c r="M41" s="630">
        <v>0</v>
      </c>
      <c r="N41" s="630">
        <v>0</v>
      </c>
      <c r="O41" s="630">
        <v>0</v>
      </c>
      <c r="P41" s="630">
        <v>0</v>
      </c>
      <c r="Q41" s="630">
        <v>0</v>
      </c>
      <c r="R41" s="630">
        <v>0</v>
      </c>
      <c r="S41" s="630">
        <v>0</v>
      </c>
      <c r="T41" s="644">
        <v>0</v>
      </c>
      <c r="U41" s="644">
        <v>0</v>
      </c>
      <c r="V41" s="644">
        <v>0</v>
      </c>
      <c r="W41" s="644">
        <v>0</v>
      </c>
      <c r="X41" s="644">
        <v>0</v>
      </c>
      <c r="Y41" s="644">
        <v>0</v>
      </c>
      <c r="Z41" s="644">
        <v>0</v>
      </c>
    </row>
    <row r="42" spans="1:54" hidden="1" outlineLevel="1">
      <c r="A42" s="206" t="s">
        <v>501</v>
      </c>
      <c r="B42" s="627">
        <v>142</v>
      </c>
      <c r="C42" s="627">
        <v>660</v>
      </c>
      <c r="D42" s="627">
        <v>-525</v>
      </c>
      <c r="E42" s="627">
        <v>-585</v>
      </c>
      <c r="F42" s="627">
        <v>107</v>
      </c>
      <c r="G42" s="627">
        <v>62</v>
      </c>
      <c r="H42" s="627">
        <v>-149</v>
      </c>
      <c r="I42" s="628">
        <v>0</v>
      </c>
      <c r="J42" s="627">
        <v>0</v>
      </c>
      <c r="K42" s="630"/>
      <c r="L42" s="630">
        <v>0</v>
      </c>
      <c r="M42" s="630">
        <v>0</v>
      </c>
      <c r="N42" s="630">
        <v>0</v>
      </c>
      <c r="O42" s="630">
        <v>0</v>
      </c>
      <c r="P42" s="630">
        <v>0</v>
      </c>
      <c r="Q42" s="630">
        <v>0</v>
      </c>
      <c r="R42" s="630">
        <v>0</v>
      </c>
      <c r="S42" s="630">
        <v>0</v>
      </c>
      <c r="T42" s="644">
        <v>0</v>
      </c>
      <c r="U42" s="644">
        <v>0</v>
      </c>
      <c r="V42" s="644">
        <v>0</v>
      </c>
      <c r="W42" s="644">
        <v>0</v>
      </c>
      <c r="X42" s="644">
        <v>0</v>
      </c>
      <c r="Y42" s="644">
        <v>0</v>
      </c>
      <c r="Z42" s="644">
        <v>0</v>
      </c>
    </row>
    <row r="43" spans="1:54" collapsed="1">
      <c r="A43" s="206" t="s">
        <v>502</v>
      </c>
      <c r="B43" s="627">
        <v>-494.73776999999995</v>
      </c>
      <c r="C43" s="627">
        <v>-936</v>
      </c>
      <c r="D43" s="627">
        <v>-1089</v>
      </c>
      <c r="E43" s="627">
        <v>-1280</v>
      </c>
      <c r="F43" s="627">
        <v>-1437</v>
      </c>
      <c r="G43" s="627">
        <v>-1562</v>
      </c>
      <c r="H43" s="627">
        <v>-1638</v>
      </c>
      <c r="I43" s="628">
        <v>-1663</v>
      </c>
      <c r="J43" s="630">
        <v>-1712</v>
      </c>
      <c r="K43" s="630">
        <v>-2175</v>
      </c>
      <c r="L43" s="630">
        <v>-2043</v>
      </c>
      <c r="M43" s="630">
        <v>-2058</v>
      </c>
      <c r="N43" s="630">
        <v>-943</v>
      </c>
      <c r="O43" s="632">
        <v>-964</v>
      </c>
      <c r="P43" s="632">
        <v>-1008</v>
      </c>
      <c r="Q43" s="632">
        <v>-1094</v>
      </c>
      <c r="R43" s="632">
        <v>-1198</v>
      </c>
      <c r="S43" s="627">
        <f ca="1">+-IS!T76</f>
        <v>-1545.8810511429642</v>
      </c>
      <c r="T43" s="633">
        <f ca="1">+-IS!U76</f>
        <v>-1648.0770308300582</v>
      </c>
      <c r="U43" s="633">
        <f ca="1">+-IS!V76</f>
        <v>-1753.178153935997</v>
      </c>
      <c r="V43" s="633">
        <f ca="1">+-IS!W76</f>
        <v>-1863.1313086263417</v>
      </c>
      <c r="W43" s="633">
        <f ca="1">+-IS!X76</f>
        <v>-1964.9046539212429</v>
      </c>
      <c r="X43" s="633">
        <f ca="1">+-IS!Y76</f>
        <v>-2061.9795351323337</v>
      </c>
      <c r="Y43" s="633">
        <f ca="1">+-IS!Z76</f>
        <v>-2162.5776370729554</v>
      </c>
      <c r="Z43" s="633">
        <f ca="1">+-IS!AA76</f>
        <v>-2266.2082350243004</v>
      </c>
    </row>
    <row r="44" spans="1:54">
      <c r="A44" s="351" t="s">
        <v>503</v>
      </c>
      <c r="B44" s="634">
        <v>0</v>
      </c>
      <c r="C44" s="634">
        <v>0</v>
      </c>
      <c r="D44" s="634">
        <v>52</v>
      </c>
      <c r="E44" s="634">
        <v>-20</v>
      </c>
      <c r="F44" s="634">
        <v>265</v>
      </c>
      <c r="G44" s="634">
        <v>-54</v>
      </c>
      <c r="H44" s="634">
        <v>-56</v>
      </c>
      <c r="I44" s="635">
        <v>72</v>
      </c>
      <c r="J44" s="634">
        <v>5</v>
      </c>
      <c r="K44" s="635">
        <v>-72</v>
      </c>
      <c r="L44" s="635">
        <v>511</v>
      </c>
      <c r="M44" s="635">
        <v>-111</v>
      </c>
      <c r="N44" s="635">
        <v>132</v>
      </c>
      <c r="O44" s="636">
        <v>194</v>
      </c>
      <c r="P44" s="636">
        <v>126</v>
      </c>
      <c r="Q44" s="636">
        <v>129</v>
      </c>
      <c r="R44" s="636">
        <v>207</v>
      </c>
      <c r="S44" s="634">
        <v>0</v>
      </c>
      <c r="T44" s="634">
        <v>0</v>
      </c>
      <c r="U44" s="634">
        <v>0</v>
      </c>
      <c r="V44" s="634">
        <v>0</v>
      </c>
      <c r="W44" s="634">
        <v>0</v>
      </c>
      <c r="X44" s="634">
        <v>0</v>
      </c>
      <c r="Y44" s="634">
        <v>0</v>
      </c>
      <c r="Z44" s="634">
        <v>0</v>
      </c>
    </row>
    <row r="45" spans="1:54">
      <c r="A45" s="231" t="s">
        <v>504</v>
      </c>
      <c r="B45" s="637">
        <v>6024.5622300000032</v>
      </c>
      <c r="C45" s="637">
        <v>-2616</v>
      </c>
      <c r="D45" s="637">
        <v>-2786</v>
      </c>
      <c r="E45" s="637">
        <v>-3218</v>
      </c>
      <c r="F45" s="637">
        <v>-3951</v>
      </c>
      <c r="G45" s="637">
        <v>-3720</v>
      </c>
      <c r="H45" s="637">
        <v>5121</v>
      </c>
      <c r="I45" s="637">
        <v>-2057</v>
      </c>
      <c r="J45" s="637">
        <v>-631</v>
      </c>
      <c r="K45" s="637">
        <f>SUM(K33:K44)</f>
        <v>4188</v>
      </c>
      <c r="L45" s="637">
        <f>SUM(L33:L44)</f>
        <v>-3175</v>
      </c>
      <c r="M45" s="637">
        <f>SUM(M33:M44)</f>
        <v>204</v>
      </c>
      <c r="N45" s="637">
        <f t="shared" ref="N45:U45" si="4">SUM(N33:N44)</f>
        <v>-6687</v>
      </c>
      <c r="O45" s="637">
        <f t="shared" si="4"/>
        <v>-2688</v>
      </c>
      <c r="P45" s="637">
        <f t="shared" si="4"/>
        <v>-5883</v>
      </c>
      <c r="Q45" s="637">
        <f>SUM(Q33:Q44)</f>
        <v>-1862</v>
      </c>
      <c r="R45" s="637">
        <f>SUM(R33:R44)</f>
        <v>-3361</v>
      </c>
      <c r="S45" s="637">
        <f t="shared" ca="1" si="4"/>
        <v>-3595.8810511429642</v>
      </c>
      <c r="T45" s="637">
        <f t="shared" ca="1" si="4"/>
        <v>-3248.077030830058</v>
      </c>
      <c r="U45" s="637">
        <f t="shared" ca="1" si="4"/>
        <v>-3303.1781539359972</v>
      </c>
      <c r="V45" s="637">
        <f ca="1">SUM(V33:V44)</f>
        <v>-3713.1313086263417</v>
      </c>
      <c r="W45" s="637">
        <f ca="1">SUM(W33:W44)</f>
        <v>-4169.9046539212432</v>
      </c>
      <c r="X45" s="637">
        <f ca="1">SUM(X33:X44)</f>
        <v>-4432.3545351323337</v>
      </c>
      <c r="Y45" s="637">
        <f ca="1">SUM(Y33:Y44)</f>
        <v>-4710.7307620729553</v>
      </c>
      <c r="Z45" s="637">
        <f ca="1">SUM(Z33:Z44)</f>
        <v>-5005.4728443992999</v>
      </c>
    </row>
    <row r="46" spans="1:54">
      <c r="A46" s="37"/>
      <c r="B46" s="375"/>
      <c r="C46" s="375"/>
      <c r="D46" s="375"/>
      <c r="E46" s="375"/>
      <c r="F46" s="375"/>
      <c r="G46" s="375"/>
      <c r="H46" s="375"/>
      <c r="I46" s="375"/>
      <c r="J46" s="375"/>
      <c r="K46" s="375"/>
      <c r="L46" s="375"/>
      <c r="M46" s="375"/>
      <c r="N46" s="375"/>
      <c r="O46" s="375"/>
      <c r="P46" s="375"/>
      <c r="Q46" s="375"/>
      <c r="R46" s="375"/>
      <c r="S46" s="375"/>
      <c r="T46" s="631"/>
      <c r="U46" s="631"/>
      <c r="V46" s="631"/>
      <c r="W46" s="631"/>
      <c r="X46" s="631"/>
      <c r="Y46" s="631"/>
      <c r="Z46" s="631"/>
    </row>
    <row r="47" spans="1:54">
      <c r="A47" s="37" t="s">
        <v>505</v>
      </c>
      <c r="B47" s="375">
        <v>-4</v>
      </c>
      <c r="C47" s="375">
        <v>1</v>
      </c>
      <c r="D47" s="375">
        <v>15</v>
      </c>
      <c r="E47" s="375">
        <v>34</v>
      </c>
      <c r="F47" s="375">
        <v>-4</v>
      </c>
      <c r="G47" s="375">
        <v>39</v>
      </c>
      <c r="H47" s="375">
        <v>52</v>
      </c>
      <c r="I47" s="628">
        <v>-87</v>
      </c>
      <c r="J47" s="375">
        <v>145</v>
      </c>
      <c r="K47" s="375">
        <v>-94</v>
      </c>
      <c r="L47" s="375">
        <v>-124</v>
      </c>
      <c r="M47" s="628">
        <v>61</v>
      </c>
      <c r="N47" s="628">
        <v>-93</v>
      </c>
      <c r="O47" s="629">
        <v>-223</v>
      </c>
      <c r="P47" s="629">
        <v>-255</v>
      </c>
      <c r="Q47" s="629">
        <v>-76</v>
      </c>
      <c r="R47" s="629">
        <v>89</v>
      </c>
      <c r="S47" s="375">
        <v>0</v>
      </c>
      <c r="T47" s="631">
        <v>0</v>
      </c>
      <c r="U47" s="631">
        <v>0</v>
      </c>
      <c r="V47" s="631">
        <v>0</v>
      </c>
      <c r="W47" s="631">
        <v>0</v>
      </c>
      <c r="X47" s="631">
        <v>0</v>
      </c>
      <c r="Y47" s="631">
        <v>0</v>
      </c>
      <c r="Z47" s="631">
        <v>0</v>
      </c>
      <c r="AW47" s="239"/>
      <c r="AX47" s="239"/>
      <c r="AY47" s="239"/>
      <c r="AZ47" s="239"/>
      <c r="BA47" s="239"/>
      <c r="BB47" s="239"/>
    </row>
    <row r="48" spans="1:54">
      <c r="A48" s="37"/>
      <c r="B48" s="375"/>
      <c r="C48" s="375"/>
      <c r="D48" s="375"/>
      <c r="E48" s="375"/>
      <c r="F48" s="375"/>
      <c r="G48" s="375"/>
      <c r="H48" s="375"/>
      <c r="I48" s="375"/>
      <c r="J48" s="375"/>
      <c r="K48" s="375"/>
      <c r="L48" s="375"/>
      <c r="M48" s="375"/>
      <c r="N48" s="375"/>
      <c r="O48" s="375"/>
      <c r="P48" s="375"/>
      <c r="Q48" s="375"/>
      <c r="R48" s="375"/>
      <c r="S48" s="375"/>
      <c r="T48" s="631"/>
      <c r="U48" s="631"/>
      <c r="V48" s="631"/>
      <c r="W48" s="631"/>
      <c r="X48" s="631"/>
      <c r="Y48" s="631"/>
      <c r="Z48" s="631"/>
    </row>
    <row r="49" spans="1:26">
      <c r="A49" s="37" t="s">
        <v>506</v>
      </c>
      <c r="B49" s="375"/>
      <c r="C49" s="375"/>
      <c r="D49" s="375"/>
      <c r="E49" s="375"/>
      <c r="F49" s="375"/>
      <c r="G49" s="375"/>
      <c r="H49" s="375"/>
      <c r="I49" s="375"/>
      <c r="J49" s="375"/>
      <c r="K49" s="375"/>
      <c r="L49" s="375"/>
      <c r="M49" s="375"/>
      <c r="N49" s="375"/>
      <c r="O49" s="375"/>
      <c r="P49" s="375"/>
      <c r="Q49" s="375"/>
      <c r="R49" s="375"/>
      <c r="S49" s="375"/>
      <c r="T49" s="631"/>
      <c r="U49" s="631"/>
      <c r="V49" s="631"/>
      <c r="W49" s="631"/>
      <c r="X49" s="631"/>
      <c r="Y49" s="631"/>
      <c r="Z49" s="631"/>
    </row>
    <row r="50" spans="1:26">
      <c r="A50" s="351" t="s">
        <v>507</v>
      </c>
      <c r="B50" s="375">
        <v>191</v>
      </c>
      <c r="C50" s="375">
        <v>162</v>
      </c>
      <c r="D50" s="375">
        <v>215</v>
      </c>
      <c r="E50" s="375">
        <v>514</v>
      </c>
      <c r="F50" s="375">
        <v>282</v>
      </c>
      <c r="G50" s="375">
        <v>316</v>
      </c>
      <c r="H50" s="375">
        <v>238.99941682847884</v>
      </c>
      <c r="I50" s="375">
        <v>566.99941682847884</v>
      </c>
      <c r="J50" s="375"/>
      <c r="K50" s="375">
        <f>BS!M13</f>
        <v>2101.1963478284792</v>
      </c>
      <c r="L50" s="375">
        <f>K52</f>
        <v>2481.1963478284792</v>
      </c>
      <c r="M50" s="375">
        <f t="shared" ref="M50:U50" si="5">L52</f>
        <v>1974</v>
      </c>
      <c r="N50" s="375">
        <f t="shared" si="5"/>
        <v>4475</v>
      </c>
      <c r="O50" s="375">
        <f t="shared" si="5"/>
        <v>2622</v>
      </c>
      <c r="P50" s="375">
        <f t="shared" si="5"/>
        <v>1631</v>
      </c>
      <c r="Q50" s="375">
        <f t="shared" si="5"/>
        <v>1870</v>
      </c>
      <c r="R50" s="375">
        <f t="shared" si="5"/>
        <v>1741</v>
      </c>
      <c r="S50" s="375">
        <f t="shared" si="5"/>
        <v>761</v>
      </c>
      <c r="T50" s="375">
        <f t="shared" ca="1" si="5"/>
        <v>300.58687173760291</v>
      </c>
      <c r="U50" s="375">
        <f t="shared" ca="1" si="5"/>
        <v>531.90898653090107</v>
      </c>
      <c r="V50" s="375">
        <f ca="1">U52</f>
        <v>1016.1595011992727</v>
      </c>
      <c r="W50" s="375">
        <f ca="1">V52</f>
        <v>1402.2371867059251</v>
      </c>
      <c r="X50" s="375">
        <f ca="1">W52</f>
        <v>1625.0772591101936</v>
      </c>
      <c r="Y50" s="375">
        <f ca="1">X52</f>
        <v>1838.148599875813</v>
      </c>
      <c r="Z50" s="375">
        <f ca="1">Y52</f>
        <v>2025.2587127967286</v>
      </c>
    </row>
    <row r="51" spans="1:26">
      <c r="A51" s="351" t="s">
        <v>508</v>
      </c>
      <c r="B51" s="375">
        <v>-29</v>
      </c>
      <c r="C51" s="375">
        <v>53</v>
      </c>
      <c r="D51" s="375">
        <v>299</v>
      </c>
      <c r="E51" s="375">
        <v>-232</v>
      </c>
      <c r="F51" s="375">
        <v>34</v>
      </c>
      <c r="G51" s="375">
        <v>-77.000583171521157</v>
      </c>
      <c r="H51" s="375">
        <v>328</v>
      </c>
      <c r="I51" s="375">
        <v>677.1969310000004</v>
      </c>
      <c r="J51" s="375"/>
      <c r="K51" s="375">
        <f t="shared" ref="K51:U51" si="6">SUM(K23,K30,K45,K47)</f>
        <v>380</v>
      </c>
      <c r="L51" s="375">
        <f t="shared" si="6"/>
        <v>-507</v>
      </c>
      <c r="M51" s="375">
        <f t="shared" si="6"/>
        <v>2501</v>
      </c>
      <c r="N51" s="375">
        <f t="shared" si="6"/>
        <v>-1853</v>
      </c>
      <c r="O51" s="375">
        <f t="shared" si="6"/>
        <v>-991</v>
      </c>
      <c r="P51" s="375">
        <f t="shared" si="6"/>
        <v>239</v>
      </c>
      <c r="Q51" s="375">
        <f t="shared" si="6"/>
        <v>-129</v>
      </c>
      <c r="R51" s="375">
        <f>SUM(R23,R30,R45,R47)</f>
        <v>-980</v>
      </c>
      <c r="S51" s="375">
        <f t="shared" ca="1" si="6"/>
        <v>-460.41312826239709</v>
      </c>
      <c r="T51" s="375">
        <f t="shared" ca="1" si="6"/>
        <v>231.32211479329817</v>
      </c>
      <c r="U51" s="375">
        <f t="shared" ca="1" si="6"/>
        <v>484.25051466837158</v>
      </c>
      <c r="V51" s="375">
        <f ca="1">SUM(V23,V30,V45,V47)</f>
        <v>386.07768550665241</v>
      </c>
      <c r="W51" s="375">
        <f ca="1">SUM(W23,W30,W45,W47)</f>
        <v>222.84007240426854</v>
      </c>
      <c r="X51" s="375">
        <f ca="1">SUM(X23,X30,X45,X47)</f>
        <v>213.07134076561942</v>
      </c>
      <c r="Y51" s="375">
        <f ca="1">SUM(Y23,Y30,Y45,Y47)</f>
        <v>187.11011292091553</v>
      </c>
      <c r="Z51" s="375">
        <f ca="1">SUM(Z23,Z30,Z45,Z47)</f>
        <v>156.03779525503614</v>
      </c>
    </row>
    <row r="52" spans="1:26">
      <c r="A52" s="465" t="s">
        <v>509</v>
      </c>
      <c r="B52" s="637">
        <v>162</v>
      </c>
      <c r="C52" s="637">
        <v>215</v>
      </c>
      <c r="D52" s="637">
        <v>514</v>
      </c>
      <c r="E52" s="637">
        <v>282</v>
      </c>
      <c r="F52" s="637">
        <v>316</v>
      </c>
      <c r="G52" s="637">
        <v>238.99941682847884</v>
      </c>
      <c r="H52" s="637">
        <v>566.99941682847884</v>
      </c>
      <c r="I52" s="637">
        <v>1244.1963478284792</v>
      </c>
      <c r="J52" s="637"/>
      <c r="K52" s="637">
        <f>+K50+K51</f>
        <v>2481.1963478284792</v>
      </c>
      <c r="L52" s="637">
        <f>+BS!O13</f>
        <v>1974</v>
      </c>
      <c r="M52" s="637">
        <f>+BS!P13</f>
        <v>4475</v>
      </c>
      <c r="N52" s="637">
        <f t="shared" ref="N52:U52" si="7">+N50+N51</f>
        <v>2622</v>
      </c>
      <c r="O52" s="637">
        <f t="shared" si="7"/>
        <v>1631</v>
      </c>
      <c r="P52" s="637">
        <f t="shared" si="7"/>
        <v>1870</v>
      </c>
      <c r="Q52" s="637">
        <f>+Q50+Q51</f>
        <v>1741</v>
      </c>
      <c r="R52" s="637">
        <f>+R50+R51</f>
        <v>761</v>
      </c>
      <c r="S52" s="637">
        <f t="shared" ca="1" si="7"/>
        <v>300.58687173760291</v>
      </c>
      <c r="T52" s="637">
        <f t="shared" ca="1" si="7"/>
        <v>531.90898653090107</v>
      </c>
      <c r="U52" s="637">
        <f t="shared" ca="1" si="7"/>
        <v>1016.1595011992727</v>
      </c>
      <c r="V52" s="637">
        <f ca="1">+V50+V51</f>
        <v>1402.2371867059251</v>
      </c>
      <c r="W52" s="637">
        <f ca="1">+W50+W51</f>
        <v>1625.0772591101936</v>
      </c>
      <c r="X52" s="637">
        <f ca="1">+X50+X51</f>
        <v>1838.148599875813</v>
      </c>
      <c r="Y52" s="637">
        <f ca="1">+Y50+Y51</f>
        <v>2025.2587127967286</v>
      </c>
      <c r="Z52" s="637">
        <f ca="1">+Z50+Z51</f>
        <v>2181.2965080517647</v>
      </c>
    </row>
    <row r="53" spans="1:26">
      <c r="A53" s="42"/>
      <c r="B53" s="645"/>
      <c r="C53" s="645"/>
      <c r="D53" s="645"/>
      <c r="E53" s="645"/>
      <c r="F53" s="645"/>
      <c r="G53" s="584"/>
      <c r="H53" s="584"/>
      <c r="I53" s="580"/>
      <c r="J53" s="584"/>
      <c r="K53" s="637"/>
      <c r="L53" s="627"/>
      <c r="M53" s="627"/>
      <c r="N53" s="584"/>
      <c r="O53" s="584"/>
      <c r="P53" s="584"/>
      <c r="Q53" s="584"/>
      <c r="R53" s="584"/>
      <c r="S53" s="584"/>
      <c r="T53" s="610"/>
      <c r="U53" s="610"/>
      <c r="V53" s="610"/>
      <c r="W53" s="610"/>
      <c r="X53" s="610"/>
      <c r="Y53" s="610"/>
      <c r="Z53" s="610"/>
    </row>
    <row r="54" spans="1:26">
      <c r="A54" s="42"/>
      <c r="B54" s="645"/>
      <c r="C54" s="645"/>
      <c r="D54" s="645"/>
      <c r="E54" s="645"/>
      <c r="F54" s="645"/>
      <c r="G54" s="584"/>
      <c r="H54" s="584"/>
      <c r="I54" s="580"/>
      <c r="J54" s="584"/>
      <c r="K54" s="627"/>
      <c r="L54" s="584"/>
      <c r="M54" s="584"/>
      <c r="N54" s="584"/>
      <c r="O54" s="584"/>
      <c r="P54" s="584"/>
      <c r="Q54" s="584"/>
      <c r="R54" s="584"/>
      <c r="S54" s="584"/>
      <c r="T54" s="610"/>
      <c r="U54" s="610"/>
      <c r="V54" s="610"/>
      <c r="W54" s="610"/>
      <c r="X54" s="610"/>
      <c r="Y54" s="610"/>
      <c r="Z54" s="610"/>
    </row>
    <row r="55" spans="1:26">
      <c r="A55" s="379" t="s">
        <v>510</v>
      </c>
      <c r="B55" s="646"/>
      <c r="C55" s="646"/>
      <c r="D55" s="646"/>
      <c r="E55" s="646"/>
      <c r="F55" s="646"/>
      <c r="G55" s="647"/>
      <c r="H55" s="647"/>
      <c r="I55" s="647"/>
      <c r="J55" s="647"/>
      <c r="K55" s="647"/>
      <c r="L55" s="647"/>
      <c r="M55" s="647"/>
      <c r="N55" s="647"/>
      <c r="O55" s="647"/>
      <c r="P55" s="647"/>
      <c r="Q55" s="647"/>
      <c r="R55" s="647"/>
      <c r="S55" s="647"/>
      <c r="T55" s="647"/>
      <c r="U55" s="647"/>
      <c r="V55" s="647"/>
      <c r="W55" s="647"/>
      <c r="X55" s="647"/>
      <c r="Y55" s="647"/>
      <c r="Z55" s="647"/>
    </row>
    <row r="56" spans="1:26" ht="6" customHeight="1">
      <c r="A56" s="231"/>
      <c r="B56" s="648"/>
      <c r="C56" s="648"/>
      <c r="D56" s="648"/>
      <c r="E56" s="648"/>
      <c r="F56" s="648"/>
      <c r="G56" s="580"/>
      <c r="H56" s="580"/>
      <c r="I56" s="580"/>
      <c r="J56" s="580"/>
      <c r="K56" s="580"/>
      <c r="L56" s="580"/>
      <c r="M56" s="580"/>
      <c r="N56" s="580"/>
      <c r="O56" s="584"/>
      <c r="P56" s="584"/>
      <c r="Q56" s="584"/>
      <c r="R56" s="584"/>
      <c r="S56" s="584"/>
      <c r="T56" s="584"/>
      <c r="U56" s="584"/>
      <c r="V56" s="584"/>
      <c r="W56" s="584"/>
      <c r="X56" s="584"/>
      <c r="Y56" s="584"/>
      <c r="Z56" s="584"/>
    </row>
    <row r="57" spans="1:26">
      <c r="A57" s="214" t="s">
        <v>511</v>
      </c>
      <c r="B57" s="375">
        <f t="shared" ref="B57:U57" si="8">B23+B26</f>
        <v>2156.462</v>
      </c>
      <c r="C57" s="375">
        <f t="shared" si="8"/>
        <v>2536</v>
      </c>
      <c r="D57" s="375">
        <f t="shared" si="8"/>
        <v>3034</v>
      </c>
      <c r="E57" s="375">
        <f t="shared" si="8"/>
        <v>3002</v>
      </c>
      <c r="F57" s="375">
        <f t="shared" si="8"/>
        <v>2293</v>
      </c>
      <c r="G57" s="375">
        <f t="shared" si="8"/>
        <v>2550.9994168284788</v>
      </c>
      <c r="H57" s="375">
        <f t="shared" si="8"/>
        <v>2330</v>
      </c>
      <c r="I57" s="375">
        <f t="shared" si="8"/>
        <v>2774.1969310000004</v>
      </c>
      <c r="J57" s="375">
        <f t="shared" si="8"/>
        <v>1472</v>
      </c>
      <c r="K57" s="375">
        <f t="shared" si="8"/>
        <v>2087</v>
      </c>
      <c r="L57" s="375">
        <f t="shared" si="8"/>
        <v>2749</v>
      </c>
      <c r="M57" s="375">
        <f t="shared" si="8"/>
        <v>2313</v>
      </c>
      <c r="N57" s="375">
        <f t="shared" si="8"/>
        <v>4788</v>
      </c>
      <c r="O57" s="375">
        <f t="shared" si="8"/>
        <v>1920</v>
      </c>
      <c r="P57" s="375">
        <f t="shared" si="8"/>
        <v>2214</v>
      </c>
      <c r="Q57" s="375">
        <f>Q23+Q26</f>
        <v>1614</v>
      </c>
      <c r="R57" s="375">
        <f>R23+R26</f>
        <v>1579</v>
      </c>
      <c r="S57" s="375">
        <f ca="1">S23+S26</f>
        <v>3135.4679228805671</v>
      </c>
      <c r="T57" s="375">
        <f t="shared" ca="1" si="8"/>
        <v>3479.3991456233562</v>
      </c>
      <c r="U57" s="375">
        <f t="shared" ca="1" si="8"/>
        <v>3787.4286686043688</v>
      </c>
      <c r="V57" s="375">
        <f ca="1">V23+V26</f>
        <v>4099.2089941329941</v>
      </c>
      <c r="W57" s="375">
        <f ca="1">W23+W26</f>
        <v>4392.7447263255117</v>
      </c>
      <c r="X57" s="375">
        <f ca="1">X23+X26</f>
        <v>4645.4258758979531</v>
      </c>
      <c r="Y57" s="375">
        <f ca="1">Y23+Y26</f>
        <v>4897.8408749938708</v>
      </c>
      <c r="Z57" s="375">
        <f ca="1">Z23+Z26</f>
        <v>5161.510639654336</v>
      </c>
    </row>
    <row r="58" spans="1:26">
      <c r="A58" s="466" t="s">
        <v>512</v>
      </c>
      <c r="B58" s="375">
        <v>3986.2292017045456</v>
      </c>
      <c r="C58" s="375">
        <v>4266.1393548387096</v>
      </c>
      <c r="D58" s="375">
        <v>4553.4750235626771</v>
      </c>
      <c r="E58" s="375">
        <v>4455.3488372093025</v>
      </c>
      <c r="F58" s="375">
        <v>3907.4130184153751</v>
      </c>
      <c r="G58" s="375">
        <v>4099.182370061335</v>
      </c>
      <c r="H58" s="375">
        <v>4037.3622143340094</v>
      </c>
      <c r="I58" s="375">
        <v>4982.6199589340549</v>
      </c>
      <c r="J58" s="375">
        <f>+J23+(IS!K38*(1-IS!K43))</f>
        <v>3171.9017961278282</v>
      </c>
      <c r="K58" s="375">
        <f>+K23+(IS!L38*(1-IS!L43))</f>
        <v>5399.3459311167107</v>
      </c>
      <c r="L58" s="375">
        <f>+L23+(IS!M38*(1-IS!M43))</f>
        <v>5679.331660093223</v>
      </c>
      <c r="M58" s="375">
        <f>+M23+(IS!N38*(1-IS!N43))</f>
        <v>4798.5135307227001</v>
      </c>
      <c r="N58" s="375">
        <f>+N23+(IS!O38*(1-IS!O43))</f>
        <v>7270.2341208959806</v>
      </c>
      <c r="O58" s="375">
        <f>+O23+(IS!P38*(1-IS!P43))</f>
        <v>4255.3163035311791</v>
      </c>
      <c r="P58" s="375">
        <f>+P23+(IS!Q38*(1-IS!Q43))</f>
        <v>4249.7318975120688</v>
      </c>
      <c r="Q58" s="375">
        <f>+Q23+(IS!R38*(1-IS!R43))</f>
        <v>3309.39505786675</v>
      </c>
      <c r="R58" s="375">
        <f>+R23+(IS!S38*(1-IS!S43))</f>
        <v>2931.2433521353746</v>
      </c>
      <c r="S58" s="375">
        <f ca="1">+S23+(IS!T38*(1-IS!T43))</f>
        <v>4644.7411379717269</v>
      </c>
      <c r="T58" s="375">
        <f ca="1">+T23+(IS!U38*(1-IS!U43))</f>
        <v>4993.2165403432564</v>
      </c>
      <c r="U58" s="375">
        <f ca="1">+U23+(IS!V38*(1-IS!V43))</f>
        <v>5314.897717992525</v>
      </c>
      <c r="V58" s="375">
        <f ca="1">+V23+(IS!W38*(1-IS!W43))</f>
        <v>5642.4933969077483</v>
      </c>
      <c r="W58" s="375">
        <f ca="1">+W23+(IS!X38*(1-IS!X43))</f>
        <v>5946.1988574016359</v>
      </c>
      <c r="X58" s="375">
        <f ca="1">+X23+(IS!Y38*(1-IS!Y43))</f>
        <v>6236.2538514715407</v>
      </c>
      <c r="Y58" s="375">
        <f ca="1">+Y23+(IS!Z38*(1-IS!Z43))</f>
        <v>6526.1703816369218</v>
      </c>
      <c r="Z58" s="375">
        <f ca="1">+Z23+(IS!AA38*(1-IS!AA43))</f>
        <v>6827.5442295481062</v>
      </c>
    </row>
    <row r="59" spans="1:26">
      <c r="A59" s="466" t="s">
        <v>513</v>
      </c>
      <c r="B59" s="375">
        <v>2885.2292017045456</v>
      </c>
      <c r="C59" s="375">
        <v>3082.1393548387096</v>
      </c>
      <c r="D59" s="375">
        <v>3468.4750235626771</v>
      </c>
      <c r="E59" s="375">
        <v>3449.3488372093025</v>
      </c>
      <c r="F59" s="375">
        <v>2736.4130184153751</v>
      </c>
      <c r="G59" s="375">
        <v>2930.182370061335</v>
      </c>
      <c r="H59" s="375">
        <v>2796.3622143340094</v>
      </c>
      <c r="I59" s="375">
        <v>3615.6199589340549</v>
      </c>
      <c r="J59" s="375">
        <f t="shared" ref="J59:U59" si="9">+J58+J26</f>
        <v>2354.9017961278282</v>
      </c>
      <c r="K59" s="375">
        <f t="shared" si="9"/>
        <v>3738.3459311167107</v>
      </c>
      <c r="L59" s="375">
        <f t="shared" si="9"/>
        <v>3908.331660093223</v>
      </c>
      <c r="M59" s="375">
        <f t="shared" si="9"/>
        <v>3188.5135307227001</v>
      </c>
      <c r="N59" s="375">
        <f t="shared" si="9"/>
        <v>5648.2341208959806</v>
      </c>
      <c r="O59" s="375">
        <f t="shared" si="9"/>
        <v>2613.3163035311791</v>
      </c>
      <c r="P59" s="375">
        <f t="shared" si="9"/>
        <v>2735.7318975120688</v>
      </c>
      <c r="Q59" s="375">
        <f t="shared" si="9"/>
        <v>2085.39505786675</v>
      </c>
      <c r="R59" s="375">
        <f>+R58+R26</f>
        <v>1917.2433521353746</v>
      </c>
      <c r="S59" s="375">
        <f ca="1">+S58+S26</f>
        <v>3433.5787012850797</v>
      </c>
      <c r="T59" s="375">
        <f t="shared" ca="1" si="9"/>
        <v>3780.469553359053</v>
      </c>
      <c r="U59" s="375">
        <f t="shared" ca="1" si="9"/>
        <v>4095.6867475729423</v>
      </c>
      <c r="V59" s="375">
        <f ca="1">+V58+V26</f>
        <v>4413.3863317639371</v>
      </c>
      <c r="W59" s="375">
        <f ca="1">+W58+W26</f>
        <v>4709.0360849073004</v>
      </c>
      <c r="X59" s="375">
        <f ca="1">+X58+X26</f>
        <v>4961.7172344797418</v>
      </c>
      <c r="Y59" s="375">
        <f ca="1">+Y58+Y26</f>
        <v>5214.1322335756595</v>
      </c>
      <c r="Z59" s="375">
        <f ca="1">+Z58+Z26</f>
        <v>5477.8019982361247</v>
      </c>
    </row>
    <row r="60" spans="1:26">
      <c r="A60" s="466" t="s">
        <v>514</v>
      </c>
      <c r="B60" s="375">
        <v>2390.4914317045459</v>
      </c>
      <c r="C60" s="375">
        <v>2146.1393548387096</v>
      </c>
      <c r="D60" s="375">
        <v>2379.4750235626771</v>
      </c>
      <c r="E60" s="375">
        <v>2169.3488372093025</v>
      </c>
      <c r="F60" s="375">
        <v>1299.4130184153751</v>
      </c>
      <c r="G60" s="375">
        <v>1368.182370061335</v>
      </c>
      <c r="H60" s="375">
        <v>1158.3622143340094</v>
      </c>
      <c r="I60" s="375">
        <v>1952.6199589340549</v>
      </c>
      <c r="J60" s="375">
        <f t="shared" ref="J60:U60" si="10">J59+J43</f>
        <v>642.90179612782822</v>
      </c>
      <c r="K60" s="375">
        <f t="shared" si="10"/>
        <v>1563.3459311167107</v>
      </c>
      <c r="L60" s="375">
        <f t="shared" si="10"/>
        <v>1865.331660093223</v>
      </c>
      <c r="M60" s="375">
        <f t="shared" si="10"/>
        <v>1130.5135307227001</v>
      </c>
      <c r="N60" s="375">
        <f t="shared" si="10"/>
        <v>4705.2341208959806</v>
      </c>
      <c r="O60" s="375">
        <f t="shared" si="10"/>
        <v>1649.3163035311791</v>
      </c>
      <c r="P60" s="375">
        <f t="shared" si="10"/>
        <v>1727.7318975120688</v>
      </c>
      <c r="Q60" s="375">
        <f t="shared" si="10"/>
        <v>991.39505786674999</v>
      </c>
      <c r="R60" s="375">
        <f>R59+R43</f>
        <v>719.24335213537461</v>
      </c>
      <c r="S60" s="375">
        <f t="shared" ca="1" si="10"/>
        <v>1887.6976501421154</v>
      </c>
      <c r="T60" s="375">
        <f t="shared" ca="1" si="10"/>
        <v>2132.392522528995</v>
      </c>
      <c r="U60" s="375">
        <f t="shared" ca="1" si="10"/>
        <v>2342.5085936369451</v>
      </c>
      <c r="V60" s="375">
        <f ca="1">V59+V43</f>
        <v>2550.2550231375953</v>
      </c>
      <c r="W60" s="375">
        <f ca="1">W59+W43</f>
        <v>2744.1314309860572</v>
      </c>
      <c r="X60" s="375">
        <f ca="1">X59+X43</f>
        <v>2899.7376993474081</v>
      </c>
      <c r="Y60" s="375">
        <f ca="1">Y59+Y43</f>
        <v>3051.554596502704</v>
      </c>
      <c r="Z60" s="375">
        <f ca="1">Z59+Z43</f>
        <v>3211.5937632118244</v>
      </c>
    </row>
    <row r="61" spans="1:26">
      <c r="A61" s="467" t="s">
        <v>515</v>
      </c>
      <c r="B61" s="649">
        <v>1.5440037919184737</v>
      </c>
      <c r="C61" s="649">
        <v>1.0634648370497428</v>
      </c>
      <c r="D61" s="649">
        <v>1.1884016156953261</v>
      </c>
      <c r="E61" s="649">
        <v>1.2501559575795385</v>
      </c>
      <c r="F61" s="649">
        <v>1.0876782999337522</v>
      </c>
      <c r="G61" s="649">
        <v>1.1660270921651419</v>
      </c>
      <c r="H61" s="649">
        <v>1.1752335410533661</v>
      </c>
      <c r="I61" s="649">
        <v>1.5720908646825846</v>
      </c>
      <c r="J61" s="649">
        <f>+J23/IS!K46</f>
        <v>2.1273234200743496</v>
      </c>
      <c r="K61" s="649">
        <f>+K23/IS!L46</f>
        <v>2.5469517784831499</v>
      </c>
      <c r="L61" s="649">
        <f>+L23/IS!M46</f>
        <v>1.8284789644012944</v>
      </c>
      <c r="M61" s="649">
        <f>+M23/IS!N46</f>
        <v>1.559220985691574</v>
      </c>
      <c r="N61" s="649">
        <f>+N23/IS!O46</f>
        <v>2.311575910566174</v>
      </c>
      <c r="O61" s="649">
        <f>+O23/IS!P46</f>
        <v>1.5845195729537367</v>
      </c>
      <c r="P61" s="649">
        <f>+P23/IS!Q46</f>
        <v>1.7618147448015122</v>
      </c>
      <c r="Q61" s="649">
        <f>+Q23/IS!R46</f>
        <v>1.1129411764705883</v>
      </c>
      <c r="R61" s="649">
        <f>+R23/IS!S46</f>
        <v>0.90600978336827398</v>
      </c>
      <c r="S61" s="649">
        <f ca="1">+S23/IS!T46</f>
        <v>1.3401843247200385</v>
      </c>
      <c r="T61" s="649">
        <f ca="1">+T23/IS!U46</f>
        <v>1.3562168357434738</v>
      </c>
      <c r="U61" s="649">
        <f ca="1">+U23/IS!V46</f>
        <v>1.3597691147501623</v>
      </c>
      <c r="V61" s="649">
        <f ca="1">+V23/IS!W46</f>
        <v>1.3683420842313199</v>
      </c>
      <c r="W61" s="649">
        <f ca="1">+W23/IS!X46</f>
        <v>1.379362183899026</v>
      </c>
      <c r="X61" s="649">
        <f ca="1">+X23/IS!Y46</f>
        <v>1.3921557026119864</v>
      </c>
      <c r="Y61" s="649">
        <f ca="1">+Y23/IS!Z46</f>
        <v>1.4031907132333128</v>
      </c>
      <c r="Z61" s="649">
        <f ca="1">+Z23/IS!AA46</f>
        <v>1.4157156810998996</v>
      </c>
    </row>
    <row r="62" spans="1:26">
      <c r="A62" s="468"/>
      <c r="B62" s="649"/>
      <c r="C62" s="649"/>
      <c r="D62" s="649"/>
      <c r="E62" s="649"/>
      <c r="F62" s="649"/>
      <c r="G62" s="649"/>
      <c r="H62" s="649"/>
      <c r="I62" s="649"/>
      <c r="J62" s="649"/>
      <c r="K62" s="649"/>
      <c r="L62" s="649"/>
      <c r="M62" s="649"/>
      <c r="N62" s="649"/>
      <c r="O62" s="649"/>
      <c r="P62" s="649"/>
      <c r="Q62" s="649"/>
      <c r="R62" s="649"/>
      <c r="S62" s="649"/>
      <c r="T62" s="649"/>
      <c r="U62" s="649"/>
      <c r="V62" s="649"/>
      <c r="W62" s="649"/>
      <c r="X62" s="649"/>
      <c r="Y62" s="649"/>
      <c r="Z62" s="649"/>
    </row>
    <row r="63" spans="1:26">
      <c r="A63" s="469" t="s">
        <v>516</v>
      </c>
      <c r="B63" s="650"/>
      <c r="C63" s="650"/>
      <c r="D63" s="650"/>
      <c r="E63" s="650"/>
      <c r="F63" s="650"/>
      <c r="G63" s="650"/>
      <c r="H63" s="650"/>
      <c r="I63" s="650"/>
      <c r="J63" s="650">
        <f>-J26/IS!K10</f>
        <v>3.5355720962437248E-2</v>
      </c>
      <c r="K63" s="650">
        <f>-K26/IS!L10</f>
        <v>5.2748578868811333E-2</v>
      </c>
      <c r="L63" s="650">
        <f>-L26/IS!M10</f>
        <v>4.9455459368891369E-2</v>
      </c>
      <c r="M63" s="650">
        <f>-M26/IS!N10</f>
        <v>4.5980294159645864E-2</v>
      </c>
      <c r="N63" s="650">
        <f>-N26/IS!O10</f>
        <v>4.5950310207088021E-2</v>
      </c>
      <c r="O63" s="650">
        <f>-O26/IS!P10</f>
        <v>5.5271307391948299E-2</v>
      </c>
      <c r="P63" s="650">
        <f>-P26/IS!Q10</f>
        <v>5.7762008317118765E-2</v>
      </c>
      <c r="Q63" s="650">
        <f>-Q26/IS!R10</f>
        <v>4.8436881677878907E-2</v>
      </c>
      <c r="R63" s="650">
        <f>-R26/IS!S10</f>
        <v>3.9569187543900729E-2</v>
      </c>
      <c r="S63" s="650">
        <f ca="1">-S26/IS!T10</f>
        <v>4.4999999999999998E-2</v>
      </c>
      <c r="T63" s="651">
        <f ca="1">-T26/IS!U10</f>
        <v>4.3999999999999997E-2</v>
      </c>
      <c r="U63" s="651">
        <f ca="1">-U26/IS!V10</f>
        <v>4.2999999999999997E-2</v>
      </c>
      <c r="V63" s="651">
        <f ca="1">-V26/IS!W10</f>
        <v>4.1999999999999996E-2</v>
      </c>
      <c r="W63" s="651">
        <f ca="1">-W26/IS!X10</f>
        <v>4.0999999999999988E-2</v>
      </c>
      <c r="X63" s="651">
        <f ca="1">-X26/IS!Y10</f>
        <v>4.0999999999999995E-2</v>
      </c>
      <c r="Y63" s="651">
        <f ca="1">-Y26/IS!Z10</f>
        <v>4.0999999999999995E-2</v>
      </c>
      <c r="Z63" s="651">
        <f ca="1">-Z26/IS!AA10</f>
        <v>4.0999999999999995E-2</v>
      </c>
    </row>
    <row r="64" spans="1:26">
      <c r="A64" s="468"/>
      <c r="B64" s="649"/>
      <c r="C64" s="649"/>
      <c r="D64" s="649"/>
      <c r="E64" s="649"/>
      <c r="F64" s="649"/>
      <c r="G64" s="649"/>
      <c r="H64" s="649"/>
      <c r="I64" s="649"/>
      <c r="J64" s="649"/>
      <c r="K64" s="649"/>
      <c r="L64" s="649"/>
      <c r="M64" s="649"/>
      <c r="N64" s="649"/>
      <c r="O64" s="649"/>
      <c r="P64" s="649"/>
      <c r="Q64" s="649"/>
      <c r="R64" s="649"/>
      <c r="S64" s="649"/>
      <c r="T64" s="649"/>
      <c r="U64" s="649"/>
      <c r="V64" s="649"/>
      <c r="W64" s="649"/>
      <c r="X64" s="649"/>
      <c r="Y64" s="649"/>
      <c r="Z64" s="649"/>
    </row>
    <row r="65" spans="1:48">
      <c r="A65" s="468" t="s">
        <v>517</v>
      </c>
      <c r="B65" s="649"/>
      <c r="C65" s="649"/>
      <c r="D65" s="649"/>
      <c r="E65" s="649"/>
      <c r="F65" s="649"/>
      <c r="G65" s="649"/>
      <c r="H65" s="649"/>
      <c r="I65" s="649"/>
      <c r="J65" s="649"/>
      <c r="K65" s="649"/>
      <c r="L65" s="649"/>
      <c r="M65" s="649"/>
      <c r="N65" s="375">
        <f t="shared" ref="N65:U65" si="11">+N23</f>
        <v>6410</v>
      </c>
      <c r="O65" s="375">
        <f t="shared" si="11"/>
        <v>3562</v>
      </c>
      <c r="P65" s="375">
        <f t="shared" si="11"/>
        <v>3728</v>
      </c>
      <c r="Q65" s="375">
        <f t="shared" si="11"/>
        <v>2838</v>
      </c>
      <c r="R65" s="375">
        <f>+R23</f>
        <v>2593</v>
      </c>
      <c r="S65" s="375">
        <f t="shared" ca="1" si="11"/>
        <v>4346.6303595672143</v>
      </c>
      <c r="T65" s="375">
        <f t="shared" ca="1" si="11"/>
        <v>4692.1461326075596</v>
      </c>
      <c r="U65" s="375">
        <f t="shared" ca="1" si="11"/>
        <v>5006.6396390239515</v>
      </c>
      <c r="V65" s="375">
        <f ca="1">+V23</f>
        <v>5328.3160592768054</v>
      </c>
      <c r="W65" s="375">
        <f ca="1">+W23</f>
        <v>5629.9074988198472</v>
      </c>
      <c r="X65" s="375">
        <f ca="1">+X23</f>
        <v>5919.962492889752</v>
      </c>
      <c r="Y65" s="375">
        <f ca="1">+Y23</f>
        <v>6209.8790230551331</v>
      </c>
      <c r="Z65" s="375">
        <f ca="1">+Z23</f>
        <v>6511.2528709663175</v>
      </c>
    </row>
    <row r="66" spans="1:48">
      <c r="A66" s="468" t="s">
        <v>518</v>
      </c>
      <c r="B66" s="649"/>
      <c r="C66" s="649"/>
      <c r="D66" s="649"/>
      <c r="E66" s="649"/>
      <c r="F66" s="649"/>
      <c r="G66" s="649"/>
      <c r="H66" s="649"/>
      <c r="I66" s="649"/>
      <c r="J66" s="649"/>
      <c r="K66" s="649"/>
      <c r="L66" s="649"/>
      <c r="M66" s="649"/>
      <c r="N66" s="375">
        <f t="shared" ref="N66:U66" si="12">+N26</f>
        <v>-1622</v>
      </c>
      <c r="O66" s="375">
        <f t="shared" si="12"/>
        <v>-1642</v>
      </c>
      <c r="P66" s="375">
        <f t="shared" si="12"/>
        <v>-1514</v>
      </c>
      <c r="Q66" s="375">
        <f t="shared" si="12"/>
        <v>-1224</v>
      </c>
      <c r="R66" s="375">
        <f>+R26</f>
        <v>-1014</v>
      </c>
      <c r="S66" s="375">
        <f t="shared" ca="1" si="12"/>
        <v>-1211.1624366866472</v>
      </c>
      <c r="T66" s="375">
        <f t="shared" ca="1" si="12"/>
        <v>-1212.7469869842032</v>
      </c>
      <c r="U66" s="375">
        <f t="shared" ca="1" si="12"/>
        <v>-1219.2109704195825</v>
      </c>
      <c r="V66" s="375">
        <f ca="1">+V26</f>
        <v>-1229.1070651438117</v>
      </c>
      <c r="W66" s="375">
        <f ca="1">+W26</f>
        <v>-1237.1627724943353</v>
      </c>
      <c r="X66" s="375">
        <f ca="1">+X26</f>
        <v>-1274.5366169917986</v>
      </c>
      <c r="Y66" s="375">
        <f ca="1">+Y26</f>
        <v>-1312.0381480612621</v>
      </c>
      <c r="Z66" s="375">
        <f ca="1">+Z26</f>
        <v>-1349.7422313119816</v>
      </c>
    </row>
    <row r="67" spans="1:48">
      <c r="A67" s="468" t="s">
        <v>519</v>
      </c>
      <c r="B67" s="649"/>
      <c r="C67" s="649"/>
      <c r="D67" s="649"/>
      <c r="E67" s="649"/>
      <c r="F67" s="649"/>
      <c r="G67" s="649"/>
      <c r="H67" s="649"/>
      <c r="I67" s="649"/>
      <c r="J67" s="649"/>
      <c r="K67" s="649"/>
      <c r="L67" s="649"/>
      <c r="M67" s="649"/>
      <c r="N67" s="375">
        <f>-IS!O172*(IS!O170*2/3)</f>
        <v>-219.00625324000112</v>
      </c>
      <c r="O67" s="375">
        <f>-IS!P172*(IS!P170*2/3)</f>
        <v>-253.00399419333144</v>
      </c>
      <c r="P67" s="375">
        <f>-IS!Q172*(IS!Q170*2/3)</f>
        <v>-217.97311443333578</v>
      </c>
      <c r="Q67" s="375">
        <f>-IS!R172*(IS!R170*2/3)</f>
        <v>-291.03586660764444</v>
      </c>
      <c r="R67" s="375">
        <f>-IS!S172*(IS!S170*2/3)</f>
        <v>-320.68273515550629</v>
      </c>
      <c r="S67" s="375">
        <f>-IS!T172*(IS!T170*2/3)</f>
        <v>-346.3373539679468</v>
      </c>
      <c r="T67" s="375">
        <f>-IS!U172*(IS!U170*2/3)</f>
        <v>-374.04434228538258</v>
      </c>
      <c r="U67" s="375">
        <f>-IS!V172*(IS!V170*2/3)</f>
        <v>-403.96788966821316</v>
      </c>
      <c r="V67" s="375">
        <f>-IS!W172*(IS!W170*2/3)</f>
        <v>-436.28532084167034</v>
      </c>
      <c r="W67" s="375">
        <f>-IS!X172*(IS!X170*2/3)</f>
        <v>-471.18814650900396</v>
      </c>
      <c r="X67" s="375">
        <f>-IS!Y172*(IS!Y170*2/3)</f>
        <v>-508.88319822972426</v>
      </c>
      <c r="Y67" s="375">
        <f>-IS!Z172*(IS!Z170*2/3)</f>
        <v>-549.59385408810215</v>
      </c>
      <c r="Z67" s="375">
        <f>-IS!AA172*(IS!AA170*2/3)</f>
        <v>-593.56136241515048</v>
      </c>
    </row>
    <row r="68" spans="1:48">
      <c r="A68" s="468" t="s">
        <v>520</v>
      </c>
      <c r="B68" s="649"/>
      <c r="C68" s="649"/>
      <c r="D68" s="649"/>
      <c r="E68" s="649"/>
      <c r="F68" s="649"/>
      <c r="G68" s="649"/>
      <c r="H68" s="649"/>
      <c r="I68" s="649"/>
      <c r="J68" s="649"/>
      <c r="K68" s="649"/>
      <c r="L68" s="649"/>
      <c r="M68" s="649"/>
      <c r="N68" s="375">
        <f>+N43</f>
        <v>-943</v>
      </c>
      <c r="O68" s="375">
        <f t="shared" ref="O68:U68" si="13">+O43</f>
        <v>-964</v>
      </c>
      <c r="P68" s="375">
        <f t="shared" si="13"/>
        <v>-1008</v>
      </c>
      <c r="Q68" s="375">
        <f t="shared" si="13"/>
        <v>-1094</v>
      </c>
      <c r="R68" s="375">
        <f>+R43</f>
        <v>-1198</v>
      </c>
      <c r="S68" s="375">
        <f t="shared" ca="1" si="13"/>
        <v>-1545.8810511429642</v>
      </c>
      <c r="T68" s="375">
        <f t="shared" ca="1" si="13"/>
        <v>-1648.0770308300582</v>
      </c>
      <c r="U68" s="375">
        <f t="shared" ca="1" si="13"/>
        <v>-1753.178153935997</v>
      </c>
      <c r="V68" s="375">
        <f ca="1">+V43</f>
        <v>-1863.1313086263417</v>
      </c>
      <c r="W68" s="375">
        <f ca="1">+W43</f>
        <v>-1964.9046539212429</v>
      </c>
      <c r="X68" s="375">
        <f ca="1">+X43</f>
        <v>-2061.9795351323337</v>
      </c>
      <c r="Y68" s="375">
        <f ca="1">+Y43</f>
        <v>-2162.5776370729554</v>
      </c>
      <c r="Z68" s="375">
        <f ca="1">+Z43</f>
        <v>-2266.2082350243004</v>
      </c>
    </row>
    <row r="69" spans="1:48">
      <c r="A69" s="468" t="s">
        <v>521</v>
      </c>
      <c r="B69" s="649"/>
      <c r="C69" s="649"/>
      <c r="D69" s="649"/>
      <c r="E69" s="649"/>
      <c r="F69" s="649"/>
      <c r="G69" s="649"/>
      <c r="H69" s="649"/>
      <c r="I69" s="649"/>
      <c r="J69" s="649"/>
      <c r="K69" s="649"/>
      <c r="L69" s="649"/>
      <c r="M69" s="649"/>
      <c r="N69" s="375">
        <f>+SUM(N37:N38)</f>
        <v>-4311</v>
      </c>
      <c r="O69" s="375">
        <f t="shared" ref="O69:U69" si="14">+SUM(O37:O38)</f>
        <v>15</v>
      </c>
      <c r="P69" s="375">
        <f t="shared" si="14"/>
        <v>-351</v>
      </c>
      <c r="Q69" s="375">
        <f t="shared" si="14"/>
        <v>-546</v>
      </c>
      <c r="R69" s="375">
        <f>+SUM(R37:R38)</f>
        <v>-1120</v>
      </c>
      <c r="S69" s="375">
        <f t="shared" si="14"/>
        <v>-350</v>
      </c>
      <c r="T69" s="375">
        <f t="shared" si="14"/>
        <v>-500</v>
      </c>
      <c r="U69" s="375">
        <f t="shared" si="14"/>
        <v>-450</v>
      </c>
      <c r="V69" s="375">
        <f>+SUM(V37:V38)</f>
        <v>-650</v>
      </c>
      <c r="W69" s="375">
        <f>+SUM(W37:W38)</f>
        <v>-900</v>
      </c>
      <c r="X69" s="375">
        <f>+SUM(X37:X38)</f>
        <v>-900</v>
      </c>
      <c r="Y69" s="375">
        <f>+SUM(Y37:Y38)</f>
        <v>-900</v>
      </c>
      <c r="Z69" s="375">
        <f>+SUM(Z37:Z38)</f>
        <v>-900</v>
      </c>
    </row>
    <row r="70" spans="1:48">
      <c r="A70" s="468" t="s">
        <v>522</v>
      </c>
      <c r="B70" s="649"/>
      <c r="C70" s="649"/>
      <c r="D70" s="649"/>
      <c r="E70" s="649"/>
      <c r="F70" s="649"/>
      <c r="G70" s="649"/>
      <c r="H70" s="649"/>
      <c r="I70" s="649"/>
      <c r="J70" s="649"/>
      <c r="K70" s="649"/>
      <c r="L70" s="649"/>
      <c r="M70" s="649"/>
      <c r="N70" s="629">
        <v>-61</v>
      </c>
      <c r="O70" s="629">
        <v>-235</v>
      </c>
      <c r="P70" s="629">
        <v>-750</v>
      </c>
      <c r="Q70" s="629">
        <v>-500</v>
      </c>
      <c r="R70" s="629">
        <v>-500</v>
      </c>
      <c r="S70" s="375">
        <v>0</v>
      </c>
      <c r="T70" s="375">
        <v>0</v>
      </c>
      <c r="U70" s="375">
        <v>0</v>
      </c>
      <c r="V70" s="375">
        <v>0</v>
      </c>
      <c r="W70" s="375">
        <v>0</v>
      </c>
      <c r="X70" s="375">
        <v>0</v>
      </c>
      <c r="Y70" s="375">
        <v>0</v>
      </c>
      <c r="Z70" s="375">
        <v>0</v>
      </c>
    </row>
    <row r="71" spans="1:48">
      <c r="A71" s="469" t="s">
        <v>523</v>
      </c>
      <c r="B71" s="584"/>
      <c r="C71" s="584"/>
      <c r="D71" s="584"/>
      <c r="E71" s="584"/>
      <c r="F71" s="584"/>
      <c r="G71" s="584"/>
      <c r="H71" s="584"/>
      <c r="I71" s="580"/>
      <c r="J71" s="584"/>
      <c r="K71" s="584"/>
      <c r="L71" s="584"/>
      <c r="M71" s="584"/>
      <c r="N71" s="375">
        <f>+BS!P13</f>
        <v>4475</v>
      </c>
      <c r="O71" s="375">
        <f>+BS!Q13</f>
        <v>2622</v>
      </c>
      <c r="P71" s="375">
        <f>+BS!R13</f>
        <v>1631</v>
      </c>
      <c r="Q71" s="375">
        <f>+BS!S13</f>
        <v>1870</v>
      </c>
      <c r="R71" s="375">
        <f>+BS!T13</f>
        <v>1741</v>
      </c>
      <c r="S71" s="375">
        <f>+BS!U13</f>
        <v>761</v>
      </c>
      <c r="T71" s="375">
        <f ca="1">+BS!V13</f>
        <v>300.58687173760291</v>
      </c>
      <c r="U71" s="375">
        <f ca="1">+BS!W13</f>
        <v>531.90898653090107</v>
      </c>
      <c r="V71" s="375">
        <f ca="1">+BS!X13</f>
        <v>1016.1595011992727</v>
      </c>
      <c r="W71" s="375">
        <f ca="1">+BS!Y13</f>
        <v>1402.2371867059251</v>
      </c>
      <c r="X71" s="375">
        <f ca="1">+BS!Z13</f>
        <v>1625.0772591101936</v>
      </c>
      <c r="Y71" s="375">
        <f ca="1">+BS!AA13</f>
        <v>1838.148599875813</v>
      </c>
      <c r="Z71" s="375">
        <f ca="1">+BS!AB13</f>
        <v>2025.2587127967286</v>
      </c>
    </row>
    <row r="72" spans="1:48">
      <c r="A72" s="468" t="s">
        <v>524</v>
      </c>
      <c r="J72" s="590"/>
      <c r="K72" s="590"/>
      <c r="L72" s="590"/>
      <c r="M72" s="590"/>
      <c r="N72" s="628">
        <v>-2000</v>
      </c>
      <c r="O72" s="628">
        <v>-2000</v>
      </c>
      <c r="P72" s="628">
        <v>-2000</v>
      </c>
      <c r="Q72" s="628">
        <v>-2500</v>
      </c>
      <c r="R72" s="628">
        <v>-2500</v>
      </c>
      <c r="S72" s="628">
        <v>-2500</v>
      </c>
      <c r="T72" s="628">
        <v>-2500</v>
      </c>
      <c r="U72" s="628">
        <v>-2500</v>
      </c>
      <c r="V72" s="628">
        <v>-2500</v>
      </c>
      <c r="W72" s="628">
        <v>-2500</v>
      </c>
      <c r="X72" s="628">
        <v>-2500</v>
      </c>
      <c r="Y72" s="628">
        <v>-2500</v>
      </c>
      <c r="Z72" s="628">
        <v>-2500</v>
      </c>
    </row>
    <row r="73" spans="1:48">
      <c r="A73" s="468" t="s">
        <v>525</v>
      </c>
      <c r="J73" s="590"/>
      <c r="K73" s="590"/>
      <c r="L73" s="590"/>
      <c r="M73" s="590"/>
      <c r="N73" s="375">
        <f t="shared" ref="N73:U73" si="15">N28</f>
        <v>-119</v>
      </c>
      <c r="O73" s="375">
        <f t="shared" si="15"/>
        <v>-7</v>
      </c>
      <c r="P73" s="375">
        <f t="shared" si="15"/>
        <v>-527</v>
      </c>
      <c r="Q73" s="375">
        <f t="shared" si="15"/>
        <v>-246</v>
      </c>
      <c r="R73" s="375">
        <f>R28</f>
        <v>0</v>
      </c>
      <c r="S73" s="375">
        <f t="shared" si="15"/>
        <v>0</v>
      </c>
      <c r="T73" s="375">
        <f t="shared" si="15"/>
        <v>0</v>
      </c>
      <c r="U73" s="375">
        <f t="shared" si="15"/>
        <v>0</v>
      </c>
      <c r="V73" s="375">
        <f>V28</f>
        <v>0</v>
      </c>
      <c r="W73" s="375">
        <f>W28</f>
        <v>0</v>
      </c>
      <c r="X73" s="375">
        <f>X28</f>
        <v>0</v>
      </c>
      <c r="Y73" s="375">
        <f>Y28</f>
        <v>0</v>
      </c>
      <c r="Z73" s="375">
        <f>Z28</f>
        <v>0</v>
      </c>
    </row>
    <row r="74" spans="1:48">
      <c r="A74" s="468" t="s">
        <v>526</v>
      </c>
      <c r="J74" s="590"/>
      <c r="K74" s="590"/>
      <c r="L74" s="590"/>
      <c r="M74" s="590"/>
      <c r="N74" s="375">
        <f>SUM(N65:N73)</f>
        <v>1609.9937467599993</v>
      </c>
      <c r="O74" s="375">
        <f t="shared" ref="O74:U74" si="16">SUM(O65:O72)</f>
        <v>1104.9960058066686</v>
      </c>
      <c r="P74" s="375">
        <f t="shared" si="16"/>
        <v>-481.9731144333357</v>
      </c>
      <c r="Q74" s="375">
        <f t="shared" si="16"/>
        <v>-1447.0358666076445</v>
      </c>
      <c r="R74" s="375">
        <f>SUM(R65:R72)</f>
        <v>-2318.6827351555062</v>
      </c>
      <c r="S74" s="375">
        <f t="shared" ca="1" si="16"/>
        <v>-845.75048223034401</v>
      </c>
      <c r="T74" s="375">
        <f t="shared" ca="1" si="16"/>
        <v>-1242.1353557544819</v>
      </c>
      <c r="U74" s="375">
        <f t="shared" ca="1" si="16"/>
        <v>-787.80838846894017</v>
      </c>
      <c r="V74" s="375">
        <f ca="1">SUM(V65:V72)</f>
        <v>-334.04813413574539</v>
      </c>
      <c r="W74" s="375">
        <f ca="1">SUM(W65:W72)</f>
        <v>-41.110887398810519</v>
      </c>
      <c r="X74" s="375">
        <f ca="1">SUM(X65:X72)</f>
        <v>299.64040164608878</v>
      </c>
      <c r="Y74" s="375">
        <f ca="1">SUM(Y65:Y72)</f>
        <v>623.81798370862589</v>
      </c>
      <c r="Z74" s="375">
        <f ca="1">SUM(Z65:Z72)</f>
        <v>926.99975501161407</v>
      </c>
    </row>
    <row r="75" spans="1:48">
      <c r="A75" s="468" t="s">
        <v>527</v>
      </c>
      <c r="J75" s="590"/>
      <c r="K75" s="590"/>
      <c r="L75" s="590"/>
      <c r="M75" s="590"/>
      <c r="N75" s="375">
        <f>IF(N74&gt;0,N74*0.5,0)</f>
        <v>804.99687337999967</v>
      </c>
      <c r="O75" s="375">
        <f t="shared" ref="O75:U75" si="17">IF(O74&gt;0,O74,0)</f>
        <v>1104.9960058066686</v>
      </c>
      <c r="P75" s="375">
        <f t="shared" si="17"/>
        <v>0</v>
      </c>
      <c r="Q75" s="375">
        <f t="shared" si="17"/>
        <v>0</v>
      </c>
      <c r="R75" s="375">
        <f>IF(R74&gt;0,R74,0)</f>
        <v>0</v>
      </c>
      <c r="S75" s="375">
        <f t="shared" ca="1" si="17"/>
        <v>0</v>
      </c>
      <c r="T75" s="375">
        <f t="shared" ca="1" si="17"/>
        <v>0</v>
      </c>
      <c r="U75" s="375">
        <f t="shared" ca="1" si="17"/>
        <v>0</v>
      </c>
      <c r="V75" s="375">
        <f ca="1">IF(V74&gt;0,V74,0)</f>
        <v>0</v>
      </c>
      <c r="W75" s="375">
        <f ca="1">IF(W74&gt;0,W74,0)</f>
        <v>0</v>
      </c>
      <c r="X75" s="375">
        <f ca="1">IF(X74&gt;0,X74,0)</f>
        <v>299.64040164608878</v>
      </c>
      <c r="Y75" s="375">
        <f ca="1">IF(Y74&gt;0,Y74,0)</f>
        <v>623.81798370862589</v>
      </c>
      <c r="Z75" s="375">
        <f ca="1">IF(Z74&gt;0,Z74,0)</f>
        <v>926.99975501161407</v>
      </c>
    </row>
    <row r="76" spans="1:48">
      <c r="A76" s="69"/>
      <c r="J76" s="590"/>
      <c r="K76" s="590"/>
      <c r="L76" s="590"/>
      <c r="M76" s="590"/>
      <c r="N76" s="590"/>
      <c r="O76" s="590"/>
      <c r="P76" s="590"/>
      <c r="Q76" s="375"/>
      <c r="R76" s="590"/>
      <c r="S76" s="590"/>
      <c r="AR76" s="239"/>
      <c r="AS76" s="239"/>
      <c r="AT76" s="239"/>
      <c r="AU76" s="239"/>
      <c r="AV76" s="239"/>
    </row>
    <row r="77" spans="1:48">
      <c r="A77" s="42"/>
      <c r="B77" s="584"/>
      <c r="C77" s="584"/>
      <c r="D77" s="584"/>
      <c r="E77" s="584"/>
      <c r="F77" s="584"/>
      <c r="G77" s="584"/>
      <c r="H77" s="584"/>
      <c r="I77" s="580"/>
      <c r="J77" s="584"/>
      <c r="K77" s="584"/>
      <c r="L77" s="584"/>
      <c r="M77" s="584"/>
      <c r="N77" s="584"/>
      <c r="O77" s="584"/>
      <c r="P77" s="584"/>
      <c r="Q77" s="584"/>
      <c r="R77" s="584"/>
      <c r="S77" s="584"/>
      <c r="T77" s="610"/>
      <c r="U77" s="610"/>
      <c r="V77" s="610"/>
      <c r="W77" s="610"/>
      <c r="X77" s="610"/>
      <c r="Y77" s="610"/>
      <c r="Z77" s="610"/>
    </row>
    <row r="78" spans="1:48">
      <c r="A78" s="277" t="s">
        <v>272</v>
      </c>
      <c r="B78" s="584"/>
      <c r="C78" s="584"/>
      <c r="D78" s="584"/>
      <c r="E78" s="584"/>
      <c r="F78" s="584"/>
      <c r="G78" s="584"/>
      <c r="H78" s="584"/>
      <c r="I78" s="580"/>
      <c r="J78" s="610"/>
      <c r="K78" s="610"/>
      <c r="L78" s="610"/>
      <c r="M78" s="610"/>
      <c r="N78" s="610"/>
      <c r="O78" s="610"/>
      <c r="P78" s="610"/>
      <c r="Q78" s="610"/>
      <c r="R78" s="610"/>
      <c r="S78" s="610"/>
      <c r="T78" s="610"/>
      <c r="U78" s="610"/>
      <c r="V78" s="610"/>
      <c r="W78" s="610"/>
      <c r="X78" s="610"/>
      <c r="Y78" s="610"/>
      <c r="Z78" s="610"/>
    </row>
    <row r="79" spans="1:48" hidden="1" outlineLevel="1">
      <c r="A79" s="338" t="s">
        <v>528</v>
      </c>
      <c r="B79" s="627">
        <v>8425.2999999999993</v>
      </c>
      <c r="C79" s="627">
        <v>-170</v>
      </c>
      <c r="D79" s="627">
        <v>-312</v>
      </c>
      <c r="E79" s="627">
        <v>-650</v>
      </c>
      <c r="F79" s="627">
        <v>-1175</v>
      </c>
      <c r="G79" s="627">
        <v>-1254</v>
      </c>
      <c r="H79" s="627">
        <v>-3739.82</v>
      </c>
      <c r="I79" s="375">
        <v>-777</v>
      </c>
      <c r="J79" s="652">
        <v>0</v>
      </c>
      <c r="K79" s="652">
        <v>0</v>
      </c>
      <c r="L79" s="652">
        <f t="shared" ref="L79:U79" si="18">+L33+L34</f>
        <v>0</v>
      </c>
      <c r="M79" s="652">
        <f t="shared" si="18"/>
        <v>0</v>
      </c>
      <c r="N79" s="652">
        <f t="shared" si="18"/>
        <v>-2900</v>
      </c>
      <c r="O79" s="652">
        <f t="shared" si="18"/>
        <v>-1700</v>
      </c>
      <c r="P79" s="652">
        <f t="shared" si="18"/>
        <v>-3622</v>
      </c>
      <c r="Q79" s="652">
        <f t="shared" si="18"/>
        <v>-2601</v>
      </c>
      <c r="R79" s="652">
        <f t="shared" si="18"/>
        <v>-2174</v>
      </c>
      <c r="S79" s="652">
        <f t="shared" si="18"/>
        <v>-2000</v>
      </c>
      <c r="T79" s="652">
        <f t="shared" si="18"/>
        <v>-2000</v>
      </c>
      <c r="U79" s="652">
        <f t="shared" si="18"/>
        <v>-2000</v>
      </c>
      <c r="V79" s="652">
        <f>+V33+V34</f>
        <v>-2100</v>
      </c>
      <c r="W79" s="652">
        <f>+W33+W34</f>
        <v>-2205</v>
      </c>
      <c r="X79" s="652">
        <f>+X33+X34</f>
        <v>-2370.375</v>
      </c>
      <c r="Y79" s="652">
        <f>+Y33+Y34</f>
        <v>-2548.1531249999998</v>
      </c>
      <c r="Z79" s="652">
        <f>+Z33+Z34</f>
        <v>-2739.2646093749995</v>
      </c>
    </row>
    <row r="80" spans="1:48" hidden="1" outlineLevel="1">
      <c r="A80" s="35" t="s">
        <v>529</v>
      </c>
      <c r="B80" s="132"/>
      <c r="C80" s="584"/>
      <c r="D80" s="584"/>
      <c r="E80" s="584"/>
      <c r="F80" s="584"/>
      <c r="G80" s="132">
        <v>214.46724983818808</v>
      </c>
      <c r="H80" s="584"/>
      <c r="I80" s="580">
        <v>-1307</v>
      </c>
      <c r="J80" s="610">
        <v>270</v>
      </c>
      <c r="K80" s="653">
        <v>8573.6369999999988</v>
      </c>
      <c r="L80" s="584"/>
      <c r="M80" s="610"/>
      <c r="N80" s="610"/>
      <c r="O80" s="610"/>
      <c r="P80" s="610"/>
      <c r="Q80" s="610"/>
      <c r="R80" s="610"/>
      <c r="S80" s="610"/>
      <c r="T80" s="610"/>
      <c r="U80" s="610"/>
      <c r="V80" s="610"/>
      <c r="W80" s="610"/>
      <c r="X80" s="610"/>
      <c r="Y80" s="610"/>
      <c r="Z80" s="610"/>
    </row>
    <row r="81" spans="1:26" hidden="1" outlineLevel="1">
      <c r="A81" s="35" t="s">
        <v>189</v>
      </c>
      <c r="B81" s="627">
        <v>8425.2999999999993</v>
      </c>
      <c r="C81" s="627">
        <v>-170</v>
      </c>
      <c r="D81" s="627">
        <v>-312</v>
      </c>
      <c r="E81" s="627">
        <v>-650</v>
      </c>
      <c r="F81" s="627">
        <v>-1175</v>
      </c>
      <c r="G81" s="627">
        <v>-1039.5327501618119</v>
      </c>
      <c r="H81" s="627">
        <v>-3739.82</v>
      </c>
      <c r="I81" s="627">
        <v>-2084</v>
      </c>
      <c r="J81" s="652">
        <v>270</v>
      </c>
      <c r="K81" s="652">
        <v>8573.6369999999988</v>
      </c>
      <c r="L81" s="652">
        <f>SUM(L79:L80)</f>
        <v>0</v>
      </c>
      <c r="M81" s="610"/>
      <c r="N81" s="610"/>
      <c r="O81" s="610"/>
      <c r="P81" s="610"/>
      <c r="Q81" s="610"/>
      <c r="R81" s="610"/>
      <c r="S81" s="610"/>
      <c r="T81" s="610"/>
      <c r="U81" s="610"/>
      <c r="V81" s="610"/>
      <c r="W81" s="610"/>
      <c r="X81" s="610"/>
      <c r="Y81" s="610"/>
      <c r="Z81" s="610"/>
    </row>
    <row r="82" spans="1:26" hidden="1" outlineLevel="1">
      <c r="A82" s="35"/>
      <c r="B82" s="584"/>
      <c r="C82" s="584"/>
      <c r="D82" s="584"/>
      <c r="E82" s="584"/>
      <c r="F82" s="584"/>
      <c r="G82" s="584"/>
      <c r="H82" s="584"/>
      <c r="I82" s="580"/>
      <c r="J82" s="610"/>
      <c r="K82" s="610"/>
      <c r="L82" s="610"/>
      <c r="M82" s="610"/>
      <c r="N82" s="610"/>
      <c r="O82" s="610"/>
      <c r="P82" s="610"/>
      <c r="Q82" s="610"/>
      <c r="R82" s="610"/>
      <c r="S82" s="610"/>
      <c r="T82" s="610"/>
      <c r="U82" s="610"/>
      <c r="V82" s="610"/>
      <c r="W82" s="610"/>
      <c r="X82" s="610"/>
      <c r="Y82" s="610"/>
      <c r="Z82" s="610"/>
    </row>
    <row r="83" spans="1:26" hidden="1" outlineLevel="1">
      <c r="A83" s="35"/>
      <c r="B83" s="584"/>
      <c r="C83" s="584"/>
      <c r="D83" s="584"/>
      <c r="E83" s="584"/>
      <c r="F83" s="584"/>
      <c r="G83" s="584"/>
      <c r="H83" s="584"/>
      <c r="I83" s="118"/>
      <c r="J83" s="610"/>
      <c r="K83" s="610"/>
      <c r="L83" s="610"/>
      <c r="M83" s="610"/>
      <c r="N83" s="610"/>
      <c r="O83" s="610"/>
      <c r="P83" s="610"/>
      <c r="Q83" s="610"/>
      <c r="R83" s="610"/>
      <c r="S83" s="610"/>
      <c r="T83" s="610"/>
      <c r="U83" s="610"/>
      <c r="V83" s="610"/>
      <c r="W83" s="610"/>
      <c r="X83" s="610"/>
      <c r="Y83" s="610"/>
      <c r="Z83" s="610"/>
    </row>
    <row r="84" spans="1:26" hidden="1" outlineLevel="1">
      <c r="A84" s="470" t="s">
        <v>530</v>
      </c>
      <c r="B84" s="584"/>
      <c r="C84" s="584"/>
      <c r="D84" s="584"/>
      <c r="E84" s="584"/>
      <c r="F84" s="584"/>
      <c r="G84" s="584"/>
      <c r="H84" s="584"/>
      <c r="I84" s="580"/>
      <c r="J84" s="610"/>
      <c r="K84" s="610"/>
      <c r="L84" s="610"/>
      <c r="M84" s="610"/>
      <c r="N84" s="610"/>
      <c r="O84" s="610"/>
      <c r="P84" s="610"/>
      <c r="Q84" s="610"/>
      <c r="R84" s="610"/>
      <c r="S84" s="610"/>
      <c r="T84" s="610"/>
      <c r="U84" s="610"/>
      <c r="V84" s="610"/>
      <c r="W84" s="610"/>
      <c r="X84" s="610"/>
      <c r="Y84" s="610"/>
      <c r="Z84" s="610"/>
    </row>
    <row r="85" spans="1:26" hidden="1" outlineLevel="1">
      <c r="A85" s="35" t="s">
        <v>531</v>
      </c>
      <c r="B85" s="584"/>
      <c r="C85" s="584"/>
      <c r="D85" s="584"/>
      <c r="E85" s="584"/>
      <c r="F85" s="584"/>
      <c r="G85" s="584"/>
      <c r="H85" s="584"/>
      <c r="I85" s="580"/>
      <c r="J85" s="652">
        <f t="shared" ref="J85:U85" si="19">+J57</f>
        <v>1472</v>
      </c>
      <c r="K85" s="654">
        <f t="shared" si="19"/>
        <v>2087</v>
      </c>
      <c r="L85" s="655">
        <f t="shared" si="19"/>
        <v>2749</v>
      </c>
      <c r="M85" s="655">
        <f t="shared" si="19"/>
        <v>2313</v>
      </c>
      <c r="N85" s="656">
        <f t="shared" si="19"/>
        <v>4788</v>
      </c>
      <c r="O85" s="656">
        <f t="shared" si="19"/>
        <v>1920</v>
      </c>
      <c r="P85" s="657">
        <f t="shared" si="19"/>
        <v>2214</v>
      </c>
      <c r="Q85" s="652">
        <f t="shared" si="19"/>
        <v>1614</v>
      </c>
      <c r="R85" s="652">
        <f t="shared" si="19"/>
        <v>1579</v>
      </c>
      <c r="S85" s="652">
        <f t="shared" ca="1" si="19"/>
        <v>3135.4679228805671</v>
      </c>
      <c r="T85" s="652">
        <f t="shared" ca="1" si="19"/>
        <v>3479.3991456233562</v>
      </c>
      <c r="U85" s="652">
        <f t="shared" ca="1" si="19"/>
        <v>3787.4286686043688</v>
      </c>
      <c r="V85" s="652">
        <f ca="1">+V57</f>
        <v>4099.2089941329941</v>
      </c>
      <c r="W85" s="652">
        <f ca="1">+W57</f>
        <v>4392.7447263255117</v>
      </c>
      <c r="X85" s="652">
        <f ca="1">+X57</f>
        <v>4645.4258758979531</v>
      </c>
      <c r="Y85" s="652">
        <f ca="1">+Y57</f>
        <v>4897.8408749938708</v>
      </c>
      <c r="Z85" s="652">
        <f ca="1">+Z57</f>
        <v>5161.510639654336</v>
      </c>
    </row>
    <row r="86" spans="1:26" hidden="1" outlineLevel="1">
      <c r="A86" s="35" t="s">
        <v>532</v>
      </c>
      <c r="B86" s="584"/>
      <c r="C86" s="584"/>
      <c r="D86" s="584"/>
      <c r="E86" s="584"/>
      <c r="F86" s="584"/>
      <c r="G86" s="584"/>
      <c r="H86" s="584"/>
      <c r="I86" s="580"/>
      <c r="J86" s="652"/>
      <c r="K86" s="658"/>
      <c r="L86" s="659"/>
      <c r="M86" s="659"/>
      <c r="N86" s="375"/>
      <c r="O86" s="375"/>
      <c r="P86" s="660"/>
      <c r="Q86" s="652"/>
      <c r="R86" s="652"/>
      <c r="S86" s="652"/>
      <c r="T86" s="652"/>
      <c r="U86" s="652"/>
      <c r="V86" s="652"/>
      <c r="W86" s="652"/>
      <c r="X86" s="652"/>
      <c r="Y86" s="652"/>
      <c r="Z86" s="652"/>
    </row>
    <row r="87" spans="1:26" hidden="1" outlineLevel="1">
      <c r="A87" s="261" t="s">
        <v>533</v>
      </c>
      <c r="B87" s="584"/>
      <c r="C87" s="584"/>
      <c r="D87" s="584"/>
      <c r="E87" s="584"/>
      <c r="F87" s="584"/>
      <c r="G87" s="584"/>
      <c r="H87" s="584"/>
      <c r="I87" s="580"/>
      <c r="J87" s="652"/>
      <c r="K87" s="658"/>
      <c r="L87" s="659"/>
      <c r="M87" s="659"/>
      <c r="N87" s="375"/>
      <c r="O87" s="375"/>
      <c r="P87" s="660"/>
      <c r="Q87" s="652"/>
      <c r="R87" s="652"/>
      <c r="S87" s="652"/>
      <c r="T87" s="652"/>
      <c r="U87" s="652"/>
      <c r="V87" s="652"/>
      <c r="W87" s="652"/>
      <c r="X87" s="652"/>
      <c r="Y87" s="652"/>
      <c r="Z87" s="652"/>
    </row>
    <row r="88" spans="1:26" hidden="1" outlineLevel="1">
      <c r="A88" s="261" t="s">
        <v>534</v>
      </c>
      <c r="B88" s="584"/>
      <c r="C88" s="584"/>
      <c r="D88" s="584"/>
      <c r="E88" s="584"/>
      <c r="F88" s="584"/>
      <c r="G88" s="584"/>
      <c r="H88" s="584"/>
      <c r="I88" s="580"/>
      <c r="J88" s="661">
        <v>200</v>
      </c>
      <c r="K88" s="658"/>
      <c r="L88" s="662">
        <v>250</v>
      </c>
      <c r="M88" s="659"/>
      <c r="N88" s="375"/>
      <c r="O88" s="375"/>
      <c r="P88" s="660"/>
      <c r="Q88" s="652"/>
      <c r="R88" s="652"/>
      <c r="S88" s="652"/>
      <c r="T88" s="652"/>
      <c r="U88" s="652"/>
      <c r="V88" s="652"/>
      <c r="W88" s="652"/>
      <c r="X88" s="652"/>
      <c r="Y88" s="652"/>
      <c r="Z88" s="652"/>
    </row>
    <row r="89" spans="1:26" hidden="1" outlineLevel="1">
      <c r="A89" s="261" t="s">
        <v>535</v>
      </c>
      <c r="B89" s="584"/>
      <c r="C89" s="584"/>
      <c r="D89" s="584"/>
      <c r="E89" s="584"/>
      <c r="F89" s="584"/>
      <c r="G89" s="584"/>
      <c r="H89" s="584"/>
      <c r="I89" s="580"/>
      <c r="J89" s="652" t="e">
        <f>+J44+#REF!</f>
        <v>#REF!</v>
      </c>
      <c r="K89" s="658" t="e">
        <f>+K44+#REF!</f>
        <v>#REF!</v>
      </c>
      <c r="L89" s="659" t="e">
        <f>+L44+#REF!</f>
        <v>#REF!</v>
      </c>
      <c r="M89" s="659" t="e">
        <f>+M44+#REF!</f>
        <v>#REF!</v>
      </c>
      <c r="N89" s="375" t="e">
        <f>+N44+#REF!</f>
        <v>#REF!</v>
      </c>
      <c r="O89" s="375" t="e">
        <f>+O44+#REF!</f>
        <v>#REF!</v>
      </c>
      <c r="P89" s="660" t="e">
        <f>+P44+#REF!</f>
        <v>#REF!</v>
      </c>
      <c r="Q89" s="652" t="e">
        <f>+Q44+#REF!</f>
        <v>#REF!</v>
      </c>
      <c r="R89" s="652" t="e">
        <f>+R44+#REF!</f>
        <v>#REF!</v>
      </c>
      <c r="S89" s="652" t="e">
        <f>+S44+#REF!</f>
        <v>#REF!</v>
      </c>
      <c r="T89" s="652" t="e">
        <f>+T44+#REF!</f>
        <v>#REF!</v>
      </c>
      <c r="U89" s="652" t="e">
        <f>+U44+#REF!</f>
        <v>#REF!</v>
      </c>
      <c r="V89" s="652" t="e">
        <f>+V44+#REF!</f>
        <v>#REF!</v>
      </c>
      <c r="W89" s="652" t="e">
        <f>+W44+#REF!</f>
        <v>#REF!</v>
      </c>
      <c r="X89" s="652" t="e">
        <f>+X44+#REF!</f>
        <v>#REF!</v>
      </c>
      <c r="Y89" s="652" t="e">
        <f>+Y44+#REF!</f>
        <v>#REF!</v>
      </c>
      <c r="Z89" s="652" t="e">
        <f>+Z44+#REF!</f>
        <v>#REF!</v>
      </c>
    </row>
    <row r="90" spans="1:26" hidden="1" outlineLevel="1">
      <c r="A90" s="35" t="s">
        <v>536</v>
      </c>
      <c r="B90" s="584"/>
      <c r="C90" s="584"/>
      <c r="D90" s="584"/>
      <c r="E90" s="584"/>
      <c r="F90" s="584"/>
      <c r="G90" s="584"/>
      <c r="H90" s="584"/>
      <c r="I90" s="580"/>
      <c r="J90" s="652" t="e">
        <f>+SUM(J85:J89)</f>
        <v>#REF!</v>
      </c>
      <c r="K90" s="658" t="e">
        <f t="shared" ref="K90:U90" si="20">+SUM(K85:K89)</f>
        <v>#REF!</v>
      </c>
      <c r="L90" s="659" t="e">
        <f t="shared" si="20"/>
        <v>#REF!</v>
      </c>
      <c r="M90" s="659" t="e">
        <f t="shared" si="20"/>
        <v>#REF!</v>
      </c>
      <c r="N90" s="375" t="e">
        <f t="shared" si="20"/>
        <v>#REF!</v>
      </c>
      <c r="O90" s="375" t="e">
        <f t="shared" si="20"/>
        <v>#REF!</v>
      </c>
      <c r="P90" s="660" t="e">
        <f t="shared" si="20"/>
        <v>#REF!</v>
      </c>
      <c r="Q90" s="652" t="e">
        <f t="shared" si="20"/>
        <v>#REF!</v>
      </c>
      <c r="R90" s="652" t="e">
        <f t="shared" si="20"/>
        <v>#REF!</v>
      </c>
      <c r="S90" s="652" t="e">
        <f t="shared" ca="1" si="20"/>
        <v>#REF!</v>
      </c>
      <c r="T90" s="652" t="e">
        <f t="shared" ca="1" si="20"/>
        <v>#REF!</v>
      </c>
      <c r="U90" s="652" t="e">
        <f t="shared" ca="1" si="20"/>
        <v>#REF!</v>
      </c>
      <c r="V90" s="652" t="e">
        <f ca="1">+SUM(V85:V89)</f>
        <v>#REF!</v>
      </c>
      <c r="W90" s="652" t="e">
        <f ca="1">+SUM(W85:W89)</f>
        <v>#REF!</v>
      </c>
      <c r="X90" s="652" t="e">
        <f ca="1">+SUM(X85:X89)</f>
        <v>#REF!</v>
      </c>
      <c r="Y90" s="652" t="e">
        <f ca="1">+SUM(Y85:Y89)</f>
        <v>#REF!</v>
      </c>
      <c r="Z90" s="652" t="e">
        <f ca="1">+SUM(Z85:Z89)</f>
        <v>#REF!</v>
      </c>
    </row>
    <row r="91" spans="1:26" hidden="1" outlineLevel="1">
      <c r="A91" s="35" t="s">
        <v>537</v>
      </c>
      <c r="B91" s="584"/>
      <c r="C91" s="584"/>
      <c r="D91" s="584"/>
      <c r="E91" s="584"/>
      <c r="F91" s="584"/>
      <c r="G91" s="584"/>
      <c r="H91" s="584"/>
      <c r="I91" s="580"/>
      <c r="J91" s="652">
        <f>+IS!K76</f>
        <v>768.55999999999983</v>
      </c>
      <c r="K91" s="658">
        <f>+IS!L76</f>
        <v>891.79999999999984</v>
      </c>
      <c r="L91" s="659">
        <f>+IS!M76</f>
        <v>917.79999999999984</v>
      </c>
      <c r="M91" s="663">
        <f t="shared" ref="M91:U91" si="21">+-M43</f>
        <v>2058</v>
      </c>
      <c r="N91" s="375">
        <f t="shared" si="21"/>
        <v>943</v>
      </c>
      <c r="O91" s="375">
        <f t="shared" si="21"/>
        <v>964</v>
      </c>
      <c r="P91" s="660">
        <f t="shared" si="21"/>
        <v>1008</v>
      </c>
      <c r="Q91" s="652">
        <f t="shared" si="21"/>
        <v>1094</v>
      </c>
      <c r="R91" s="652">
        <f t="shared" si="21"/>
        <v>1198</v>
      </c>
      <c r="S91" s="652">
        <f t="shared" ca="1" si="21"/>
        <v>1545.8810511429642</v>
      </c>
      <c r="T91" s="652">
        <f t="shared" ca="1" si="21"/>
        <v>1648.0770308300582</v>
      </c>
      <c r="U91" s="652">
        <f t="shared" ca="1" si="21"/>
        <v>1753.178153935997</v>
      </c>
      <c r="V91" s="652">
        <f ca="1">+-V43</f>
        <v>1863.1313086263417</v>
      </c>
      <c r="W91" s="652">
        <f ca="1">+-W43</f>
        <v>1964.9046539212429</v>
      </c>
      <c r="X91" s="652">
        <f ca="1">+-X43</f>
        <v>2061.9795351323337</v>
      </c>
      <c r="Y91" s="652">
        <f ca="1">+-Y43</f>
        <v>2162.5776370729554</v>
      </c>
      <c r="Z91" s="652">
        <f ca="1">+-Z43</f>
        <v>2266.2082350243004</v>
      </c>
    </row>
    <row r="92" spans="1:26" hidden="1" outlineLevel="1">
      <c r="A92" s="35" t="s">
        <v>203</v>
      </c>
      <c r="B92" s="584"/>
      <c r="C92" s="584"/>
      <c r="D92" s="584"/>
      <c r="E92" s="584"/>
      <c r="F92" s="584"/>
      <c r="G92" s="584"/>
      <c r="H92" s="584"/>
      <c r="I92" s="580"/>
      <c r="J92" s="375">
        <f>+-J34</f>
        <v>0</v>
      </c>
      <c r="K92" s="664">
        <f>+-K34</f>
        <v>0</v>
      </c>
      <c r="L92" s="375">
        <f>+-L34</f>
        <v>0</v>
      </c>
      <c r="M92" s="665" t="e">
        <f>+(M90-M91)*0</f>
        <v>#REF!</v>
      </c>
      <c r="N92" s="375">
        <v>0</v>
      </c>
      <c r="O92" s="375">
        <v>0</v>
      </c>
      <c r="P92" s="660" t="e">
        <f t="shared" ref="P92:U92" si="22">+(P90-P91)*0.5</f>
        <v>#REF!</v>
      </c>
      <c r="Q92" s="652" t="e">
        <f t="shared" si="22"/>
        <v>#REF!</v>
      </c>
      <c r="R92" s="652" t="e">
        <f t="shared" si="22"/>
        <v>#REF!</v>
      </c>
      <c r="S92" s="652" t="e">
        <f t="shared" ca="1" si="22"/>
        <v>#REF!</v>
      </c>
      <c r="T92" s="652" t="e">
        <f t="shared" ca="1" si="22"/>
        <v>#REF!</v>
      </c>
      <c r="U92" s="652" t="e">
        <f t="shared" ca="1" si="22"/>
        <v>#REF!</v>
      </c>
      <c r="V92" s="652" t="e">
        <f ca="1">+(V90-V91)*0.5</f>
        <v>#REF!</v>
      </c>
      <c r="W92" s="652" t="e">
        <f ca="1">+(W90-W91)*0.5</f>
        <v>#REF!</v>
      </c>
      <c r="X92" s="652" t="e">
        <f ca="1">+(X90-X91)*0.5</f>
        <v>#REF!</v>
      </c>
      <c r="Y92" s="652" t="e">
        <f ca="1">+(Y90-Y91)*0.5</f>
        <v>#REF!</v>
      </c>
      <c r="Z92" s="652" t="e">
        <f ca="1">+(Z90-Z91)*0.5</f>
        <v>#REF!</v>
      </c>
    </row>
    <row r="93" spans="1:26" hidden="1" outlineLevel="1">
      <c r="A93" s="35" t="s">
        <v>538</v>
      </c>
      <c r="B93" s="584"/>
      <c r="C93" s="584"/>
      <c r="D93" s="584"/>
      <c r="E93" s="584"/>
      <c r="F93" s="584"/>
      <c r="G93" s="584"/>
      <c r="H93" s="584"/>
      <c r="I93" s="580"/>
      <c r="J93" s="375">
        <f>+-J38+-J36</f>
        <v>1209</v>
      </c>
      <c r="K93" s="666">
        <f>+-K38+-K36</f>
        <v>2998</v>
      </c>
      <c r="L93" s="634">
        <f>+-L38+-L36</f>
        <v>1679</v>
      </c>
      <c r="M93" s="667" t="e">
        <f>+(M90-M91)</f>
        <v>#REF!</v>
      </c>
      <c r="N93" s="668">
        <v>0</v>
      </c>
      <c r="O93" s="634">
        <v>0</v>
      </c>
      <c r="P93" s="669" t="e">
        <f t="shared" ref="P93:U93" si="23">+(P90-P91)*0.5</f>
        <v>#REF!</v>
      </c>
      <c r="Q93" s="652" t="e">
        <f t="shared" si="23"/>
        <v>#REF!</v>
      </c>
      <c r="R93" s="652" t="e">
        <f t="shared" si="23"/>
        <v>#REF!</v>
      </c>
      <c r="S93" s="652" t="e">
        <f t="shared" ca="1" si="23"/>
        <v>#REF!</v>
      </c>
      <c r="T93" s="652" t="e">
        <f t="shared" ca="1" si="23"/>
        <v>#REF!</v>
      </c>
      <c r="U93" s="652" t="e">
        <f t="shared" ca="1" si="23"/>
        <v>#REF!</v>
      </c>
      <c r="V93" s="652" t="e">
        <f ca="1">+(V90-V91)*0.5</f>
        <v>#REF!</v>
      </c>
      <c r="W93" s="652" t="e">
        <f ca="1">+(W90-W91)*0.5</f>
        <v>#REF!</v>
      </c>
      <c r="X93" s="652" t="e">
        <f ca="1">+(X90-X91)*0.5</f>
        <v>#REF!</v>
      </c>
      <c r="Y93" s="652" t="e">
        <f ca="1">+(Y90-Y91)*0.5</f>
        <v>#REF!</v>
      </c>
      <c r="Z93" s="652" t="e">
        <f ca="1">+(Z90-Z91)*0.5</f>
        <v>#REF!</v>
      </c>
    </row>
    <row r="94" spans="1:26" hidden="1" outlineLevel="1">
      <c r="A94" s="35" t="s">
        <v>539</v>
      </c>
      <c r="B94" s="584"/>
      <c r="C94" s="584"/>
      <c r="D94" s="584"/>
      <c r="E94" s="584"/>
      <c r="F94" s="584"/>
      <c r="G94" s="584"/>
      <c r="H94" s="584"/>
      <c r="I94" s="580"/>
      <c r="J94" s="652" t="e">
        <f>+J90-SUM(J91:J93)</f>
        <v>#REF!</v>
      </c>
      <c r="K94" s="652" t="e">
        <f>+K90-SUM(K91:K93)</f>
        <v>#REF!</v>
      </c>
      <c r="L94" s="652" t="e">
        <f>+L90-SUM(L91:L93)</f>
        <v>#REF!</v>
      </c>
      <c r="M94" s="652" t="e">
        <f>+M90-SUM(M91:M93)</f>
        <v>#REF!</v>
      </c>
      <c r="N94" s="652" t="e">
        <f>+N90-SUM(N91:N93)</f>
        <v>#REF!</v>
      </c>
      <c r="O94" s="652" t="e">
        <f t="shared" ref="O94:U94" si="24">+O90-SUM(O91:O93)</f>
        <v>#REF!</v>
      </c>
      <c r="P94" s="652" t="e">
        <f t="shared" si="24"/>
        <v>#REF!</v>
      </c>
      <c r="Q94" s="652" t="e">
        <f t="shared" si="24"/>
        <v>#REF!</v>
      </c>
      <c r="R94" s="652" t="e">
        <f t="shared" si="24"/>
        <v>#REF!</v>
      </c>
      <c r="S94" s="652" t="e">
        <f t="shared" ca="1" si="24"/>
        <v>#REF!</v>
      </c>
      <c r="T94" s="652" t="e">
        <f t="shared" ca="1" si="24"/>
        <v>#REF!</v>
      </c>
      <c r="U94" s="652" t="e">
        <f t="shared" ca="1" si="24"/>
        <v>#REF!</v>
      </c>
      <c r="V94" s="652" t="e">
        <f ca="1">+V90-SUM(V91:V93)</f>
        <v>#REF!</v>
      </c>
      <c r="W94" s="652" t="e">
        <f ca="1">+W90-SUM(W91:W93)</f>
        <v>#REF!</v>
      </c>
      <c r="X94" s="652" t="e">
        <f ca="1">+X90-SUM(X91:X93)</f>
        <v>#REF!</v>
      </c>
      <c r="Y94" s="652" t="e">
        <f ca="1">+Y90-SUM(Y91:Y93)</f>
        <v>#REF!</v>
      </c>
      <c r="Z94" s="652" t="e">
        <f ca="1">+Z90-SUM(Z91:Z93)</f>
        <v>#REF!</v>
      </c>
    </row>
    <row r="95" spans="1:26" collapsed="1">
      <c r="A95" s="35"/>
      <c r="B95" s="584"/>
      <c r="C95" s="584"/>
      <c r="D95" s="584"/>
      <c r="E95" s="584"/>
      <c r="F95" s="584"/>
      <c r="G95" s="584"/>
      <c r="H95" s="584"/>
      <c r="I95" s="580"/>
      <c r="J95" s="610"/>
      <c r="K95" s="610"/>
      <c r="L95" s="610"/>
      <c r="M95" s="610"/>
      <c r="N95" s="610"/>
      <c r="O95" s="610"/>
      <c r="P95" s="610"/>
      <c r="Q95" s="610"/>
      <c r="R95" s="610"/>
      <c r="S95" s="610"/>
      <c r="T95" s="610"/>
      <c r="U95" s="610"/>
      <c r="V95" s="610"/>
      <c r="W95" s="610"/>
      <c r="X95" s="610"/>
      <c r="Y95" s="610"/>
      <c r="Z95" s="610"/>
    </row>
    <row r="96" spans="1:26">
      <c r="A96" s="35"/>
      <c r="B96" s="584"/>
      <c r="C96" s="584"/>
      <c r="D96" s="584"/>
      <c r="E96" s="584"/>
      <c r="F96" s="584"/>
      <c r="G96" s="584"/>
      <c r="H96" s="584"/>
      <c r="I96" s="580"/>
      <c r="J96" s="610"/>
      <c r="K96" s="610"/>
      <c r="L96" s="610"/>
      <c r="M96" s="610"/>
      <c r="N96" s="610"/>
      <c r="O96" s="610"/>
      <c r="P96" s="610"/>
      <c r="Q96" s="610"/>
      <c r="R96" s="610"/>
      <c r="S96" s="610"/>
      <c r="T96" s="610"/>
      <c r="U96" s="610"/>
      <c r="V96" s="610"/>
      <c r="W96" s="610"/>
      <c r="X96" s="610"/>
      <c r="Y96" s="610"/>
      <c r="Z96" s="610"/>
    </row>
    <row r="97" spans="1:26">
      <c r="A97" s="35"/>
      <c r="B97" s="584"/>
      <c r="C97" s="584"/>
      <c r="D97" s="584"/>
      <c r="E97" s="584"/>
      <c r="F97" s="584"/>
      <c r="G97" s="584"/>
      <c r="H97" s="584"/>
      <c r="I97" s="580"/>
      <c r="J97" s="610"/>
      <c r="K97" s="610"/>
      <c r="L97" s="610"/>
      <c r="M97" s="610"/>
      <c r="N97" s="610"/>
      <c r="O97" s="610"/>
      <c r="P97" s="610"/>
      <c r="Q97" s="610"/>
      <c r="R97" s="610"/>
      <c r="S97" s="610"/>
      <c r="T97" s="610"/>
      <c r="U97" s="610"/>
      <c r="V97" s="610"/>
      <c r="W97" s="610"/>
      <c r="X97" s="610"/>
      <c r="Y97" s="610"/>
      <c r="Z97" s="610"/>
    </row>
    <row r="98" spans="1:26">
      <c r="A98" s="35"/>
      <c r="B98" s="584"/>
      <c r="C98" s="584"/>
      <c r="D98" s="584"/>
      <c r="E98" s="584"/>
      <c r="F98" s="584"/>
      <c r="G98" s="584"/>
      <c r="H98" s="584"/>
      <c r="I98" s="580"/>
      <c r="J98" s="610"/>
      <c r="K98" s="610"/>
      <c r="L98" s="610"/>
      <c r="M98" s="610"/>
      <c r="N98" s="610"/>
      <c r="O98" s="610"/>
      <c r="P98" s="610"/>
      <c r="Q98" s="610"/>
      <c r="R98" s="610"/>
      <c r="S98" s="610"/>
      <c r="T98" s="610"/>
      <c r="U98" s="610"/>
      <c r="V98" s="610"/>
      <c r="W98" s="610"/>
      <c r="X98" s="610"/>
      <c r="Y98" s="610"/>
      <c r="Z98" s="610"/>
    </row>
    <row r="99" spans="1:26">
      <c r="A99" s="35"/>
      <c r="H99" s="584"/>
      <c r="I99" s="580"/>
      <c r="J99" s="610"/>
      <c r="K99" s="610"/>
      <c r="L99" s="610"/>
      <c r="M99" s="610"/>
      <c r="N99" s="610"/>
      <c r="O99" s="610"/>
      <c r="P99" s="610"/>
      <c r="Q99" s="610"/>
      <c r="R99" s="610"/>
      <c r="S99" s="610"/>
      <c r="T99" s="610"/>
      <c r="U99" s="610"/>
      <c r="V99" s="610"/>
      <c r="W99" s="610"/>
      <c r="X99" s="610"/>
      <c r="Y99" s="610"/>
      <c r="Z99" s="610"/>
    </row>
    <row r="100" spans="1:26">
      <c r="A100" s="35"/>
      <c r="B100" s="584"/>
      <c r="C100" s="584"/>
      <c r="D100" s="584"/>
      <c r="E100" s="584"/>
      <c r="F100" s="584"/>
      <c r="G100" s="584"/>
      <c r="H100" s="584"/>
      <c r="I100" s="580"/>
      <c r="J100" s="610"/>
      <c r="K100" s="610"/>
      <c r="L100" s="610"/>
      <c r="M100" s="610"/>
      <c r="N100" s="610"/>
      <c r="O100" s="610"/>
      <c r="P100" s="610"/>
      <c r="Q100" s="610"/>
      <c r="R100" s="610"/>
      <c r="S100" s="610"/>
      <c r="T100" s="610"/>
      <c r="U100" s="610"/>
      <c r="V100" s="610"/>
      <c r="W100" s="610"/>
      <c r="X100" s="610"/>
      <c r="Y100" s="610"/>
      <c r="Z100" s="610"/>
    </row>
    <row r="101" spans="1:26">
      <c r="A101" s="35"/>
      <c r="B101" s="584"/>
      <c r="C101" s="584"/>
      <c r="D101" s="584"/>
      <c r="E101" s="584"/>
      <c r="F101" s="584"/>
      <c r="G101" s="584"/>
      <c r="H101" s="584"/>
      <c r="I101" s="580"/>
      <c r="J101" s="610"/>
      <c r="K101" s="610"/>
      <c r="L101" s="610"/>
      <c r="M101" s="610"/>
      <c r="N101" s="610"/>
      <c r="O101" s="610"/>
      <c r="P101" s="610"/>
      <c r="Q101" s="610"/>
      <c r="R101" s="610"/>
      <c r="S101" s="610"/>
      <c r="T101" s="610"/>
      <c r="U101" s="610"/>
      <c r="V101" s="610"/>
      <c r="W101" s="610"/>
      <c r="X101" s="610"/>
      <c r="Y101" s="610"/>
      <c r="Z101" s="610"/>
    </row>
    <row r="102" spans="1:26">
      <c r="A102" s="35"/>
      <c r="B102" s="584"/>
      <c r="C102" s="584"/>
      <c r="D102" s="584"/>
      <c r="E102" s="584"/>
      <c r="F102" s="584"/>
      <c r="G102" s="584"/>
      <c r="H102" s="584"/>
      <c r="I102" s="580"/>
      <c r="J102" s="610"/>
      <c r="K102" s="610"/>
      <c r="L102" s="610"/>
      <c r="M102" s="610"/>
      <c r="N102" s="610"/>
      <c r="O102" s="610"/>
      <c r="P102" s="610"/>
      <c r="Q102" s="610"/>
      <c r="R102" s="610"/>
      <c r="S102" s="610"/>
      <c r="T102" s="610"/>
      <c r="U102" s="610"/>
      <c r="V102" s="610"/>
      <c r="W102" s="610"/>
      <c r="X102" s="610"/>
      <c r="Y102" s="610"/>
      <c r="Z102" s="610"/>
    </row>
    <row r="103" spans="1:26">
      <c r="A103" s="35"/>
      <c r="B103" s="584"/>
      <c r="C103" s="584"/>
      <c r="D103" s="584"/>
      <c r="E103" s="584"/>
      <c r="F103" s="584"/>
      <c r="G103" s="584"/>
      <c r="H103" s="584"/>
      <c r="I103" s="580"/>
      <c r="J103" s="610"/>
      <c r="K103" s="610"/>
      <c r="L103" s="610"/>
      <c r="M103" s="610"/>
      <c r="N103" s="610"/>
      <c r="O103" s="610"/>
      <c r="P103" s="610"/>
      <c r="Q103" s="610"/>
      <c r="R103" s="610"/>
      <c r="S103" s="610"/>
      <c r="T103" s="610"/>
      <c r="U103" s="610"/>
      <c r="V103" s="610"/>
      <c r="W103" s="610"/>
      <c r="X103" s="610"/>
      <c r="Y103" s="610"/>
      <c r="Z103" s="610"/>
    </row>
    <row r="104" spans="1:26">
      <c r="A104" s="35"/>
      <c r="B104" s="584"/>
      <c r="C104" s="584"/>
      <c r="D104" s="584"/>
      <c r="E104" s="584"/>
      <c r="F104" s="584"/>
      <c r="G104" s="584"/>
      <c r="H104" s="584"/>
      <c r="I104" s="580"/>
      <c r="J104" s="610"/>
      <c r="K104" s="610"/>
      <c r="L104" s="610"/>
      <c r="M104" s="610"/>
      <c r="N104" s="610"/>
      <c r="O104" s="610"/>
      <c r="P104" s="610"/>
      <c r="Q104" s="610"/>
      <c r="R104" s="610"/>
      <c r="S104" s="610"/>
      <c r="T104" s="610"/>
      <c r="U104" s="610"/>
      <c r="V104" s="610"/>
      <c r="W104" s="610"/>
      <c r="X104" s="610"/>
      <c r="Y104" s="610"/>
      <c r="Z104" s="610"/>
    </row>
    <row r="105" spans="1:26">
      <c r="A105" s="35"/>
      <c r="B105" s="584"/>
      <c r="C105" s="584"/>
      <c r="D105" s="584"/>
      <c r="E105" s="584"/>
      <c r="F105" s="584"/>
      <c r="G105" s="584"/>
      <c r="H105" s="584"/>
      <c r="I105" s="580"/>
      <c r="J105" s="610"/>
      <c r="K105" s="610"/>
      <c r="L105" s="610"/>
      <c r="M105" s="610"/>
      <c r="N105" s="610"/>
      <c r="O105" s="610"/>
      <c r="P105" s="610"/>
      <c r="Q105" s="610"/>
      <c r="R105" s="610"/>
      <c r="S105" s="610"/>
      <c r="T105" s="610"/>
      <c r="U105" s="610"/>
      <c r="V105" s="610"/>
      <c r="W105" s="610"/>
      <c r="X105" s="610"/>
      <c r="Y105" s="610"/>
      <c r="Z105" s="610"/>
    </row>
    <row r="106" spans="1:26">
      <c r="A106" s="35"/>
      <c r="B106" s="584"/>
      <c r="C106" s="584"/>
      <c r="D106" s="584"/>
      <c r="E106" s="584"/>
      <c r="F106" s="584"/>
      <c r="G106" s="584"/>
      <c r="H106" s="584"/>
      <c r="I106" s="580"/>
      <c r="J106" s="610"/>
      <c r="K106" s="610"/>
      <c r="L106" s="610"/>
      <c r="M106" s="610"/>
      <c r="N106" s="610"/>
      <c r="O106" s="610"/>
      <c r="P106" s="610"/>
      <c r="Q106" s="610"/>
      <c r="R106" s="610"/>
      <c r="S106" s="610"/>
      <c r="T106" s="610"/>
      <c r="U106" s="610"/>
      <c r="V106" s="610"/>
      <c r="W106" s="610"/>
      <c r="X106" s="610"/>
      <c r="Y106" s="610"/>
      <c r="Z106" s="610"/>
    </row>
    <row r="107" spans="1:26">
      <c r="A107" s="35"/>
      <c r="B107" s="584"/>
      <c r="C107" s="584"/>
      <c r="D107" s="584"/>
      <c r="E107" s="584"/>
      <c r="F107" s="584"/>
      <c r="G107" s="584"/>
      <c r="H107" s="584"/>
      <c r="I107" s="580"/>
      <c r="J107" s="610"/>
      <c r="K107" s="610"/>
      <c r="L107" s="610"/>
      <c r="M107" s="610"/>
      <c r="N107" s="610"/>
      <c r="O107" s="610"/>
      <c r="P107" s="610"/>
      <c r="Q107" s="610"/>
      <c r="R107" s="610"/>
      <c r="S107" s="610"/>
      <c r="T107" s="610"/>
      <c r="U107" s="610"/>
      <c r="V107" s="610"/>
      <c r="W107" s="610"/>
      <c r="X107" s="610"/>
      <c r="Y107" s="610"/>
      <c r="Z107" s="610"/>
    </row>
    <row r="108" spans="1:26">
      <c r="A108" s="35"/>
      <c r="B108" s="584"/>
      <c r="C108" s="584"/>
      <c r="D108" s="584"/>
      <c r="E108" s="584"/>
      <c r="F108" s="584"/>
      <c r="G108" s="584"/>
      <c r="H108" s="584"/>
      <c r="I108" s="580"/>
      <c r="J108" s="610"/>
      <c r="K108" s="610"/>
      <c r="L108" s="610"/>
      <c r="M108" s="610"/>
      <c r="N108" s="610"/>
      <c r="O108" s="610"/>
      <c r="P108" s="610"/>
      <c r="Q108" s="610"/>
      <c r="R108" s="610"/>
      <c r="S108" s="610"/>
      <c r="T108" s="610"/>
      <c r="U108" s="610"/>
      <c r="V108" s="610"/>
      <c r="W108" s="610"/>
      <c r="X108" s="610"/>
      <c r="Y108" s="610"/>
      <c r="Z108" s="610"/>
    </row>
    <row r="109" spans="1:26">
      <c r="A109" s="35"/>
      <c r="B109" s="584"/>
      <c r="C109" s="584"/>
      <c r="D109" s="584"/>
      <c r="E109" s="584"/>
      <c r="F109" s="584"/>
      <c r="G109" s="584"/>
      <c r="H109" s="584"/>
      <c r="I109" s="580"/>
      <c r="J109" s="610"/>
      <c r="K109" s="610"/>
      <c r="L109" s="610"/>
      <c r="M109" s="610"/>
      <c r="N109" s="610"/>
      <c r="O109" s="610"/>
      <c r="P109" s="610"/>
      <c r="Q109" s="610"/>
      <c r="R109" s="610"/>
      <c r="S109" s="610"/>
      <c r="T109" s="610"/>
      <c r="U109" s="610"/>
      <c r="V109" s="610"/>
      <c r="W109" s="610"/>
      <c r="X109" s="610"/>
      <c r="Y109" s="610"/>
      <c r="Z109" s="610"/>
    </row>
    <row r="110" spans="1:26">
      <c r="A110" s="35"/>
      <c r="B110" s="584"/>
      <c r="C110" s="584"/>
      <c r="D110" s="584"/>
      <c r="E110" s="584"/>
      <c r="F110" s="584"/>
      <c r="G110" s="584"/>
      <c r="H110" s="584"/>
      <c r="I110" s="580"/>
      <c r="J110" s="610"/>
      <c r="K110" s="610"/>
      <c r="L110" s="610"/>
      <c r="M110" s="610"/>
      <c r="N110" s="610"/>
      <c r="O110" s="610"/>
      <c r="P110" s="610"/>
      <c r="Q110" s="610"/>
      <c r="R110" s="610"/>
      <c r="S110" s="610"/>
      <c r="T110" s="610"/>
      <c r="U110" s="610"/>
      <c r="V110" s="610"/>
      <c r="W110" s="610"/>
      <c r="X110" s="610"/>
      <c r="Y110" s="610"/>
      <c r="Z110" s="610"/>
    </row>
    <row r="111" spans="1:26">
      <c r="A111" s="35"/>
      <c r="B111" s="584"/>
      <c r="C111" s="584"/>
      <c r="D111" s="584"/>
      <c r="E111" s="584"/>
      <c r="F111" s="584"/>
      <c r="G111" s="584"/>
      <c r="H111" s="584"/>
      <c r="I111" s="580"/>
      <c r="J111" s="610"/>
      <c r="K111" s="610"/>
      <c r="L111" s="610"/>
      <c r="M111" s="610"/>
      <c r="N111" s="610"/>
      <c r="O111" s="610"/>
      <c r="P111" s="610"/>
      <c r="Q111" s="610"/>
      <c r="R111" s="610"/>
      <c r="S111" s="610"/>
      <c r="T111" s="610"/>
      <c r="U111" s="610"/>
      <c r="V111" s="610"/>
      <c r="W111" s="610"/>
      <c r="X111" s="610"/>
      <c r="Y111" s="610"/>
      <c r="Z111" s="610"/>
    </row>
    <row r="112" spans="1:26">
      <c r="A112" s="35"/>
      <c r="B112" s="584"/>
      <c r="C112" s="584"/>
      <c r="D112" s="584"/>
      <c r="E112" s="584"/>
      <c r="F112" s="584"/>
      <c r="G112" s="584"/>
      <c r="H112" s="584"/>
      <c r="I112" s="580"/>
      <c r="J112" s="610"/>
      <c r="K112" s="610"/>
      <c r="L112" s="610"/>
      <c r="M112" s="610"/>
      <c r="N112" s="610"/>
      <c r="O112" s="610"/>
      <c r="P112" s="610"/>
      <c r="Q112" s="610"/>
      <c r="R112" s="610"/>
      <c r="S112" s="610"/>
      <c r="T112" s="610"/>
      <c r="U112" s="610"/>
      <c r="V112" s="610"/>
      <c r="W112" s="610"/>
      <c r="X112" s="610"/>
      <c r="Y112" s="610"/>
      <c r="Z112" s="610"/>
    </row>
    <row r="113" spans="1:26">
      <c r="A113" s="35"/>
      <c r="B113" s="584"/>
      <c r="C113" s="584"/>
      <c r="D113" s="584"/>
      <c r="E113" s="584"/>
      <c r="F113" s="584"/>
      <c r="G113" s="584"/>
      <c r="H113" s="584"/>
      <c r="I113" s="580"/>
      <c r="J113" s="610"/>
      <c r="K113" s="610"/>
      <c r="L113" s="610"/>
      <c r="M113" s="610"/>
      <c r="N113" s="610"/>
      <c r="O113" s="610"/>
      <c r="P113" s="610"/>
      <c r="Q113" s="610"/>
      <c r="R113" s="610"/>
      <c r="S113" s="610"/>
      <c r="T113" s="610"/>
      <c r="U113" s="610"/>
      <c r="V113" s="610"/>
      <c r="W113" s="610"/>
      <c r="X113" s="610"/>
      <c r="Y113" s="610"/>
      <c r="Z113" s="610"/>
    </row>
    <row r="114" spans="1:26">
      <c r="A114" s="35"/>
      <c r="B114" s="584"/>
      <c r="C114" s="584"/>
      <c r="D114" s="584"/>
      <c r="E114" s="584"/>
      <c r="F114" s="584"/>
      <c r="G114" s="584"/>
      <c r="H114" s="584"/>
      <c r="I114" s="580"/>
      <c r="J114" s="610"/>
      <c r="K114" s="610"/>
      <c r="L114" s="610"/>
      <c r="M114" s="610"/>
      <c r="N114" s="610"/>
      <c r="O114" s="610"/>
      <c r="P114" s="610"/>
      <c r="Q114" s="610"/>
      <c r="R114" s="610"/>
      <c r="S114" s="610"/>
      <c r="T114" s="610"/>
      <c r="U114" s="610"/>
      <c r="V114" s="610"/>
      <c r="W114" s="610"/>
      <c r="X114" s="610"/>
      <c r="Y114" s="610"/>
      <c r="Z114" s="610"/>
    </row>
    <row r="115" spans="1:26">
      <c r="A115" s="35"/>
      <c r="B115" s="584"/>
      <c r="C115" s="584"/>
      <c r="D115" s="584"/>
      <c r="E115" s="584"/>
      <c r="F115" s="584"/>
      <c r="G115" s="584"/>
      <c r="H115" s="584"/>
      <c r="I115" s="580"/>
      <c r="J115" s="610"/>
      <c r="K115" s="610"/>
      <c r="L115" s="610"/>
      <c r="M115" s="610"/>
      <c r="N115" s="610"/>
      <c r="O115" s="610"/>
      <c r="P115" s="610"/>
      <c r="Q115" s="610"/>
      <c r="R115" s="610"/>
      <c r="S115" s="610"/>
      <c r="T115" s="610"/>
      <c r="U115" s="610"/>
      <c r="V115" s="610"/>
      <c r="W115" s="610"/>
      <c r="X115" s="610"/>
      <c r="Y115" s="610"/>
      <c r="Z115" s="610"/>
    </row>
    <row r="116" spans="1:26">
      <c r="A116" s="35"/>
      <c r="B116" s="584"/>
      <c r="C116" s="584"/>
      <c r="D116" s="584"/>
      <c r="E116" s="584"/>
      <c r="F116" s="584"/>
      <c r="G116" s="584"/>
      <c r="H116" s="584"/>
      <c r="I116" s="580"/>
      <c r="J116" s="610"/>
      <c r="K116" s="610"/>
      <c r="L116" s="610"/>
      <c r="M116" s="610"/>
      <c r="N116" s="610"/>
      <c r="O116" s="610"/>
      <c r="P116" s="610"/>
      <c r="Q116" s="610"/>
      <c r="R116" s="610"/>
      <c r="S116" s="610"/>
      <c r="T116" s="610"/>
      <c r="U116" s="610"/>
      <c r="V116" s="610"/>
      <c r="W116" s="610"/>
      <c r="X116" s="610"/>
      <c r="Y116" s="610"/>
      <c r="Z116" s="610"/>
    </row>
    <row r="117" spans="1:26">
      <c r="A117" s="35"/>
      <c r="B117" s="584"/>
      <c r="C117" s="584"/>
      <c r="D117" s="584"/>
      <c r="E117" s="584"/>
      <c r="F117" s="584"/>
      <c r="G117" s="584"/>
      <c r="H117" s="584"/>
      <c r="I117" s="580"/>
      <c r="J117" s="610"/>
      <c r="K117" s="610"/>
      <c r="L117" s="610"/>
      <c r="M117" s="610"/>
      <c r="N117" s="610"/>
      <c r="O117" s="610"/>
      <c r="P117" s="610"/>
      <c r="Q117" s="610"/>
      <c r="R117" s="610"/>
      <c r="S117" s="610"/>
      <c r="T117" s="610"/>
      <c r="U117" s="610"/>
      <c r="V117" s="610"/>
      <c r="W117" s="610"/>
      <c r="X117" s="610"/>
      <c r="Y117" s="610"/>
      <c r="Z117" s="610"/>
    </row>
    <row r="118" spans="1:26">
      <c r="A118" s="35"/>
      <c r="B118" s="584"/>
      <c r="C118" s="584"/>
      <c r="D118" s="584"/>
      <c r="E118" s="584"/>
      <c r="F118" s="584"/>
      <c r="G118" s="584"/>
      <c r="H118" s="584"/>
      <c r="I118" s="580"/>
      <c r="J118" s="610"/>
      <c r="K118" s="610"/>
      <c r="L118" s="610"/>
      <c r="M118" s="610"/>
      <c r="N118" s="610"/>
      <c r="O118" s="610"/>
      <c r="P118" s="610"/>
      <c r="Q118" s="610"/>
      <c r="R118" s="610"/>
      <c r="S118" s="610"/>
      <c r="T118" s="610"/>
      <c r="U118" s="610"/>
      <c r="V118" s="610"/>
      <c r="W118" s="610"/>
      <c r="X118" s="610"/>
      <c r="Y118" s="610"/>
      <c r="Z118" s="610"/>
    </row>
    <row r="119" spans="1:26">
      <c r="A119" s="35"/>
      <c r="B119" s="584"/>
      <c r="C119" s="584"/>
      <c r="D119" s="584"/>
      <c r="E119" s="584"/>
      <c r="F119" s="584"/>
      <c r="G119" s="584"/>
      <c r="H119" s="584"/>
      <c r="I119" s="580"/>
      <c r="J119" s="610"/>
      <c r="K119" s="610"/>
      <c r="L119" s="610"/>
      <c r="M119" s="610"/>
      <c r="N119" s="610"/>
      <c r="O119" s="610"/>
      <c r="P119" s="610"/>
      <c r="Q119" s="610"/>
      <c r="R119" s="610"/>
      <c r="S119" s="610"/>
      <c r="T119" s="610"/>
      <c r="U119" s="610"/>
      <c r="V119" s="610"/>
      <c r="W119" s="610"/>
      <c r="X119" s="610"/>
      <c r="Y119" s="610"/>
      <c r="Z119" s="610"/>
    </row>
    <row r="120" spans="1:26">
      <c r="A120" s="35"/>
      <c r="B120" s="584"/>
      <c r="C120" s="584"/>
      <c r="D120" s="584"/>
      <c r="E120" s="584"/>
      <c r="F120" s="584"/>
      <c r="G120" s="584"/>
      <c r="H120" s="584"/>
      <c r="I120" s="580"/>
      <c r="J120" s="610"/>
      <c r="K120" s="610"/>
      <c r="L120" s="610"/>
      <c r="M120" s="610"/>
      <c r="N120" s="610"/>
      <c r="O120" s="610"/>
      <c r="P120" s="610"/>
      <c r="Q120" s="610"/>
      <c r="R120" s="610"/>
      <c r="S120" s="610"/>
      <c r="T120" s="610"/>
      <c r="U120" s="610"/>
      <c r="V120" s="610"/>
      <c r="W120" s="610"/>
      <c r="X120" s="610"/>
      <c r="Y120" s="610"/>
      <c r="Z120" s="610"/>
    </row>
    <row r="121" spans="1:26">
      <c r="A121" s="35"/>
      <c r="B121" s="584"/>
      <c r="C121" s="584"/>
      <c r="D121" s="584"/>
      <c r="E121" s="584"/>
      <c r="F121" s="584"/>
      <c r="G121" s="584"/>
      <c r="H121" s="584"/>
      <c r="I121" s="580"/>
      <c r="J121" s="610"/>
      <c r="K121" s="610"/>
      <c r="L121" s="610"/>
      <c r="M121" s="610"/>
      <c r="N121" s="610"/>
      <c r="O121" s="610"/>
      <c r="P121" s="610"/>
      <c r="Q121" s="610"/>
      <c r="R121" s="610"/>
      <c r="S121" s="610"/>
      <c r="T121" s="610"/>
      <c r="U121" s="610"/>
      <c r="V121" s="610"/>
      <c r="W121" s="610"/>
      <c r="X121" s="610"/>
      <c r="Y121" s="610"/>
      <c r="Z121" s="610"/>
    </row>
    <row r="122" spans="1:26">
      <c r="A122" s="35"/>
      <c r="B122" s="584"/>
      <c r="C122" s="584"/>
      <c r="D122" s="584"/>
      <c r="E122" s="584"/>
      <c r="F122" s="584"/>
      <c r="G122" s="584"/>
      <c r="H122" s="584"/>
      <c r="I122" s="580"/>
      <c r="J122" s="610"/>
      <c r="K122" s="610"/>
      <c r="L122" s="610"/>
      <c r="M122" s="610"/>
      <c r="N122" s="610"/>
      <c r="O122" s="610"/>
      <c r="P122" s="610"/>
      <c r="Q122" s="610"/>
      <c r="R122" s="610"/>
      <c r="S122" s="610"/>
      <c r="T122" s="610"/>
      <c r="U122" s="610"/>
      <c r="V122" s="610"/>
      <c r="W122" s="610"/>
      <c r="X122" s="610"/>
      <c r="Y122" s="610"/>
      <c r="Z122" s="610"/>
    </row>
    <row r="123" spans="1:26">
      <c r="A123" s="35"/>
      <c r="B123" s="584"/>
      <c r="C123" s="584"/>
      <c r="D123" s="584"/>
      <c r="E123" s="584"/>
      <c r="F123" s="584"/>
      <c r="G123" s="584"/>
      <c r="H123" s="584"/>
      <c r="I123" s="580"/>
      <c r="J123" s="610"/>
      <c r="K123" s="610"/>
      <c r="L123" s="610"/>
      <c r="M123" s="610"/>
      <c r="N123" s="610"/>
      <c r="O123" s="610"/>
      <c r="P123" s="610"/>
      <c r="Q123" s="610"/>
      <c r="R123" s="610"/>
      <c r="S123" s="610"/>
      <c r="T123" s="610"/>
      <c r="U123" s="610"/>
      <c r="V123" s="610"/>
      <c r="W123" s="610"/>
      <c r="X123" s="610"/>
      <c r="Y123" s="610"/>
      <c r="Z123" s="610"/>
    </row>
    <row r="124" spans="1:26">
      <c r="A124" s="35"/>
      <c r="B124" s="584"/>
      <c r="C124" s="584"/>
      <c r="D124" s="584"/>
      <c r="E124" s="584"/>
      <c r="F124" s="584"/>
      <c r="G124" s="584"/>
      <c r="H124" s="584"/>
      <c r="I124" s="580"/>
      <c r="J124" s="610"/>
      <c r="K124" s="610"/>
      <c r="L124" s="610"/>
      <c r="M124" s="610"/>
      <c r="N124" s="610"/>
      <c r="O124" s="610"/>
      <c r="P124" s="610"/>
      <c r="Q124" s="610"/>
      <c r="R124" s="610"/>
      <c r="S124" s="610"/>
      <c r="T124" s="610"/>
      <c r="U124" s="610"/>
      <c r="V124" s="610"/>
      <c r="W124" s="610"/>
      <c r="X124" s="610"/>
      <c r="Y124" s="610"/>
      <c r="Z124" s="610"/>
    </row>
    <row r="125" spans="1:26">
      <c r="A125" s="35"/>
      <c r="B125" s="584"/>
      <c r="C125" s="584"/>
      <c r="D125" s="584"/>
      <c r="E125" s="584"/>
      <c r="F125" s="584"/>
      <c r="G125" s="584"/>
      <c r="H125" s="584"/>
      <c r="I125" s="580"/>
      <c r="J125" s="610"/>
      <c r="K125" s="610"/>
      <c r="L125" s="610"/>
      <c r="M125" s="610"/>
      <c r="N125" s="610"/>
      <c r="O125" s="610"/>
      <c r="P125" s="610"/>
      <c r="Q125" s="610"/>
      <c r="R125" s="610"/>
      <c r="S125" s="610"/>
      <c r="T125" s="610"/>
      <c r="U125" s="610"/>
      <c r="V125" s="610"/>
      <c r="W125" s="610"/>
      <c r="X125" s="610"/>
      <c r="Y125" s="610"/>
      <c r="Z125" s="610"/>
    </row>
    <row r="126" spans="1:26">
      <c r="A126" s="35"/>
      <c r="B126" s="584"/>
      <c r="C126" s="584"/>
      <c r="D126" s="584"/>
      <c r="E126" s="584"/>
      <c r="F126" s="584"/>
      <c r="G126" s="584"/>
      <c r="H126" s="584"/>
      <c r="I126" s="580"/>
      <c r="J126" s="610"/>
      <c r="K126" s="610"/>
      <c r="L126" s="610"/>
      <c r="M126" s="610"/>
      <c r="N126" s="610"/>
      <c r="O126" s="610"/>
      <c r="P126" s="610"/>
      <c r="Q126" s="610"/>
      <c r="R126" s="610"/>
      <c r="S126" s="610"/>
      <c r="T126" s="610"/>
      <c r="U126" s="610"/>
      <c r="V126" s="610"/>
      <c r="W126" s="610"/>
      <c r="X126" s="610"/>
      <c r="Y126" s="610"/>
      <c r="Z126" s="610"/>
    </row>
    <row r="127" spans="1:26">
      <c r="A127" s="35"/>
      <c r="B127" s="584"/>
      <c r="C127" s="584"/>
      <c r="D127" s="584"/>
      <c r="E127" s="584"/>
      <c r="F127" s="584"/>
      <c r="G127" s="584"/>
      <c r="H127" s="584"/>
      <c r="I127" s="580"/>
      <c r="J127" s="610"/>
      <c r="K127" s="610"/>
      <c r="L127" s="610"/>
      <c r="M127" s="610"/>
      <c r="N127" s="610"/>
      <c r="O127" s="610"/>
      <c r="P127" s="610"/>
      <c r="Q127" s="610"/>
      <c r="R127" s="610"/>
      <c r="S127" s="610"/>
      <c r="T127" s="610"/>
      <c r="U127" s="610"/>
      <c r="V127" s="610"/>
      <c r="W127" s="610"/>
      <c r="X127" s="610"/>
      <c r="Y127" s="610"/>
      <c r="Z127" s="610"/>
    </row>
    <row r="128" spans="1:26">
      <c r="A128" s="35"/>
      <c r="B128" s="584"/>
      <c r="C128" s="584"/>
      <c r="D128" s="584"/>
      <c r="E128" s="584"/>
      <c r="F128" s="584"/>
      <c r="G128" s="584"/>
      <c r="H128" s="584"/>
      <c r="I128" s="580"/>
      <c r="J128" s="610"/>
      <c r="K128" s="610"/>
      <c r="L128" s="610"/>
      <c r="M128" s="610"/>
      <c r="N128" s="610"/>
      <c r="O128" s="610"/>
      <c r="P128" s="610"/>
      <c r="Q128" s="610"/>
      <c r="R128" s="610"/>
      <c r="S128" s="610"/>
      <c r="T128" s="610"/>
      <c r="U128" s="610"/>
      <c r="V128" s="610"/>
      <c r="W128" s="610"/>
      <c r="X128" s="610"/>
      <c r="Y128" s="610"/>
      <c r="Z128" s="610"/>
    </row>
    <row r="129" spans="1:26">
      <c r="A129" s="35"/>
      <c r="B129" s="584"/>
      <c r="C129" s="584"/>
      <c r="D129" s="584"/>
      <c r="E129" s="584"/>
      <c r="F129" s="584"/>
      <c r="G129" s="584"/>
      <c r="H129" s="584"/>
      <c r="I129" s="580"/>
      <c r="J129" s="610"/>
      <c r="K129" s="610"/>
      <c r="L129" s="610"/>
      <c r="M129" s="610"/>
      <c r="N129" s="610"/>
      <c r="O129" s="610"/>
      <c r="P129" s="610"/>
      <c r="Q129" s="610"/>
      <c r="R129" s="610"/>
      <c r="S129" s="610"/>
      <c r="T129" s="610"/>
      <c r="U129" s="610"/>
      <c r="V129" s="610"/>
      <c r="W129" s="610"/>
      <c r="X129" s="610"/>
      <c r="Y129" s="610"/>
      <c r="Z129" s="610"/>
    </row>
    <row r="130" spans="1:26">
      <c r="A130" s="35"/>
      <c r="B130" s="584"/>
      <c r="C130" s="584"/>
      <c r="D130" s="584"/>
      <c r="E130" s="584"/>
      <c r="F130" s="584"/>
      <c r="G130" s="584"/>
      <c r="H130" s="584"/>
      <c r="I130" s="580"/>
      <c r="J130" s="610"/>
      <c r="K130" s="610"/>
      <c r="L130" s="610"/>
      <c r="M130" s="610"/>
      <c r="N130" s="610"/>
      <c r="O130" s="610"/>
      <c r="P130" s="610"/>
      <c r="Q130" s="610"/>
      <c r="R130" s="610"/>
      <c r="S130" s="610"/>
      <c r="T130" s="610"/>
      <c r="U130" s="610"/>
      <c r="V130" s="610"/>
      <c r="W130" s="610"/>
      <c r="X130" s="610"/>
      <c r="Y130" s="610"/>
      <c r="Z130" s="610"/>
    </row>
    <row r="131" spans="1:26">
      <c r="A131" s="35"/>
      <c r="B131" s="584"/>
      <c r="C131" s="584"/>
      <c r="D131" s="584"/>
      <c r="E131" s="584"/>
      <c r="F131" s="584"/>
      <c r="G131" s="584"/>
      <c r="H131" s="584"/>
      <c r="I131" s="580"/>
      <c r="J131" s="610"/>
      <c r="K131" s="610"/>
      <c r="L131" s="610"/>
      <c r="M131" s="610"/>
      <c r="N131" s="610"/>
      <c r="O131" s="610"/>
      <c r="P131" s="610"/>
      <c r="Q131" s="610"/>
      <c r="R131" s="610"/>
      <c r="S131" s="610"/>
      <c r="T131" s="610"/>
      <c r="U131" s="610"/>
      <c r="V131" s="610"/>
      <c r="W131" s="610"/>
      <c r="X131" s="610"/>
      <c r="Y131" s="610"/>
      <c r="Z131" s="610"/>
    </row>
    <row r="132" spans="1:26">
      <c r="A132" s="35"/>
      <c r="B132" s="584"/>
      <c r="C132" s="584"/>
      <c r="D132" s="584"/>
      <c r="E132" s="584"/>
      <c r="F132" s="584"/>
      <c r="G132" s="584"/>
      <c r="H132" s="584"/>
      <c r="I132" s="580"/>
      <c r="J132" s="610"/>
      <c r="K132" s="610"/>
      <c r="L132" s="610"/>
      <c r="M132" s="610"/>
      <c r="N132" s="610"/>
      <c r="O132" s="610"/>
      <c r="P132" s="610"/>
      <c r="Q132" s="610"/>
      <c r="R132" s="610"/>
      <c r="S132" s="610"/>
      <c r="T132" s="610"/>
      <c r="U132" s="610"/>
      <c r="V132" s="610"/>
      <c r="W132" s="610"/>
      <c r="X132" s="610"/>
      <c r="Y132" s="610"/>
      <c r="Z132" s="610"/>
    </row>
    <row r="133" spans="1:26">
      <c r="A133" s="35"/>
      <c r="B133" s="584"/>
      <c r="C133" s="584"/>
      <c r="D133" s="584"/>
      <c r="E133" s="584"/>
      <c r="F133" s="584"/>
      <c r="G133" s="584"/>
      <c r="H133" s="584"/>
      <c r="I133" s="580"/>
      <c r="J133" s="610"/>
      <c r="K133" s="610"/>
      <c r="L133" s="610"/>
      <c r="M133" s="610"/>
      <c r="N133" s="610"/>
      <c r="O133" s="610"/>
      <c r="P133" s="610"/>
      <c r="Q133" s="610"/>
      <c r="R133" s="610"/>
      <c r="S133" s="610"/>
      <c r="T133" s="610"/>
      <c r="U133" s="610"/>
      <c r="V133" s="610"/>
      <c r="W133" s="610"/>
      <c r="X133" s="610"/>
      <c r="Y133" s="610"/>
      <c r="Z133" s="610"/>
    </row>
    <row r="134" spans="1:26">
      <c r="A134" s="35"/>
      <c r="B134" s="584"/>
      <c r="C134" s="584"/>
      <c r="D134" s="584"/>
      <c r="E134" s="584"/>
      <c r="F134" s="584"/>
      <c r="G134" s="584"/>
      <c r="H134" s="584"/>
      <c r="I134" s="580"/>
      <c r="J134" s="610"/>
      <c r="K134" s="610"/>
      <c r="L134" s="610"/>
      <c r="M134" s="610"/>
      <c r="N134" s="610"/>
      <c r="O134" s="610"/>
      <c r="P134" s="610"/>
      <c r="Q134" s="610"/>
      <c r="R134" s="610"/>
      <c r="S134" s="610"/>
      <c r="T134" s="610"/>
      <c r="U134" s="610"/>
      <c r="V134" s="610"/>
      <c r="W134" s="610"/>
      <c r="X134" s="610"/>
      <c r="Y134" s="610"/>
      <c r="Z134" s="610"/>
    </row>
    <row r="135" spans="1:26">
      <c r="A135" s="35"/>
      <c r="B135" s="584"/>
      <c r="C135" s="584"/>
      <c r="D135" s="584"/>
      <c r="E135" s="584"/>
      <c r="F135" s="584"/>
      <c r="G135" s="584"/>
      <c r="H135" s="584"/>
      <c r="I135" s="580"/>
      <c r="J135" s="610"/>
      <c r="K135" s="610"/>
      <c r="L135" s="610"/>
      <c r="M135" s="610"/>
      <c r="N135" s="610"/>
      <c r="O135" s="610"/>
      <c r="P135" s="610"/>
      <c r="Q135" s="610"/>
      <c r="R135" s="610"/>
      <c r="S135" s="610"/>
      <c r="T135" s="610"/>
      <c r="U135" s="610"/>
      <c r="V135" s="610"/>
      <c r="W135" s="610"/>
      <c r="X135" s="610"/>
      <c r="Y135" s="610"/>
      <c r="Z135" s="610"/>
    </row>
    <row r="136" spans="1:26">
      <c r="A136" s="35"/>
      <c r="B136" s="584"/>
      <c r="C136" s="584"/>
      <c r="D136" s="584"/>
      <c r="E136" s="584"/>
      <c r="F136" s="584"/>
      <c r="G136" s="584"/>
      <c r="H136" s="584"/>
      <c r="I136" s="580"/>
      <c r="J136" s="610"/>
      <c r="K136" s="610"/>
      <c r="L136" s="610"/>
      <c r="M136" s="610"/>
      <c r="N136" s="610"/>
      <c r="O136" s="610"/>
      <c r="P136" s="610"/>
      <c r="Q136" s="610"/>
      <c r="R136" s="610"/>
      <c r="S136" s="610"/>
      <c r="T136" s="610"/>
      <c r="U136" s="610"/>
      <c r="V136" s="610"/>
      <c r="W136" s="610"/>
      <c r="X136" s="610"/>
      <c r="Y136" s="610"/>
      <c r="Z136" s="610"/>
    </row>
    <row r="137" spans="1:26">
      <c r="A137" s="35"/>
      <c r="B137" s="584"/>
      <c r="C137" s="584"/>
      <c r="D137" s="584"/>
      <c r="E137" s="584"/>
      <c r="F137" s="584"/>
      <c r="G137" s="584"/>
      <c r="H137" s="584"/>
      <c r="I137" s="580"/>
      <c r="J137" s="610"/>
      <c r="K137" s="610"/>
      <c r="L137" s="610"/>
      <c r="M137" s="610"/>
      <c r="N137" s="610"/>
      <c r="O137" s="610"/>
      <c r="P137" s="610"/>
      <c r="Q137" s="610"/>
      <c r="R137" s="610"/>
      <c r="S137" s="610"/>
      <c r="T137" s="610"/>
      <c r="U137" s="610"/>
      <c r="V137" s="610"/>
      <c r="W137" s="610"/>
      <c r="X137" s="610"/>
      <c r="Y137" s="610"/>
      <c r="Z137" s="610"/>
    </row>
    <row r="138" spans="1:26">
      <c r="A138" s="35"/>
      <c r="B138" s="584"/>
      <c r="C138" s="584"/>
      <c r="D138" s="584"/>
      <c r="E138" s="584"/>
      <c r="F138" s="584"/>
      <c r="G138" s="584"/>
      <c r="H138" s="584"/>
      <c r="I138" s="580"/>
      <c r="J138" s="610"/>
      <c r="K138" s="610"/>
      <c r="L138" s="610"/>
      <c r="M138" s="610"/>
      <c r="N138" s="610"/>
      <c r="O138" s="610"/>
      <c r="P138" s="610"/>
      <c r="Q138" s="610"/>
      <c r="R138" s="610"/>
      <c r="S138" s="610"/>
      <c r="T138" s="610"/>
      <c r="U138" s="610"/>
      <c r="V138" s="610"/>
      <c r="W138" s="610"/>
      <c r="X138" s="610"/>
      <c r="Y138" s="610"/>
      <c r="Z138" s="610"/>
    </row>
    <row r="139" spans="1:26">
      <c r="A139" s="35"/>
      <c r="B139" s="584"/>
      <c r="C139" s="584"/>
      <c r="D139" s="584"/>
      <c r="E139" s="584"/>
      <c r="F139" s="584"/>
      <c r="G139" s="584"/>
      <c r="H139" s="584"/>
      <c r="I139" s="580"/>
      <c r="J139" s="610"/>
      <c r="K139" s="610"/>
      <c r="L139" s="610"/>
      <c r="M139" s="610"/>
      <c r="N139" s="610"/>
      <c r="O139" s="610"/>
      <c r="P139" s="610"/>
      <c r="Q139" s="610"/>
      <c r="R139" s="610"/>
      <c r="S139" s="610"/>
      <c r="T139" s="610"/>
      <c r="U139" s="610"/>
      <c r="V139" s="610"/>
      <c r="W139" s="610"/>
      <c r="X139" s="610"/>
      <c r="Y139" s="610"/>
      <c r="Z139" s="610"/>
    </row>
    <row r="140" spans="1:26">
      <c r="A140" s="35"/>
      <c r="B140" s="584"/>
      <c r="C140" s="584"/>
      <c r="D140" s="584"/>
      <c r="E140" s="584"/>
      <c r="F140" s="584"/>
      <c r="G140" s="584"/>
      <c r="H140" s="584"/>
      <c r="I140" s="580"/>
      <c r="J140" s="610"/>
      <c r="K140" s="610"/>
      <c r="L140" s="610"/>
      <c r="M140" s="610"/>
      <c r="N140" s="610"/>
      <c r="O140" s="610"/>
      <c r="P140" s="610"/>
      <c r="Q140" s="610"/>
      <c r="R140" s="610"/>
      <c r="S140" s="610"/>
      <c r="T140" s="610"/>
      <c r="U140" s="610"/>
      <c r="V140" s="610"/>
      <c r="W140" s="610"/>
      <c r="X140" s="610"/>
      <c r="Y140" s="610"/>
      <c r="Z140" s="610"/>
    </row>
    <row r="141" spans="1:26">
      <c r="A141" s="35"/>
      <c r="B141" s="584"/>
      <c r="C141" s="584"/>
      <c r="D141" s="584"/>
      <c r="E141" s="584"/>
      <c r="F141" s="584"/>
      <c r="G141" s="584"/>
      <c r="H141" s="584"/>
      <c r="I141" s="580"/>
      <c r="J141" s="610"/>
      <c r="K141" s="610"/>
      <c r="L141" s="610"/>
      <c r="M141" s="610"/>
      <c r="N141" s="610"/>
      <c r="O141" s="610"/>
      <c r="P141" s="610"/>
      <c r="Q141" s="610"/>
      <c r="R141" s="610"/>
      <c r="S141" s="610"/>
      <c r="T141" s="610"/>
      <c r="U141" s="610"/>
      <c r="V141" s="610"/>
      <c r="W141" s="610"/>
      <c r="X141" s="610"/>
      <c r="Y141" s="610"/>
      <c r="Z141" s="610"/>
    </row>
    <row r="142" spans="1:26">
      <c r="A142" s="35"/>
      <c r="B142" s="584"/>
      <c r="C142" s="584"/>
      <c r="D142" s="584"/>
      <c r="E142" s="584"/>
      <c r="F142" s="584"/>
      <c r="G142" s="584"/>
      <c r="H142" s="584"/>
      <c r="I142" s="580"/>
      <c r="J142" s="610"/>
      <c r="K142" s="610"/>
      <c r="L142" s="610"/>
      <c r="M142" s="610"/>
      <c r="N142" s="610"/>
      <c r="O142" s="610"/>
      <c r="P142" s="610"/>
      <c r="Q142" s="610"/>
      <c r="R142" s="610"/>
      <c r="S142" s="610"/>
      <c r="T142" s="610"/>
      <c r="U142" s="610"/>
      <c r="V142" s="610"/>
      <c r="W142" s="610"/>
      <c r="X142" s="610"/>
      <c r="Y142" s="610"/>
      <c r="Z142" s="610"/>
    </row>
    <row r="143" spans="1:26">
      <c r="A143" s="35"/>
      <c r="B143" s="584"/>
      <c r="C143" s="584"/>
      <c r="D143" s="584"/>
      <c r="E143" s="584"/>
      <c r="F143" s="584"/>
      <c r="G143" s="584"/>
      <c r="H143" s="584"/>
      <c r="I143" s="580"/>
      <c r="J143" s="610"/>
      <c r="K143" s="610"/>
      <c r="L143" s="610"/>
      <c r="M143" s="610"/>
      <c r="N143" s="610"/>
      <c r="O143" s="610"/>
      <c r="P143" s="610"/>
      <c r="Q143" s="610"/>
      <c r="R143" s="610"/>
      <c r="S143" s="610"/>
      <c r="T143" s="610"/>
      <c r="U143" s="610"/>
      <c r="V143" s="610"/>
      <c r="W143" s="610"/>
      <c r="X143" s="610"/>
      <c r="Y143" s="610"/>
      <c r="Z143" s="610"/>
    </row>
    <row r="144" spans="1:26">
      <c r="A144" s="35"/>
      <c r="B144" s="584"/>
      <c r="C144" s="584"/>
      <c r="D144" s="584"/>
      <c r="E144" s="584"/>
      <c r="F144" s="584"/>
      <c r="G144" s="584"/>
      <c r="H144" s="584"/>
      <c r="I144" s="580"/>
      <c r="J144" s="610"/>
      <c r="K144" s="610"/>
      <c r="L144" s="610"/>
      <c r="M144" s="610"/>
      <c r="N144" s="610"/>
      <c r="O144" s="610"/>
      <c r="P144" s="610"/>
      <c r="Q144" s="610"/>
      <c r="R144" s="610"/>
      <c r="S144" s="610"/>
      <c r="T144" s="610"/>
      <c r="U144" s="610"/>
      <c r="V144" s="610"/>
      <c r="W144" s="610"/>
      <c r="X144" s="610"/>
      <c r="Y144" s="610"/>
      <c r="Z144" s="610"/>
    </row>
    <row r="145" spans="1:26">
      <c r="A145" s="35"/>
      <c r="B145" s="584"/>
      <c r="C145" s="584"/>
      <c r="D145" s="584"/>
      <c r="E145" s="584"/>
      <c r="F145" s="584"/>
      <c r="G145" s="584"/>
      <c r="H145" s="584"/>
      <c r="I145" s="580"/>
      <c r="J145" s="610"/>
      <c r="K145" s="610"/>
      <c r="L145" s="610"/>
      <c r="M145" s="610"/>
      <c r="N145" s="610"/>
      <c r="O145" s="610"/>
      <c r="P145" s="610"/>
      <c r="Q145" s="610"/>
      <c r="R145" s="610"/>
      <c r="S145" s="610"/>
      <c r="T145" s="610"/>
      <c r="U145" s="610"/>
      <c r="V145" s="610"/>
      <c r="W145" s="610"/>
      <c r="X145" s="610"/>
      <c r="Y145" s="610"/>
      <c r="Z145" s="610"/>
    </row>
    <row r="146" spans="1:26">
      <c r="A146" s="35"/>
      <c r="B146" s="584"/>
      <c r="C146" s="584"/>
      <c r="D146" s="584"/>
      <c r="E146" s="584"/>
      <c r="F146" s="584"/>
      <c r="G146" s="584"/>
      <c r="H146" s="584"/>
      <c r="I146" s="580"/>
      <c r="J146" s="610"/>
      <c r="K146" s="610"/>
      <c r="L146" s="610"/>
      <c r="M146" s="610"/>
      <c r="N146" s="610"/>
      <c r="O146" s="610"/>
      <c r="P146" s="610"/>
      <c r="Q146" s="610"/>
      <c r="R146" s="610"/>
      <c r="S146" s="610"/>
      <c r="T146" s="610"/>
      <c r="U146" s="610"/>
      <c r="V146" s="610"/>
      <c r="W146" s="610"/>
      <c r="X146" s="610"/>
      <c r="Y146" s="610"/>
      <c r="Z146" s="610"/>
    </row>
    <row r="147" spans="1:26">
      <c r="A147" s="35"/>
      <c r="B147" s="584"/>
      <c r="C147" s="584"/>
      <c r="D147" s="584"/>
      <c r="E147" s="584"/>
      <c r="F147" s="584"/>
      <c r="G147" s="584"/>
      <c r="H147" s="584"/>
      <c r="I147" s="580"/>
      <c r="J147" s="610"/>
      <c r="K147" s="610"/>
      <c r="L147" s="610"/>
      <c r="M147" s="610"/>
      <c r="N147" s="610"/>
      <c r="O147" s="610"/>
      <c r="P147" s="610"/>
      <c r="Q147" s="610"/>
      <c r="R147" s="610"/>
      <c r="S147" s="610"/>
      <c r="T147" s="610"/>
      <c r="U147" s="610"/>
      <c r="V147" s="610"/>
      <c r="W147" s="610"/>
      <c r="X147" s="610"/>
      <c r="Y147" s="610"/>
      <c r="Z147" s="610"/>
    </row>
    <row r="148" spans="1:26">
      <c r="A148" s="35"/>
      <c r="B148" s="584"/>
      <c r="C148" s="584"/>
      <c r="D148" s="584"/>
      <c r="E148" s="584"/>
      <c r="F148" s="584"/>
      <c r="G148" s="584"/>
      <c r="H148" s="584"/>
      <c r="I148" s="580"/>
      <c r="J148" s="610"/>
      <c r="K148" s="610"/>
      <c r="L148" s="610"/>
      <c r="M148" s="610"/>
      <c r="N148" s="610"/>
      <c r="O148" s="610"/>
      <c r="P148" s="610"/>
      <c r="Q148" s="610"/>
      <c r="R148" s="610"/>
      <c r="S148" s="610"/>
      <c r="T148" s="610"/>
      <c r="U148" s="610"/>
      <c r="V148" s="610"/>
      <c r="W148" s="610"/>
      <c r="X148" s="610"/>
      <c r="Y148" s="610"/>
      <c r="Z148" s="610"/>
    </row>
    <row r="149" spans="1:26">
      <c r="A149" s="35"/>
      <c r="B149" s="584"/>
      <c r="C149" s="584"/>
      <c r="D149" s="584"/>
      <c r="E149" s="584"/>
      <c r="F149" s="584"/>
      <c r="G149" s="584"/>
      <c r="H149" s="584"/>
      <c r="I149" s="580"/>
      <c r="J149" s="610"/>
      <c r="K149" s="610"/>
      <c r="L149" s="610"/>
      <c r="M149" s="610"/>
      <c r="N149" s="610"/>
      <c r="O149" s="610"/>
      <c r="P149" s="610"/>
      <c r="Q149" s="610"/>
      <c r="R149" s="610"/>
      <c r="S149" s="610"/>
      <c r="T149" s="610"/>
      <c r="U149" s="610"/>
      <c r="V149" s="610"/>
      <c r="W149" s="610"/>
      <c r="X149" s="610"/>
      <c r="Y149" s="610"/>
      <c r="Z149" s="610"/>
    </row>
    <row r="150" spans="1:26">
      <c r="A150" s="35"/>
      <c r="B150" s="584"/>
      <c r="C150" s="584"/>
      <c r="D150" s="584"/>
      <c r="E150" s="584"/>
      <c r="F150" s="584"/>
      <c r="G150" s="584"/>
      <c r="H150" s="584"/>
      <c r="I150" s="580"/>
      <c r="J150" s="610"/>
      <c r="K150" s="610"/>
      <c r="L150" s="610"/>
      <c r="M150" s="610"/>
      <c r="N150" s="610"/>
      <c r="O150" s="610"/>
      <c r="P150" s="610"/>
      <c r="Q150" s="610"/>
      <c r="R150" s="610"/>
      <c r="S150" s="610"/>
      <c r="T150" s="610"/>
      <c r="U150" s="610"/>
      <c r="V150" s="610"/>
      <c r="W150" s="610"/>
      <c r="X150" s="610"/>
      <c r="Y150" s="610"/>
      <c r="Z150" s="610"/>
    </row>
    <row r="151" spans="1:26">
      <c r="A151" s="35"/>
      <c r="B151" s="584"/>
      <c r="C151" s="584"/>
      <c r="D151" s="584"/>
      <c r="E151" s="584"/>
      <c r="F151" s="584"/>
      <c r="G151" s="584"/>
      <c r="H151" s="584"/>
      <c r="I151" s="580"/>
      <c r="J151" s="610"/>
      <c r="K151" s="610"/>
      <c r="L151" s="610"/>
      <c r="M151" s="610"/>
      <c r="N151" s="610"/>
      <c r="O151" s="610"/>
      <c r="P151" s="610"/>
      <c r="Q151" s="610"/>
      <c r="R151" s="610"/>
      <c r="S151" s="610"/>
      <c r="T151" s="610"/>
      <c r="U151" s="610"/>
      <c r="V151" s="610"/>
      <c r="W151" s="610"/>
      <c r="X151" s="610"/>
      <c r="Y151" s="610"/>
      <c r="Z151" s="610"/>
    </row>
    <row r="152" spans="1:26">
      <c r="A152" s="35"/>
      <c r="B152" s="584"/>
      <c r="C152" s="584"/>
      <c r="D152" s="584"/>
      <c r="E152" s="584"/>
      <c r="F152" s="584"/>
      <c r="G152" s="584"/>
      <c r="H152" s="584"/>
      <c r="I152" s="580"/>
      <c r="J152" s="610"/>
      <c r="K152" s="610"/>
      <c r="L152" s="610"/>
      <c r="M152" s="610"/>
      <c r="N152" s="610"/>
      <c r="O152" s="610"/>
      <c r="P152" s="610"/>
      <c r="Q152" s="610"/>
      <c r="R152" s="610"/>
      <c r="S152" s="610"/>
      <c r="T152" s="610"/>
      <c r="U152" s="610"/>
      <c r="V152" s="610"/>
      <c r="W152" s="610"/>
      <c r="X152" s="610"/>
      <c r="Y152" s="610"/>
      <c r="Z152" s="610"/>
    </row>
    <row r="153" spans="1:26">
      <c r="A153" s="35"/>
      <c r="B153" s="584"/>
      <c r="C153" s="584"/>
      <c r="D153" s="584"/>
      <c r="E153" s="584"/>
      <c r="F153" s="584"/>
      <c r="G153" s="584"/>
      <c r="H153" s="584"/>
      <c r="I153" s="580"/>
      <c r="J153" s="610"/>
      <c r="K153" s="610"/>
      <c r="L153" s="610"/>
      <c r="M153" s="610"/>
      <c r="N153" s="610"/>
      <c r="O153" s="610"/>
      <c r="P153" s="610"/>
      <c r="Q153" s="610"/>
      <c r="R153" s="610"/>
      <c r="S153" s="610"/>
      <c r="T153" s="610"/>
      <c r="U153" s="610"/>
      <c r="V153" s="610"/>
      <c r="W153" s="610"/>
      <c r="X153" s="610"/>
      <c r="Y153" s="610"/>
      <c r="Z153" s="610"/>
    </row>
    <row r="154" spans="1:26">
      <c r="A154" s="35"/>
      <c r="B154" s="584"/>
      <c r="C154" s="584"/>
      <c r="D154" s="584"/>
      <c r="E154" s="584"/>
      <c r="F154" s="584"/>
      <c r="G154" s="584"/>
      <c r="H154" s="584"/>
      <c r="I154" s="580"/>
      <c r="J154" s="610"/>
      <c r="K154" s="610"/>
      <c r="L154" s="610"/>
      <c r="M154" s="610"/>
      <c r="N154" s="610"/>
      <c r="O154" s="610"/>
      <c r="P154" s="610"/>
      <c r="Q154" s="610"/>
      <c r="R154" s="610"/>
      <c r="S154" s="610"/>
      <c r="T154" s="610"/>
      <c r="U154" s="610"/>
      <c r="V154" s="610"/>
      <c r="W154" s="610"/>
      <c r="X154" s="610"/>
      <c r="Y154" s="610"/>
      <c r="Z154" s="610"/>
    </row>
    <row r="155" spans="1:26">
      <c r="A155" s="35"/>
      <c r="B155" s="584"/>
      <c r="C155" s="584"/>
      <c r="D155" s="584"/>
      <c r="E155" s="584"/>
      <c r="F155" s="584"/>
      <c r="G155" s="584"/>
      <c r="H155" s="584"/>
      <c r="I155" s="580"/>
      <c r="J155" s="610"/>
      <c r="K155" s="610"/>
      <c r="L155" s="610"/>
      <c r="M155" s="610"/>
      <c r="N155" s="610"/>
      <c r="O155" s="610"/>
      <c r="P155" s="610"/>
      <c r="Q155" s="610"/>
      <c r="R155" s="610"/>
      <c r="S155" s="610"/>
      <c r="T155" s="610"/>
      <c r="U155" s="610"/>
      <c r="V155" s="610"/>
      <c r="W155" s="610"/>
      <c r="X155" s="610"/>
      <c r="Y155" s="610"/>
      <c r="Z155" s="610"/>
    </row>
    <row r="156" spans="1:26">
      <c r="A156" s="35"/>
      <c r="B156" s="584"/>
      <c r="C156" s="584"/>
      <c r="D156" s="584"/>
      <c r="E156" s="584"/>
      <c r="F156" s="584"/>
      <c r="G156" s="584"/>
      <c r="H156" s="584"/>
      <c r="I156" s="580"/>
      <c r="J156" s="610"/>
      <c r="K156" s="610"/>
      <c r="L156" s="610"/>
      <c r="M156" s="610"/>
      <c r="N156" s="610"/>
      <c r="O156" s="610"/>
      <c r="P156" s="610"/>
      <c r="Q156" s="610"/>
      <c r="R156" s="610"/>
      <c r="S156" s="610"/>
      <c r="T156" s="610"/>
      <c r="U156" s="610"/>
      <c r="V156" s="610"/>
      <c r="W156" s="610"/>
      <c r="X156" s="610"/>
      <c r="Y156" s="610"/>
      <c r="Z156" s="610"/>
    </row>
    <row r="157" spans="1:26">
      <c r="A157" s="35"/>
      <c r="B157" s="584"/>
      <c r="C157" s="584"/>
      <c r="D157" s="584"/>
      <c r="E157" s="584"/>
      <c r="F157" s="584"/>
      <c r="G157" s="584"/>
      <c r="H157" s="584"/>
      <c r="I157" s="580"/>
      <c r="J157" s="610"/>
      <c r="K157" s="610"/>
      <c r="L157" s="610"/>
      <c r="M157" s="610"/>
      <c r="N157" s="610"/>
      <c r="O157" s="610"/>
      <c r="P157" s="610"/>
      <c r="Q157" s="610"/>
      <c r="R157" s="610"/>
      <c r="S157" s="610"/>
      <c r="T157" s="610"/>
      <c r="U157" s="610"/>
      <c r="V157" s="610"/>
      <c r="W157" s="610"/>
      <c r="X157" s="610"/>
      <c r="Y157" s="610"/>
      <c r="Z157" s="610"/>
    </row>
    <row r="158" spans="1:26">
      <c r="A158" s="35"/>
      <c r="B158" s="584"/>
      <c r="C158" s="584"/>
      <c r="D158" s="584"/>
      <c r="E158" s="584"/>
      <c r="F158" s="584"/>
      <c r="G158" s="584"/>
      <c r="H158" s="584"/>
      <c r="I158" s="580"/>
      <c r="J158" s="610"/>
      <c r="K158" s="610"/>
      <c r="L158" s="610"/>
      <c r="M158" s="610"/>
      <c r="N158" s="610"/>
      <c r="O158" s="610"/>
      <c r="P158" s="610"/>
      <c r="Q158" s="610"/>
      <c r="R158" s="610"/>
      <c r="S158" s="610"/>
      <c r="T158" s="610"/>
      <c r="U158" s="610"/>
      <c r="V158" s="610"/>
      <c r="W158" s="610"/>
      <c r="X158" s="610"/>
      <c r="Y158" s="610"/>
      <c r="Z158" s="610"/>
    </row>
    <row r="159" spans="1:26">
      <c r="A159" s="35"/>
      <c r="B159" s="584"/>
      <c r="C159" s="584"/>
      <c r="D159" s="584"/>
      <c r="E159" s="584"/>
      <c r="F159" s="584"/>
      <c r="G159" s="584"/>
      <c r="H159" s="584"/>
      <c r="I159" s="580"/>
      <c r="J159" s="610"/>
      <c r="K159" s="610"/>
      <c r="L159" s="610"/>
      <c r="M159" s="610"/>
      <c r="N159" s="610"/>
      <c r="O159" s="610"/>
      <c r="P159" s="610"/>
      <c r="Q159" s="610"/>
      <c r="R159" s="610"/>
      <c r="S159" s="610"/>
      <c r="T159" s="610"/>
      <c r="U159" s="610"/>
      <c r="V159" s="610"/>
      <c r="W159" s="610"/>
      <c r="X159" s="610"/>
      <c r="Y159" s="610"/>
      <c r="Z159" s="610"/>
    </row>
    <row r="160" spans="1:26">
      <c r="A160" s="35"/>
      <c r="B160" s="584"/>
      <c r="C160" s="584"/>
      <c r="D160" s="584"/>
      <c r="E160" s="584"/>
      <c r="F160" s="584"/>
      <c r="G160" s="584"/>
      <c r="H160" s="584"/>
      <c r="I160" s="580"/>
      <c r="J160" s="610"/>
      <c r="K160" s="610"/>
      <c r="L160" s="610"/>
      <c r="M160" s="610"/>
      <c r="N160" s="610"/>
      <c r="O160" s="610"/>
      <c r="P160" s="610"/>
      <c r="Q160" s="610"/>
      <c r="R160" s="610"/>
      <c r="S160" s="610"/>
      <c r="T160" s="610"/>
      <c r="U160" s="610"/>
      <c r="V160" s="610"/>
      <c r="W160" s="610"/>
      <c r="X160" s="610"/>
      <c r="Y160" s="610"/>
      <c r="Z160" s="610"/>
    </row>
    <row r="161" spans="1:26">
      <c r="A161" s="35"/>
      <c r="B161" s="584"/>
      <c r="C161" s="584"/>
      <c r="D161" s="584"/>
      <c r="E161" s="584"/>
      <c r="F161" s="584"/>
      <c r="G161" s="584"/>
      <c r="H161" s="584"/>
      <c r="I161" s="580"/>
      <c r="J161" s="610"/>
      <c r="K161" s="610"/>
      <c r="L161" s="610"/>
      <c r="M161" s="610"/>
      <c r="N161" s="610"/>
      <c r="O161" s="610"/>
      <c r="P161" s="610"/>
      <c r="Q161" s="610"/>
      <c r="R161" s="610"/>
      <c r="S161" s="610"/>
      <c r="T161" s="610"/>
      <c r="U161" s="610"/>
      <c r="V161" s="610"/>
      <c r="W161" s="610"/>
      <c r="X161" s="610"/>
      <c r="Y161" s="610"/>
      <c r="Z161" s="610"/>
    </row>
    <row r="162" spans="1:26">
      <c r="A162" s="35"/>
      <c r="B162" s="584"/>
      <c r="C162" s="584"/>
      <c r="D162" s="584"/>
      <c r="E162" s="584"/>
      <c r="F162" s="584"/>
      <c r="G162" s="584"/>
      <c r="H162" s="584"/>
      <c r="I162" s="580"/>
      <c r="J162" s="610"/>
      <c r="K162" s="610"/>
      <c r="L162" s="610"/>
      <c r="M162" s="610"/>
      <c r="N162" s="610"/>
      <c r="O162" s="610"/>
      <c r="P162" s="610"/>
      <c r="Q162" s="610"/>
      <c r="R162" s="610"/>
      <c r="S162" s="610"/>
      <c r="T162" s="610"/>
      <c r="U162" s="610"/>
      <c r="V162" s="610"/>
      <c r="W162" s="610"/>
      <c r="X162" s="610"/>
      <c r="Y162" s="610"/>
      <c r="Z162" s="610"/>
    </row>
    <row r="163" spans="1:26">
      <c r="A163" s="35"/>
      <c r="B163" s="584"/>
      <c r="C163" s="584"/>
      <c r="D163" s="584"/>
      <c r="E163" s="584"/>
      <c r="F163" s="584"/>
      <c r="G163" s="584"/>
      <c r="H163" s="584"/>
      <c r="I163" s="580"/>
      <c r="J163" s="610"/>
      <c r="K163" s="610"/>
      <c r="L163" s="610"/>
      <c r="M163" s="610"/>
      <c r="N163" s="610"/>
      <c r="O163" s="610"/>
      <c r="P163" s="610"/>
      <c r="Q163" s="610"/>
      <c r="R163" s="610"/>
      <c r="S163" s="610"/>
      <c r="T163" s="610"/>
      <c r="U163" s="610"/>
      <c r="V163" s="610"/>
      <c r="W163" s="610"/>
      <c r="X163" s="610"/>
      <c r="Y163" s="610"/>
      <c r="Z163" s="610"/>
    </row>
    <row r="164" spans="1:26">
      <c r="A164" s="35"/>
      <c r="B164" s="584"/>
      <c r="C164" s="584"/>
      <c r="D164" s="584"/>
      <c r="E164" s="584"/>
      <c r="F164" s="584"/>
      <c r="G164" s="584"/>
      <c r="H164" s="584"/>
      <c r="I164" s="580"/>
      <c r="J164" s="610"/>
      <c r="K164" s="610"/>
      <c r="L164" s="610"/>
      <c r="M164" s="610"/>
      <c r="N164" s="610"/>
      <c r="O164" s="610"/>
      <c r="P164" s="610"/>
      <c r="Q164" s="610"/>
      <c r="R164" s="610"/>
      <c r="S164" s="610"/>
      <c r="T164" s="610"/>
      <c r="U164" s="610"/>
      <c r="V164" s="610"/>
      <c r="W164" s="610"/>
      <c r="X164" s="610"/>
      <c r="Y164" s="610"/>
      <c r="Z164" s="610"/>
    </row>
    <row r="165" spans="1:26">
      <c r="A165" s="35"/>
      <c r="B165" s="584"/>
      <c r="C165" s="584"/>
      <c r="D165" s="584"/>
      <c r="E165" s="584"/>
      <c r="F165" s="584"/>
      <c r="G165" s="584"/>
      <c r="H165" s="584"/>
      <c r="I165" s="580"/>
      <c r="J165" s="610"/>
      <c r="K165" s="610"/>
      <c r="L165" s="610"/>
      <c r="M165" s="610"/>
      <c r="N165" s="610"/>
      <c r="O165" s="610"/>
      <c r="P165" s="610"/>
      <c r="Q165" s="610"/>
      <c r="R165" s="610"/>
      <c r="S165" s="610"/>
      <c r="T165" s="610"/>
      <c r="U165" s="610"/>
      <c r="V165" s="610"/>
      <c r="W165" s="610"/>
      <c r="X165" s="610"/>
      <c r="Y165" s="610"/>
      <c r="Z165" s="610"/>
    </row>
    <row r="166" spans="1:26">
      <c r="A166" s="35"/>
      <c r="B166" s="584"/>
      <c r="C166" s="584"/>
      <c r="D166" s="584"/>
      <c r="E166" s="584"/>
      <c r="F166" s="584"/>
      <c r="G166" s="584"/>
      <c r="H166" s="584"/>
      <c r="I166" s="580"/>
      <c r="J166" s="610"/>
      <c r="K166" s="610"/>
      <c r="L166" s="610"/>
      <c r="M166" s="610"/>
      <c r="N166" s="610"/>
      <c r="O166" s="610"/>
      <c r="P166" s="610"/>
      <c r="Q166" s="610"/>
      <c r="R166" s="610"/>
      <c r="S166" s="610"/>
      <c r="T166" s="610"/>
      <c r="U166" s="610"/>
      <c r="V166" s="610"/>
      <c r="W166" s="610"/>
      <c r="X166" s="610"/>
      <c r="Y166" s="610"/>
      <c r="Z166" s="610"/>
    </row>
    <row r="167" spans="1:26">
      <c r="A167" s="35"/>
      <c r="B167" s="584"/>
      <c r="C167" s="584"/>
      <c r="D167" s="584"/>
      <c r="E167" s="584"/>
      <c r="F167" s="584"/>
      <c r="G167" s="584"/>
      <c r="H167" s="584"/>
      <c r="I167" s="580"/>
      <c r="J167" s="610"/>
      <c r="K167" s="610"/>
      <c r="L167" s="610"/>
      <c r="M167" s="610"/>
      <c r="N167" s="610"/>
      <c r="O167" s="610"/>
      <c r="P167" s="610"/>
      <c r="Q167" s="610"/>
      <c r="R167" s="610"/>
      <c r="S167" s="610"/>
      <c r="T167" s="610"/>
      <c r="U167" s="610"/>
      <c r="V167" s="610"/>
      <c r="W167" s="610"/>
      <c r="X167" s="610"/>
      <c r="Y167" s="610"/>
      <c r="Z167" s="610"/>
    </row>
    <row r="168" spans="1:26">
      <c r="A168" s="35"/>
      <c r="B168" s="584"/>
      <c r="C168" s="584"/>
      <c r="D168" s="584"/>
      <c r="E168" s="584"/>
      <c r="F168" s="584"/>
      <c r="G168" s="584"/>
      <c r="H168" s="584"/>
      <c r="I168" s="580"/>
      <c r="J168" s="610"/>
      <c r="K168" s="610"/>
      <c r="L168" s="610"/>
      <c r="M168" s="610"/>
      <c r="N168" s="610"/>
      <c r="O168" s="610"/>
      <c r="P168" s="610"/>
      <c r="Q168" s="610"/>
      <c r="R168" s="610"/>
      <c r="S168" s="610"/>
      <c r="T168" s="610"/>
      <c r="U168" s="610"/>
      <c r="V168" s="610"/>
      <c r="W168" s="610"/>
      <c r="X168" s="610"/>
      <c r="Y168" s="610"/>
      <c r="Z168" s="610"/>
    </row>
    <row r="169" spans="1:26">
      <c r="A169" s="35"/>
      <c r="B169" s="584"/>
      <c r="C169" s="584"/>
      <c r="D169" s="584"/>
      <c r="E169" s="584"/>
      <c r="F169" s="584"/>
      <c r="G169" s="584"/>
      <c r="H169" s="584"/>
      <c r="I169" s="580"/>
      <c r="J169" s="610"/>
      <c r="K169" s="610"/>
      <c r="L169" s="610"/>
      <c r="M169" s="610"/>
      <c r="N169" s="610"/>
      <c r="O169" s="610"/>
      <c r="P169" s="610"/>
      <c r="Q169" s="610"/>
      <c r="R169" s="610"/>
      <c r="S169" s="610"/>
      <c r="T169" s="610"/>
      <c r="U169" s="610"/>
      <c r="V169" s="610"/>
      <c r="W169" s="610"/>
      <c r="X169" s="610"/>
      <c r="Y169" s="610"/>
      <c r="Z169" s="610"/>
    </row>
    <row r="170" spans="1:26">
      <c r="A170" s="35"/>
      <c r="B170" s="584"/>
      <c r="C170" s="584"/>
      <c r="D170" s="584"/>
      <c r="E170" s="584"/>
      <c r="F170" s="584"/>
      <c r="G170" s="584"/>
      <c r="H170" s="584"/>
      <c r="I170" s="580"/>
      <c r="J170" s="610"/>
      <c r="K170" s="610"/>
      <c r="L170" s="610"/>
      <c r="M170" s="610"/>
      <c r="N170" s="610"/>
      <c r="O170" s="610"/>
      <c r="P170" s="610"/>
      <c r="Q170" s="610"/>
      <c r="R170" s="610"/>
      <c r="S170" s="610"/>
      <c r="T170" s="610"/>
      <c r="U170" s="610"/>
      <c r="V170" s="610"/>
      <c r="W170" s="610"/>
      <c r="X170" s="610"/>
      <c r="Y170" s="610"/>
      <c r="Z170" s="610"/>
    </row>
    <row r="171" spans="1:26">
      <c r="A171" s="35"/>
      <c r="B171" s="584"/>
      <c r="C171" s="584"/>
      <c r="D171" s="584"/>
      <c r="E171" s="584"/>
      <c r="F171" s="584"/>
      <c r="G171" s="584"/>
      <c r="H171" s="584"/>
      <c r="I171" s="580"/>
      <c r="J171" s="610"/>
      <c r="K171" s="610"/>
      <c r="L171" s="610"/>
      <c r="M171" s="610"/>
      <c r="N171" s="610"/>
      <c r="O171" s="610"/>
      <c r="P171" s="610"/>
      <c r="Q171" s="610"/>
      <c r="R171" s="610"/>
      <c r="S171" s="610"/>
      <c r="T171" s="610"/>
      <c r="U171" s="610"/>
      <c r="V171" s="610"/>
      <c r="W171" s="610"/>
      <c r="X171" s="610"/>
      <c r="Y171" s="610"/>
      <c r="Z171" s="610"/>
    </row>
    <row r="172" spans="1:26">
      <c r="A172" s="35"/>
      <c r="B172" s="584"/>
      <c r="C172" s="584"/>
      <c r="D172" s="584"/>
      <c r="E172" s="584"/>
      <c r="F172" s="584"/>
      <c r="G172" s="584"/>
      <c r="H172" s="584"/>
      <c r="I172" s="580"/>
      <c r="J172" s="610"/>
      <c r="K172" s="610"/>
      <c r="L172" s="610"/>
      <c r="M172" s="610"/>
      <c r="N172" s="610"/>
      <c r="O172" s="610"/>
      <c r="P172" s="610"/>
      <c r="Q172" s="610"/>
      <c r="R172" s="610"/>
      <c r="S172" s="610"/>
      <c r="T172" s="610"/>
      <c r="U172" s="610"/>
      <c r="V172" s="610"/>
      <c r="W172" s="610"/>
      <c r="X172" s="610"/>
      <c r="Y172" s="610"/>
      <c r="Z172" s="610"/>
    </row>
    <row r="173" spans="1:26">
      <c r="A173" s="35"/>
      <c r="B173" s="584"/>
      <c r="C173" s="584"/>
      <c r="D173" s="584"/>
      <c r="E173" s="584"/>
      <c r="F173" s="584"/>
      <c r="G173" s="584"/>
      <c r="H173" s="584"/>
      <c r="I173" s="580"/>
      <c r="J173" s="610"/>
      <c r="K173" s="610"/>
      <c r="L173" s="610"/>
      <c r="M173" s="610"/>
      <c r="N173" s="610"/>
      <c r="O173" s="610"/>
      <c r="P173" s="610"/>
      <c r="Q173" s="610"/>
      <c r="R173" s="610"/>
      <c r="S173" s="610"/>
      <c r="T173" s="610"/>
      <c r="U173" s="610"/>
      <c r="V173" s="610"/>
      <c r="W173" s="610"/>
      <c r="X173" s="610"/>
      <c r="Y173" s="610"/>
      <c r="Z173" s="610"/>
    </row>
    <row r="174" spans="1:26">
      <c r="A174" s="35"/>
      <c r="B174" s="584"/>
      <c r="C174" s="584"/>
      <c r="D174" s="584"/>
      <c r="E174" s="584"/>
      <c r="F174" s="584"/>
      <c r="G174" s="584"/>
      <c r="H174" s="584"/>
      <c r="I174" s="580"/>
      <c r="J174" s="610"/>
      <c r="K174" s="610"/>
      <c r="L174" s="610"/>
      <c r="M174" s="610"/>
      <c r="N174" s="610"/>
      <c r="O174" s="610"/>
      <c r="P174" s="610"/>
      <c r="Q174" s="610"/>
      <c r="R174" s="610"/>
      <c r="S174" s="610"/>
      <c r="T174" s="610"/>
      <c r="U174" s="610"/>
      <c r="V174" s="610"/>
      <c r="W174" s="610"/>
      <c r="X174" s="610"/>
      <c r="Y174" s="610"/>
      <c r="Z174" s="610"/>
    </row>
    <row r="175" spans="1:26">
      <c r="A175" s="35"/>
      <c r="B175" s="584"/>
      <c r="C175" s="584"/>
      <c r="D175" s="584"/>
      <c r="E175" s="584"/>
      <c r="F175" s="584"/>
      <c r="G175" s="584"/>
      <c r="H175" s="584"/>
      <c r="I175" s="580"/>
      <c r="J175" s="610"/>
      <c r="K175" s="610"/>
      <c r="L175" s="610"/>
      <c r="M175" s="610"/>
      <c r="N175" s="610"/>
      <c r="O175" s="610"/>
      <c r="P175" s="610"/>
      <c r="Q175" s="610"/>
      <c r="R175" s="610"/>
      <c r="S175" s="610"/>
      <c r="T175" s="610"/>
      <c r="U175" s="610"/>
      <c r="V175" s="610"/>
      <c r="W175" s="610"/>
      <c r="X175" s="610"/>
      <c r="Y175" s="610"/>
      <c r="Z175" s="610"/>
    </row>
    <row r="176" spans="1:26">
      <c r="A176" s="35"/>
      <c r="B176" s="584"/>
      <c r="C176" s="584"/>
      <c r="D176" s="584"/>
      <c r="E176" s="584"/>
      <c r="F176" s="584"/>
      <c r="G176" s="584"/>
      <c r="H176" s="584"/>
      <c r="I176" s="580"/>
      <c r="J176" s="610"/>
      <c r="K176" s="610"/>
      <c r="L176" s="610"/>
      <c r="M176" s="610"/>
      <c r="N176" s="610"/>
      <c r="O176" s="610"/>
      <c r="P176" s="610"/>
      <c r="Q176" s="610"/>
      <c r="R176" s="610"/>
      <c r="S176" s="610"/>
      <c r="T176" s="610"/>
      <c r="U176" s="610"/>
      <c r="V176" s="610"/>
      <c r="W176" s="610"/>
      <c r="X176" s="610"/>
      <c r="Y176" s="610"/>
      <c r="Z176" s="610"/>
    </row>
    <row r="177" spans="1:26">
      <c r="A177" s="35"/>
      <c r="B177" s="584"/>
      <c r="C177" s="584"/>
      <c r="D177" s="584"/>
      <c r="E177" s="584"/>
      <c r="F177" s="584"/>
      <c r="G177" s="584"/>
      <c r="H177" s="584"/>
      <c r="I177" s="580"/>
      <c r="J177" s="610"/>
      <c r="K177" s="610"/>
      <c r="L177" s="610"/>
      <c r="M177" s="610"/>
      <c r="N177" s="610"/>
      <c r="O177" s="610"/>
      <c r="P177" s="610"/>
      <c r="Q177" s="610"/>
      <c r="R177" s="610"/>
      <c r="S177" s="610"/>
      <c r="T177" s="610"/>
      <c r="U177" s="610"/>
      <c r="V177" s="610"/>
      <c r="W177" s="610"/>
      <c r="X177" s="610"/>
      <c r="Y177" s="610"/>
      <c r="Z177" s="610"/>
    </row>
    <row r="178" spans="1:26">
      <c r="A178" s="35"/>
      <c r="B178" s="584"/>
      <c r="C178" s="584"/>
      <c r="D178" s="584"/>
      <c r="E178" s="584"/>
      <c r="F178" s="584"/>
      <c r="G178" s="584"/>
      <c r="H178" s="584"/>
      <c r="I178" s="580"/>
      <c r="J178" s="610"/>
      <c r="K178" s="610"/>
      <c r="L178" s="610"/>
      <c r="M178" s="610"/>
      <c r="N178" s="610"/>
      <c r="O178" s="610"/>
      <c r="P178" s="610"/>
      <c r="Q178" s="610"/>
      <c r="R178" s="610"/>
      <c r="S178" s="610"/>
      <c r="T178" s="610"/>
      <c r="U178" s="610"/>
      <c r="V178" s="610"/>
      <c r="W178" s="610"/>
      <c r="X178" s="610"/>
      <c r="Y178" s="610"/>
      <c r="Z178" s="610"/>
    </row>
    <row r="179" spans="1:26">
      <c r="A179" s="35"/>
      <c r="B179" s="584"/>
      <c r="C179" s="584"/>
      <c r="D179" s="584"/>
      <c r="E179" s="584"/>
      <c r="F179" s="584"/>
      <c r="G179" s="584"/>
      <c r="H179" s="584"/>
      <c r="I179" s="580"/>
      <c r="J179" s="610"/>
      <c r="K179" s="610"/>
      <c r="L179" s="610"/>
      <c r="M179" s="610"/>
      <c r="N179" s="610"/>
      <c r="O179" s="610"/>
      <c r="P179" s="610"/>
      <c r="Q179" s="610"/>
      <c r="R179" s="610"/>
      <c r="S179" s="610"/>
      <c r="T179" s="610"/>
      <c r="U179" s="610"/>
      <c r="V179" s="610"/>
      <c r="W179" s="610"/>
      <c r="X179" s="610"/>
      <c r="Y179" s="610"/>
      <c r="Z179" s="610"/>
    </row>
    <row r="180" spans="1:26">
      <c r="A180" s="35"/>
      <c r="B180" s="584"/>
      <c r="C180" s="584"/>
      <c r="D180" s="584"/>
      <c r="E180" s="584"/>
      <c r="F180" s="584"/>
      <c r="G180" s="584"/>
      <c r="H180" s="584"/>
      <c r="I180" s="580"/>
      <c r="J180" s="610"/>
      <c r="K180" s="610"/>
      <c r="L180" s="610"/>
      <c r="M180" s="610"/>
      <c r="N180" s="610"/>
      <c r="O180" s="610"/>
      <c r="P180" s="610"/>
      <c r="Q180" s="610"/>
      <c r="R180" s="610"/>
      <c r="S180" s="610"/>
      <c r="T180" s="610"/>
      <c r="U180" s="610"/>
      <c r="V180" s="610"/>
      <c r="W180" s="610"/>
      <c r="X180" s="610"/>
      <c r="Y180" s="610"/>
      <c r="Z180" s="610"/>
    </row>
    <row r="181" spans="1:26">
      <c r="A181" s="35"/>
      <c r="B181" s="584"/>
      <c r="C181" s="584"/>
      <c r="D181" s="584"/>
      <c r="E181" s="584"/>
      <c r="F181" s="584"/>
      <c r="G181" s="584"/>
      <c r="H181" s="584"/>
      <c r="I181" s="580"/>
      <c r="J181" s="610"/>
      <c r="K181" s="610"/>
      <c r="L181" s="610"/>
      <c r="M181" s="610"/>
      <c r="N181" s="610"/>
      <c r="O181" s="610"/>
      <c r="P181" s="610"/>
      <c r="Q181" s="610"/>
      <c r="R181" s="610"/>
      <c r="S181" s="610"/>
      <c r="T181" s="610"/>
      <c r="U181" s="610"/>
      <c r="V181" s="610"/>
      <c r="W181" s="610"/>
      <c r="X181" s="610"/>
      <c r="Y181" s="610"/>
      <c r="Z181" s="610"/>
    </row>
    <row r="182" spans="1:26">
      <c r="A182" s="35"/>
      <c r="B182" s="584"/>
      <c r="C182" s="584"/>
      <c r="D182" s="584"/>
      <c r="E182" s="584"/>
      <c r="F182" s="584"/>
      <c r="G182" s="584"/>
      <c r="H182" s="584"/>
      <c r="I182" s="580"/>
      <c r="J182" s="610"/>
      <c r="K182" s="610"/>
      <c r="L182" s="610"/>
      <c r="M182" s="610"/>
      <c r="N182" s="610"/>
      <c r="O182" s="610"/>
      <c r="P182" s="610"/>
      <c r="Q182" s="610"/>
      <c r="R182" s="610"/>
      <c r="S182" s="610"/>
      <c r="T182" s="610"/>
      <c r="U182" s="610"/>
      <c r="V182" s="610"/>
      <c r="W182" s="610"/>
      <c r="X182" s="610"/>
      <c r="Y182" s="610"/>
      <c r="Z182" s="610"/>
    </row>
    <row r="183" spans="1:26">
      <c r="A183" s="35"/>
      <c r="B183" s="584"/>
      <c r="C183" s="584"/>
      <c r="D183" s="584"/>
      <c r="E183" s="584"/>
      <c r="F183" s="584"/>
      <c r="G183" s="584"/>
      <c r="H183" s="584"/>
      <c r="I183" s="580"/>
      <c r="J183" s="610"/>
      <c r="K183" s="610"/>
      <c r="L183" s="610"/>
      <c r="M183" s="610"/>
      <c r="N183" s="610"/>
      <c r="O183" s="610"/>
      <c r="P183" s="610"/>
      <c r="Q183" s="610"/>
      <c r="R183" s="610"/>
      <c r="S183" s="610"/>
      <c r="T183" s="610"/>
      <c r="U183" s="610"/>
      <c r="V183" s="610"/>
      <c r="W183" s="610"/>
      <c r="X183" s="610"/>
      <c r="Y183" s="610"/>
      <c r="Z183" s="610"/>
    </row>
    <row r="184" spans="1:26">
      <c r="A184" s="35"/>
      <c r="B184" s="584"/>
      <c r="C184" s="584"/>
      <c r="D184" s="584"/>
      <c r="E184" s="584"/>
      <c r="F184" s="584"/>
      <c r="G184" s="584"/>
      <c r="H184" s="584"/>
      <c r="I184" s="580"/>
      <c r="J184" s="610"/>
      <c r="K184" s="610"/>
      <c r="L184" s="610"/>
      <c r="M184" s="610"/>
      <c r="N184" s="610"/>
      <c r="O184" s="610"/>
      <c r="P184" s="610"/>
      <c r="Q184" s="610"/>
      <c r="R184" s="610"/>
      <c r="S184" s="610"/>
      <c r="T184" s="610"/>
      <c r="U184" s="610"/>
      <c r="V184" s="610"/>
      <c r="W184" s="610"/>
      <c r="X184" s="610"/>
      <c r="Y184" s="610"/>
      <c r="Z184" s="610"/>
    </row>
    <row r="185" spans="1:26">
      <c r="A185" s="35"/>
      <c r="B185" s="584"/>
      <c r="C185" s="584"/>
      <c r="D185" s="584"/>
      <c r="E185" s="584"/>
      <c r="F185" s="584"/>
      <c r="G185" s="584"/>
      <c r="H185" s="584"/>
      <c r="I185" s="580"/>
      <c r="J185" s="610"/>
      <c r="K185" s="610"/>
      <c r="L185" s="610"/>
      <c r="M185" s="610"/>
      <c r="N185" s="610"/>
      <c r="O185" s="610"/>
      <c r="P185" s="610"/>
      <c r="Q185" s="610"/>
      <c r="R185" s="610"/>
      <c r="S185" s="610"/>
      <c r="T185" s="610"/>
      <c r="U185" s="610"/>
      <c r="V185" s="610"/>
      <c r="W185" s="610"/>
      <c r="X185" s="610"/>
      <c r="Y185" s="610"/>
      <c r="Z185" s="610"/>
    </row>
    <row r="186" spans="1:26">
      <c r="A186" s="35"/>
      <c r="B186" s="584"/>
      <c r="C186" s="584"/>
      <c r="D186" s="584"/>
      <c r="E186" s="584"/>
      <c r="F186" s="584"/>
      <c r="G186" s="584"/>
      <c r="H186" s="584"/>
      <c r="I186" s="580"/>
      <c r="J186" s="610"/>
      <c r="K186" s="610"/>
      <c r="L186" s="610"/>
      <c r="M186" s="610"/>
      <c r="N186" s="610"/>
      <c r="O186" s="610"/>
      <c r="P186" s="610"/>
      <c r="Q186" s="610"/>
      <c r="R186" s="610"/>
      <c r="S186" s="610"/>
      <c r="T186" s="610"/>
      <c r="U186" s="610"/>
      <c r="V186" s="610"/>
      <c r="W186" s="610"/>
      <c r="X186" s="610"/>
      <c r="Y186" s="610"/>
      <c r="Z186" s="610"/>
    </row>
    <row r="187" spans="1:26">
      <c r="A187" s="35"/>
      <c r="B187" s="584"/>
      <c r="C187" s="584"/>
      <c r="D187" s="584"/>
      <c r="E187" s="584"/>
      <c r="F187" s="584"/>
      <c r="G187" s="584"/>
      <c r="H187" s="584"/>
      <c r="I187" s="580"/>
      <c r="J187" s="610"/>
      <c r="K187" s="610"/>
      <c r="L187" s="610"/>
      <c r="M187" s="610"/>
      <c r="N187" s="610"/>
      <c r="O187" s="610"/>
      <c r="P187" s="610"/>
      <c r="Q187" s="610"/>
      <c r="R187" s="610"/>
      <c r="S187" s="610"/>
      <c r="T187" s="610"/>
      <c r="U187" s="610"/>
      <c r="V187" s="610"/>
      <c r="W187" s="610"/>
      <c r="X187" s="610"/>
      <c r="Y187" s="610"/>
      <c r="Z187" s="610"/>
    </row>
    <row r="188" spans="1:26">
      <c r="A188" s="35"/>
      <c r="B188" s="584"/>
      <c r="C188" s="584"/>
      <c r="D188" s="584"/>
      <c r="E188" s="584"/>
      <c r="F188" s="584"/>
      <c r="G188" s="584"/>
      <c r="H188" s="584"/>
      <c r="I188" s="580"/>
      <c r="J188" s="610"/>
      <c r="K188" s="610"/>
      <c r="L188" s="610"/>
      <c r="M188" s="610"/>
      <c r="N188" s="610"/>
      <c r="O188" s="610"/>
      <c r="P188" s="610"/>
      <c r="Q188" s="610"/>
      <c r="R188" s="610"/>
      <c r="S188" s="610"/>
      <c r="T188" s="610"/>
      <c r="U188" s="610"/>
      <c r="V188" s="610"/>
      <c r="W188" s="610"/>
      <c r="X188" s="610"/>
      <c r="Y188" s="610"/>
      <c r="Z188" s="610"/>
    </row>
    <row r="189" spans="1:26">
      <c r="A189" s="35"/>
      <c r="B189" s="584"/>
      <c r="C189" s="584"/>
      <c r="D189" s="584"/>
      <c r="E189" s="584"/>
      <c r="F189" s="584"/>
      <c r="G189" s="584"/>
      <c r="H189" s="584"/>
      <c r="I189" s="580"/>
      <c r="J189" s="610"/>
      <c r="K189" s="610"/>
      <c r="L189" s="610"/>
      <c r="M189" s="610"/>
      <c r="N189" s="610"/>
      <c r="O189" s="610"/>
      <c r="P189" s="610"/>
      <c r="Q189" s="610"/>
      <c r="R189" s="610"/>
      <c r="S189" s="610"/>
      <c r="T189" s="610"/>
      <c r="U189" s="610"/>
      <c r="V189" s="610"/>
      <c r="W189" s="610"/>
      <c r="X189" s="610"/>
      <c r="Y189" s="610"/>
      <c r="Z189" s="610"/>
    </row>
    <row r="190" spans="1:26">
      <c r="A190" s="35"/>
      <c r="B190" s="584"/>
      <c r="C190" s="584"/>
      <c r="D190" s="584"/>
      <c r="E190" s="584"/>
      <c r="F190" s="584"/>
      <c r="G190" s="584"/>
      <c r="H190" s="584"/>
      <c r="I190" s="580"/>
      <c r="J190" s="610"/>
      <c r="K190" s="610"/>
      <c r="L190" s="610"/>
      <c r="M190" s="610"/>
      <c r="N190" s="610"/>
      <c r="O190" s="610"/>
      <c r="P190" s="610"/>
      <c r="Q190" s="610"/>
      <c r="R190" s="610"/>
      <c r="S190" s="610"/>
      <c r="T190" s="610"/>
      <c r="U190" s="610"/>
      <c r="V190" s="610"/>
      <c r="W190" s="610"/>
      <c r="X190" s="610"/>
      <c r="Y190" s="610"/>
      <c r="Z190" s="610"/>
    </row>
    <row r="191" spans="1:26">
      <c r="A191" s="35"/>
      <c r="B191" s="584"/>
      <c r="C191" s="584"/>
      <c r="D191" s="584"/>
      <c r="E191" s="584"/>
      <c r="F191" s="584"/>
      <c r="G191" s="584"/>
      <c r="H191" s="584"/>
      <c r="I191" s="580"/>
      <c r="J191" s="610"/>
      <c r="K191" s="610"/>
      <c r="L191" s="610"/>
      <c r="M191" s="610"/>
      <c r="N191" s="610"/>
      <c r="O191" s="610"/>
      <c r="P191" s="610"/>
      <c r="Q191" s="610"/>
      <c r="R191" s="610"/>
      <c r="S191" s="610"/>
      <c r="T191" s="610"/>
      <c r="U191" s="610"/>
      <c r="V191" s="610"/>
      <c r="W191" s="610"/>
      <c r="X191" s="610"/>
      <c r="Y191" s="610"/>
      <c r="Z191" s="610"/>
    </row>
    <row r="192" spans="1:26">
      <c r="A192" s="35"/>
      <c r="B192" s="584"/>
      <c r="C192" s="584"/>
      <c r="D192" s="584"/>
      <c r="E192" s="584"/>
      <c r="F192" s="584"/>
      <c r="G192" s="584"/>
      <c r="H192" s="584"/>
      <c r="I192" s="580"/>
      <c r="J192" s="610"/>
      <c r="K192" s="610"/>
      <c r="L192" s="610"/>
      <c r="M192" s="610"/>
      <c r="N192" s="610"/>
      <c r="O192" s="610"/>
      <c r="P192" s="610"/>
      <c r="Q192" s="610"/>
      <c r="R192" s="610"/>
      <c r="S192" s="610"/>
      <c r="T192" s="610"/>
      <c r="U192" s="610"/>
      <c r="V192" s="610"/>
      <c r="W192" s="610"/>
      <c r="X192" s="610"/>
      <c r="Y192" s="610"/>
      <c r="Z192" s="610"/>
    </row>
    <row r="193" spans="1:26">
      <c r="A193" s="35"/>
      <c r="B193" s="584"/>
      <c r="C193" s="584"/>
      <c r="D193" s="584"/>
      <c r="E193" s="584"/>
      <c r="F193" s="584"/>
      <c r="G193" s="584"/>
      <c r="H193" s="584"/>
      <c r="I193" s="580"/>
      <c r="J193" s="610"/>
      <c r="K193" s="610"/>
      <c r="L193" s="610"/>
      <c r="M193" s="610"/>
      <c r="N193" s="610"/>
      <c r="O193" s="610"/>
      <c r="P193" s="610"/>
      <c r="Q193" s="610"/>
      <c r="R193" s="610"/>
      <c r="S193" s="610"/>
      <c r="T193" s="610"/>
      <c r="U193" s="610"/>
      <c r="V193" s="610"/>
      <c r="W193" s="610"/>
      <c r="X193" s="610"/>
      <c r="Y193" s="610"/>
      <c r="Z193" s="610"/>
    </row>
    <row r="194" spans="1:26">
      <c r="A194" s="35"/>
      <c r="B194" s="584"/>
      <c r="C194" s="584"/>
      <c r="D194" s="584"/>
      <c r="E194" s="584"/>
      <c r="F194" s="584"/>
      <c r="G194" s="584"/>
      <c r="H194" s="584"/>
      <c r="I194" s="580"/>
      <c r="J194" s="610"/>
      <c r="K194" s="610"/>
      <c r="L194" s="610"/>
      <c r="M194" s="610"/>
      <c r="N194" s="610"/>
      <c r="O194" s="610"/>
      <c r="P194" s="610"/>
      <c r="Q194" s="610"/>
      <c r="R194" s="610"/>
      <c r="S194" s="610"/>
      <c r="T194" s="610"/>
      <c r="U194" s="610"/>
      <c r="V194" s="610"/>
      <c r="W194" s="610"/>
      <c r="X194" s="610"/>
      <c r="Y194" s="610"/>
      <c r="Z194" s="610"/>
    </row>
    <row r="195" spans="1:26">
      <c r="A195" s="35"/>
      <c r="B195" s="584"/>
      <c r="C195" s="584"/>
      <c r="D195" s="584"/>
      <c r="E195" s="584"/>
      <c r="F195" s="584"/>
      <c r="G195" s="584"/>
      <c r="H195" s="584"/>
      <c r="I195" s="580"/>
      <c r="J195" s="610"/>
      <c r="K195" s="610"/>
      <c r="L195" s="610"/>
      <c r="M195" s="610"/>
      <c r="N195" s="610"/>
      <c r="O195" s="610"/>
      <c r="P195" s="610"/>
      <c r="Q195" s="610"/>
      <c r="R195" s="610"/>
      <c r="S195" s="610"/>
      <c r="T195" s="610"/>
      <c r="U195" s="610"/>
      <c r="V195" s="610"/>
      <c r="W195" s="610"/>
      <c r="X195" s="610"/>
      <c r="Y195" s="610"/>
      <c r="Z195" s="610"/>
    </row>
    <row r="196" spans="1:26">
      <c r="A196" s="35"/>
      <c r="B196" s="584"/>
      <c r="C196" s="584"/>
      <c r="D196" s="584"/>
      <c r="E196" s="584"/>
      <c r="F196" s="584"/>
      <c r="G196" s="584"/>
      <c r="H196" s="584"/>
      <c r="I196" s="580"/>
      <c r="J196" s="610"/>
      <c r="K196" s="610"/>
      <c r="L196" s="610"/>
      <c r="M196" s="610"/>
      <c r="N196" s="610"/>
      <c r="O196" s="610"/>
      <c r="P196" s="610"/>
      <c r="Q196" s="610"/>
      <c r="R196" s="610"/>
      <c r="S196" s="610"/>
      <c r="T196" s="610"/>
      <c r="U196" s="610"/>
      <c r="V196" s="610"/>
      <c r="W196" s="610"/>
      <c r="X196" s="610"/>
      <c r="Y196" s="610"/>
      <c r="Z196" s="610"/>
    </row>
    <row r="197" spans="1:26">
      <c r="A197" s="35"/>
      <c r="B197" s="584"/>
      <c r="C197" s="584"/>
      <c r="D197" s="584"/>
      <c r="E197" s="584"/>
      <c r="F197" s="584"/>
      <c r="G197" s="584"/>
      <c r="H197" s="584"/>
      <c r="I197" s="580"/>
      <c r="J197" s="610"/>
      <c r="K197" s="610"/>
      <c r="L197" s="610"/>
      <c r="M197" s="610"/>
      <c r="N197" s="610"/>
      <c r="O197" s="610"/>
      <c r="P197" s="610"/>
      <c r="Q197" s="610"/>
      <c r="R197" s="610"/>
      <c r="S197" s="610"/>
      <c r="T197" s="610"/>
      <c r="U197" s="610"/>
      <c r="V197" s="610"/>
      <c r="W197" s="610"/>
      <c r="X197" s="610"/>
      <c r="Y197" s="610"/>
      <c r="Z197" s="610"/>
    </row>
    <row r="198" spans="1:26">
      <c r="A198" s="35"/>
      <c r="B198" s="584"/>
      <c r="C198" s="584"/>
      <c r="D198" s="584"/>
      <c r="E198" s="584"/>
      <c r="F198" s="584"/>
      <c r="G198" s="584"/>
      <c r="H198" s="584"/>
      <c r="I198" s="580"/>
      <c r="J198" s="610"/>
      <c r="K198" s="610"/>
      <c r="L198" s="610"/>
      <c r="M198" s="610"/>
      <c r="N198" s="610"/>
      <c r="O198" s="610"/>
      <c r="P198" s="610"/>
      <c r="Q198" s="610"/>
      <c r="R198" s="610"/>
      <c r="S198" s="610"/>
      <c r="T198" s="610"/>
      <c r="U198" s="610"/>
      <c r="V198" s="610"/>
      <c r="W198" s="610"/>
      <c r="X198" s="610"/>
      <c r="Y198" s="610"/>
      <c r="Z198" s="610"/>
    </row>
    <row r="199" spans="1:26">
      <c r="A199" s="35"/>
      <c r="B199" s="584"/>
      <c r="C199" s="584"/>
      <c r="D199" s="584"/>
      <c r="E199" s="584"/>
      <c r="F199" s="584"/>
      <c r="G199" s="584"/>
      <c r="H199" s="584"/>
      <c r="I199" s="580"/>
      <c r="J199" s="610"/>
      <c r="K199" s="610"/>
      <c r="L199" s="610"/>
      <c r="M199" s="610"/>
      <c r="N199" s="610"/>
      <c r="O199" s="610"/>
      <c r="P199" s="610"/>
      <c r="Q199" s="610"/>
      <c r="R199" s="610"/>
      <c r="S199" s="610"/>
      <c r="T199" s="610"/>
      <c r="U199" s="610"/>
      <c r="V199" s="610"/>
      <c r="W199" s="610"/>
      <c r="X199" s="610"/>
      <c r="Y199" s="610"/>
      <c r="Z199" s="610"/>
    </row>
    <row r="200" spans="1:26">
      <c r="A200" s="35"/>
      <c r="B200" s="584"/>
      <c r="C200" s="584"/>
      <c r="D200" s="584"/>
      <c r="E200" s="584"/>
      <c r="F200" s="584"/>
      <c r="G200" s="584"/>
      <c r="H200" s="584"/>
      <c r="I200" s="580"/>
      <c r="J200" s="610"/>
      <c r="K200" s="610"/>
      <c r="L200" s="610"/>
      <c r="M200" s="610"/>
      <c r="N200" s="610"/>
      <c r="O200" s="610"/>
      <c r="P200" s="610"/>
      <c r="Q200" s="610"/>
      <c r="R200" s="610"/>
      <c r="S200" s="610"/>
      <c r="T200" s="610"/>
      <c r="U200" s="610"/>
      <c r="V200" s="610"/>
      <c r="W200" s="610"/>
      <c r="X200" s="610"/>
      <c r="Y200" s="610"/>
      <c r="Z200" s="610"/>
    </row>
    <row r="201" spans="1:26">
      <c r="A201" s="35"/>
      <c r="B201" s="584"/>
      <c r="C201" s="584"/>
      <c r="D201" s="584"/>
      <c r="E201" s="584"/>
      <c r="F201" s="584"/>
      <c r="G201" s="584"/>
      <c r="H201" s="584"/>
      <c r="I201" s="580"/>
      <c r="J201" s="610"/>
      <c r="K201" s="610"/>
      <c r="L201" s="610"/>
      <c r="M201" s="610"/>
      <c r="N201" s="610"/>
      <c r="O201" s="610"/>
      <c r="P201" s="610"/>
      <c r="Q201" s="610"/>
      <c r="R201" s="610"/>
      <c r="S201" s="610"/>
      <c r="T201" s="610"/>
      <c r="U201" s="610"/>
      <c r="V201" s="610"/>
      <c r="W201" s="610"/>
      <c r="X201" s="610"/>
      <c r="Y201" s="610"/>
      <c r="Z201" s="610"/>
    </row>
    <row r="202" spans="1:26">
      <c r="A202" s="35"/>
      <c r="B202" s="584"/>
      <c r="C202" s="584"/>
      <c r="D202" s="584"/>
      <c r="E202" s="584"/>
      <c r="F202" s="584"/>
      <c r="G202" s="584"/>
      <c r="H202" s="584"/>
      <c r="I202" s="580"/>
      <c r="J202" s="610"/>
      <c r="K202" s="610"/>
      <c r="L202" s="610"/>
      <c r="M202" s="610"/>
      <c r="N202" s="610"/>
      <c r="O202" s="610"/>
      <c r="P202" s="610"/>
      <c r="Q202" s="610"/>
      <c r="R202" s="610"/>
      <c r="S202" s="610"/>
      <c r="T202" s="610"/>
      <c r="U202" s="610"/>
      <c r="V202" s="610"/>
      <c r="W202" s="610"/>
      <c r="X202" s="610"/>
      <c r="Y202" s="610"/>
      <c r="Z202" s="610"/>
    </row>
    <row r="203" spans="1:26">
      <c r="A203" s="35"/>
      <c r="B203" s="584"/>
      <c r="C203" s="584"/>
      <c r="D203" s="584"/>
      <c r="E203" s="584"/>
      <c r="F203" s="584"/>
      <c r="G203" s="584"/>
      <c r="H203" s="584"/>
      <c r="I203" s="580"/>
      <c r="J203" s="610"/>
      <c r="K203" s="610"/>
      <c r="L203" s="610"/>
      <c r="M203" s="610"/>
      <c r="N203" s="610"/>
      <c r="O203" s="610"/>
      <c r="P203" s="610"/>
      <c r="Q203" s="610"/>
      <c r="R203" s="610"/>
      <c r="S203" s="610"/>
      <c r="T203" s="610"/>
      <c r="U203" s="610"/>
      <c r="V203" s="610"/>
      <c r="W203" s="610"/>
      <c r="X203" s="610"/>
      <c r="Y203" s="610"/>
      <c r="Z203" s="610"/>
    </row>
    <row r="204" spans="1:26">
      <c r="A204" s="35"/>
      <c r="B204" s="584"/>
      <c r="C204" s="584"/>
      <c r="D204" s="584"/>
      <c r="E204" s="584"/>
      <c r="F204" s="584"/>
      <c r="G204" s="584"/>
      <c r="H204" s="584"/>
      <c r="I204" s="580"/>
      <c r="J204" s="610"/>
      <c r="K204" s="610"/>
      <c r="L204" s="610"/>
      <c r="M204" s="610"/>
      <c r="N204" s="610"/>
      <c r="O204" s="610"/>
      <c r="P204" s="610"/>
      <c r="Q204" s="610"/>
      <c r="R204" s="610"/>
      <c r="S204" s="610"/>
      <c r="T204" s="610"/>
      <c r="U204" s="610"/>
      <c r="V204" s="610"/>
      <c r="W204" s="610"/>
      <c r="X204" s="610"/>
      <c r="Y204" s="610"/>
      <c r="Z204" s="610"/>
    </row>
    <row r="205" spans="1:26">
      <c r="A205" s="35"/>
      <c r="B205" s="584"/>
      <c r="C205" s="584"/>
      <c r="D205" s="584"/>
      <c r="E205" s="584"/>
      <c r="F205" s="584"/>
      <c r="G205" s="584"/>
      <c r="H205" s="584"/>
      <c r="I205" s="580"/>
      <c r="J205" s="610"/>
      <c r="K205" s="610"/>
      <c r="L205" s="610"/>
      <c r="M205" s="610"/>
      <c r="N205" s="610"/>
      <c r="O205" s="610"/>
      <c r="P205" s="610"/>
      <c r="Q205" s="610"/>
      <c r="R205" s="610"/>
      <c r="S205" s="610"/>
      <c r="T205" s="610"/>
      <c r="U205" s="610"/>
      <c r="V205" s="610"/>
      <c r="W205" s="610"/>
      <c r="X205" s="610"/>
      <c r="Y205" s="610"/>
      <c r="Z205" s="610"/>
    </row>
    <row r="206" spans="1:26">
      <c r="A206" s="35"/>
      <c r="B206" s="584"/>
      <c r="C206" s="584"/>
      <c r="D206" s="584"/>
      <c r="E206" s="584"/>
      <c r="F206" s="584"/>
      <c r="G206" s="584"/>
      <c r="H206" s="584"/>
      <c r="I206" s="580"/>
      <c r="J206" s="610"/>
      <c r="K206" s="610"/>
      <c r="L206" s="610"/>
      <c r="M206" s="610"/>
      <c r="N206" s="610"/>
      <c r="O206" s="610"/>
      <c r="P206" s="610"/>
      <c r="Q206" s="610"/>
      <c r="R206" s="610"/>
      <c r="S206" s="610"/>
      <c r="T206" s="610"/>
      <c r="U206" s="610"/>
      <c r="V206" s="610"/>
      <c r="W206" s="610"/>
      <c r="X206" s="610"/>
      <c r="Y206" s="610"/>
      <c r="Z206" s="610"/>
    </row>
    <row r="207" spans="1:26">
      <c r="A207" s="35"/>
      <c r="B207" s="584"/>
      <c r="C207" s="584"/>
      <c r="D207" s="584"/>
      <c r="E207" s="584"/>
      <c r="F207" s="584"/>
      <c r="G207" s="584"/>
      <c r="H207" s="584"/>
      <c r="I207" s="580"/>
      <c r="J207" s="610"/>
      <c r="K207" s="610"/>
      <c r="L207" s="610"/>
      <c r="M207" s="610"/>
      <c r="N207" s="610"/>
      <c r="O207" s="610"/>
      <c r="P207" s="610"/>
      <c r="Q207" s="610"/>
      <c r="R207" s="610"/>
      <c r="S207" s="610"/>
      <c r="T207" s="610"/>
      <c r="U207" s="610"/>
      <c r="V207" s="610"/>
      <c r="W207" s="610"/>
      <c r="X207" s="610"/>
      <c r="Y207" s="610"/>
      <c r="Z207" s="610"/>
    </row>
    <row r="208" spans="1:26">
      <c r="A208" s="35"/>
      <c r="B208" s="584"/>
      <c r="C208" s="584"/>
      <c r="D208" s="584"/>
      <c r="E208" s="584"/>
      <c r="F208" s="584"/>
      <c r="G208" s="584"/>
      <c r="H208" s="584"/>
      <c r="I208" s="580"/>
      <c r="J208" s="610"/>
      <c r="K208" s="610"/>
      <c r="L208" s="610"/>
      <c r="M208" s="610"/>
      <c r="N208" s="610"/>
      <c r="O208" s="610"/>
      <c r="P208" s="610"/>
      <c r="Q208" s="610"/>
      <c r="R208" s="610"/>
      <c r="S208" s="610"/>
      <c r="T208" s="610"/>
      <c r="U208" s="610"/>
      <c r="V208" s="610"/>
      <c r="W208" s="610"/>
      <c r="X208" s="610"/>
      <c r="Y208" s="610"/>
      <c r="Z208" s="610"/>
    </row>
    <row r="209" spans="1:26">
      <c r="A209" s="35"/>
      <c r="B209" s="584"/>
      <c r="C209" s="584"/>
      <c r="D209" s="584"/>
      <c r="E209" s="584"/>
      <c r="F209" s="584"/>
      <c r="G209" s="584"/>
      <c r="H209" s="584"/>
      <c r="I209" s="580"/>
      <c r="J209" s="610"/>
      <c r="K209" s="610"/>
      <c r="L209" s="610"/>
      <c r="M209" s="610"/>
      <c r="N209" s="610"/>
      <c r="O209" s="610"/>
      <c r="P209" s="610"/>
      <c r="Q209" s="610"/>
      <c r="R209" s="610"/>
      <c r="S209" s="610"/>
      <c r="T209" s="610"/>
      <c r="U209" s="610"/>
      <c r="V209" s="610"/>
      <c r="W209" s="610"/>
      <c r="X209" s="610"/>
      <c r="Y209" s="610"/>
      <c r="Z209" s="610"/>
    </row>
    <row r="210" spans="1:26">
      <c r="A210" s="35"/>
      <c r="B210" s="584"/>
      <c r="C210" s="584"/>
      <c r="D210" s="584"/>
      <c r="E210" s="584"/>
      <c r="F210" s="584"/>
      <c r="G210" s="584"/>
      <c r="H210" s="584"/>
      <c r="I210" s="580"/>
      <c r="J210" s="610"/>
      <c r="K210" s="610"/>
      <c r="L210" s="610"/>
      <c r="M210" s="610"/>
      <c r="N210" s="610"/>
      <c r="O210" s="610"/>
      <c r="P210" s="610"/>
      <c r="Q210" s="610"/>
      <c r="R210" s="610"/>
      <c r="S210" s="610"/>
      <c r="T210" s="610"/>
      <c r="U210" s="610"/>
      <c r="V210" s="610"/>
      <c r="W210" s="610"/>
      <c r="X210" s="610"/>
      <c r="Y210" s="610"/>
      <c r="Z210" s="610"/>
    </row>
    <row r="211" spans="1:26">
      <c r="A211" s="35"/>
      <c r="B211" s="584"/>
      <c r="C211" s="584"/>
      <c r="D211" s="584"/>
      <c r="E211" s="584"/>
      <c r="F211" s="584"/>
      <c r="G211" s="584"/>
      <c r="H211" s="584"/>
      <c r="I211" s="580"/>
      <c r="J211" s="610"/>
      <c r="K211" s="610"/>
      <c r="L211" s="610"/>
      <c r="M211" s="610"/>
      <c r="N211" s="610"/>
      <c r="O211" s="610"/>
      <c r="P211" s="610"/>
      <c r="Q211" s="610"/>
      <c r="R211" s="610"/>
      <c r="S211" s="610"/>
      <c r="T211" s="610"/>
      <c r="U211" s="610"/>
      <c r="V211" s="610"/>
      <c r="W211" s="610"/>
      <c r="X211" s="610"/>
      <c r="Y211" s="610"/>
      <c r="Z211" s="610"/>
    </row>
    <row r="212" spans="1:26">
      <c r="A212" s="35"/>
      <c r="B212" s="584"/>
      <c r="C212" s="584"/>
      <c r="D212" s="584"/>
      <c r="E212" s="584"/>
      <c r="F212" s="584"/>
      <c r="G212" s="584"/>
      <c r="H212" s="584"/>
      <c r="I212" s="580"/>
      <c r="J212" s="610"/>
      <c r="K212" s="610"/>
      <c r="L212" s="610"/>
      <c r="M212" s="610"/>
      <c r="N212" s="610"/>
      <c r="O212" s="610"/>
      <c r="P212" s="610"/>
      <c r="Q212" s="610"/>
      <c r="R212" s="610"/>
      <c r="S212" s="610"/>
      <c r="T212" s="610"/>
      <c r="U212" s="610"/>
      <c r="V212" s="610"/>
      <c r="W212" s="610"/>
      <c r="X212" s="610"/>
      <c r="Y212" s="610"/>
      <c r="Z212" s="610"/>
    </row>
    <row r="213" spans="1:26">
      <c r="A213" s="35"/>
      <c r="B213" s="584"/>
      <c r="C213" s="584"/>
      <c r="D213" s="584"/>
      <c r="E213" s="584"/>
      <c r="F213" s="584"/>
      <c r="G213" s="584"/>
      <c r="H213" s="584"/>
      <c r="I213" s="580"/>
      <c r="J213" s="610"/>
      <c r="K213" s="610"/>
      <c r="L213" s="610"/>
      <c r="M213" s="610"/>
      <c r="N213" s="610"/>
      <c r="O213" s="610"/>
      <c r="P213" s="610"/>
      <c r="Q213" s="610"/>
      <c r="R213" s="610"/>
      <c r="S213" s="610"/>
      <c r="T213" s="610"/>
      <c r="U213" s="610"/>
      <c r="V213" s="610"/>
      <c r="W213" s="610"/>
      <c r="X213" s="610"/>
      <c r="Y213" s="610"/>
      <c r="Z213" s="610"/>
    </row>
    <row r="214" spans="1:26">
      <c r="A214" s="35"/>
      <c r="B214" s="584"/>
      <c r="C214" s="584"/>
      <c r="D214" s="584"/>
      <c r="E214" s="584"/>
      <c r="F214" s="584"/>
      <c r="G214" s="584"/>
      <c r="H214" s="584"/>
      <c r="I214" s="580"/>
      <c r="J214" s="610"/>
      <c r="K214" s="610"/>
      <c r="L214" s="610"/>
      <c r="M214" s="610"/>
      <c r="N214" s="610"/>
      <c r="O214" s="610"/>
      <c r="P214" s="610"/>
      <c r="Q214" s="610"/>
      <c r="R214" s="610"/>
      <c r="S214" s="610"/>
      <c r="T214" s="610"/>
      <c r="U214" s="610"/>
      <c r="V214" s="610"/>
      <c r="W214" s="610"/>
      <c r="X214" s="610"/>
      <c r="Y214" s="610"/>
      <c r="Z214" s="610"/>
    </row>
    <row r="215" spans="1:26">
      <c r="A215" s="35"/>
      <c r="B215" s="584"/>
      <c r="C215" s="584"/>
      <c r="D215" s="584"/>
      <c r="E215" s="584"/>
      <c r="F215" s="584"/>
      <c r="G215" s="584"/>
      <c r="H215" s="584"/>
      <c r="I215" s="580"/>
      <c r="J215" s="610"/>
      <c r="K215" s="610"/>
      <c r="L215" s="610"/>
      <c r="M215" s="610"/>
      <c r="N215" s="610"/>
      <c r="O215" s="610"/>
      <c r="P215" s="610"/>
      <c r="Q215" s="610"/>
      <c r="R215" s="610"/>
      <c r="S215" s="610"/>
      <c r="T215" s="610"/>
      <c r="U215" s="610"/>
      <c r="V215" s="610"/>
      <c r="W215" s="610"/>
      <c r="X215" s="610"/>
      <c r="Y215" s="610"/>
      <c r="Z215" s="610"/>
    </row>
    <row r="216" spans="1:26">
      <c r="A216" s="35"/>
      <c r="B216" s="584"/>
      <c r="C216" s="584"/>
      <c r="D216" s="584"/>
      <c r="E216" s="584"/>
      <c r="F216" s="584"/>
      <c r="G216" s="584"/>
      <c r="H216" s="584"/>
      <c r="I216" s="580"/>
      <c r="J216" s="610"/>
      <c r="K216" s="610"/>
      <c r="L216" s="610"/>
      <c r="M216" s="610"/>
      <c r="N216" s="610"/>
      <c r="O216" s="610"/>
      <c r="P216" s="610"/>
      <c r="Q216" s="610"/>
      <c r="R216" s="610"/>
      <c r="S216" s="610"/>
      <c r="T216" s="610"/>
      <c r="U216" s="610"/>
      <c r="V216" s="610"/>
      <c r="W216" s="610"/>
      <c r="X216" s="610"/>
      <c r="Y216" s="610"/>
      <c r="Z216" s="610"/>
    </row>
    <row r="217" spans="1:26">
      <c r="A217" s="35"/>
      <c r="B217" s="584"/>
      <c r="C217" s="584"/>
      <c r="D217" s="584"/>
      <c r="E217" s="584"/>
      <c r="F217" s="584"/>
      <c r="G217" s="584"/>
      <c r="H217" s="584"/>
      <c r="I217" s="580"/>
      <c r="J217" s="610"/>
      <c r="K217" s="610"/>
      <c r="L217" s="610"/>
      <c r="M217" s="610"/>
      <c r="N217" s="610"/>
      <c r="O217" s="610"/>
      <c r="P217" s="610"/>
      <c r="Q217" s="610"/>
      <c r="R217" s="610"/>
      <c r="S217" s="610"/>
      <c r="T217" s="610"/>
      <c r="U217" s="610"/>
      <c r="V217" s="610"/>
      <c r="W217" s="610"/>
      <c r="X217" s="610"/>
      <c r="Y217" s="610"/>
      <c r="Z217" s="610"/>
    </row>
    <row r="218" spans="1:26">
      <c r="A218" s="35"/>
      <c r="B218" s="584"/>
      <c r="C218" s="584"/>
      <c r="D218" s="584"/>
      <c r="E218" s="584"/>
      <c r="F218" s="584"/>
      <c r="G218" s="584"/>
      <c r="H218" s="584"/>
      <c r="I218" s="580"/>
      <c r="J218" s="610"/>
      <c r="K218" s="610"/>
      <c r="L218" s="610"/>
      <c r="M218" s="610"/>
      <c r="N218" s="610"/>
      <c r="O218" s="610"/>
      <c r="P218" s="610"/>
      <c r="Q218" s="610"/>
      <c r="R218" s="610"/>
      <c r="S218" s="610"/>
      <c r="T218" s="610"/>
      <c r="U218" s="610"/>
      <c r="V218" s="610"/>
      <c r="W218" s="610"/>
      <c r="X218" s="610"/>
      <c r="Y218" s="610"/>
      <c r="Z218" s="610"/>
    </row>
    <row r="219" spans="1:26">
      <c r="A219" s="35"/>
      <c r="B219" s="584"/>
      <c r="C219" s="584"/>
      <c r="D219" s="584"/>
      <c r="E219" s="584"/>
      <c r="F219" s="584"/>
      <c r="G219" s="584"/>
      <c r="H219" s="584"/>
      <c r="I219" s="580"/>
      <c r="J219" s="610"/>
      <c r="K219" s="610"/>
      <c r="L219" s="610"/>
      <c r="M219" s="610"/>
      <c r="N219" s="610"/>
      <c r="O219" s="610"/>
      <c r="P219" s="610"/>
      <c r="Q219" s="610"/>
      <c r="R219" s="610"/>
      <c r="S219" s="610"/>
      <c r="T219" s="610"/>
      <c r="U219" s="610"/>
      <c r="V219" s="610"/>
      <c r="W219" s="610"/>
      <c r="X219" s="610"/>
      <c r="Y219" s="610"/>
      <c r="Z219" s="610"/>
    </row>
    <row r="220" spans="1:26">
      <c r="A220" s="35"/>
      <c r="B220" s="584"/>
      <c r="C220" s="584"/>
      <c r="D220" s="584"/>
      <c r="E220" s="584"/>
      <c r="F220" s="584"/>
      <c r="G220" s="584"/>
      <c r="H220" s="584"/>
      <c r="I220" s="580"/>
      <c r="J220" s="610"/>
      <c r="K220" s="610"/>
      <c r="L220" s="610"/>
      <c r="M220" s="610"/>
      <c r="N220" s="610"/>
      <c r="O220" s="610"/>
      <c r="P220" s="610"/>
      <c r="Q220" s="610"/>
      <c r="R220" s="610"/>
      <c r="S220" s="610"/>
      <c r="T220" s="610"/>
      <c r="U220" s="610"/>
      <c r="V220" s="610"/>
      <c r="W220" s="610"/>
      <c r="X220" s="610"/>
      <c r="Y220" s="610"/>
      <c r="Z220" s="610"/>
    </row>
    <row r="221" spans="1:26">
      <c r="A221" s="35"/>
      <c r="B221" s="584"/>
      <c r="C221" s="584"/>
      <c r="D221" s="584"/>
      <c r="E221" s="584"/>
      <c r="F221" s="584"/>
      <c r="G221" s="584"/>
      <c r="H221" s="584"/>
      <c r="I221" s="580"/>
      <c r="J221" s="610"/>
      <c r="K221" s="610"/>
      <c r="L221" s="610"/>
      <c r="M221" s="610"/>
      <c r="N221" s="610"/>
      <c r="O221" s="610"/>
      <c r="P221" s="610"/>
      <c r="Q221" s="610"/>
      <c r="R221" s="610"/>
      <c r="S221" s="610"/>
      <c r="T221" s="610"/>
      <c r="U221" s="610"/>
      <c r="V221" s="610"/>
      <c r="W221" s="610"/>
      <c r="X221" s="610"/>
      <c r="Y221" s="610"/>
      <c r="Z221" s="610"/>
    </row>
    <row r="222" spans="1:26">
      <c r="A222" s="35"/>
      <c r="B222" s="584"/>
      <c r="C222" s="584"/>
      <c r="D222" s="584"/>
      <c r="E222" s="584"/>
      <c r="F222" s="584"/>
      <c r="G222" s="584"/>
      <c r="H222" s="584"/>
      <c r="I222" s="580"/>
      <c r="J222" s="610"/>
      <c r="K222" s="610"/>
      <c r="L222" s="610"/>
      <c r="M222" s="610"/>
      <c r="N222" s="610"/>
      <c r="O222" s="610"/>
      <c r="P222" s="610"/>
      <c r="Q222" s="610"/>
      <c r="R222" s="610"/>
      <c r="S222" s="610"/>
      <c r="T222" s="610"/>
      <c r="U222" s="610"/>
      <c r="V222" s="610"/>
      <c r="W222" s="610"/>
      <c r="X222" s="610"/>
      <c r="Y222" s="610"/>
      <c r="Z222" s="610"/>
    </row>
    <row r="223" spans="1:26">
      <c r="A223" s="35"/>
      <c r="B223" s="584"/>
      <c r="C223" s="584"/>
      <c r="D223" s="584"/>
      <c r="E223" s="584"/>
      <c r="F223" s="584"/>
      <c r="G223" s="584"/>
      <c r="H223" s="584"/>
      <c r="I223" s="580"/>
      <c r="J223" s="610"/>
      <c r="K223" s="610"/>
      <c r="L223" s="610"/>
      <c r="M223" s="610"/>
      <c r="N223" s="610"/>
      <c r="O223" s="610"/>
      <c r="P223" s="610"/>
      <c r="Q223" s="610"/>
      <c r="R223" s="610"/>
      <c r="S223" s="610"/>
      <c r="T223" s="610"/>
      <c r="U223" s="610"/>
      <c r="V223" s="610"/>
      <c r="W223" s="610"/>
      <c r="X223" s="610"/>
      <c r="Y223" s="610"/>
      <c r="Z223" s="610"/>
    </row>
    <row r="224" spans="1:26">
      <c r="A224" s="35"/>
      <c r="B224" s="584"/>
      <c r="C224" s="584"/>
      <c r="D224" s="584"/>
      <c r="E224" s="584"/>
      <c r="F224" s="584"/>
      <c r="G224" s="584"/>
      <c r="H224" s="584"/>
      <c r="I224" s="580"/>
      <c r="J224" s="610"/>
      <c r="K224" s="610"/>
      <c r="L224" s="610"/>
      <c r="M224" s="610"/>
      <c r="N224" s="610"/>
      <c r="O224" s="610"/>
      <c r="P224" s="610"/>
      <c r="Q224" s="610"/>
      <c r="R224" s="610"/>
      <c r="S224" s="610"/>
      <c r="T224" s="610"/>
      <c r="U224" s="610"/>
      <c r="V224" s="610"/>
      <c r="W224" s="610"/>
      <c r="X224" s="610"/>
      <c r="Y224" s="610"/>
      <c r="Z224" s="610"/>
    </row>
    <row r="225" spans="1:26">
      <c r="A225" s="35"/>
      <c r="B225" s="584"/>
      <c r="C225" s="584"/>
      <c r="D225" s="584"/>
      <c r="E225" s="584"/>
      <c r="F225" s="584"/>
      <c r="G225" s="584"/>
      <c r="H225" s="584"/>
      <c r="I225" s="580"/>
      <c r="J225" s="610"/>
      <c r="K225" s="610"/>
      <c r="L225" s="610"/>
      <c r="M225" s="610"/>
      <c r="N225" s="610"/>
      <c r="O225" s="610"/>
      <c r="P225" s="610"/>
      <c r="Q225" s="610"/>
      <c r="R225" s="610"/>
      <c r="S225" s="610"/>
      <c r="T225" s="610"/>
      <c r="U225" s="610"/>
      <c r="V225" s="610"/>
      <c r="W225" s="610"/>
      <c r="X225" s="610"/>
      <c r="Y225" s="610"/>
      <c r="Z225" s="610"/>
    </row>
    <row r="226" spans="1:26">
      <c r="A226" s="35"/>
      <c r="B226" s="584"/>
      <c r="C226" s="584"/>
      <c r="D226" s="584"/>
      <c r="E226" s="584"/>
      <c r="F226" s="584"/>
      <c r="G226" s="584"/>
      <c r="H226" s="584"/>
      <c r="I226" s="580"/>
      <c r="J226" s="610"/>
      <c r="K226" s="610"/>
      <c r="L226" s="610"/>
      <c r="M226" s="610"/>
      <c r="N226" s="610"/>
      <c r="O226" s="610"/>
      <c r="P226" s="610"/>
      <c r="Q226" s="610"/>
      <c r="R226" s="610"/>
      <c r="S226" s="610"/>
      <c r="T226" s="610"/>
      <c r="U226" s="610"/>
      <c r="V226" s="610"/>
      <c r="W226" s="610"/>
      <c r="X226" s="610"/>
      <c r="Y226" s="610"/>
      <c r="Z226" s="610"/>
    </row>
    <row r="227" spans="1:26">
      <c r="A227" s="35"/>
      <c r="B227" s="584"/>
      <c r="C227" s="584"/>
      <c r="D227" s="584"/>
      <c r="E227" s="584"/>
      <c r="F227" s="584"/>
      <c r="G227" s="584"/>
      <c r="H227" s="584"/>
      <c r="I227" s="580"/>
      <c r="J227" s="610"/>
      <c r="K227" s="610"/>
      <c r="L227" s="610"/>
      <c r="M227" s="610"/>
      <c r="N227" s="610"/>
      <c r="O227" s="610"/>
      <c r="P227" s="610"/>
      <c r="Q227" s="610"/>
      <c r="R227" s="610"/>
      <c r="S227" s="610"/>
      <c r="T227" s="610"/>
      <c r="U227" s="610"/>
      <c r="V227" s="610"/>
      <c r="W227" s="610"/>
      <c r="X227" s="610"/>
      <c r="Y227" s="610"/>
      <c r="Z227" s="610"/>
    </row>
    <row r="228" spans="1:26">
      <c r="A228" s="35"/>
      <c r="B228" s="584"/>
      <c r="C228" s="584"/>
      <c r="D228" s="584"/>
      <c r="E228" s="584"/>
      <c r="F228" s="584"/>
      <c r="G228" s="584"/>
      <c r="H228" s="584"/>
      <c r="I228" s="580"/>
      <c r="J228" s="610"/>
      <c r="K228" s="610"/>
      <c r="L228" s="610"/>
      <c r="M228" s="610"/>
      <c r="N228" s="610"/>
      <c r="O228" s="610"/>
      <c r="P228" s="610"/>
      <c r="Q228" s="610"/>
      <c r="R228" s="610"/>
      <c r="S228" s="610"/>
      <c r="T228" s="610"/>
      <c r="U228" s="610"/>
      <c r="V228" s="610"/>
      <c r="W228" s="610"/>
      <c r="X228" s="610"/>
      <c r="Y228" s="610"/>
      <c r="Z228" s="610"/>
    </row>
    <row r="229" spans="1:26">
      <c r="A229" s="35"/>
      <c r="B229" s="584"/>
      <c r="C229" s="584"/>
      <c r="D229" s="584"/>
      <c r="E229" s="584"/>
      <c r="F229" s="584"/>
      <c r="G229" s="584"/>
      <c r="H229" s="584"/>
      <c r="I229" s="580"/>
      <c r="J229" s="610"/>
      <c r="K229" s="610"/>
      <c r="L229" s="610"/>
      <c r="M229" s="610"/>
      <c r="N229" s="610"/>
      <c r="O229" s="610"/>
      <c r="P229" s="610"/>
      <c r="Q229" s="610"/>
      <c r="R229" s="610"/>
      <c r="S229" s="610"/>
      <c r="T229" s="610"/>
      <c r="U229" s="610"/>
      <c r="V229" s="610"/>
      <c r="W229" s="610"/>
      <c r="X229" s="610"/>
      <c r="Y229" s="610"/>
      <c r="Z229" s="610"/>
    </row>
    <row r="230" spans="1:26">
      <c r="A230" s="35"/>
      <c r="B230" s="584"/>
      <c r="C230" s="584"/>
      <c r="D230" s="584"/>
      <c r="E230" s="584"/>
      <c r="F230" s="584"/>
      <c r="G230" s="584"/>
      <c r="H230" s="584"/>
      <c r="I230" s="580"/>
      <c r="J230" s="610"/>
      <c r="K230" s="610"/>
      <c r="L230" s="610"/>
      <c r="M230" s="610"/>
      <c r="N230" s="610"/>
      <c r="O230" s="610"/>
      <c r="P230" s="610"/>
      <c r="Q230" s="610"/>
      <c r="R230" s="610"/>
      <c r="S230" s="610"/>
      <c r="T230" s="610"/>
      <c r="U230" s="610"/>
      <c r="V230" s="610"/>
      <c r="W230" s="610"/>
      <c r="X230" s="610"/>
      <c r="Y230" s="610"/>
      <c r="Z230" s="610"/>
    </row>
    <row r="231" spans="1:26">
      <c r="A231" s="35"/>
      <c r="B231" s="584"/>
      <c r="C231" s="584"/>
      <c r="D231" s="584"/>
      <c r="E231" s="584"/>
      <c r="F231" s="584"/>
      <c r="G231" s="584"/>
      <c r="H231" s="584"/>
      <c r="I231" s="580"/>
      <c r="J231" s="610"/>
      <c r="K231" s="610"/>
      <c r="L231" s="610"/>
      <c r="M231" s="610"/>
      <c r="N231" s="610"/>
      <c r="O231" s="610"/>
      <c r="P231" s="610"/>
      <c r="Q231" s="610"/>
      <c r="R231" s="610"/>
      <c r="S231" s="610"/>
      <c r="T231" s="610"/>
      <c r="U231" s="610"/>
      <c r="V231" s="610"/>
      <c r="W231" s="610"/>
      <c r="X231" s="610"/>
      <c r="Y231" s="610"/>
      <c r="Z231" s="610"/>
    </row>
    <row r="232" spans="1:26">
      <c r="A232" s="35"/>
      <c r="B232" s="584"/>
      <c r="C232" s="584"/>
      <c r="D232" s="584"/>
      <c r="E232" s="584"/>
      <c r="F232" s="584"/>
      <c r="G232" s="584"/>
      <c r="H232" s="584"/>
      <c r="I232" s="580"/>
      <c r="J232" s="610"/>
      <c r="K232" s="610"/>
      <c r="L232" s="610"/>
      <c r="M232" s="610"/>
      <c r="N232" s="610"/>
      <c r="O232" s="610"/>
      <c r="P232" s="610"/>
      <c r="Q232" s="610"/>
      <c r="R232" s="610"/>
      <c r="S232" s="610"/>
      <c r="T232" s="610"/>
      <c r="U232" s="610"/>
      <c r="V232" s="610"/>
      <c r="W232" s="610"/>
      <c r="X232" s="610"/>
      <c r="Y232" s="610"/>
      <c r="Z232" s="610"/>
    </row>
    <row r="233" spans="1:26">
      <c r="A233" s="35"/>
      <c r="B233" s="584"/>
      <c r="C233" s="584"/>
      <c r="D233" s="584"/>
      <c r="E233" s="584"/>
      <c r="F233" s="584"/>
      <c r="G233" s="584"/>
      <c r="H233" s="584"/>
      <c r="I233" s="580"/>
      <c r="J233" s="610"/>
      <c r="K233" s="610"/>
      <c r="L233" s="610"/>
      <c r="M233" s="610"/>
      <c r="N233" s="610"/>
      <c r="O233" s="610"/>
      <c r="P233" s="610"/>
      <c r="Q233" s="610"/>
      <c r="R233" s="610"/>
      <c r="S233" s="610"/>
      <c r="T233" s="610"/>
      <c r="U233" s="610"/>
      <c r="V233" s="610"/>
      <c r="W233" s="610"/>
      <c r="X233" s="610"/>
      <c r="Y233" s="610"/>
      <c r="Z233" s="610"/>
    </row>
    <row r="234" spans="1:26">
      <c r="A234" s="35"/>
      <c r="B234" s="584"/>
      <c r="C234" s="584"/>
      <c r="D234" s="584"/>
      <c r="E234" s="584"/>
      <c r="F234" s="584"/>
      <c r="G234" s="584"/>
      <c r="H234" s="584"/>
      <c r="I234" s="580"/>
      <c r="J234" s="610"/>
      <c r="K234" s="610"/>
      <c r="L234" s="610"/>
      <c r="M234" s="610"/>
      <c r="N234" s="610"/>
      <c r="O234" s="610"/>
      <c r="P234" s="610"/>
      <c r="Q234" s="610"/>
      <c r="R234" s="610"/>
      <c r="S234" s="610"/>
      <c r="T234" s="610"/>
      <c r="U234" s="610"/>
      <c r="V234" s="610"/>
      <c r="W234" s="610"/>
      <c r="X234" s="610"/>
      <c r="Y234" s="610"/>
      <c r="Z234" s="610"/>
    </row>
    <row r="235" spans="1:26">
      <c r="A235" s="35"/>
      <c r="B235" s="584"/>
      <c r="C235" s="584"/>
      <c r="D235" s="584"/>
      <c r="E235" s="584"/>
      <c r="F235" s="584"/>
      <c r="G235" s="584"/>
      <c r="H235" s="584"/>
      <c r="I235" s="580"/>
      <c r="J235" s="610"/>
      <c r="K235" s="610"/>
      <c r="L235" s="610"/>
      <c r="M235" s="610"/>
      <c r="N235" s="610"/>
      <c r="O235" s="610"/>
      <c r="P235" s="610"/>
      <c r="Q235" s="610"/>
      <c r="R235" s="610"/>
      <c r="S235" s="610"/>
      <c r="T235" s="610"/>
      <c r="U235" s="610"/>
      <c r="V235" s="610"/>
      <c r="W235" s="610"/>
      <c r="X235" s="610"/>
      <c r="Y235" s="610"/>
      <c r="Z235" s="610"/>
    </row>
    <row r="236" spans="1:26">
      <c r="A236" s="35"/>
      <c r="B236" s="584"/>
      <c r="C236" s="584"/>
      <c r="D236" s="584"/>
      <c r="E236" s="584"/>
      <c r="F236" s="584"/>
      <c r="G236" s="584"/>
      <c r="H236" s="584"/>
      <c r="I236" s="580"/>
      <c r="J236" s="610"/>
      <c r="K236" s="610"/>
      <c r="L236" s="610"/>
      <c r="M236" s="610"/>
      <c r="N236" s="610"/>
      <c r="O236" s="610"/>
      <c r="P236" s="610"/>
      <c r="Q236" s="610"/>
      <c r="R236" s="610"/>
      <c r="S236" s="610"/>
      <c r="T236" s="610"/>
      <c r="U236" s="610"/>
      <c r="V236" s="610"/>
      <c r="W236" s="610"/>
      <c r="X236" s="610"/>
      <c r="Y236" s="610"/>
      <c r="Z236" s="610"/>
    </row>
    <row r="237" spans="1:26">
      <c r="A237" s="35"/>
      <c r="B237" s="584"/>
      <c r="C237" s="584"/>
      <c r="D237" s="584"/>
      <c r="E237" s="584"/>
      <c r="F237" s="584"/>
      <c r="G237" s="584"/>
      <c r="H237" s="584"/>
      <c r="I237" s="580"/>
      <c r="J237" s="610"/>
      <c r="K237" s="610"/>
      <c r="L237" s="610"/>
      <c r="M237" s="610"/>
      <c r="N237" s="610"/>
      <c r="O237" s="610"/>
      <c r="P237" s="610"/>
      <c r="Q237" s="610"/>
      <c r="R237" s="610"/>
      <c r="S237" s="610"/>
      <c r="T237" s="610"/>
      <c r="U237" s="610"/>
      <c r="V237" s="610"/>
      <c r="W237" s="610"/>
      <c r="X237" s="610"/>
      <c r="Y237" s="610"/>
      <c r="Z237" s="610"/>
    </row>
    <row r="238" spans="1:26">
      <c r="A238" s="35"/>
      <c r="B238" s="584"/>
      <c r="C238" s="584"/>
      <c r="D238" s="584"/>
      <c r="E238" s="584"/>
      <c r="F238" s="584"/>
      <c r="G238" s="584"/>
      <c r="H238" s="584"/>
      <c r="I238" s="580"/>
      <c r="J238" s="610"/>
      <c r="K238" s="610"/>
      <c r="L238" s="610"/>
      <c r="M238" s="610"/>
      <c r="N238" s="610"/>
      <c r="O238" s="610"/>
      <c r="P238" s="610"/>
      <c r="Q238" s="610"/>
      <c r="R238" s="610"/>
      <c r="S238" s="610"/>
      <c r="T238" s="610"/>
      <c r="U238" s="610"/>
      <c r="V238" s="610"/>
      <c r="W238" s="610"/>
      <c r="X238" s="610"/>
      <c r="Y238" s="610"/>
      <c r="Z238" s="610"/>
    </row>
    <row r="239" spans="1:26">
      <c r="A239" s="35"/>
      <c r="B239" s="584"/>
      <c r="C239" s="584"/>
      <c r="D239" s="584"/>
      <c r="E239" s="584"/>
      <c r="F239" s="584"/>
      <c r="G239" s="584"/>
      <c r="H239" s="584"/>
      <c r="I239" s="580"/>
      <c r="J239" s="610"/>
      <c r="K239" s="610"/>
      <c r="L239" s="610"/>
      <c r="M239" s="610"/>
      <c r="N239" s="610"/>
      <c r="O239" s="610"/>
      <c r="P239" s="610"/>
      <c r="Q239" s="610"/>
      <c r="R239" s="610"/>
      <c r="S239" s="610"/>
      <c r="T239" s="610"/>
      <c r="U239" s="610"/>
      <c r="V239" s="610"/>
      <c r="W239" s="610"/>
      <c r="X239" s="610"/>
      <c r="Y239" s="610"/>
      <c r="Z239" s="610"/>
    </row>
    <row r="240" spans="1:26">
      <c r="A240" s="35"/>
      <c r="B240" s="584"/>
      <c r="C240" s="584"/>
      <c r="D240" s="584"/>
      <c r="E240" s="584"/>
      <c r="F240" s="584"/>
      <c r="G240" s="584"/>
      <c r="H240" s="584"/>
      <c r="I240" s="580"/>
      <c r="J240" s="610"/>
      <c r="K240" s="610"/>
      <c r="L240" s="610"/>
      <c r="M240" s="610"/>
      <c r="N240" s="610"/>
      <c r="O240" s="610"/>
      <c r="P240" s="610"/>
      <c r="Q240" s="610"/>
      <c r="R240" s="610"/>
      <c r="S240" s="610"/>
      <c r="T240" s="610"/>
      <c r="U240" s="610"/>
      <c r="V240" s="610"/>
      <c r="W240" s="610"/>
      <c r="X240" s="610"/>
      <c r="Y240" s="610"/>
      <c r="Z240" s="610"/>
    </row>
    <row r="241" spans="1:26">
      <c r="A241" s="35"/>
      <c r="B241" s="584"/>
      <c r="C241" s="584"/>
      <c r="D241" s="584"/>
      <c r="E241" s="584"/>
      <c r="F241" s="584"/>
      <c r="G241" s="584"/>
      <c r="H241" s="584"/>
      <c r="I241" s="580"/>
      <c r="J241" s="610"/>
      <c r="K241" s="610"/>
      <c r="L241" s="610"/>
      <c r="M241" s="610"/>
      <c r="N241" s="610"/>
      <c r="O241" s="610"/>
      <c r="P241" s="610"/>
      <c r="Q241" s="610"/>
      <c r="R241" s="610"/>
      <c r="S241" s="610"/>
      <c r="T241" s="610"/>
      <c r="U241" s="610"/>
      <c r="V241" s="610"/>
      <c r="W241" s="610"/>
      <c r="X241" s="610"/>
      <c r="Y241" s="610"/>
      <c r="Z241" s="610"/>
    </row>
    <row r="242" spans="1:26">
      <c r="A242" s="35"/>
      <c r="B242" s="584"/>
      <c r="C242" s="584"/>
      <c r="D242" s="584"/>
      <c r="E242" s="584"/>
      <c r="F242" s="584"/>
      <c r="G242" s="584"/>
      <c r="H242" s="584"/>
      <c r="I242" s="580"/>
      <c r="J242" s="610"/>
      <c r="K242" s="610"/>
      <c r="L242" s="610"/>
      <c r="M242" s="610"/>
      <c r="N242" s="610"/>
      <c r="O242" s="610"/>
      <c r="P242" s="610"/>
      <c r="Q242" s="610"/>
      <c r="R242" s="610"/>
      <c r="S242" s="610"/>
      <c r="T242" s="610"/>
      <c r="U242" s="610"/>
      <c r="V242" s="610"/>
      <c r="W242" s="610"/>
      <c r="X242" s="610"/>
      <c r="Y242" s="610"/>
      <c r="Z242" s="610"/>
    </row>
    <row r="243" spans="1:26">
      <c r="A243" s="35"/>
      <c r="B243" s="584"/>
      <c r="C243" s="584"/>
      <c r="D243" s="584"/>
      <c r="E243" s="584"/>
      <c r="F243" s="584"/>
      <c r="G243" s="584"/>
      <c r="H243" s="584"/>
      <c r="I243" s="580"/>
      <c r="J243" s="610"/>
      <c r="K243" s="610"/>
      <c r="L243" s="610"/>
      <c r="M243" s="610"/>
      <c r="N243" s="610"/>
      <c r="O243" s="610"/>
      <c r="P243" s="610"/>
      <c r="Q243" s="610"/>
      <c r="R243" s="610"/>
      <c r="S243" s="610"/>
      <c r="T243" s="610"/>
      <c r="U243" s="610"/>
      <c r="V243" s="610"/>
      <c r="W243" s="610"/>
      <c r="X243" s="610"/>
      <c r="Y243" s="610"/>
      <c r="Z243" s="610"/>
    </row>
    <row r="244" spans="1:26">
      <c r="A244" s="35"/>
      <c r="B244" s="584"/>
      <c r="C244" s="584"/>
      <c r="D244" s="584"/>
      <c r="E244" s="584"/>
      <c r="F244" s="584"/>
      <c r="G244" s="584"/>
      <c r="H244" s="584"/>
      <c r="I244" s="580"/>
      <c r="J244" s="610"/>
      <c r="K244" s="610"/>
      <c r="L244" s="610"/>
      <c r="M244" s="610"/>
      <c r="N244" s="610"/>
      <c r="O244" s="610"/>
      <c r="P244" s="610"/>
      <c r="Q244" s="610"/>
      <c r="R244" s="610"/>
      <c r="S244" s="610"/>
      <c r="T244" s="610"/>
      <c r="U244" s="610"/>
      <c r="V244" s="610"/>
      <c r="W244" s="610"/>
      <c r="X244" s="610"/>
      <c r="Y244" s="610"/>
      <c r="Z244" s="610"/>
    </row>
    <row r="245" spans="1:26">
      <c r="A245" s="35"/>
      <c r="B245" s="584"/>
      <c r="C245" s="584"/>
      <c r="D245" s="584"/>
      <c r="E245" s="584"/>
      <c r="F245" s="584"/>
      <c r="G245" s="584"/>
      <c r="H245" s="584"/>
      <c r="I245" s="580"/>
      <c r="J245" s="610"/>
      <c r="K245" s="610"/>
      <c r="L245" s="610"/>
      <c r="M245" s="610"/>
      <c r="N245" s="610"/>
      <c r="O245" s="610"/>
      <c r="P245" s="610"/>
      <c r="Q245" s="610"/>
      <c r="R245" s="610"/>
      <c r="S245" s="610"/>
      <c r="T245" s="610"/>
      <c r="U245" s="610"/>
      <c r="V245" s="610"/>
      <c r="W245" s="610"/>
      <c r="X245" s="610"/>
      <c r="Y245" s="610"/>
      <c r="Z245" s="610"/>
    </row>
    <row r="246" spans="1:26">
      <c r="A246" s="35"/>
      <c r="B246" s="584"/>
      <c r="C246" s="584"/>
      <c r="D246" s="584"/>
      <c r="E246" s="584"/>
      <c r="F246" s="584"/>
      <c r="G246" s="584"/>
      <c r="H246" s="584"/>
      <c r="I246" s="580"/>
      <c r="J246" s="610"/>
      <c r="K246" s="610"/>
      <c r="L246" s="610"/>
      <c r="M246" s="610"/>
      <c r="N246" s="610"/>
      <c r="O246" s="610"/>
      <c r="P246" s="610"/>
      <c r="Q246" s="610"/>
      <c r="R246" s="610"/>
      <c r="S246" s="610"/>
      <c r="T246" s="610"/>
      <c r="U246" s="610"/>
      <c r="V246" s="610"/>
      <c r="W246" s="610"/>
      <c r="X246" s="610"/>
      <c r="Y246" s="610"/>
      <c r="Z246" s="610"/>
    </row>
    <row r="247" spans="1:26">
      <c r="A247" s="35"/>
      <c r="B247" s="584"/>
      <c r="C247" s="584"/>
      <c r="D247" s="584"/>
      <c r="E247" s="584"/>
      <c r="F247" s="584"/>
      <c r="G247" s="584"/>
      <c r="H247" s="584"/>
      <c r="I247" s="580"/>
      <c r="J247" s="610"/>
      <c r="K247" s="610"/>
      <c r="L247" s="610"/>
      <c r="M247" s="610"/>
      <c r="N247" s="610"/>
      <c r="O247" s="610"/>
      <c r="P247" s="610"/>
      <c r="Q247" s="610"/>
      <c r="R247" s="610"/>
      <c r="S247" s="610"/>
      <c r="T247" s="610"/>
      <c r="U247" s="610"/>
      <c r="V247" s="610"/>
      <c r="W247" s="610"/>
      <c r="X247" s="610"/>
      <c r="Y247" s="610"/>
      <c r="Z247" s="610"/>
    </row>
    <row r="248" spans="1:26">
      <c r="A248" s="35"/>
      <c r="B248" s="584"/>
      <c r="C248" s="584"/>
      <c r="D248" s="584"/>
      <c r="E248" s="584"/>
      <c r="F248" s="584"/>
      <c r="G248" s="584"/>
      <c r="H248" s="584"/>
      <c r="I248" s="580"/>
      <c r="J248" s="610"/>
      <c r="K248" s="610"/>
      <c r="L248" s="610"/>
      <c r="M248" s="610"/>
      <c r="N248" s="610"/>
      <c r="O248" s="610"/>
      <c r="P248" s="610"/>
      <c r="Q248" s="610"/>
      <c r="R248" s="610"/>
      <c r="S248" s="610"/>
      <c r="T248" s="610"/>
      <c r="U248" s="610"/>
      <c r="V248" s="610"/>
      <c r="W248" s="610"/>
      <c r="X248" s="610"/>
      <c r="Y248" s="610"/>
      <c r="Z248" s="610"/>
    </row>
    <row r="249" spans="1:26">
      <c r="A249" s="35"/>
      <c r="B249" s="584"/>
      <c r="C249" s="584"/>
      <c r="D249" s="584"/>
      <c r="E249" s="584"/>
      <c r="F249" s="584"/>
      <c r="G249" s="584"/>
      <c r="H249" s="584"/>
      <c r="I249" s="580"/>
      <c r="J249" s="610"/>
      <c r="K249" s="610"/>
      <c r="L249" s="610"/>
      <c r="M249" s="610"/>
      <c r="N249" s="610"/>
      <c r="O249" s="610"/>
      <c r="P249" s="610"/>
      <c r="Q249" s="610"/>
      <c r="R249" s="610"/>
      <c r="S249" s="610"/>
      <c r="T249" s="610"/>
      <c r="U249" s="610"/>
      <c r="V249" s="610"/>
      <c r="W249" s="610"/>
      <c r="X249" s="610"/>
      <c r="Y249" s="610"/>
      <c r="Z249" s="610"/>
    </row>
    <row r="250" spans="1:26">
      <c r="A250" s="35"/>
      <c r="B250" s="584"/>
      <c r="C250" s="584"/>
      <c r="D250" s="584"/>
      <c r="E250" s="584"/>
      <c r="F250" s="584"/>
      <c r="G250" s="584"/>
      <c r="H250" s="584"/>
      <c r="I250" s="580"/>
      <c r="J250" s="610"/>
      <c r="K250" s="610"/>
      <c r="L250" s="610"/>
      <c r="M250" s="610"/>
      <c r="N250" s="610"/>
      <c r="O250" s="610"/>
      <c r="P250" s="610"/>
      <c r="Q250" s="610"/>
      <c r="R250" s="610"/>
      <c r="S250" s="610"/>
      <c r="T250" s="610"/>
      <c r="U250" s="610"/>
      <c r="V250" s="610"/>
      <c r="W250" s="610"/>
      <c r="X250" s="610"/>
      <c r="Y250" s="610"/>
      <c r="Z250" s="610"/>
    </row>
    <row r="251" spans="1:26">
      <c r="A251" s="35"/>
      <c r="B251" s="584"/>
      <c r="C251" s="584"/>
      <c r="D251" s="584"/>
      <c r="E251" s="584"/>
      <c r="F251" s="584"/>
      <c r="G251" s="584"/>
      <c r="H251" s="584"/>
      <c r="I251" s="580"/>
      <c r="J251" s="610"/>
      <c r="K251" s="610"/>
      <c r="L251" s="610"/>
      <c r="M251" s="610"/>
      <c r="N251" s="610"/>
      <c r="O251" s="610"/>
      <c r="P251" s="610"/>
      <c r="Q251" s="610"/>
      <c r="R251" s="610"/>
      <c r="S251" s="610"/>
      <c r="T251" s="610"/>
      <c r="U251" s="610"/>
      <c r="V251" s="610"/>
      <c r="W251" s="610"/>
      <c r="X251" s="610"/>
      <c r="Y251" s="610"/>
      <c r="Z251" s="610"/>
    </row>
    <row r="252" spans="1:26">
      <c r="A252" s="35"/>
      <c r="B252" s="584"/>
      <c r="C252" s="584"/>
      <c r="D252" s="584"/>
      <c r="E252" s="584"/>
      <c r="F252" s="584"/>
      <c r="G252" s="584"/>
      <c r="H252" s="584"/>
      <c r="I252" s="580"/>
      <c r="J252" s="610"/>
      <c r="K252" s="610"/>
      <c r="L252" s="610"/>
      <c r="M252" s="610"/>
      <c r="N252" s="610"/>
      <c r="O252" s="610"/>
      <c r="P252" s="610"/>
      <c r="Q252" s="610"/>
      <c r="R252" s="610"/>
      <c r="S252" s="610"/>
      <c r="T252" s="610"/>
      <c r="U252" s="610"/>
      <c r="V252" s="610"/>
      <c r="W252" s="610"/>
      <c r="X252" s="610"/>
      <c r="Y252" s="610"/>
      <c r="Z252" s="610"/>
    </row>
    <row r="253" spans="1:26">
      <c r="A253" s="35"/>
      <c r="B253" s="584"/>
      <c r="C253" s="584"/>
      <c r="D253" s="584"/>
      <c r="E253" s="584"/>
      <c r="F253" s="584"/>
      <c r="G253" s="584"/>
      <c r="H253" s="584"/>
      <c r="I253" s="580"/>
      <c r="J253" s="610"/>
      <c r="K253" s="610"/>
      <c r="L253" s="610"/>
      <c r="M253" s="610"/>
      <c r="N253" s="610"/>
      <c r="O253" s="610"/>
      <c r="P253" s="610"/>
      <c r="Q253" s="610"/>
      <c r="R253" s="610"/>
      <c r="S253" s="610"/>
      <c r="T253" s="610"/>
      <c r="U253" s="610"/>
      <c r="V253" s="610"/>
      <c r="W253" s="610"/>
      <c r="X253" s="610"/>
      <c r="Y253" s="610"/>
      <c r="Z253" s="610"/>
    </row>
    <row r="254" spans="1:26">
      <c r="A254" s="35"/>
      <c r="B254" s="584"/>
      <c r="C254" s="584"/>
      <c r="D254" s="584"/>
      <c r="E254" s="584"/>
      <c r="F254" s="584"/>
      <c r="G254" s="584"/>
      <c r="H254" s="584"/>
      <c r="I254" s="580"/>
      <c r="J254" s="610"/>
      <c r="K254" s="610"/>
      <c r="L254" s="610"/>
      <c r="M254" s="610"/>
      <c r="N254" s="610"/>
      <c r="O254" s="610"/>
      <c r="P254" s="610"/>
      <c r="Q254" s="610"/>
      <c r="R254" s="610"/>
      <c r="S254" s="610"/>
      <c r="T254" s="610"/>
      <c r="U254" s="610"/>
      <c r="V254" s="610"/>
      <c r="W254" s="610"/>
      <c r="X254" s="610"/>
      <c r="Y254" s="610"/>
      <c r="Z254" s="610"/>
    </row>
    <row r="255" spans="1:26">
      <c r="A255" s="35"/>
      <c r="B255" s="584"/>
      <c r="C255" s="584"/>
      <c r="D255" s="584"/>
      <c r="E255" s="584"/>
      <c r="F255" s="584"/>
      <c r="G255" s="584"/>
      <c r="H255" s="584"/>
      <c r="I255" s="580"/>
      <c r="J255" s="610"/>
      <c r="K255" s="610"/>
      <c r="L255" s="610"/>
      <c r="M255" s="610"/>
      <c r="N255" s="610"/>
      <c r="O255" s="610"/>
      <c r="P255" s="610"/>
      <c r="Q255" s="610"/>
      <c r="R255" s="610"/>
      <c r="S255" s="610"/>
      <c r="T255" s="610"/>
      <c r="U255" s="610"/>
      <c r="V255" s="610"/>
      <c r="W255" s="610"/>
      <c r="X255" s="610"/>
      <c r="Y255" s="610"/>
      <c r="Z255" s="610"/>
    </row>
    <row r="256" spans="1:26">
      <c r="A256" s="35"/>
      <c r="B256" s="584"/>
      <c r="C256" s="584"/>
      <c r="D256" s="584"/>
      <c r="E256" s="584"/>
      <c r="F256" s="584"/>
      <c r="G256" s="584"/>
      <c r="H256" s="584"/>
      <c r="I256" s="580"/>
      <c r="J256" s="610"/>
      <c r="K256" s="610"/>
      <c r="L256" s="610"/>
      <c r="M256" s="610"/>
      <c r="N256" s="610"/>
      <c r="O256" s="610"/>
      <c r="P256" s="610"/>
      <c r="Q256" s="610"/>
      <c r="R256" s="610"/>
      <c r="S256" s="610"/>
      <c r="T256" s="610"/>
      <c r="U256" s="610"/>
      <c r="V256" s="610"/>
      <c r="W256" s="610"/>
      <c r="X256" s="610"/>
      <c r="Y256" s="610"/>
      <c r="Z256" s="610"/>
    </row>
    <row r="257" spans="1:26">
      <c r="A257" s="35"/>
      <c r="B257" s="584"/>
      <c r="C257" s="584"/>
      <c r="D257" s="584"/>
      <c r="E257" s="584"/>
      <c r="F257" s="584"/>
      <c r="G257" s="584"/>
      <c r="H257" s="584"/>
      <c r="I257" s="580"/>
      <c r="J257" s="610"/>
      <c r="K257" s="610"/>
      <c r="L257" s="610"/>
      <c r="M257" s="610"/>
      <c r="N257" s="610"/>
      <c r="O257" s="610"/>
      <c r="P257" s="610"/>
      <c r="Q257" s="610"/>
      <c r="R257" s="610"/>
      <c r="S257" s="610"/>
      <c r="T257" s="610"/>
      <c r="U257" s="610"/>
      <c r="V257" s="610"/>
      <c r="W257" s="610"/>
      <c r="X257" s="610"/>
      <c r="Y257" s="610"/>
      <c r="Z257" s="610"/>
    </row>
    <row r="258" spans="1:26">
      <c r="A258" s="35"/>
      <c r="B258" s="584"/>
      <c r="C258" s="584"/>
      <c r="D258" s="584"/>
      <c r="E258" s="584"/>
      <c r="F258" s="584"/>
      <c r="G258" s="584"/>
      <c r="H258" s="584"/>
      <c r="I258" s="580"/>
      <c r="J258" s="610"/>
      <c r="K258" s="610"/>
      <c r="L258" s="610"/>
      <c r="M258" s="610"/>
      <c r="N258" s="610"/>
      <c r="O258" s="610"/>
      <c r="P258" s="610"/>
      <c r="Q258" s="610"/>
      <c r="R258" s="610"/>
      <c r="S258" s="610"/>
      <c r="T258" s="610"/>
      <c r="U258" s="610"/>
      <c r="V258" s="610"/>
      <c r="W258" s="610"/>
      <c r="X258" s="610"/>
      <c r="Y258" s="610"/>
      <c r="Z258" s="610"/>
    </row>
    <row r="259" spans="1:26">
      <c r="A259" s="35"/>
      <c r="B259" s="584"/>
      <c r="C259" s="584"/>
      <c r="D259" s="584"/>
      <c r="E259" s="584"/>
      <c r="F259" s="584"/>
      <c r="G259" s="584"/>
      <c r="H259" s="584"/>
      <c r="I259" s="580"/>
      <c r="J259" s="610"/>
      <c r="K259" s="610"/>
      <c r="L259" s="610"/>
      <c r="M259" s="610"/>
      <c r="N259" s="610"/>
      <c r="O259" s="610"/>
      <c r="P259" s="610"/>
      <c r="Q259" s="610"/>
      <c r="R259" s="610"/>
      <c r="S259" s="610"/>
      <c r="T259" s="610"/>
      <c r="U259" s="610"/>
      <c r="V259" s="610"/>
      <c r="W259" s="610"/>
      <c r="X259" s="610"/>
      <c r="Y259" s="610"/>
      <c r="Z259" s="610"/>
    </row>
    <row r="260" spans="1:26">
      <c r="A260" s="35"/>
      <c r="B260" s="584"/>
      <c r="C260" s="584"/>
      <c r="D260" s="584"/>
      <c r="E260" s="584"/>
      <c r="F260" s="584"/>
      <c r="G260" s="584"/>
      <c r="H260" s="584"/>
      <c r="I260" s="580"/>
      <c r="J260" s="610"/>
      <c r="K260" s="610"/>
      <c r="L260" s="610"/>
      <c r="M260" s="610"/>
      <c r="N260" s="610"/>
      <c r="O260" s="610"/>
      <c r="P260" s="610"/>
      <c r="Q260" s="610"/>
      <c r="R260" s="610"/>
      <c r="S260" s="610"/>
      <c r="T260" s="610"/>
      <c r="U260" s="610"/>
      <c r="V260" s="610"/>
      <c r="W260" s="610"/>
      <c r="X260" s="610"/>
      <c r="Y260" s="610"/>
      <c r="Z260" s="610"/>
    </row>
    <row r="261" spans="1:26">
      <c r="A261" s="35"/>
      <c r="B261" s="584"/>
      <c r="C261" s="584"/>
      <c r="D261" s="584"/>
      <c r="E261" s="584"/>
      <c r="F261" s="584"/>
      <c r="G261" s="584"/>
      <c r="H261" s="584"/>
      <c r="I261" s="580"/>
      <c r="J261" s="610"/>
      <c r="K261" s="610"/>
      <c r="L261" s="610"/>
      <c r="M261" s="610"/>
      <c r="N261" s="610"/>
      <c r="O261" s="610"/>
      <c r="P261" s="610"/>
      <c r="Q261" s="610"/>
      <c r="R261" s="610"/>
      <c r="S261" s="610"/>
      <c r="T261" s="610"/>
      <c r="U261" s="610"/>
      <c r="V261" s="610"/>
      <c r="W261" s="610"/>
      <c r="X261" s="610"/>
      <c r="Y261" s="610"/>
      <c r="Z261" s="610"/>
    </row>
    <row r="262" spans="1:26">
      <c r="A262" s="35"/>
      <c r="B262" s="584"/>
      <c r="C262" s="584"/>
      <c r="D262" s="584"/>
      <c r="E262" s="584"/>
      <c r="F262" s="584"/>
      <c r="G262" s="584"/>
      <c r="H262" s="584"/>
      <c r="I262" s="580"/>
      <c r="J262" s="610"/>
      <c r="K262" s="610"/>
      <c r="L262" s="610"/>
      <c r="M262" s="610"/>
      <c r="N262" s="610"/>
      <c r="O262" s="610"/>
      <c r="P262" s="610"/>
      <c r="Q262" s="610"/>
      <c r="R262" s="610"/>
      <c r="S262" s="610"/>
      <c r="T262" s="610"/>
      <c r="U262" s="610"/>
      <c r="V262" s="610"/>
      <c r="W262" s="610"/>
      <c r="X262" s="610"/>
      <c r="Y262" s="610"/>
      <c r="Z262" s="610"/>
    </row>
    <row r="263" spans="1:26">
      <c r="A263" s="35"/>
      <c r="B263" s="584"/>
      <c r="C263" s="584"/>
      <c r="D263" s="584"/>
      <c r="E263" s="584"/>
      <c r="F263" s="584"/>
      <c r="G263" s="584"/>
      <c r="H263" s="584"/>
      <c r="I263" s="580"/>
      <c r="J263" s="610"/>
      <c r="K263" s="610"/>
      <c r="L263" s="610"/>
      <c r="M263" s="610"/>
      <c r="N263" s="610"/>
      <c r="O263" s="610"/>
      <c r="P263" s="610"/>
      <c r="Q263" s="610"/>
      <c r="R263" s="610"/>
      <c r="S263" s="610"/>
      <c r="T263" s="610"/>
      <c r="U263" s="610"/>
      <c r="V263" s="610"/>
      <c r="W263" s="610"/>
      <c r="X263" s="610"/>
      <c r="Y263" s="610"/>
      <c r="Z263" s="610"/>
    </row>
    <row r="264" spans="1:26">
      <c r="A264" s="35"/>
      <c r="B264" s="584"/>
      <c r="C264" s="584"/>
      <c r="D264" s="584"/>
      <c r="E264" s="584"/>
      <c r="F264" s="584"/>
      <c r="G264" s="584"/>
      <c r="H264" s="584"/>
      <c r="I264" s="580"/>
      <c r="J264" s="610"/>
      <c r="K264" s="610"/>
      <c r="L264" s="610"/>
      <c r="M264" s="610"/>
      <c r="N264" s="610"/>
      <c r="O264" s="610"/>
      <c r="P264" s="610"/>
      <c r="Q264" s="610"/>
      <c r="R264" s="610"/>
      <c r="S264" s="610"/>
      <c r="T264" s="610"/>
      <c r="U264" s="610"/>
      <c r="V264" s="610"/>
      <c r="W264" s="610"/>
      <c r="X264" s="610"/>
      <c r="Y264" s="610"/>
      <c r="Z264" s="610"/>
    </row>
    <row r="265" spans="1:26">
      <c r="A265" s="35"/>
      <c r="B265" s="584"/>
      <c r="C265" s="584"/>
      <c r="D265" s="584"/>
      <c r="E265" s="584"/>
      <c r="F265" s="584"/>
      <c r="G265" s="584"/>
      <c r="H265" s="584"/>
      <c r="I265" s="580"/>
      <c r="J265" s="610"/>
      <c r="K265" s="610"/>
      <c r="L265" s="610"/>
      <c r="M265" s="610"/>
      <c r="N265" s="610"/>
      <c r="O265" s="610"/>
      <c r="P265" s="610"/>
      <c r="Q265" s="610"/>
      <c r="R265" s="610"/>
      <c r="S265" s="610"/>
      <c r="T265" s="610"/>
      <c r="U265" s="610"/>
      <c r="V265" s="610"/>
      <c r="W265" s="610"/>
      <c r="X265" s="610"/>
      <c r="Y265" s="610"/>
      <c r="Z265" s="610"/>
    </row>
    <row r="266" spans="1:26">
      <c r="A266" s="35"/>
      <c r="B266" s="584"/>
      <c r="C266" s="584"/>
      <c r="D266" s="584"/>
      <c r="E266" s="584"/>
      <c r="F266" s="584"/>
      <c r="G266" s="584"/>
      <c r="H266" s="584"/>
      <c r="I266" s="580"/>
      <c r="J266" s="610"/>
      <c r="K266" s="610"/>
      <c r="L266" s="610"/>
      <c r="M266" s="610"/>
      <c r="N266" s="610"/>
      <c r="O266" s="610"/>
      <c r="P266" s="610"/>
      <c r="Q266" s="610"/>
      <c r="R266" s="610"/>
      <c r="S266" s="610"/>
      <c r="T266" s="610"/>
      <c r="U266" s="610"/>
      <c r="V266" s="610"/>
      <c r="W266" s="610"/>
      <c r="X266" s="610"/>
      <c r="Y266" s="610"/>
      <c r="Z266" s="610"/>
    </row>
    <row r="267" spans="1:26">
      <c r="A267" s="35"/>
      <c r="B267" s="584"/>
      <c r="C267" s="584"/>
      <c r="D267" s="584"/>
      <c r="E267" s="584"/>
      <c r="F267" s="584"/>
      <c r="G267" s="584"/>
      <c r="H267" s="584"/>
      <c r="I267" s="580"/>
      <c r="J267" s="610"/>
      <c r="K267" s="610"/>
      <c r="L267" s="610"/>
      <c r="M267" s="610"/>
      <c r="N267" s="610"/>
      <c r="O267" s="610"/>
      <c r="P267" s="610"/>
      <c r="Q267" s="610"/>
      <c r="R267" s="610"/>
      <c r="S267" s="610"/>
      <c r="T267" s="610"/>
      <c r="U267" s="610"/>
      <c r="V267" s="610"/>
      <c r="W267" s="610"/>
      <c r="X267" s="610"/>
      <c r="Y267" s="610"/>
      <c r="Z267" s="610"/>
    </row>
    <row r="268" spans="1:26">
      <c r="A268" s="35"/>
      <c r="B268" s="584"/>
      <c r="C268" s="584"/>
      <c r="D268" s="584"/>
      <c r="E268" s="584"/>
      <c r="F268" s="584"/>
      <c r="G268" s="584"/>
      <c r="H268" s="584"/>
      <c r="I268" s="580"/>
      <c r="J268" s="610"/>
      <c r="K268" s="610"/>
      <c r="L268" s="610"/>
      <c r="M268" s="610"/>
      <c r="N268" s="610"/>
      <c r="O268" s="610"/>
      <c r="P268" s="610"/>
      <c r="Q268" s="610"/>
      <c r="R268" s="610"/>
      <c r="S268" s="610"/>
      <c r="T268" s="610"/>
      <c r="U268" s="610"/>
      <c r="V268" s="610"/>
      <c r="W268" s="610"/>
      <c r="X268" s="610"/>
      <c r="Y268" s="610"/>
      <c r="Z268" s="610"/>
    </row>
    <row r="269" spans="1:26">
      <c r="A269" s="35"/>
      <c r="B269" s="584"/>
      <c r="C269" s="584"/>
      <c r="D269" s="584"/>
      <c r="E269" s="584"/>
      <c r="F269" s="584"/>
      <c r="G269" s="584"/>
      <c r="H269" s="584"/>
      <c r="I269" s="580"/>
      <c r="J269" s="610"/>
      <c r="K269" s="610"/>
      <c r="L269" s="610"/>
      <c r="M269" s="610"/>
      <c r="N269" s="610"/>
      <c r="O269" s="610"/>
      <c r="P269" s="610"/>
      <c r="Q269" s="610"/>
      <c r="R269" s="610"/>
      <c r="S269" s="610"/>
      <c r="T269" s="610"/>
      <c r="U269" s="610"/>
      <c r="V269" s="610"/>
      <c r="W269" s="610"/>
      <c r="X269" s="610"/>
      <c r="Y269" s="610"/>
      <c r="Z269" s="610"/>
    </row>
    <row r="270" spans="1:26">
      <c r="A270" s="35"/>
      <c r="B270" s="584"/>
      <c r="C270" s="584"/>
      <c r="D270" s="584"/>
      <c r="E270" s="584"/>
      <c r="F270" s="584"/>
      <c r="G270" s="584"/>
      <c r="H270" s="584"/>
      <c r="I270" s="580"/>
      <c r="J270" s="610"/>
      <c r="K270" s="610"/>
      <c r="L270" s="610"/>
      <c r="M270" s="610"/>
      <c r="N270" s="610"/>
      <c r="O270" s="610"/>
      <c r="P270" s="610"/>
      <c r="Q270" s="610"/>
      <c r="R270" s="610"/>
      <c r="S270" s="610"/>
      <c r="T270" s="610"/>
      <c r="U270" s="610"/>
      <c r="V270" s="610"/>
      <c r="W270" s="610"/>
      <c r="X270" s="610"/>
      <c r="Y270" s="610"/>
      <c r="Z270" s="610"/>
    </row>
    <row r="271" spans="1:26">
      <c r="A271" s="35"/>
      <c r="B271" s="584"/>
      <c r="C271" s="584"/>
      <c r="D271" s="584"/>
      <c r="E271" s="584"/>
      <c r="F271" s="584"/>
      <c r="G271" s="584"/>
      <c r="H271" s="584"/>
      <c r="I271" s="580"/>
      <c r="J271" s="610"/>
      <c r="K271" s="610"/>
      <c r="L271" s="610"/>
      <c r="M271" s="610"/>
      <c r="N271" s="610"/>
      <c r="O271" s="610"/>
      <c r="P271" s="610"/>
      <c r="Q271" s="610"/>
      <c r="R271" s="610"/>
      <c r="S271" s="610"/>
      <c r="T271" s="610"/>
      <c r="U271" s="610"/>
      <c r="V271" s="610"/>
      <c r="W271" s="610"/>
      <c r="X271" s="610"/>
      <c r="Y271" s="610"/>
      <c r="Z271" s="610"/>
    </row>
    <row r="272" spans="1:26">
      <c r="A272" s="35"/>
      <c r="B272" s="584"/>
      <c r="C272" s="584"/>
      <c r="D272" s="584"/>
      <c r="E272" s="584"/>
      <c r="F272" s="584"/>
      <c r="G272" s="584"/>
      <c r="H272" s="584"/>
      <c r="I272" s="580"/>
      <c r="J272" s="610"/>
      <c r="K272" s="610"/>
      <c r="L272" s="610"/>
      <c r="M272" s="610"/>
      <c r="N272" s="610"/>
      <c r="O272" s="610"/>
      <c r="P272" s="610"/>
      <c r="Q272" s="610"/>
      <c r="R272" s="610"/>
      <c r="S272" s="610"/>
      <c r="T272" s="610"/>
      <c r="U272" s="610"/>
      <c r="V272" s="610"/>
      <c r="W272" s="610"/>
      <c r="X272" s="610"/>
      <c r="Y272" s="610"/>
      <c r="Z272" s="610"/>
    </row>
    <row r="273" spans="1:26">
      <c r="A273" s="35"/>
      <c r="B273" s="584"/>
      <c r="C273" s="584"/>
      <c r="D273" s="584"/>
      <c r="E273" s="584"/>
      <c r="F273" s="584"/>
      <c r="G273" s="584"/>
      <c r="H273" s="584"/>
      <c r="I273" s="580"/>
      <c r="J273" s="610"/>
      <c r="K273" s="610"/>
      <c r="L273" s="610"/>
      <c r="M273" s="610"/>
      <c r="N273" s="610"/>
      <c r="O273" s="610"/>
      <c r="P273" s="610"/>
      <c r="Q273" s="610"/>
      <c r="R273" s="610"/>
      <c r="S273" s="610"/>
      <c r="T273" s="610"/>
      <c r="U273" s="610"/>
      <c r="V273" s="610"/>
      <c r="W273" s="610"/>
      <c r="X273" s="610"/>
      <c r="Y273" s="610"/>
      <c r="Z273" s="610"/>
    </row>
    <row r="274" spans="1:26">
      <c r="A274" s="35"/>
      <c r="B274" s="584"/>
      <c r="C274" s="584"/>
      <c r="D274" s="584"/>
      <c r="E274" s="584"/>
      <c r="F274" s="584"/>
      <c r="G274" s="584"/>
      <c r="H274" s="584"/>
      <c r="I274" s="580"/>
      <c r="J274" s="610"/>
      <c r="K274" s="610"/>
      <c r="L274" s="610"/>
      <c r="M274" s="610"/>
      <c r="N274" s="610"/>
      <c r="O274" s="610"/>
      <c r="P274" s="610"/>
      <c r="Q274" s="610"/>
      <c r="R274" s="610"/>
      <c r="S274" s="610"/>
      <c r="T274" s="610"/>
      <c r="U274" s="610"/>
      <c r="V274" s="610"/>
      <c r="W274" s="610"/>
      <c r="X274" s="610"/>
      <c r="Y274" s="610"/>
      <c r="Z274" s="610"/>
    </row>
    <row r="275" spans="1:26">
      <c r="A275" s="35"/>
      <c r="B275" s="584"/>
      <c r="C275" s="584"/>
      <c r="D275" s="584"/>
      <c r="E275" s="584"/>
      <c r="F275" s="584"/>
      <c r="G275" s="584"/>
      <c r="H275" s="584"/>
      <c r="I275" s="580"/>
      <c r="J275" s="610"/>
      <c r="K275" s="610"/>
      <c r="L275" s="610"/>
      <c r="M275" s="610"/>
      <c r="N275" s="610"/>
      <c r="O275" s="610"/>
      <c r="P275" s="610"/>
      <c r="Q275" s="610"/>
      <c r="R275" s="610"/>
      <c r="S275" s="610"/>
      <c r="T275" s="610"/>
      <c r="U275" s="610"/>
      <c r="V275" s="610"/>
      <c r="W275" s="610"/>
      <c r="X275" s="610"/>
      <c r="Y275" s="610"/>
      <c r="Z275" s="610"/>
    </row>
    <row r="276" spans="1:26">
      <c r="A276" s="35"/>
      <c r="B276" s="584"/>
      <c r="C276" s="584"/>
      <c r="D276" s="584"/>
      <c r="E276" s="584"/>
      <c r="F276" s="584"/>
      <c r="G276" s="584"/>
      <c r="H276" s="584"/>
      <c r="I276" s="580"/>
      <c r="J276" s="610"/>
      <c r="K276" s="610"/>
      <c r="L276" s="610"/>
      <c r="M276" s="610"/>
      <c r="N276" s="610"/>
      <c r="O276" s="610"/>
      <c r="P276" s="610"/>
      <c r="Q276" s="610"/>
      <c r="R276" s="610"/>
      <c r="S276" s="610"/>
      <c r="T276" s="610"/>
      <c r="U276" s="610"/>
      <c r="V276" s="610"/>
      <c r="W276" s="610"/>
      <c r="X276" s="610"/>
      <c r="Y276" s="610"/>
      <c r="Z276" s="610"/>
    </row>
    <row r="277" spans="1:26">
      <c r="A277" s="35"/>
      <c r="B277" s="584"/>
      <c r="C277" s="584"/>
      <c r="D277" s="584"/>
      <c r="E277" s="584"/>
      <c r="F277" s="584"/>
      <c r="G277" s="584"/>
      <c r="H277" s="584"/>
      <c r="I277" s="580"/>
      <c r="J277" s="610"/>
      <c r="K277" s="610"/>
      <c r="L277" s="610"/>
      <c r="M277" s="610"/>
      <c r="N277" s="610"/>
      <c r="O277" s="610"/>
      <c r="P277" s="610"/>
      <c r="Q277" s="610"/>
      <c r="R277" s="610"/>
      <c r="S277" s="610"/>
      <c r="T277" s="610"/>
      <c r="U277" s="610"/>
      <c r="V277" s="610"/>
      <c r="W277" s="610"/>
      <c r="X277" s="610"/>
      <c r="Y277" s="610"/>
      <c r="Z277" s="610"/>
    </row>
    <row r="278" spans="1:26">
      <c r="A278" s="35"/>
      <c r="B278" s="584"/>
      <c r="C278" s="584"/>
      <c r="D278" s="584"/>
      <c r="E278" s="584"/>
      <c r="F278" s="584"/>
      <c r="G278" s="584"/>
      <c r="H278" s="584"/>
      <c r="I278" s="580"/>
      <c r="J278" s="610"/>
      <c r="K278" s="610"/>
      <c r="L278" s="610"/>
      <c r="M278" s="610"/>
      <c r="N278" s="610"/>
      <c r="O278" s="610"/>
      <c r="P278" s="610"/>
      <c r="Q278" s="610"/>
      <c r="R278" s="610"/>
      <c r="S278" s="610"/>
      <c r="T278" s="610"/>
      <c r="U278" s="610"/>
      <c r="V278" s="610"/>
      <c r="W278" s="610"/>
      <c r="X278" s="610"/>
      <c r="Y278" s="610"/>
      <c r="Z278" s="610"/>
    </row>
    <row r="279" spans="1:26">
      <c r="A279" s="35"/>
      <c r="B279" s="584"/>
      <c r="C279" s="584"/>
      <c r="D279" s="584"/>
      <c r="E279" s="584"/>
      <c r="F279" s="584"/>
      <c r="G279" s="584"/>
      <c r="H279" s="584"/>
      <c r="I279" s="580"/>
      <c r="J279" s="610"/>
      <c r="K279" s="610"/>
      <c r="L279" s="610"/>
      <c r="M279" s="610"/>
      <c r="N279" s="610"/>
      <c r="O279" s="610"/>
      <c r="P279" s="610"/>
      <c r="Q279" s="610"/>
      <c r="R279" s="610"/>
      <c r="S279" s="610"/>
      <c r="T279" s="610"/>
      <c r="U279" s="610"/>
      <c r="V279" s="610"/>
      <c r="W279" s="610"/>
      <c r="X279" s="610"/>
      <c r="Y279" s="610"/>
      <c r="Z279" s="610"/>
    </row>
    <row r="280" spans="1:26">
      <c r="A280" s="35"/>
      <c r="B280" s="584"/>
      <c r="C280" s="584"/>
      <c r="D280" s="584"/>
      <c r="E280" s="584"/>
      <c r="F280" s="584"/>
      <c r="G280" s="584"/>
      <c r="H280" s="584"/>
      <c r="I280" s="580"/>
      <c r="J280" s="610"/>
      <c r="K280" s="610"/>
      <c r="L280" s="610"/>
      <c r="M280" s="610"/>
      <c r="N280" s="610"/>
      <c r="O280" s="610"/>
      <c r="P280" s="610"/>
      <c r="Q280" s="610"/>
      <c r="R280" s="610"/>
      <c r="S280" s="610"/>
      <c r="T280" s="610"/>
      <c r="U280" s="610"/>
      <c r="V280" s="610"/>
      <c r="W280" s="610"/>
      <c r="X280" s="610"/>
      <c r="Y280" s="610"/>
      <c r="Z280" s="610"/>
    </row>
    <row r="281" spans="1:26">
      <c r="A281" s="35"/>
      <c r="B281" s="584"/>
      <c r="C281" s="584"/>
      <c r="D281" s="584"/>
      <c r="E281" s="584"/>
      <c r="F281" s="584"/>
      <c r="G281" s="584"/>
      <c r="H281" s="584"/>
      <c r="I281" s="580"/>
      <c r="J281" s="610"/>
      <c r="K281" s="610"/>
      <c r="L281" s="610"/>
      <c r="M281" s="610"/>
      <c r="N281" s="610"/>
      <c r="O281" s="610"/>
      <c r="P281" s="610"/>
      <c r="Q281" s="610"/>
      <c r="R281" s="610"/>
      <c r="S281" s="610"/>
      <c r="T281" s="610"/>
      <c r="U281" s="610"/>
      <c r="V281" s="610"/>
      <c r="W281" s="610"/>
      <c r="X281" s="610"/>
      <c r="Y281" s="610"/>
      <c r="Z281" s="610"/>
    </row>
    <row r="282" spans="1:26">
      <c r="A282" s="35"/>
      <c r="B282" s="584"/>
      <c r="C282" s="584"/>
      <c r="D282" s="584"/>
      <c r="E282" s="584"/>
      <c r="F282" s="584"/>
      <c r="G282" s="584"/>
      <c r="H282" s="584"/>
      <c r="I282" s="580"/>
      <c r="J282" s="610"/>
      <c r="K282" s="610"/>
      <c r="L282" s="610"/>
      <c r="M282" s="610"/>
      <c r="N282" s="610"/>
      <c r="O282" s="610"/>
      <c r="P282" s="610"/>
      <c r="Q282" s="610"/>
      <c r="R282" s="610"/>
      <c r="S282" s="610"/>
      <c r="T282" s="610"/>
      <c r="U282" s="610"/>
      <c r="V282" s="610"/>
      <c r="W282" s="610"/>
      <c r="X282" s="610"/>
      <c r="Y282" s="610"/>
      <c r="Z282" s="610"/>
    </row>
    <row r="283" spans="1:26">
      <c r="A283" s="35"/>
      <c r="B283" s="584"/>
      <c r="C283" s="584"/>
      <c r="D283" s="584"/>
      <c r="E283" s="584"/>
      <c r="F283" s="584"/>
      <c r="G283" s="584"/>
      <c r="H283" s="584"/>
      <c r="I283" s="580"/>
      <c r="J283" s="610"/>
      <c r="K283" s="610"/>
      <c r="L283" s="610"/>
      <c r="M283" s="610"/>
      <c r="N283" s="610"/>
      <c r="O283" s="610"/>
      <c r="P283" s="610"/>
      <c r="Q283" s="610"/>
      <c r="R283" s="610"/>
      <c r="S283" s="610"/>
      <c r="T283" s="610"/>
      <c r="U283" s="610"/>
      <c r="V283" s="610"/>
      <c r="W283" s="610"/>
      <c r="X283" s="610"/>
      <c r="Y283" s="610"/>
      <c r="Z283" s="610"/>
    </row>
    <row r="284" spans="1:26">
      <c r="A284" s="35"/>
      <c r="B284" s="584"/>
      <c r="C284" s="584"/>
      <c r="D284" s="584"/>
      <c r="E284" s="584"/>
      <c r="F284" s="584"/>
      <c r="G284" s="584"/>
      <c r="H284" s="584"/>
      <c r="I284" s="580"/>
      <c r="J284" s="610"/>
      <c r="K284" s="610"/>
      <c r="L284" s="610"/>
      <c r="M284" s="610"/>
      <c r="N284" s="610"/>
      <c r="O284" s="610"/>
      <c r="P284" s="610"/>
      <c r="Q284" s="610"/>
      <c r="R284" s="610"/>
      <c r="S284" s="610"/>
      <c r="T284" s="610"/>
      <c r="U284" s="610"/>
      <c r="V284" s="610"/>
      <c r="W284" s="610"/>
      <c r="X284" s="610"/>
      <c r="Y284" s="610"/>
      <c r="Z284" s="610"/>
    </row>
    <row r="285" spans="1:26">
      <c r="A285" s="35"/>
      <c r="B285" s="584"/>
      <c r="C285" s="584"/>
      <c r="D285" s="584"/>
      <c r="E285" s="584"/>
      <c r="F285" s="584"/>
      <c r="G285" s="584"/>
      <c r="H285" s="584"/>
      <c r="I285" s="580"/>
      <c r="J285" s="610"/>
      <c r="K285" s="610"/>
      <c r="L285" s="610"/>
      <c r="M285" s="610"/>
      <c r="N285" s="610"/>
      <c r="O285" s="610"/>
      <c r="P285" s="610"/>
      <c r="Q285" s="610"/>
      <c r="R285" s="610"/>
      <c r="S285" s="610"/>
      <c r="T285" s="610"/>
      <c r="U285" s="610"/>
      <c r="V285" s="610"/>
      <c r="W285" s="610"/>
      <c r="X285" s="610"/>
      <c r="Y285" s="610"/>
      <c r="Z285" s="610"/>
    </row>
    <row r="286" spans="1:26">
      <c r="A286" s="35"/>
      <c r="B286" s="584"/>
      <c r="C286" s="584"/>
      <c r="D286" s="584"/>
      <c r="E286" s="584"/>
      <c r="F286" s="584"/>
      <c r="G286" s="584"/>
      <c r="H286" s="584"/>
      <c r="I286" s="580"/>
      <c r="J286" s="610"/>
      <c r="K286" s="610"/>
      <c r="L286" s="610"/>
      <c r="M286" s="610"/>
      <c r="N286" s="610"/>
      <c r="O286" s="610"/>
      <c r="P286" s="610"/>
      <c r="Q286" s="610"/>
      <c r="R286" s="610"/>
      <c r="S286" s="610"/>
      <c r="T286" s="610"/>
      <c r="U286" s="610"/>
      <c r="V286" s="610"/>
      <c r="W286" s="610"/>
      <c r="X286" s="610"/>
      <c r="Y286" s="610"/>
      <c r="Z286" s="610"/>
    </row>
    <row r="287" spans="1:26">
      <c r="A287" s="35"/>
      <c r="B287" s="584"/>
      <c r="C287" s="584"/>
      <c r="D287" s="584"/>
      <c r="E287" s="584"/>
      <c r="F287" s="584"/>
      <c r="G287" s="584"/>
      <c r="H287" s="584"/>
      <c r="I287" s="580"/>
      <c r="J287" s="610"/>
      <c r="K287" s="610"/>
      <c r="L287" s="610"/>
      <c r="M287" s="610"/>
      <c r="N287" s="610"/>
      <c r="O287" s="610"/>
      <c r="P287" s="610"/>
      <c r="Q287" s="610"/>
      <c r="R287" s="610"/>
      <c r="S287" s="610"/>
      <c r="T287" s="610"/>
      <c r="U287" s="610"/>
      <c r="V287" s="610"/>
      <c r="W287" s="610"/>
      <c r="X287" s="610"/>
      <c r="Y287" s="610"/>
      <c r="Z287" s="610"/>
    </row>
    <row r="288" spans="1:26">
      <c r="A288" s="35"/>
      <c r="B288" s="584"/>
      <c r="C288" s="584"/>
      <c r="D288" s="584"/>
      <c r="E288" s="584"/>
      <c r="F288" s="584"/>
      <c r="G288" s="584"/>
      <c r="H288" s="584"/>
      <c r="I288" s="580"/>
      <c r="J288" s="610"/>
      <c r="K288" s="610"/>
      <c r="L288" s="610"/>
      <c r="M288" s="610"/>
      <c r="N288" s="610"/>
      <c r="O288" s="610"/>
      <c r="P288" s="610"/>
      <c r="Q288" s="610"/>
      <c r="R288" s="610"/>
      <c r="S288" s="610"/>
      <c r="T288" s="610"/>
      <c r="U288" s="610"/>
      <c r="V288" s="610"/>
      <c r="W288" s="610"/>
      <c r="X288" s="610"/>
      <c r="Y288" s="610"/>
      <c r="Z288" s="610"/>
    </row>
    <row r="289" spans="1:26">
      <c r="A289" s="35"/>
      <c r="B289" s="584"/>
      <c r="C289" s="584"/>
      <c r="D289" s="584"/>
      <c r="E289" s="584"/>
      <c r="F289" s="584"/>
      <c r="G289" s="584"/>
      <c r="H289" s="584"/>
      <c r="I289" s="580"/>
      <c r="J289" s="610"/>
      <c r="K289" s="610"/>
      <c r="L289" s="610"/>
      <c r="M289" s="610"/>
      <c r="N289" s="610"/>
      <c r="O289" s="610"/>
      <c r="P289" s="610"/>
      <c r="Q289" s="610"/>
      <c r="R289" s="610"/>
      <c r="S289" s="610"/>
      <c r="T289" s="610"/>
      <c r="U289" s="610"/>
      <c r="V289" s="610"/>
      <c r="W289" s="610"/>
      <c r="X289" s="610"/>
      <c r="Y289" s="610"/>
      <c r="Z289" s="610"/>
    </row>
    <row r="290" spans="1:26">
      <c r="A290" s="35"/>
      <c r="B290" s="584"/>
      <c r="C290" s="584"/>
      <c r="D290" s="584"/>
      <c r="E290" s="584"/>
      <c r="F290" s="584"/>
      <c r="G290" s="584"/>
      <c r="H290" s="584"/>
      <c r="I290" s="580"/>
      <c r="J290" s="610"/>
      <c r="K290" s="610"/>
      <c r="L290" s="610"/>
      <c r="M290" s="610"/>
      <c r="N290" s="610"/>
      <c r="O290" s="610"/>
      <c r="P290" s="610"/>
      <c r="Q290" s="610"/>
      <c r="R290" s="610"/>
      <c r="S290" s="610"/>
      <c r="T290" s="610"/>
      <c r="U290" s="610"/>
      <c r="V290" s="610"/>
      <c r="W290" s="610"/>
      <c r="X290" s="610"/>
      <c r="Y290" s="610"/>
      <c r="Z290" s="610"/>
    </row>
    <row r="291" spans="1:26">
      <c r="A291" s="35"/>
      <c r="B291" s="584"/>
      <c r="C291" s="584"/>
      <c r="D291" s="584"/>
      <c r="E291" s="584"/>
      <c r="F291" s="584"/>
      <c r="G291" s="584"/>
      <c r="H291" s="584"/>
      <c r="I291" s="580"/>
      <c r="J291" s="610"/>
      <c r="K291" s="610"/>
      <c r="L291" s="610"/>
      <c r="M291" s="610"/>
      <c r="N291" s="610"/>
      <c r="O291" s="610"/>
      <c r="P291" s="610"/>
      <c r="Q291" s="610"/>
      <c r="R291" s="610"/>
      <c r="S291" s="610"/>
      <c r="T291" s="610"/>
      <c r="U291" s="610"/>
      <c r="V291" s="610"/>
      <c r="W291" s="610"/>
      <c r="X291" s="610"/>
      <c r="Y291" s="610"/>
      <c r="Z291" s="610"/>
    </row>
    <row r="292" spans="1:26">
      <c r="A292" s="35"/>
      <c r="B292" s="584"/>
      <c r="C292" s="584"/>
      <c r="D292" s="584"/>
      <c r="E292" s="584"/>
      <c r="F292" s="584"/>
      <c r="G292" s="584"/>
      <c r="H292" s="584"/>
      <c r="I292" s="580"/>
      <c r="J292" s="610"/>
      <c r="K292" s="610"/>
      <c r="L292" s="610"/>
      <c r="M292" s="610"/>
      <c r="N292" s="610"/>
      <c r="O292" s="610"/>
      <c r="P292" s="610"/>
      <c r="Q292" s="610"/>
      <c r="R292" s="610"/>
      <c r="S292" s="610"/>
      <c r="T292" s="610"/>
      <c r="U292" s="610"/>
      <c r="V292" s="610"/>
      <c r="W292" s="610"/>
      <c r="X292" s="610"/>
      <c r="Y292" s="610"/>
      <c r="Z292" s="610"/>
    </row>
    <row r="293" spans="1:26">
      <c r="A293" s="35"/>
      <c r="B293" s="584"/>
      <c r="C293" s="584"/>
      <c r="D293" s="584"/>
      <c r="E293" s="584"/>
      <c r="F293" s="584"/>
      <c r="G293" s="584"/>
      <c r="H293" s="584"/>
      <c r="I293" s="580"/>
      <c r="J293" s="610"/>
      <c r="K293" s="610"/>
      <c r="L293" s="610"/>
      <c r="M293" s="610"/>
      <c r="N293" s="610"/>
      <c r="O293" s="610"/>
      <c r="P293" s="610"/>
      <c r="Q293" s="610"/>
      <c r="R293" s="610"/>
      <c r="S293" s="610"/>
      <c r="T293" s="610"/>
      <c r="U293" s="610"/>
      <c r="V293" s="610"/>
      <c r="W293" s="610"/>
      <c r="X293" s="610"/>
      <c r="Y293" s="610"/>
      <c r="Z293" s="610"/>
    </row>
    <row r="294" spans="1:26">
      <c r="A294" s="35"/>
      <c r="B294" s="584"/>
      <c r="C294" s="584"/>
      <c r="D294" s="584"/>
      <c r="E294" s="584"/>
      <c r="F294" s="584"/>
      <c r="G294" s="584"/>
      <c r="H294" s="584"/>
      <c r="I294" s="580"/>
      <c r="J294" s="610"/>
      <c r="K294" s="610"/>
      <c r="L294" s="610"/>
      <c r="M294" s="610"/>
      <c r="N294" s="610"/>
      <c r="O294" s="610"/>
      <c r="P294" s="610"/>
      <c r="Q294" s="610"/>
      <c r="R294" s="610"/>
      <c r="S294" s="610"/>
      <c r="T294" s="610"/>
      <c r="U294" s="610"/>
      <c r="V294" s="610"/>
      <c r="W294" s="610"/>
      <c r="X294" s="610"/>
      <c r="Y294" s="610"/>
      <c r="Z294" s="610"/>
    </row>
    <row r="295" spans="1:26">
      <c r="A295" s="35"/>
      <c r="B295" s="584"/>
      <c r="C295" s="584"/>
      <c r="D295" s="584"/>
      <c r="E295" s="584"/>
      <c r="F295" s="584"/>
      <c r="G295" s="584"/>
      <c r="H295" s="584"/>
      <c r="I295" s="580"/>
      <c r="J295" s="610"/>
      <c r="K295" s="610"/>
      <c r="L295" s="610"/>
      <c r="M295" s="610"/>
      <c r="N295" s="610"/>
      <c r="O295" s="610"/>
      <c r="P295" s="610"/>
      <c r="Q295" s="610"/>
      <c r="R295" s="610"/>
      <c r="S295" s="610"/>
      <c r="T295" s="610"/>
      <c r="U295" s="610"/>
      <c r="V295" s="610"/>
      <c r="W295" s="610"/>
      <c r="X295" s="610"/>
      <c r="Y295" s="610"/>
      <c r="Z295" s="610"/>
    </row>
    <row r="296" spans="1:26">
      <c r="A296" s="35"/>
      <c r="B296" s="584"/>
      <c r="C296" s="584"/>
      <c r="D296" s="584"/>
      <c r="E296" s="584"/>
      <c r="F296" s="584"/>
      <c r="G296" s="584"/>
      <c r="H296" s="584"/>
      <c r="I296" s="580"/>
      <c r="J296" s="610"/>
      <c r="K296" s="610"/>
      <c r="L296" s="610"/>
      <c r="M296" s="610"/>
      <c r="N296" s="610"/>
      <c r="O296" s="610"/>
      <c r="P296" s="610"/>
      <c r="Q296" s="610"/>
      <c r="R296" s="610"/>
      <c r="S296" s="610"/>
      <c r="T296" s="610"/>
      <c r="U296" s="610"/>
      <c r="V296" s="610"/>
      <c r="W296" s="610"/>
      <c r="X296" s="610"/>
      <c r="Y296" s="610"/>
      <c r="Z296" s="610"/>
    </row>
    <row r="297" spans="1:26">
      <c r="A297" s="35"/>
      <c r="B297" s="584"/>
      <c r="C297" s="584"/>
      <c r="D297" s="584"/>
      <c r="E297" s="584"/>
      <c r="F297" s="584"/>
      <c r="G297" s="584"/>
      <c r="H297" s="584"/>
      <c r="I297" s="580"/>
      <c r="J297" s="610"/>
      <c r="K297" s="610"/>
      <c r="L297" s="610"/>
      <c r="M297" s="610"/>
      <c r="N297" s="610"/>
      <c r="O297" s="610"/>
      <c r="P297" s="610"/>
      <c r="Q297" s="610"/>
      <c r="R297" s="610"/>
      <c r="S297" s="610"/>
      <c r="T297" s="610"/>
      <c r="U297" s="610"/>
      <c r="V297" s="610"/>
      <c r="W297" s="610"/>
      <c r="X297" s="610"/>
      <c r="Y297" s="610"/>
      <c r="Z297" s="610"/>
    </row>
    <row r="298" spans="1:26">
      <c r="A298" s="35"/>
      <c r="B298" s="584"/>
      <c r="C298" s="584"/>
      <c r="D298" s="584"/>
      <c r="E298" s="584"/>
      <c r="F298" s="584"/>
      <c r="G298" s="584"/>
      <c r="H298" s="584"/>
      <c r="I298" s="580"/>
      <c r="J298" s="610"/>
      <c r="K298" s="610"/>
      <c r="L298" s="610"/>
      <c r="M298" s="610"/>
      <c r="N298" s="610"/>
      <c r="O298" s="610"/>
      <c r="P298" s="610"/>
      <c r="Q298" s="610"/>
      <c r="R298" s="610"/>
      <c r="S298" s="610"/>
      <c r="T298" s="610"/>
      <c r="U298" s="610"/>
      <c r="V298" s="610"/>
      <c r="W298" s="610"/>
      <c r="X298" s="610"/>
      <c r="Y298" s="610"/>
      <c r="Z298" s="610"/>
    </row>
    <row r="299" spans="1:26">
      <c r="A299" s="35"/>
      <c r="B299" s="584"/>
      <c r="C299" s="584"/>
      <c r="D299" s="584"/>
      <c r="E299" s="584"/>
      <c r="F299" s="584"/>
      <c r="G299" s="584"/>
      <c r="H299" s="584"/>
      <c r="I299" s="580"/>
      <c r="J299" s="610"/>
      <c r="K299" s="610"/>
      <c r="L299" s="610"/>
      <c r="M299" s="610"/>
      <c r="N299" s="610"/>
      <c r="O299" s="610"/>
      <c r="P299" s="610"/>
      <c r="Q299" s="610"/>
      <c r="R299" s="610"/>
      <c r="S299" s="610"/>
      <c r="T299" s="610"/>
      <c r="U299" s="610"/>
      <c r="V299" s="610"/>
      <c r="W299" s="610"/>
      <c r="X299" s="610"/>
      <c r="Y299" s="610"/>
      <c r="Z299" s="610"/>
    </row>
    <row r="300" spans="1:26">
      <c r="A300" s="35"/>
      <c r="B300" s="584"/>
      <c r="C300" s="584"/>
      <c r="D300" s="584"/>
      <c r="E300" s="584"/>
      <c r="F300" s="584"/>
      <c r="G300" s="584"/>
      <c r="H300" s="584"/>
      <c r="I300" s="580"/>
      <c r="J300" s="610"/>
      <c r="K300" s="610"/>
      <c r="L300" s="610"/>
      <c r="M300" s="610"/>
      <c r="N300" s="610"/>
      <c r="O300" s="610"/>
      <c r="P300" s="610"/>
      <c r="Q300" s="610"/>
      <c r="R300" s="610"/>
      <c r="S300" s="610"/>
      <c r="T300" s="610"/>
      <c r="U300" s="610"/>
      <c r="V300" s="610"/>
      <c r="W300" s="610"/>
      <c r="X300" s="610"/>
      <c r="Y300" s="610"/>
      <c r="Z300" s="610"/>
    </row>
    <row r="301" spans="1:26">
      <c r="A301" s="35"/>
      <c r="B301" s="584"/>
      <c r="C301" s="584"/>
      <c r="D301" s="584"/>
      <c r="E301" s="584"/>
      <c r="F301" s="584"/>
      <c r="G301" s="584"/>
      <c r="H301" s="584"/>
      <c r="I301" s="580"/>
      <c r="J301" s="610"/>
      <c r="K301" s="610"/>
      <c r="L301" s="610"/>
      <c r="M301" s="610"/>
      <c r="N301" s="610"/>
      <c r="O301" s="610"/>
      <c r="P301" s="610"/>
      <c r="Q301" s="610"/>
      <c r="R301" s="610"/>
      <c r="S301" s="610"/>
      <c r="T301" s="610"/>
      <c r="U301" s="610"/>
      <c r="V301" s="610"/>
      <c r="W301" s="610"/>
      <c r="X301" s="610"/>
      <c r="Y301" s="610"/>
      <c r="Z301" s="610"/>
    </row>
    <row r="302" spans="1:26">
      <c r="A302" s="35"/>
      <c r="B302" s="584"/>
      <c r="C302" s="584"/>
      <c r="D302" s="584"/>
      <c r="E302" s="584"/>
      <c r="F302" s="584"/>
      <c r="G302" s="584"/>
      <c r="H302" s="584"/>
      <c r="I302" s="580"/>
      <c r="J302" s="610"/>
      <c r="K302" s="610"/>
      <c r="L302" s="610"/>
      <c r="M302" s="610"/>
      <c r="N302" s="610"/>
      <c r="O302" s="610"/>
      <c r="P302" s="610"/>
      <c r="Q302" s="610"/>
      <c r="R302" s="610"/>
      <c r="S302" s="610"/>
      <c r="T302" s="610"/>
      <c r="U302" s="610"/>
      <c r="V302" s="610"/>
      <c r="W302" s="610"/>
      <c r="X302" s="610"/>
      <c r="Y302" s="610"/>
      <c r="Z302" s="610"/>
    </row>
    <row r="303" spans="1:26">
      <c r="A303" s="35"/>
      <c r="B303" s="584"/>
      <c r="C303" s="584"/>
      <c r="D303" s="584"/>
      <c r="E303" s="584"/>
      <c r="F303" s="584"/>
      <c r="G303" s="584"/>
      <c r="H303" s="584"/>
      <c r="I303" s="580"/>
      <c r="J303" s="610"/>
      <c r="K303" s="610"/>
      <c r="L303" s="610"/>
      <c r="M303" s="610"/>
      <c r="N303" s="610"/>
      <c r="O303" s="610"/>
      <c r="P303" s="610"/>
      <c r="Q303" s="610"/>
      <c r="R303" s="610"/>
      <c r="S303" s="610"/>
      <c r="T303" s="610"/>
      <c r="U303" s="610"/>
      <c r="V303" s="610"/>
      <c r="W303" s="610"/>
      <c r="X303" s="610"/>
      <c r="Y303" s="610"/>
      <c r="Z303" s="610"/>
    </row>
    <row r="304" spans="1:26">
      <c r="A304" s="35"/>
      <c r="B304" s="584"/>
      <c r="C304" s="584"/>
      <c r="D304" s="584"/>
      <c r="E304" s="584"/>
      <c r="F304" s="584"/>
      <c r="G304" s="584"/>
      <c r="H304" s="584"/>
      <c r="I304" s="580"/>
      <c r="J304" s="610"/>
      <c r="K304" s="610"/>
      <c r="L304" s="610"/>
      <c r="M304" s="610"/>
      <c r="N304" s="610"/>
      <c r="O304" s="610"/>
      <c r="P304" s="610"/>
      <c r="Q304" s="610"/>
      <c r="R304" s="610"/>
      <c r="S304" s="610"/>
      <c r="T304" s="610"/>
      <c r="U304" s="610"/>
      <c r="V304" s="610"/>
      <c r="W304" s="610"/>
      <c r="X304" s="610"/>
      <c r="Y304" s="610"/>
      <c r="Z304" s="610"/>
    </row>
    <row r="305" spans="1:26">
      <c r="A305" s="35"/>
      <c r="B305" s="584"/>
      <c r="C305" s="584"/>
      <c r="D305" s="584"/>
      <c r="E305" s="584"/>
      <c r="F305" s="584"/>
      <c r="G305" s="584"/>
      <c r="H305" s="584"/>
      <c r="I305" s="580"/>
      <c r="J305" s="610"/>
      <c r="K305" s="610"/>
      <c r="L305" s="610"/>
      <c r="M305" s="610"/>
      <c r="N305" s="610"/>
      <c r="O305" s="610"/>
      <c r="P305" s="610"/>
      <c r="Q305" s="610"/>
      <c r="R305" s="610"/>
      <c r="S305" s="610"/>
      <c r="T305" s="610"/>
      <c r="U305" s="610"/>
      <c r="V305" s="610"/>
      <c r="W305" s="610"/>
      <c r="X305" s="610"/>
      <c r="Y305" s="610"/>
      <c r="Z305" s="610"/>
    </row>
    <row r="306" spans="1:26">
      <c r="A306" s="35"/>
      <c r="B306" s="584"/>
      <c r="C306" s="584"/>
      <c r="D306" s="584"/>
      <c r="E306" s="584"/>
      <c r="F306" s="584"/>
      <c r="G306" s="584"/>
      <c r="H306" s="584"/>
      <c r="I306" s="580"/>
      <c r="J306" s="610"/>
      <c r="K306" s="610"/>
      <c r="L306" s="610"/>
      <c r="M306" s="610"/>
      <c r="N306" s="610"/>
      <c r="O306" s="610"/>
      <c r="P306" s="610"/>
      <c r="Q306" s="610"/>
      <c r="R306" s="610"/>
      <c r="S306" s="610"/>
      <c r="T306" s="610"/>
      <c r="U306" s="610"/>
      <c r="V306" s="610"/>
      <c r="W306" s="610"/>
      <c r="X306" s="610"/>
      <c r="Y306" s="610"/>
      <c r="Z306" s="610"/>
    </row>
    <row r="307" spans="1:26">
      <c r="A307" s="35"/>
      <c r="B307" s="584"/>
      <c r="C307" s="584"/>
      <c r="D307" s="584"/>
      <c r="E307" s="584"/>
      <c r="F307" s="584"/>
      <c r="G307" s="584"/>
      <c r="H307" s="584"/>
      <c r="I307" s="580"/>
      <c r="J307" s="610"/>
      <c r="K307" s="610"/>
      <c r="L307" s="610"/>
      <c r="M307" s="610"/>
      <c r="N307" s="610"/>
      <c r="O307" s="610"/>
      <c r="P307" s="610"/>
      <c r="Q307" s="610"/>
      <c r="R307" s="610"/>
      <c r="S307" s="610"/>
      <c r="T307" s="610"/>
      <c r="U307" s="610"/>
      <c r="V307" s="610"/>
      <c r="W307" s="610"/>
      <c r="X307" s="610"/>
      <c r="Y307" s="610"/>
      <c r="Z307" s="610"/>
    </row>
    <row r="308" spans="1:26">
      <c r="A308" s="35"/>
      <c r="B308" s="584"/>
      <c r="C308" s="584"/>
      <c r="D308" s="584"/>
      <c r="E308" s="584"/>
      <c r="F308" s="584"/>
      <c r="G308" s="584"/>
      <c r="H308" s="584"/>
      <c r="I308" s="580"/>
      <c r="J308" s="610"/>
      <c r="K308" s="610"/>
      <c r="L308" s="610"/>
      <c r="M308" s="610"/>
      <c r="N308" s="610"/>
      <c r="O308" s="610"/>
      <c r="P308" s="610"/>
      <c r="Q308" s="610"/>
      <c r="R308" s="610"/>
      <c r="S308" s="610"/>
      <c r="T308" s="610"/>
      <c r="U308" s="610"/>
      <c r="V308" s="610"/>
      <c r="W308" s="610"/>
      <c r="X308" s="610"/>
      <c r="Y308" s="610"/>
      <c r="Z308" s="610"/>
    </row>
    <row r="309" spans="1:26">
      <c r="A309" s="35"/>
      <c r="B309" s="584"/>
      <c r="C309" s="584"/>
      <c r="D309" s="584"/>
      <c r="E309" s="584"/>
      <c r="F309" s="584"/>
      <c r="G309" s="584"/>
      <c r="H309" s="584"/>
      <c r="I309" s="580"/>
      <c r="J309" s="610"/>
      <c r="K309" s="610"/>
      <c r="L309" s="610"/>
      <c r="M309" s="610"/>
      <c r="N309" s="610"/>
      <c r="O309" s="610"/>
      <c r="P309" s="610"/>
      <c r="Q309" s="610"/>
      <c r="R309" s="610"/>
      <c r="S309" s="610"/>
      <c r="T309" s="610"/>
      <c r="U309" s="610"/>
      <c r="V309" s="610"/>
      <c r="W309" s="610"/>
      <c r="X309" s="610"/>
      <c r="Y309" s="610"/>
      <c r="Z309" s="610"/>
    </row>
    <row r="310" spans="1:26">
      <c r="A310" s="35"/>
      <c r="B310" s="584"/>
      <c r="C310" s="584"/>
      <c r="D310" s="584"/>
      <c r="E310" s="584"/>
      <c r="F310" s="584"/>
      <c r="G310" s="584"/>
      <c r="H310" s="584"/>
      <c r="I310" s="580"/>
      <c r="J310" s="610"/>
      <c r="K310" s="610"/>
      <c r="L310" s="610"/>
      <c r="M310" s="610"/>
      <c r="N310" s="610"/>
      <c r="O310" s="610"/>
      <c r="P310" s="610"/>
      <c r="Q310" s="610"/>
      <c r="R310" s="610"/>
      <c r="S310" s="610"/>
      <c r="T310" s="610"/>
      <c r="U310" s="610"/>
      <c r="V310" s="610"/>
      <c r="W310" s="610"/>
      <c r="X310" s="610"/>
      <c r="Y310" s="610"/>
      <c r="Z310" s="610"/>
    </row>
    <row r="311" spans="1:26">
      <c r="A311" s="35"/>
      <c r="B311" s="584"/>
      <c r="C311" s="584"/>
      <c r="D311" s="584"/>
      <c r="E311" s="584"/>
      <c r="F311" s="584"/>
      <c r="G311" s="584"/>
      <c r="H311" s="584"/>
      <c r="I311" s="580"/>
      <c r="J311" s="610"/>
      <c r="K311" s="610"/>
      <c r="L311" s="610"/>
      <c r="M311" s="610"/>
      <c r="N311" s="610"/>
      <c r="O311" s="610"/>
      <c r="P311" s="610"/>
      <c r="Q311" s="610"/>
      <c r="R311" s="610"/>
      <c r="S311" s="610"/>
      <c r="T311" s="610"/>
      <c r="U311" s="610"/>
      <c r="V311" s="610"/>
      <c r="W311" s="610"/>
      <c r="X311" s="610"/>
      <c r="Y311" s="610"/>
      <c r="Z311" s="610"/>
    </row>
    <row r="312" spans="1:26">
      <c r="A312" s="35"/>
      <c r="B312" s="584"/>
      <c r="C312" s="584"/>
      <c r="D312" s="584"/>
      <c r="E312" s="584"/>
      <c r="F312" s="584"/>
      <c r="G312" s="584"/>
      <c r="H312" s="584"/>
      <c r="I312" s="580"/>
      <c r="J312" s="610"/>
      <c r="K312" s="610"/>
      <c r="L312" s="610"/>
      <c r="M312" s="610"/>
      <c r="N312" s="610"/>
      <c r="O312" s="610"/>
      <c r="P312" s="610"/>
      <c r="Q312" s="610"/>
      <c r="R312" s="610"/>
      <c r="S312" s="610"/>
      <c r="T312" s="610"/>
      <c r="U312" s="610"/>
      <c r="V312" s="610"/>
      <c r="W312" s="610"/>
      <c r="X312" s="610"/>
      <c r="Y312" s="610"/>
      <c r="Z312" s="610"/>
    </row>
    <row r="313" spans="1:26">
      <c r="A313" s="35"/>
      <c r="B313" s="584"/>
      <c r="C313" s="584"/>
      <c r="D313" s="584"/>
      <c r="E313" s="584"/>
      <c r="F313" s="584"/>
      <c r="G313" s="584"/>
      <c r="H313" s="584"/>
      <c r="I313" s="580"/>
      <c r="J313" s="610"/>
      <c r="K313" s="610"/>
      <c r="L313" s="610"/>
      <c r="M313" s="610"/>
      <c r="N313" s="610"/>
      <c r="O313" s="610"/>
      <c r="P313" s="610"/>
      <c r="Q313" s="610"/>
      <c r="R313" s="610"/>
      <c r="S313" s="610"/>
      <c r="T313" s="610"/>
      <c r="U313" s="610"/>
      <c r="V313" s="610"/>
      <c r="W313" s="610"/>
      <c r="X313" s="610"/>
      <c r="Y313" s="610"/>
      <c r="Z313" s="610"/>
    </row>
    <row r="314" spans="1:26">
      <c r="A314" s="35"/>
      <c r="B314" s="584"/>
      <c r="C314" s="584"/>
      <c r="D314" s="584"/>
      <c r="E314" s="584"/>
      <c r="F314" s="584"/>
      <c r="G314" s="584"/>
      <c r="H314" s="584"/>
      <c r="I314" s="580"/>
      <c r="J314" s="610"/>
      <c r="K314" s="610"/>
      <c r="L314" s="610"/>
      <c r="M314" s="610"/>
      <c r="N314" s="610"/>
      <c r="O314" s="610"/>
      <c r="P314" s="610"/>
      <c r="Q314" s="610"/>
      <c r="R314" s="610"/>
      <c r="S314" s="610"/>
      <c r="T314" s="610"/>
      <c r="U314" s="610"/>
      <c r="V314" s="610"/>
      <c r="W314" s="610"/>
      <c r="X314" s="610"/>
      <c r="Y314" s="610"/>
      <c r="Z314" s="610"/>
    </row>
    <row r="315" spans="1:26">
      <c r="A315" s="35"/>
      <c r="B315" s="584"/>
      <c r="C315" s="584"/>
      <c r="D315" s="584"/>
      <c r="E315" s="584"/>
      <c r="F315" s="584"/>
      <c r="G315" s="584"/>
      <c r="H315" s="584"/>
      <c r="I315" s="580"/>
      <c r="J315" s="610"/>
      <c r="K315" s="610"/>
      <c r="L315" s="610"/>
      <c r="M315" s="610"/>
      <c r="N315" s="610"/>
      <c r="O315" s="610"/>
      <c r="P315" s="610"/>
      <c r="Q315" s="610"/>
      <c r="R315" s="610"/>
      <c r="S315" s="610"/>
      <c r="T315" s="610"/>
      <c r="U315" s="610"/>
      <c r="V315" s="610"/>
      <c r="W315" s="610"/>
      <c r="X315" s="610"/>
      <c r="Y315" s="610"/>
      <c r="Z315" s="610"/>
    </row>
    <row r="316" spans="1:26">
      <c r="A316" s="35"/>
      <c r="B316" s="584"/>
      <c r="C316" s="584"/>
      <c r="D316" s="584"/>
      <c r="E316" s="584"/>
      <c r="F316" s="584"/>
      <c r="G316" s="584"/>
      <c r="H316" s="584"/>
      <c r="I316" s="580"/>
      <c r="J316" s="610"/>
      <c r="K316" s="610"/>
      <c r="L316" s="610"/>
      <c r="M316" s="610"/>
      <c r="N316" s="610"/>
      <c r="O316" s="610"/>
      <c r="P316" s="610"/>
      <c r="Q316" s="610"/>
      <c r="R316" s="610"/>
      <c r="S316" s="610"/>
      <c r="T316" s="610"/>
      <c r="U316" s="610"/>
      <c r="V316" s="610"/>
      <c r="W316" s="610"/>
      <c r="X316" s="610"/>
      <c r="Y316" s="610"/>
      <c r="Z316" s="610"/>
    </row>
    <row r="317" spans="1:26">
      <c r="A317" s="35"/>
      <c r="B317" s="584"/>
      <c r="C317" s="584"/>
      <c r="D317" s="584"/>
      <c r="E317" s="584"/>
      <c r="F317" s="584"/>
      <c r="G317" s="584"/>
      <c r="H317" s="584"/>
      <c r="I317" s="580"/>
      <c r="J317" s="610"/>
      <c r="K317" s="610"/>
      <c r="L317" s="610"/>
      <c r="M317" s="610"/>
      <c r="N317" s="610"/>
      <c r="O317" s="610"/>
      <c r="P317" s="610"/>
      <c r="Q317" s="610"/>
      <c r="R317" s="610"/>
      <c r="S317" s="610"/>
      <c r="T317" s="610"/>
      <c r="U317" s="610"/>
      <c r="V317" s="610"/>
      <c r="W317" s="610"/>
      <c r="X317" s="610"/>
      <c r="Y317" s="610"/>
      <c r="Z317" s="610"/>
    </row>
    <row r="318" spans="1:26">
      <c r="A318" s="35"/>
      <c r="B318" s="584"/>
      <c r="C318" s="584"/>
      <c r="D318" s="584"/>
      <c r="E318" s="584"/>
      <c r="F318" s="584"/>
      <c r="G318" s="584"/>
      <c r="H318" s="584"/>
      <c r="I318" s="580"/>
      <c r="J318" s="610"/>
      <c r="K318" s="610"/>
      <c r="L318" s="610"/>
      <c r="M318" s="610"/>
      <c r="N318" s="610"/>
      <c r="O318" s="610"/>
      <c r="P318" s="610"/>
      <c r="Q318" s="610"/>
      <c r="R318" s="610"/>
      <c r="S318" s="610"/>
      <c r="T318" s="610"/>
      <c r="U318" s="610"/>
      <c r="V318" s="610"/>
      <c r="W318" s="610"/>
      <c r="X318" s="610"/>
      <c r="Y318" s="610"/>
      <c r="Z318" s="610"/>
    </row>
    <row r="319" spans="1:26">
      <c r="A319" s="35"/>
      <c r="B319" s="584"/>
      <c r="C319" s="584"/>
      <c r="D319" s="584"/>
      <c r="E319" s="584"/>
      <c r="F319" s="584"/>
      <c r="G319" s="584"/>
      <c r="H319" s="584"/>
      <c r="I319" s="580"/>
      <c r="J319" s="610"/>
      <c r="K319" s="610"/>
      <c r="L319" s="610"/>
      <c r="M319" s="610"/>
      <c r="N319" s="610"/>
      <c r="O319" s="610"/>
      <c r="P319" s="610"/>
      <c r="Q319" s="610"/>
      <c r="R319" s="610"/>
      <c r="S319" s="610"/>
      <c r="T319" s="610"/>
      <c r="U319" s="610"/>
      <c r="V319" s="610"/>
      <c r="W319" s="610"/>
      <c r="X319" s="610"/>
      <c r="Y319" s="610"/>
      <c r="Z319" s="610"/>
    </row>
    <row r="320" spans="1:26">
      <c r="A320" s="35"/>
      <c r="B320" s="584"/>
      <c r="C320" s="584"/>
      <c r="D320" s="584"/>
      <c r="E320" s="584"/>
      <c r="F320" s="584"/>
      <c r="G320" s="584"/>
      <c r="H320" s="584"/>
      <c r="I320" s="580"/>
      <c r="J320" s="610"/>
      <c r="K320" s="610"/>
      <c r="L320" s="610"/>
      <c r="M320" s="610"/>
      <c r="N320" s="610"/>
      <c r="O320" s="610"/>
      <c r="P320" s="610"/>
      <c r="Q320" s="610"/>
      <c r="R320" s="610"/>
      <c r="S320" s="610"/>
      <c r="T320" s="610"/>
      <c r="U320" s="610"/>
      <c r="V320" s="610"/>
      <c r="W320" s="610"/>
      <c r="X320" s="610"/>
      <c r="Y320" s="610"/>
      <c r="Z320" s="610"/>
    </row>
    <row r="321" spans="1:26">
      <c r="A321" s="35"/>
      <c r="B321" s="584"/>
      <c r="C321" s="584"/>
      <c r="D321" s="584"/>
      <c r="E321" s="584"/>
      <c r="F321" s="584"/>
      <c r="G321" s="584"/>
      <c r="H321" s="584"/>
      <c r="I321" s="580"/>
      <c r="J321" s="610"/>
      <c r="K321" s="610"/>
      <c r="L321" s="610"/>
      <c r="M321" s="610"/>
      <c r="N321" s="610"/>
      <c r="O321" s="610"/>
      <c r="P321" s="610"/>
      <c r="Q321" s="610"/>
      <c r="R321" s="610"/>
      <c r="S321" s="610"/>
      <c r="T321" s="610"/>
      <c r="U321" s="610"/>
      <c r="V321" s="610"/>
      <c r="W321" s="610"/>
      <c r="X321" s="610"/>
      <c r="Y321" s="610"/>
      <c r="Z321" s="610"/>
    </row>
    <row r="322" spans="1:26">
      <c r="A322" s="35"/>
      <c r="B322" s="584"/>
      <c r="C322" s="584"/>
      <c r="D322" s="584"/>
      <c r="E322" s="584"/>
      <c r="F322" s="584"/>
      <c r="G322" s="584"/>
      <c r="H322" s="584"/>
      <c r="I322" s="580"/>
      <c r="J322" s="610"/>
      <c r="K322" s="610"/>
      <c r="L322" s="610"/>
      <c r="M322" s="610"/>
      <c r="N322" s="610"/>
      <c r="O322" s="610"/>
      <c r="P322" s="610"/>
      <c r="Q322" s="610"/>
      <c r="R322" s="610"/>
      <c r="S322" s="610"/>
      <c r="T322" s="610"/>
      <c r="U322" s="610"/>
      <c r="V322" s="610"/>
      <c r="W322" s="610"/>
      <c r="X322" s="610"/>
      <c r="Y322" s="610"/>
      <c r="Z322" s="610"/>
    </row>
    <row r="323" spans="1:26">
      <c r="A323" s="35"/>
      <c r="B323" s="584"/>
      <c r="C323" s="584"/>
      <c r="D323" s="584"/>
      <c r="E323" s="584"/>
      <c r="F323" s="584"/>
      <c r="G323" s="584"/>
      <c r="H323" s="584"/>
      <c r="I323" s="580"/>
      <c r="J323" s="610"/>
      <c r="K323" s="610"/>
      <c r="L323" s="610"/>
      <c r="M323" s="610"/>
      <c r="N323" s="610"/>
      <c r="O323" s="610"/>
      <c r="P323" s="610"/>
      <c r="Q323" s="610"/>
      <c r="R323" s="610"/>
      <c r="S323" s="610"/>
      <c r="T323" s="610"/>
      <c r="U323" s="610"/>
      <c r="V323" s="610"/>
      <c r="W323" s="610"/>
      <c r="X323" s="610"/>
      <c r="Y323" s="610"/>
      <c r="Z323" s="610"/>
    </row>
    <row r="324" spans="1:26">
      <c r="A324" s="35"/>
      <c r="B324" s="584"/>
      <c r="C324" s="584"/>
      <c r="D324" s="584"/>
      <c r="E324" s="584"/>
      <c r="F324" s="584"/>
      <c r="G324" s="584"/>
      <c r="H324" s="584"/>
      <c r="I324" s="580"/>
      <c r="J324" s="610"/>
      <c r="K324" s="610"/>
      <c r="L324" s="610"/>
      <c r="M324" s="610"/>
      <c r="N324" s="610"/>
      <c r="O324" s="610"/>
      <c r="P324" s="610"/>
      <c r="Q324" s="610"/>
      <c r="R324" s="610"/>
      <c r="S324" s="610"/>
      <c r="T324" s="610"/>
      <c r="U324" s="610"/>
      <c r="V324" s="610"/>
      <c r="W324" s="610"/>
      <c r="X324" s="610"/>
      <c r="Y324" s="610"/>
      <c r="Z324" s="610"/>
    </row>
    <row r="325" spans="1:26">
      <c r="A325" s="35"/>
      <c r="B325" s="584"/>
      <c r="C325" s="584"/>
      <c r="D325" s="584"/>
      <c r="E325" s="584"/>
      <c r="F325" s="584"/>
      <c r="G325" s="584"/>
      <c r="H325" s="584"/>
      <c r="I325" s="580"/>
      <c r="J325" s="610"/>
      <c r="K325" s="610"/>
      <c r="L325" s="610"/>
      <c r="M325" s="610"/>
      <c r="N325" s="610"/>
      <c r="O325" s="610"/>
      <c r="P325" s="610"/>
      <c r="Q325" s="610"/>
      <c r="R325" s="610"/>
      <c r="S325" s="610"/>
      <c r="T325" s="610"/>
      <c r="U325" s="610"/>
      <c r="V325" s="610"/>
      <c r="W325" s="610"/>
      <c r="X325" s="610"/>
      <c r="Y325" s="610"/>
      <c r="Z325" s="610"/>
    </row>
    <row r="326" spans="1:26">
      <c r="A326" s="35"/>
      <c r="B326" s="584"/>
      <c r="C326" s="584"/>
      <c r="D326" s="584"/>
      <c r="E326" s="584"/>
      <c r="F326" s="584"/>
      <c r="G326" s="584"/>
      <c r="H326" s="584"/>
      <c r="I326" s="580"/>
      <c r="J326" s="610"/>
      <c r="K326" s="610"/>
      <c r="L326" s="610"/>
      <c r="M326" s="610"/>
      <c r="N326" s="610"/>
      <c r="O326" s="610"/>
      <c r="P326" s="610"/>
      <c r="Q326" s="610"/>
      <c r="R326" s="610"/>
      <c r="S326" s="610"/>
      <c r="T326" s="610"/>
      <c r="U326" s="610"/>
      <c r="V326" s="610"/>
      <c r="W326" s="610"/>
      <c r="X326" s="610"/>
      <c r="Y326" s="610"/>
      <c r="Z326" s="610"/>
    </row>
    <row r="327" spans="1:26">
      <c r="A327" s="35"/>
      <c r="B327" s="584"/>
      <c r="C327" s="584"/>
      <c r="D327" s="584"/>
      <c r="E327" s="584"/>
      <c r="F327" s="584"/>
      <c r="G327" s="584"/>
      <c r="H327" s="584"/>
      <c r="I327" s="580"/>
      <c r="J327" s="610"/>
      <c r="K327" s="610"/>
      <c r="L327" s="610"/>
      <c r="M327" s="610"/>
      <c r="N327" s="610"/>
      <c r="O327" s="610"/>
      <c r="P327" s="610"/>
      <c r="Q327" s="610"/>
      <c r="R327" s="610"/>
      <c r="S327" s="610"/>
      <c r="T327" s="610"/>
      <c r="U327" s="610"/>
      <c r="V327" s="610"/>
      <c r="W327" s="610"/>
      <c r="X327" s="610"/>
      <c r="Y327" s="610"/>
      <c r="Z327" s="610"/>
    </row>
    <row r="328" spans="1:26">
      <c r="A328" s="35"/>
      <c r="B328" s="584"/>
      <c r="C328" s="584"/>
      <c r="D328" s="584"/>
      <c r="E328" s="584"/>
      <c r="F328" s="584"/>
      <c r="G328" s="584"/>
      <c r="H328" s="584"/>
      <c r="I328" s="580"/>
      <c r="J328" s="610"/>
      <c r="K328" s="610"/>
      <c r="L328" s="610"/>
      <c r="M328" s="610"/>
      <c r="N328" s="610"/>
      <c r="O328" s="610"/>
      <c r="P328" s="610"/>
      <c r="Q328" s="610"/>
      <c r="R328" s="610"/>
      <c r="S328" s="610"/>
      <c r="T328" s="610"/>
      <c r="U328" s="610"/>
      <c r="V328" s="610"/>
      <c r="W328" s="610"/>
      <c r="X328" s="610"/>
      <c r="Y328" s="610"/>
      <c r="Z328" s="610"/>
    </row>
    <row r="329" spans="1:26">
      <c r="A329" s="35"/>
      <c r="B329" s="584"/>
      <c r="C329" s="584"/>
      <c r="D329" s="584"/>
      <c r="E329" s="584"/>
      <c r="F329" s="584"/>
      <c r="G329" s="584"/>
      <c r="H329" s="584"/>
      <c r="I329" s="580"/>
      <c r="J329" s="610"/>
      <c r="K329" s="610"/>
      <c r="L329" s="610"/>
      <c r="M329" s="610"/>
      <c r="N329" s="610"/>
      <c r="O329" s="610"/>
      <c r="P329" s="610"/>
      <c r="Q329" s="610"/>
      <c r="R329" s="610"/>
      <c r="S329" s="610"/>
      <c r="T329" s="610"/>
      <c r="U329" s="610"/>
      <c r="V329" s="610"/>
      <c r="W329" s="610"/>
      <c r="X329" s="610"/>
      <c r="Y329" s="610"/>
      <c r="Z329" s="610"/>
    </row>
    <row r="330" spans="1:26">
      <c r="A330" s="35"/>
      <c r="B330" s="584"/>
      <c r="C330" s="584"/>
      <c r="D330" s="584"/>
      <c r="E330" s="584"/>
      <c r="F330" s="584"/>
      <c r="G330" s="584"/>
      <c r="H330" s="584"/>
      <c r="I330" s="580"/>
      <c r="J330" s="610"/>
      <c r="K330" s="610"/>
      <c r="L330" s="610"/>
      <c r="M330" s="610"/>
      <c r="N330" s="610"/>
      <c r="O330" s="610"/>
      <c r="P330" s="610"/>
      <c r="Q330" s="610"/>
      <c r="R330" s="610"/>
      <c r="S330" s="610"/>
      <c r="T330" s="610"/>
      <c r="U330" s="610"/>
      <c r="V330" s="610"/>
      <c r="W330" s="610"/>
      <c r="X330" s="610"/>
      <c r="Y330" s="610"/>
      <c r="Z330" s="610"/>
    </row>
    <row r="331" spans="1:26">
      <c r="A331" s="35"/>
      <c r="B331" s="584"/>
      <c r="C331" s="584"/>
      <c r="D331" s="584"/>
      <c r="E331" s="584"/>
      <c r="F331" s="584"/>
      <c r="G331" s="584"/>
      <c r="H331" s="584"/>
      <c r="I331" s="580"/>
      <c r="J331" s="610"/>
      <c r="K331" s="610"/>
      <c r="L331" s="610"/>
      <c r="M331" s="610"/>
      <c r="N331" s="610"/>
      <c r="O331" s="610"/>
      <c r="P331" s="610"/>
      <c r="Q331" s="610"/>
      <c r="R331" s="610"/>
      <c r="S331" s="610"/>
      <c r="T331" s="610"/>
      <c r="U331" s="610"/>
      <c r="V331" s="610"/>
      <c r="W331" s="610"/>
      <c r="X331" s="610"/>
      <c r="Y331" s="610"/>
      <c r="Z331" s="610"/>
    </row>
    <row r="332" spans="1:26">
      <c r="A332" s="35"/>
      <c r="B332" s="584"/>
      <c r="C332" s="584"/>
      <c r="D332" s="584"/>
      <c r="E332" s="584"/>
      <c r="F332" s="584"/>
      <c r="G332" s="584"/>
      <c r="H332" s="584"/>
      <c r="I332" s="580"/>
      <c r="J332" s="610"/>
      <c r="K332" s="610"/>
      <c r="L332" s="610"/>
      <c r="M332" s="610"/>
      <c r="N332" s="610"/>
      <c r="O332" s="610"/>
      <c r="P332" s="610"/>
      <c r="Q332" s="610"/>
      <c r="R332" s="610"/>
      <c r="S332" s="610"/>
      <c r="T332" s="610"/>
      <c r="U332" s="610"/>
      <c r="V332" s="610"/>
      <c r="W332" s="610"/>
      <c r="X332" s="610"/>
      <c r="Y332" s="610"/>
      <c r="Z332" s="610"/>
    </row>
    <row r="333" spans="1:26">
      <c r="A333" s="35"/>
      <c r="B333" s="584"/>
      <c r="C333" s="584"/>
      <c r="D333" s="584"/>
      <c r="E333" s="584"/>
      <c r="F333" s="584"/>
      <c r="G333" s="584"/>
      <c r="H333" s="584"/>
      <c r="I333" s="580"/>
      <c r="J333" s="610"/>
      <c r="K333" s="610"/>
      <c r="L333" s="610"/>
      <c r="M333" s="610"/>
      <c r="N333" s="610"/>
      <c r="O333" s="610"/>
      <c r="P333" s="610"/>
      <c r="Q333" s="610"/>
      <c r="R333" s="610"/>
      <c r="S333" s="610"/>
      <c r="T333" s="610"/>
      <c r="U333" s="610"/>
      <c r="V333" s="610"/>
      <c r="W333" s="610"/>
      <c r="X333" s="610"/>
      <c r="Y333" s="610"/>
      <c r="Z333" s="610"/>
    </row>
    <row r="334" spans="1:26">
      <c r="A334" s="35"/>
      <c r="B334" s="584"/>
      <c r="C334" s="584"/>
      <c r="D334" s="584"/>
      <c r="E334" s="584"/>
      <c r="F334" s="584"/>
      <c r="G334" s="584"/>
      <c r="H334" s="584"/>
      <c r="I334" s="580"/>
      <c r="J334" s="610"/>
      <c r="K334" s="610"/>
      <c r="L334" s="610"/>
      <c r="M334" s="610"/>
      <c r="N334" s="610"/>
      <c r="O334" s="610"/>
      <c r="P334" s="610"/>
      <c r="Q334" s="610"/>
      <c r="R334" s="610"/>
      <c r="S334" s="610"/>
      <c r="T334" s="610"/>
      <c r="U334" s="610"/>
      <c r="V334" s="610"/>
      <c r="W334" s="610"/>
      <c r="X334" s="610"/>
      <c r="Y334" s="610"/>
      <c r="Z334" s="610"/>
    </row>
    <row r="335" spans="1:26">
      <c r="A335" s="35"/>
      <c r="B335" s="584"/>
      <c r="C335" s="584"/>
      <c r="D335" s="584"/>
      <c r="E335" s="584"/>
      <c r="F335" s="584"/>
      <c r="G335" s="584"/>
      <c r="H335" s="584"/>
      <c r="I335" s="580"/>
      <c r="J335" s="610"/>
      <c r="K335" s="610"/>
      <c r="L335" s="610"/>
      <c r="M335" s="610"/>
      <c r="N335" s="610"/>
      <c r="O335" s="610"/>
      <c r="P335" s="610"/>
      <c r="Q335" s="610"/>
      <c r="R335" s="610"/>
      <c r="S335" s="610"/>
      <c r="T335" s="610"/>
      <c r="U335" s="610"/>
      <c r="V335" s="610"/>
      <c r="W335" s="610"/>
      <c r="X335" s="610"/>
      <c r="Y335" s="610"/>
      <c r="Z335" s="610"/>
    </row>
    <row r="336" spans="1:26">
      <c r="A336" s="35"/>
      <c r="B336" s="584"/>
      <c r="C336" s="584"/>
      <c r="D336" s="584"/>
      <c r="E336" s="584"/>
      <c r="F336" s="584"/>
      <c r="G336" s="584"/>
      <c r="H336" s="584"/>
      <c r="I336" s="580"/>
      <c r="J336" s="610"/>
      <c r="K336" s="610"/>
      <c r="L336" s="610"/>
      <c r="M336" s="610"/>
      <c r="N336" s="610"/>
      <c r="O336" s="610"/>
      <c r="P336" s="610"/>
      <c r="Q336" s="610"/>
      <c r="R336" s="610"/>
      <c r="S336" s="610"/>
      <c r="T336" s="610"/>
      <c r="U336" s="610"/>
      <c r="V336" s="610"/>
      <c r="W336" s="610"/>
      <c r="X336" s="610"/>
      <c r="Y336" s="610"/>
      <c r="Z336" s="610"/>
    </row>
    <row r="337" spans="1:26">
      <c r="A337" s="35"/>
      <c r="B337" s="584"/>
      <c r="C337" s="584"/>
      <c r="D337" s="584"/>
      <c r="E337" s="584"/>
      <c r="F337" s="584"/>
      <c r="G337" s="584"/>
      <c r="H337" s="584"/>
      <c r="I337" s="580"/>
      <c r="J337" s="610"/>
      <c r="K337" s="610"/>
      <c r="L337" s="610"/>
      <c r="M337" s="610"/>
      <c r="N337" s="610"/>
      <c r="O337" s="610"/>
      <c r="P337" s="610"/>
      <c r="Q337" s="610"/>
      <c r="R337" s="610"/>
      <c r="S337" s="610"/>
      <c r="T337" s="610"/>
      <c r="U337" s="610"/>
      <c r="V337" s="610"/>
      <c r="W337" s="610"/>
      <c r="X337" s="610"/>
      <c r="Y337" s="610"/>
      <c r="Z337" s="610"/>
    </row>
    <row r="338" spans="1:26">
      <c r="A338" s="35"/>
      <c r="B338" s="584"/>
      <c r="C338" s="584"/>
      <c r="D338" s="584"/>
      <c r="E338" s="584"/>
      <c r="F338" s="584"/>
      <c r="G338" s="584"/>
      <c r="H338" s="584"/>
      <c r="I338" s="580"/>
      <c r="J338" s="610"/>
      <c r="K338" s="610"/>
      <c r="L338" s="610"/>
      <c r="M338" s="610"/>
      <c r="N338" s="610"/>
      <c r="O338" s="610"/>
      <c r="P338" s="610"/>
      <c r="Q338" s="610"/>
      <c r="R338" s="610"/>
      <c r="S338" s="610"/>
      <c r="T338" s="610"/>
      <c r="U338" s="610"/>
      <c r="V338" s="610"/>
      <c r="W338" s="610"/>
      <c r="X338" s="610"/>
      <c r="Y338" s="610"/>
      <c r="Z338" s="610"/>
    </row>
    <row r="339" spans="1:26">
      <c r="A339" s="35"/>
      <c r="B339" s="584"/>
      <c r="C339" s="584"/>
      <c r="D339" s="584"/>
      <c r="E339" s="584"/>
      <c r="F339" s="584"/>
      <c r="G339" s="584"/>
      <c r="H339" s="584"/>
      <c r="I339" s="580"/>
      <c r="J339" s="610"/>
      <c r="K339" s="610"/>
      <c r="L339" s="610"/>
      <c r="M339" s="610"/>
      <c r="N339" s="610"/>
      <c r="O339" s="610"/>
      <c r="P339" s="610"/>
      <c r="Q339" s="610"/>
      <c r="R339" s="610"/>
      <c r="S339" s="610"/>
      <c r="T339" s="610"/>
      <c r="U339" s="610"/>
      <c r="V339" s="610"/>
      <c r="W339" s="610"/>
      <c r="X339" s="610"/>
      <c r="Y339" s="610"/>
      <c r="Z339" s="610"/>
    </row>
    <row r="340" spans="1:26">
      <c r="A340" s="35"/>
      <c r="B340" s="584"/>
      <c r="C340" s="584"/>
      <c r="D340" s="584"/>
      <c r="E340" s="584"/>
      <c r="F340" s="584"/>
      <c r="G340" s="584"/>
      <c r="H340" s="584"/>
      <c r="I340" s="580"/>
      <c r="J340" s="610"/>
      <c r="K340" s="610"/>
      <c r="L340" s="610"/>
      <c r="M340" s="610"/>
      <c r="N340" s="610"/>
      <c r="O340" s="610"/>
      <c r="P340" s="610"/>
      <c r="Q340" s="610"/>
      <c r="R340" s="610"/>
      <c r="S340" s="610"/>
      <c r="T340" s="610"/>
      <c r="U340" s="610"/>
      <c r="V340" s="610"/>
      <c r="W340" s="610"/>
      <c r="X340" s="610"/>
      <c r="Y340" s="610"/>
      <c r="Z340" s="610"/>
    </row>
    <row r="341" spans="1:26">
      <c r="A341" s="35"/>
      <c r="B341" s="584"/>
      <c r="C341" s="584"/>
      <c r="D341" s="584"/>
      <c r="E341" s="584"/>
      <c r="F341" s="584"/>
      <c r="G341" s="584"/>
      <c r="H341" s="584"/>
      <c r="I341" s="580"/>
      <c r="J341" s="610"/>
      <c r="K341" s="610"/>
      <c r="L341" s="610"/>
      <c r="M341" s="610"/>
      <c r="N341" s="610"/>
      <c r="O341" s="610"/>
      <c r="P341" s="610"/>
      <c r="Q341" s="610"/>
      <c r="R341" s="610"/>
      <c r="S341" s="610"/>
      <c r="T341" s="610"/>
      <c r="U341" s="610"/>
      <c r="V341" s="610"/>
      <c r="W341" s="610"/>
      <c r="X341" s="610"/>
      <c r="Y341" s="610"/>
      <c r="Z341" s="610"/>
    </row>
    <row r="342" spans="1:26">
      <c r="A342" s="35"/>
      <c r="B342" s="584"/>
      <c r="C342" s="584"/>
      <c r="D342" s="584"/>
      <c r="E342" s="584"/>
      <c r="F342" s="584"/>
      <c r="G342" s="584"/>
      <c r="H342" s="584"/>
      <c r="I342" s="580"/>
      <c r="J342" s="610"/>
      <c r="K342" s="610"/>
      <c r="L342" s="610"/>
      <c r="M342" s="610"/>
      <c r="N342" s="610"/>
      <c r="O342" s="610"/>
      <c r="P342" s="610"/>
      <c r="Q342" s="610"/>
      <c r="R342" s="610"/>
      <c r="S342" s="610"/>
      <c r="T342" s="610"/>
      <c r="U342" s="610"/>
      <c r="V342" s="610"/>
      <c r="W342" s="610"/>
      <c r="X342" s="610"/>
      <c r="Y342" s="610"/>
      <c r="Z342" s="610"/>
    </row>
    <row r="343" spans="1:26">
      <c r="A343" s="35"/>
      <c r="B343" s="584"/>
      <c r="C343" s="584"/>
      <c r="D343" s="584"/>
      <c r="E343" s="584"/>
      <c r="F343" s="584"/>
      <c r="G343" s="584"/>
      <c r="H343" s="584"/>
      <c r="I343" s="580"/>
      <c r="J343" s="610"/>
      <c r="K343" s="610"/>
      <c r="L343" s="610"/>
      <c r="M343" s="610"/>
      <c r="N343" s="610"/>
      <c r="O343" s="610"/>
      <c r="P343" s="610"/>
      <c r="Q343" s="610"/>
      <c r="R343" s="610"/>
      <c r="S343" s="610"/>
      <c r="T343" s="610"/>
      <c r="U343" s="610"/>
      <c r="V343" s="610"/>
      <c r="W343" s="610"/>
      <c r="X343" s="610"/>
      <c r="Y343" s="610"/>
      <c r="Z343" s="610"/>
    </row>
    <row r="344" spans="1:26">
      <c r="A344" s="35"/>
      <c r="B344" s="584"/>
      <c r="C344" s="584"/>
      <c r="D344" s="584"/>
      <c r="E344" s="584"/>
      <c r="F344" s="584"/>
      <c r="G344" s="584"/>
      <c r="H344" s="584"/>
      <c r="I344" s="580"/>
      <c r="J344" s="610"/>
      <c r="K344" s="610"/>
      <c r="L344" s="610"/>
      <c r="M344" s="610"/>
      <c r="N344" s="610"/>
      <c r="O344" s="610"/>
      <c r="P344" s="610"/>
      <c r="Q344" s="610"/>
      <c r="R344" s="610"/>
      <c r="S344" s="610"/>
      <c r="T344" s="610"/>
      <c r="U344" s="610"/>
      <c r="V344" s="610"/>
      <c r="W344" s="610"/>
      <c r="X344" s="610"/>
      <c r="Y344" s="610"/>
      <c r="Z344" s="610"/>
    </row>
    <row r="345" spans="1:26">
      <c r="A345" s="35"/>
      <c r="B345" s="584"/>
      <c r="C345" s="584"/>
      <c r="D345" s="584"/>
      <c r="E345" s="584"/>
      <c r="F345" s="584"/>
      <c r="G345" s="584"/>
      <c r="H345" s="584"/>
      <c r="I345" s="580"/>
      <c r="J345" s="610"/>
      <c r="K345" s="610"/>
      <c r="L345" s="610"/>
      <c r="M345" s="610"/>
      <c r="N345" s="610"/>
      <c r="O345" s="610"/>
      <c r="P345" s="610"/>
      <c r="Q345" s="610"/>
      <c r="R345" s="610"/>
      <c r="S345" s="610"/>
      <c r="T345" s="610"/>
      <c r="U345" s="610"/>
      <c r="V345" s="610"/>
      <c r="W345" s="610"/>
      <c r="X345" s="610"/>
      <c r="Y345" s="610"/>
      <c r="Z345" s="610"/>
    </row>
    <row r="346" spans="1:26">
      <c r="A346" s="35"/>
      <c r="B346" s="584"/>
      <c r="C346" s="584"/>
      <c r="D346" s="584"/>
      <c r="E346" s="584"/>
      <c r="F346" s="584"/>
      <c r="G346" s="584"/>
      <c r="H346" s="584"/>
      <c r="I346" s="580"/>
      <c r="J346" s="610"/>
      <c r="K346" s="610"/>
      <c r="L346" s="610"/>
      <c r="M346" s="610"/>
      <c r="N346" s="610"/>
      <c r="O346" s="610"/>
      <c r="P346" s="610"/>
      <c r="Q346" s="610"/>
      <c r="R346" s="610"/>
      <c r="S346" s="610"/>
      <c r="T346" s="610"/>
      <c r="U346" s="610"/>
      <c r="V346" s="610"/>
      <c r="W346" s="610"/>
      <c r="X346" s="610"/>
      <c r="Y346" s="610"/>
      <c r="Z346" s="610"/>
    </row>
    <row r="347" spans="1:26">
      <c r="A347" s="35"/>
      <c r="B347" s="584"/>
      <c r="C347" s="584"/>
      <c r="D347" s="584"/>
      <c r="E347" s="584"/>
      <c r="F347" s="584"/>
      <c r="G347" s="584"/>
      <c r="H347" s="584"/>
      <c r="I347" s="580"/>
      <c r="J347" s="610"/>
      <c r="K347" s="610"/>
      <c r="L347" s="610"/>
      <c r="M347" s="610"/>
      <c r="N347" s="610"/>
      <c r="O347" s="610"/>
      <c r="P347" s="610"/>
      <c r="Q347" s="610"/>
      <c r="R347" s="610"/>
      <c r="S347" s="610"/>
      <c r="T347" s="610"/>
      <c r="U347" s="610"/>
      <c r="V347" s="610"/>
      <c r="W347" s="610"/>
      <c r="X347" s="610"/>
      <c r="Y347" s="610"/>
      <c r="Z347" s="610"/>
    </row>
    <row r="348" spans="1:26">
      <c r="A348" s="35"/>
      <c r="B348" s="584"/>
      <c r="C348" s="584"/>
      <c r="D348" s="584"/>
      <c r="E348" s="584"/>
      <c r="F348" s="584"/>
      <c r="G348" s="584"/>
      <c r="H348" s="584"/>
      <c r="I348" s="580"/>
      <c r="J348" s="610"/>
      <c r="K348" s="610"/>
      <c r="L348" s="610"/>
      <c r="M348" s="610"/>
      <c r="N348" s="610"/>
      <c r="O348" s="610"/>
      <c r="P348" s="610"/>
      <c r="Q348" s="610"/>
      <c r="R348" s="610"/>
      <c r="S348" s="610"/>
      <c r="T348" s="610"/>
      <c r="U348" s="610"/>
      <c r="V348" s="610"/>
      <c r="W348" s="610"/>
      <c r="X348" s="610"/>
      <c r="Y348" s="610"/>
      <c r="Z348" s="610"/>
    </row>
    <row r="349" spans="1:26">
      <c r="A349" s="35"/>
      <c r="B349" s="584"/>
      <c r="C349" s="584"/>
      <c r="D349" s="584"/>
      <c r="E349" s="584"/>
      <c r="F349" s="584"/>
      <c r="G349" s="584"/>
      <c r="H349" s="584"/>
      <c r="I349" s="580"/>
      <c r="J349" s="610"/>
      <c r="K349" s="610"/>
      <c r="L349" s="610"/>
      <c r="M349" s="610"/>
      <c r="N349" s="610"/>
      <c r="O349" s="610"/>
      <c r="P349" s="610"/>
      <c r="Q349" s="610"/>
      <c r="R349" s="610"/>
      <c r="S349" s="610"/>
      <c r="T349" s="610"/>
      <c r="U349" s="610"/>
      <c r="V349" s="610"/>
      <c r="W349" s="610"/>
      <c r="X349" s="610"/>
      <c r="Y349" s="610"/>
      <c r="Z349" s="610"/>
    </row>
    <row r="350" spans="1:26">
      <c r="A350" s="35"/>
      <c r="B350" s="584"/>
      <c r="C350" s="584"/>
      <c r="D350" s="584"/>
      <c r="E350" s="584"/>
      <c r="F350" s="584"/>
      <c r="G350" s="584"/>
      <c r="H350" s="584"/>
      <c r="I350" s="580"/>
      <c r="J350" s="610"/>
      <c r="K350" s="610"/>
      <c r="L350" s="610"/>
      <c r="M350" s="610"/>
      <c r="N350" s="610"/>
      <c r="O350" s="610"/>
      <c r="P350" s="610"/>
      <c r="Q350" s="610"/>
      <c r="R350" s="610"/>
      <c r="S350" s="610"/>
      <c r="T350" s="610"/>
      <c r="U350" s="610"/>
      <c r="V350" s="610"/>
      <c r="W350" s="610"/>
      <c r="X350" s="610"/>
      <c r="Y350" s="610"/>
      <c r="Z350" s="610"/>
    </row>
    <row r="351" spans="1:26">
      <c r="A351" s="35"/>
      <c r="B351" s="584"/>
      <c r="C351" s="584"/>
      <c r="D351" s="584"/>
      <c r="E351" s="584"/>
      <c r="F351" s="584"/>
      <c r="G351" s="584"/>
      <c r="H351" s="584"/>
      <c r="I351" s="580"/>
      <c r="J351" s="610"/>
      <c r="K351" s="610"/>
      <c r="L351" s="610"/>
      <c r="M351" s="610"/>
      <c r="N351" s="610"/>
      <c r="O351" s="610"/>
      <c r="P351" s="610"/>
      <c r="Q351" s="610"/>
      <c r="R351" s="610"/>
      <c r="S351" s="610"/>
      <c r="T351" s="610"/>
      <c r="U351" s="610"/>
      <c r="V351" s="610"/>
      <c r="W351" s="610"/>
      <c r="X351" s="610"/>
      <c r="Y351" s="610"/>
      <c r="Z351" s="610"/>
    </row>
    <row r="352" spans="1:26">
      <c r="A352" s="35"/>
      <c r="B352" s="584"/>
      <c r="C352" s="584"/>
      <c r="D352" s="584"/>
      <c r="E352" s="584"/>
      <c r="F352" s="584"/>
      <c r="G352" s="584"/>
      <c r="H352" s="584"/>
      <c r="I352" s="580"/>
      <c r="J352" s="610"/>
      <c r="K352" s="610"/>
      <c r="L352" s="610"/>
      <c r="M352" s="610"/>
      <c r="N352" s="610"/>
      <c r="O352" s="610"/>
      <c r="P352" s="610"/>
      <c r="Q352" s="610"/>
      <c r="R352" s="610"/>
      <c r="S352" s="610"/>
      <c r="T352" s="610"/>
      <c r="U352" s="610"/>
      <c r="V352" s="610"/>
      <c r="W352" s="610"/>
      <c r="X352" s="610"/>
      <c r="Y352" s="610"/>
      <c r="Z352" s="610"/>
    </row>
    <row r="353" spans="1:26">
      <c r="A353" s="35"/>
      <c r="B353" s="584"/>
      <c r="C353" s="584"/>
      <c r="D353" s="584"/>
      <c r="E353" s="584"/>
      <c r="F353" s="584"/>
      <c r="G353" s="584"/>
      <c r="H353" s="584"/>
      <c r="I353" s="580"/>
      <c r="J353" s="610"/>
      <c r="K353" s="610"/>
      <c r="L353" s="610"/>
      <c r="M353" s="610"/>
      <c r="N353" s="610"/>
      <c r="O353" s="610"/>
      <c r="P353" s="610"/>
      <c r="Q353" s="610"/>
      <c r="R353" s="610"/>
      <c r="S353" s="610"/>
      <c r="T353" s="610"/>
      <c r="U353" s="610"/>
      <c r="V353" s="610"/>
      <c r="W353" s="610"/>
      <c r="X353" s="610"/>
      <c r="Y353" s="610"/>
      <c r="Z353" s="610"/>
    </row>
    <row r="354" spans="1:26">
      <c r="A354" s="35"/>
      <c r="B354" s="584"/>
      <c r="C354" s="584"/>
      <c r="D354" s="584"/>
      <c r="E354" s="584"/>
      <c r="F354" s="584"/>
      <c r="G354" s="584"/>
      <c r="H354" s="584"/>
      <c r="I354" s="580"/>
      <c r="J354" s="610"/>
      <c r="K354" s="610"/>
      <c r="L354" s="610"/>
      <c r="M354" s="610"/>
      <c r="N354" s="610"/>
      <c r="O354" s="610"/>
      <c r="P354" s="610"/>
      <c r="Q354" s="610"/>
      <c r="R354" s="610"/>
      <c r="S354" s="610"/>
      <c r="T354" s="610"/>
      <c r="U354" s="610"/>
      <c r="V354" s="610"/>
      <c r="W354" s="610"/>
      <c r="X354" s="610"/>
      <c r="Y354" s="610"/>
      <c r="Z354" s="610"/>
    </row>
    <row r="355" spans="1:26">
      <c r="A355" s="35"/>
      <c r="B355" s="584"/>
      <c r="C355" s="584"/>
      <c r="D355" s="584"/>
      <c r="E355" s="584"/>
      <c r="F355" s="584"/>
      <c r="G355" s="584"/>
      <c r="H355" s="584"/>
      <c r="I355" s="580"/>
      <c r="J355" s="610"/>
      <c r="K355" s="610"/>
      <c r="L355" s="610"/>
      <c r="M355" s="610"/>
      <c r="N355" s="610"/>
      <c r="O355" s="610"/>
      <c r="P355" s="610"/>
      <c r="Q355" s="610"/>
      <c r="R355" s="610"/>
      <c r="S355" s="610"/>
      <c r="T355" s="610"/>
      <c r="U355" s="610"/>
      <c r="V355" s="610"/>
      <c r="W355" s="610"/>
      <c r="X355" s="610"/>
      <c r="Y355" s="610"/>
      <c r="Z355" s="610"/>
    </row>
    <row r="356" spans="1:26">
      <c r="A356" s="35"/>
      <c r="B356" s="584"/>
      <c r="C356" s="584"/>
      <c r="D356" s="584"/>
      <c r="E356" s="584"/>
      <c r="F356" s="584"/>
      <c r="G356" s="584"/>
      <c r="H356" s="584"/>
      <c r="I356" s="580"/>
      <c r="J356" s="610"/>
      <c r="K356" s="610"/>
      <c r="L356" s="610"/>
      <c r="M356" s="610"/>
      <c r="N356" s="610"/>
      <c r="O356" s="610"/>
      <c r="P356" s="610"/>
      <c r="Q356" s="610"/>
      <c r="R356" s="610"/>
      <c r="S356" s="610"/>
      <c r="T356" s="610"/>
      <c r="U356" s="610"/>
      <c r="V356" s="610"/>
      <c r="W356" s="610"/>
      <c r="X356" s="610"/>
      <c r="Y356" s="610"/>
      <c r="Z356" s="610"/>
    </row>
    <row r="357" spans="1:26">
      <c r="A357" s="35"/>
      <c r="B357" s="584"/>
      <c r="C357" s="584"/>
      <c r="D357" s="584"/>
      <c r="E357" s="584"/>
      <c r="F357" s="584"/>
      <c r="G357" s="584"/>
      <c r="H357" s="584"/>
      <c r="I357" s="580"/>
      <c r="J357" s="610"/>
      <c r="K357" s="610"/>
      <c r="L357" s="610"/>
      <c r="M357" s="610"/>
      <c r="N357" s="610"/>
      <c r="O357" s="610"/>
      <c r="P357" s="610"/>
      <c r="Q357" s="610"/>
      <c r="R357" s="610"/>
      <c r="S357" s="610"/>
      <c r="T357" s="610"/>
      <c r="U357" s="610"/>
      <c r="V357" s="610"/>
      <c r="W357" s="610"/>
      <c r="X357" s="610"/>
      <c r="Y357" s="610"/>
      <c r="Z357" s="610"/>
    </row>
    <row r="358" spans="1:26">
      <c r="A358" s="35"/>
      <c r="B358" s="584"/>
      <c r="C358" s="584"/>
      <c r="D358" s="584"/>
      <c r="E358" s="584"/>
      <c r="F358" s="584"/>
      <c r="G358" s="584"/>
      <c r="H358" s="584"/>
      <c r="I358" s="580"/>
      <c r="J358" s="610"/>
      <c r="K358" s="610"/>
      <c r="L358" s="610"/>
      <c r="M358" s="610"/>
      <c r="N358" s="610"/>
      <c r="O358" s="610"/>
      <c r="P358" s="610"/>
      <c r="Q358" s="610"/>
      <c r="R358" s="610"/>
      <c r="S358" s="610"/>
      <c r="T358" s="610"/>
      <c r="U358" s="610"/>
      <c r="V358" s="610"/>
      <c r="W358" s="610"/>
      <c r="X358" s="610"/>
      <c r="Y358" s="610"/>
      <c r="Z358" s="610"/>
    </row>
    <row r="359" spans="1:26">
      <c r="A359" s="35"/>
      <c r="B359" s="584"/>
      <c r="C359" s="584"/>
      <c r="D359" s="584"/>
      <c r="E359" s="584"/>
      <c r="F359" s="584"/>
      <c r="G359" s="584"/>
      <c r="H359" s="584"/>
      <c r="I359" s="580"/>
      <c r="J359" s="610"/>
      <c r="K359" s="610"/>
      <c r="L359" s="610"/>
      <c r="M359" s="610"/>
      <c r="N359" s="610"/>
      <c r="O359" s="610"/>
      <c r="P359" s="610"/>
      <c r="Q359" s="610"/>
      <c r="R359" s="610"/>
      <c r="S359" s="610"/>
      <c r="T359" s="610"/>
      <c r="U359" s="610"/>
      <c r="V359" s="610"/>
      <c r="W359" s="610"/>
      <c r="X359" s="610"/>
      <c r="Y359" s="610"/>
      <c r="Z359" s="610"/>
    </row>
    <row r="360" spans="1:26">
      <c r="A360" s="35"/>
      <c r="B360" s="584"/>
      <c r="C360" s="584"/>
      <c r="D360" s="584"/>
      <c r="E360" s="584"/>
      <c r="F360" s="584"/>
      <c r="G360" s="584"/>
      <c r="H360" s="584"/>
      <c r="I360" s="580"/>
      <c r="J360" s="610"/>
      <c r="K360" s="610"/>
      <c r="L360" s="610"/>
      <c r="M360" s="610"/>
      <c r="N360" s="610"/>
      <c r="O360" s="610"/>
      <c r="P360" s="610"/>
      <c r="Q360" s="610"/>
      <c r="R360" s="610"/>
      <c r="S360" s="610"/>
      <c r="T360" s="610"/>
      <c r="U360" s="610"/>
      <c r="V360" s="610"/>
      <c r="W360" s="610"/>
      <c r="X360" s="610"/>
      <c r="Y360" s="610"/>
      <c r="Z360" s="610"/>
    </row>
    <row r="361" spans="1:26">
      <c r="A361" s="35"/>
      <c r="B361" s="584"/>
      <c r="C361" s="584"/>
      <c r="D361" s="584"/>
      <c r="E361" s="584"/>
      <c r="F361" s="584"/>
      <c r="G361" s="584"/>
      <c r="H361" s="584"/>
      <c r="I361" s="580"/>
      <c r="J361" s="610"/>
      <c r="K361" s="610"/>
      <c r="L361" s="610"/>
      <c r="M361" s="610"/>
      <c r="N361" s="610"/>
      <c r="O361" s="610"/>
      <c r="P361" s="610"/>
      <c r="Q361" s="610"/>
      <c r="R361" s="610"/>
      <c r="S361" s="610"/>
      <c r="T361" s="610"/>
      <c r="U361" s="610"/>
      <c r="V361" s="610"/>
      <c r="W361" s="610"/>
      <c r="X361" s="610"/>
      <c r="Y361" s="610"/>
      <c r="Z361" s="610"/>
    </row>
    <row r="362" spans="1:26">
      <c r="A362" s="35"/>
      <c r="B362" s="584"/>
      <c r="C362" s="584"/>
      <c r="D362" s="584"/>
      <c r="E362" s="584"/>
      <c r="F362" s="584"/>
      <c r="G362" s="584"/>
      <c r="H362" s="584"/>
      <c r="I362" s="580"/>
      <c r="J362" s="610"/>
      <c r="K362" s="610"/>
      <c r="L362" s="610"/>
      <c r="M362" s="610"/>
      <c r="N362" s="610"/>
      <c r="O362" s="610"/>
      <c r="P362" s="610"/>
      <c r="Q362" s="610"/>
      <c r="R362" s="610"/>
      <c r="S362" s="610"/>
      <c r="T362" s="610"/>
      <c r="U362" s="610"/>
      <c r="V362" s="610"/>
      <c r="W362" s="610"/>
      <c r="X362" s="610"/>
      <c r="Y362" s="610"/>
      <c r="Z362" s="610"/>
    </row>
    <row r="363" spans="1:26">
      <c r="A363" s="35"/>
      <c r="B363" s="584"/>
      <c r="C363" s="584"/>
      <c r="D363" s="584"/>
      <c r="E363" s="584"/>
      <c r="F363" s="584"/>
      <c r="G363" s="584"/>
      <c r="H363" s="584"/>
      <c r="I363" s="580"/>
      <c r="J363" s="610"/>
      <c r="K363" s="610"/>
      <c r="L363" s="610"/>
      <c r="M363" s="610"/>
      <c r="N363" s="610"/>
      <c r="O363" s="610"/>
      <c r="P363" s="610"/>
      <c r="Q363" s="610"/>
      <c r="R363" s="610"/>
      <c r="S363" s="610"/>
      <c r="T363" s="610"/>
      <c r="U363" s="610"/>
      <c r="V363" s="610"/>
      <c r="W363" s="610"/>
      <c r="X363" s="610"/>
      <c r="Y363" s="610"/>
      <c r="Z363" s="610"/>
    </row>
    <row r="364" spans="1:26">
      <c r="A364" s="35"/>
      <c r="B364" s="584"/>
      <c r="C364" s="584"/>
      <c r="D364" s="584"/>
      <c r="E364" s="584"/>
      <c r="F364" s="584"/>
      <c r="G364" s="584"/>
      <c r="H364" s="584"/>
      <c r="I364" s="580"/>
      <c r="J364" s="610"/>
      <c r="K364" s="610"/>
      <c r="L364" s="610"/>
      <c r="M364" s="610"/>
      <c r="N364" s="610"/>
      <c r="O364" s="610"/>
      <c r="P364" s="610"/>
      <c r="Q364" s="610"/>
      <c r="R364" s="610"/>
      <c r="S364" s="610"/>
      <c r="T364" s="610"/>
      <c r="U364" s="610"/>
      <c r="V364" s="610"/>
      <c r="W364" s="610"/>
      <c r="X364" s="610"/>
      <c r="Y364" s="610"/>
      <c r="Z364" s="610"/>
    </row>
    <row r="365" spans="1:26">
      <c r="A365" s="35"/>
      <c r="B365" s="584"/>
      <c r="C365" s="584"/>
      <c r="D365" s="584"/>
      <c r="E365" s="584"/>
      <c r="F365" s="584"/>
      <c r="G365" s="584"/>
      <c r="H365" s="584"/>
      <c r="I365" s="580"/>
      <c r="J365" s="610"/>
      <c r="K365" s="610"/>
      <c r="L365" s="610"/>
      <c r="M365" s="610"/>
      <c r="N365" s="610"/>
      <c r="O365" s="610"/>
      <c r="P365" s="610"/>
      <c r="Q365" s="610"/>
      <c r="R365" s="610"/>
      <c r="S365" s="610"/>
      <c r="T365" s="610"/>
      <c r="U365" s="610"/>
      <c r="V365" s="610"/>
      <c r="W365" s="610"/>
      <c r="X365" s="610"/>
      <c r="Y365" s="610"/>
      <c r="Z365" s="610"/>
    </row>
    <row r="366" spans="1:26">
      <c r="A366" s="35"/>
      <c r="B366" s="584"/>
      <c r="C366" s="584"/>
      <c r="D366" s="584"/>
      <c r="E366" s="584"/>
      <c r="F366" s="584"/>
      <c r="G366" s="584"/>
      <c r="H366" s="584"/>
      <c r="I366" s="580"/>
      <c r="J366" s="610"/>
      <c r="K366" s="610"/>
      <c r="L366" s="610"/>
      <c r="M366" s="610"/>
      <c r="N366" s="610"/>
      <c r="O366" s="610"/>
      <c r="P366" s="610"/>
      <c r="Q366" s="610"/>
      <c r="R366" s="610"/>
      <c r="S366" s="610"/>
      <c r="T366" s="610"/>
      <c r="U366" s="610"/>
      <c r="V366" s="610"/>
      <c r="W366" s="610"/>
      <c r="X366" s="610"/>
      <c r="Y366" s="610"/>
      <c r="Z366" s="610"/>
    </row>
    <row r="367" spans="1:26">
      <c r="A367" s="35"/>
      <c r="B367" s="584"/>
      <c r="C367" s="584"/>
      <c r="D367" s="584"/>
      <c r="E367" s="584"/>
      <c r="F367" s="584"/>
      <c r="G367" s="584"/>
      <c r="H367" s="584"/>
      <c r="I367" s="580"/>
      <c r="J367" s="610"/>
      <c r="K367" s="610"/>
      <c r="L367" s="610"/>
      <c r="M367" s="610"/>
      <c r="N367" s="610"/>
      <c r="O367" s="610"/>
      <c r="P367" s="610"/>
      <c r="Q367" s="610"/>
      <c r="R367" s="610"/>
      <c r="S367" s="610"/>
      <c r="T367" s="610"/>
      <c r="U367" s="610"/>
      <c r="V367" s="610"/>
      <c r="W367" s="610"/>
      <c r="X367" s="610"/>
      <c r="Y367" s="610"/>
      <c r="Z367" s="610"/>
    </row>
    <row r="368" spans="1:26">
      <c r="A368" s="35"/>
      <c r="B368" s="584"/>
      <c r="C368" s="584"/>
      <c r="D368" s="584"/>
      <c r="E368" s="584"/>
      <c r="F368" s="584"/>
      <c r="G368" s="584"/>
      <c r="H368" s="584"/>
      <c r="I368" s="580"/>
      <c r="J368" s="610"/>
      <c r="K368" s="610"/>
      <c r="L368" s="610"/>
      <c r="M368" s="610"/>
      <c r="N368" s="610"/>
      <c r="O368" s="610"/>
      <c r="P368" s="610"/>
      <c r="Q368" s="610"/>
      <c r="R368" s="610"/>
      <c r="S368" s="610"/>
      <c r="T368" s="610"/>
      <c r="U368" s="610"/>
      <c r="V368" s="610"/>
      <c r="W368" s="610"/>
      <c r="X368" s="610"/>
      <c r="Y368" s="610"/>
      <c r="Z368" s="610"/>
    </row>
    <row r="369" spans="1:26">
      <c r="A369" s="35"/>
      <c r="B369" s="584"/>
      <c r="C369" s="584"/>
      <c r="D369" s="584"/>
      <c r="E369" s="584"/>
      <c r="F369" s="584"/>
      <c r="G369" s="584"/>
      <c r="H369" s="584"/>
      <c r="I369" s="580"/>
      <c r="J369" s="610"/>
      <c r="K369" s="610"/>
      <c r="L369" s="610"/>
      <c r="M369" s="610"/>
      <c r="N369" s="610"/>
      <c r="O369" s="610"/>
      <c r="P369" s="610"/>
      <c r="Q369" s="610"/>
      <c r="R369" s="610"/>
      <c r="S369" s="610"/>
      <c r="T369" s="610"/>
      <c r="U369" s="610"/>
      <c r="V369" s="610"/>
      <c r="W369" s="610"/>
      <c r="X369" s="610"/>
      <c r="Y369" s="610"/>
      <c r="Z369" s="610"/>
    </row>
    <row r="370" spans="1:26">
      <c r="A370" s="35"/>
      <c r="B370" s="584"/>
      <c r="C370" s="584"/>
      <c r="D370" s="584"/>
      <c r="E370" s="584"/>
      <c r="F370" s="584"/>
      <c r="G370" s="584"/>
      <c r="H370" s="584"/>
      <c r="I370" s="580"/>
      <c r="J370" s="610"/>
      <c r="K370" s="610"/>
      <c r="L370" s="610"/>
      <c r="M370" s="610"/>
      <c r="N370" s="610"/>
      <c r="O370" s="610"/>
      <c r="P370" s="610"/>
      <c r="Q370" s="610"/>
      <c r="R370" s="610"/>
      <c r="S370" s="610"/>
      <c r="T370" s="610"/>
      <c r="U370" s="610"/>
      <c r="V370" s="610"/>
      <c r="W370" s="610"/>
      <c r="X370" s="610"/>
      <c r="Y370" s="610"/>
      <c r="Z370" s="610"/>
    </row>
    <row r="371" spans="1:26">
      <c r="A371" s="35"/>
      <c r="B371" s="584"/>
      <c r="C371" s="584"/>
      <c r="D371" s="584"/>
      <c r="E371" s="584"/>
      <c r="F371" s="584"/>
      <c r="G371" s="584"/>
      <c r="H371" s="584"/>
      <c r="I371" s="580"/>
      <c r="J371" s="610"/>
      <c r="K371" s="610"/>
      <c r="L371" s="610"/>
      <c r="M371" s="610"/>
      <c r="N371" s="610"/>
      <c r="O371" s="610"/>
      <c r="P371" s="610"/>
      <c r="Q371" s="610"/>
      <c r="R371" s="610"/>
      <c r="S371" s="610"/>
      <c r="T371" s="610"/>
      <c r="U371" s="610"/>
      <c r="V371" s="610"/>
      <c r="W371" s="610"/>
      <c r="X371" s="610"/>
      <c r="Y371" s="610"/>
      <c r="Z371" s="610"/>
    </row>
    <row r="372" spans="1:26">
      <c r="A372" s="35"/>
      <c r="B372" s="584"/>
      <c r="C372" s="584"/>
      <c r="D372" s="584"/>
      <c r="E372" s="584"/>
      <c r="F372" s="584"/>
      <c r="G372" s="584"/>
      <c r="H372" s="584"/>
      <c r="I372" s="580"/>
      <c r="J372" s="610"/>
      <c r="K372" s="610"/>
      <c r="L372" s="610"/>
      <c r="M372" s="610"/>
      <c r="N372" s="610"/>
      <c r="O372" s="610"/>
      <c r="P372" s="610"/>
      <c r="Q372" s="610"/>
      <c r="R372" s="610"/>
      <c r="S372" s="610"/>
      <c r="T372" s="610"/>
      <c r="U372" s="610"/>
      <c r="V372" s="610"/>
      <c r="W372" s="610"/>
      <c r="X372" s="610"/>
      <c r="Y372" s="610"/>
      <c r="Z372" s="610"/>
    </row>
    <row r="373" spans="1:26">
      <c r="A373" s="35"/>
      <c r="B373" s="584"/>
      <c r="C373" s="584"/>
      <c r="D373" s="584"/>
      <c r="E373" s="584"/>
      <c r="F373" s="584"/>
      <c r="G373" s="584"/>
      <c r="H373" s="584"/>
      <c r="I373" s="580"/>
      <c r="J373" s="610"/>
      <c r="K373" s="610"/>
      <c r="L373" s="610"/>
      <c r="M373" s="610"/>
      <c r="N373" s="610"/>
      <c r="O373" s="610"/>
      <c r="P373" s="610"/>
      <c r="Q373" s="610"/>
      <c r="R373" s="610"/>
      <c r="S373" s="610"/>
      <c r="T373" s="610"/>
      <c r="U373" s="610"/>
      <c r="V373" s="610"/>
      <c r="W373" s="610"/>
      <c r="X373" s="610"/>
      <c r="Y373" s="610"/>
      <c r="Z373" s="610"/>
    </row>
    <row r="374" spans="1:26">
      <c r="A374" s="35"/>
      <c r="B374" s="584"/>
      <c r="C374" s="584"/>
      <c r="D374" s="584"/>
      <c r="E374" s="584"/>
      <c r="F374" s="584"/>
      <c r="G374" s="584"/>
      <c r="H374" s="584"/>
      <c r="I374" s="580"/>
      <c r="J374" s="610"/>
      <c r="K374" s="610"/>
      <c r="L374" s="610"/>
      <c r="M374" s="610"/>
      <c r="N374" s="610"/>
      <c r="O374" s="610"/>
      <c r="P374" s="610"/>
      <c r="Q374" s="610"/>
      <c r="R374" s="610"/>
      <c r="S374" s="610"/>
      <c r="T374" s="610"/>
      <c r="U374" s="610"/>
      <c r="V374" s="610"/>
      <c r="W374" s="610"/>
      <c r="X374" s="610"/>
      <c r="Y374" s="610"/>
      <c r="Z374" s="610"/>
    </row>
    <row r="375" spans="1:26">
      <c r="A375" s="35"/>
      <c r="B375" s="584"/>
      <c r="C375" s="584"/>
      <c r="D375" s="584"/>
      <c r="E375" s="584"/>
      <c r="F375" s="584"/>
      <c r="G375" s="584"/>
      <c r="H375" s="584"/>
      <c r="I375" s="580"/>
      <c r="J375" s="610"/>
      <c r="K375" s="610"/>
      <c r="L375" s="610"/>
      <c r="M375" s="610"/>
      <c r="N375" s="610"/>
      <c r="O375" s="610"/>
      <c r="P375" s="610"/>
      <c r="Q375" s="610"/>
      <c r="R375" s="610"/>
      <c r="S375" s="610"/>
      <c r="T375" s="610"/>
      <c r="U375" s="610"/>
      <c r="V375" s="610"/>
      <c r="W375" s="610"/>
      <c r="X375" s="610"/>
      <c r="Y375" s="610"/>
      <c r="Z375" s="610"/>
    </row>
    <row r="376" spans="1:26">
      <c r="A376" s="35"/>
      <c r="B376" s="584"/>
      <c r="C376" s="584"/>
      <c r="D376" s="584"/>
      <c r="E376" s="584"/>
      <c r="F376" s="584"/>
      <c r="G376" s="584"/>
      <c r="H376" s="584"/>
      <c r="I376" s="580"/>
      <c r="J376" s="610"/>
      <c r="K376" s="610"/>
      <c r="L376" s="610"/>
      <c r="M376" s="610"/>
      <c r="N376" s="610"/>
      <c r="O376" s="610"/>
      <c r="P376" s="610"/>
      <c r="Q376" s="610"/>
      <c r="R376" s="610"/>
      <c r="S376" s="610"/>
      <c r="T376" s="610"/>
      <c r="U376" s="610"/>
      <c r="V376" s="610"/>
      <c r="W376" s="610"/>
      <c r="X376" s="610"/>
      <c r="Y376" s="610"/>
      <c r="Z376" s="610"/>
    </row>
    <row r="377" spans="1:26">
      <c r="A377" s="35"/>
      <c r="B377" s="584"/>
      <c r="C377" s="584"/>
      <c r="D377" s="584"/>
      <c r="E377" s="584"/>
      <c r="F377" s="584"/>
      <c r="G377" s="584"/>
      <c r="H377" s="584"/>
      <c r="I377" s="580"/>
      <c r="J377" s="610"/>
      <c r="K377" s="610"/>
      <c r="L377" s="610"/>
      <c r="M377" s="610"/>
      <c r="N377" s="610"/>
      <c r="O377" s="610"/>
      <c r="P377" s="610"/>
      <c r="Q377" s="610"/>
      <c r="R377" s="610"/>
      <c r="S377" s="610"/>
      <c r="T377" s="610"/>
      <c r="U377" s="610"/>
      <c r="V377" s="610"/>
      <c r="W377" s="610"/>
      <c r="X377" s="610"/>
      <c r="Y377" s="610"/>
      <c r="Z377" s="610"/>
    </row>
    <row r="378" spans="1:26">
      <c r="A378" s="35"/>
      <c r="B378" s="584"/>
      <c r="C378" s="584"/>
      <c r="D378" s="584"/>
      <c r="E378" s="584"/>
      <c r="F378" s="584"/>
      <c r="G378" s="584"/>
      <c r="H378" s="584"/>
      <c r="I378" s="580"/>
      <c r="J378" s="610"/>
      <c r="K378" s="610"/>
      <c r="L378" s="610"/>
      <c r="M378" s="610"/>
      <c r="N378" s="610"/>
      <c r="O378" s="610"/>
      <c r="P378" s="610"/>
      <c r="Q378" s="610"/>
      <c r="R378" s="610"/>
      <c r="S378" s="610"/>
      <c r="T378" s="610"/>
      <c r="U378" s="610"/>
      <c r="V378" s="610"/>
      <c r="W378" s="610"/>
      <c r="X378" s="610"/>
      <c r="Y378" s="610"/>
      <c r="Z378" s="610"/>
    </row>
    <row r="379" spans="1:26">
      <c r="A379" s="35"/>
      <c r="B379" s="584"/>
      <c r="C379" s="584"/>
      <c r="D379" s="584"/>
      <c r="E379" s="584"/>
      <c r="F379" s="584"/>
      <c r="G379" s="584"/>
      <c r="H379" s="584"/>
      <c r="I379" s="580"/>
      <c r="J379" s="610"/>
      <c r="K379" s="610"/>
      <c r="L379" s="610"/>
      <c r="M379" s="610"/>
      <c r="N379" s="610"/>
      <c r="O379" s="610"/>
      <c r="P379" s="610"/>
      <c r="Q379" s="610"/>
      <c r="R379" s="610"/>
      <c r="S379" s="610"/>
      <c r="T379" s="610"/>
      <c r="U379" s="610"/>
      <c r="V379" s="610"/>
      <c r="W379" s="610"/>
      <c r="X379" s="610"/>
      <c r="Y379" s="610"/>
      <c r="Z379" s="610"/>
    </row>
    <row r="380" spans="1:26">
      <c r="A380" s="35"/>
      <c r="B380" s="584"/>
      <c r="C380" s="584"/>
      <c r="D380" s="584"/>
      <c r="E380" s="584"/>
      <c r="F380" s="584"/>
      <c r="G380" s="584"/>
      <c r="H380" s="584"/>
      <c r="I380" s="580"/>
      <c r="J380" s="610"/>
      <c r="K380" s="610"/>
      <c r="L380" s="610"/>
      <c r="M380" s="610"/>
      <c r="N380" s="610"/>
      <c r="O380" s="610"/>
      <c r="P380" s="610"/>
      <c r="Q380" s="610"/>
      <c r="R380" s="610"/>
      <c r="S380" s="610"/>
      <c r="T380" s="610"/>
      <c r="U380" s="610"/>
      <c r="V380" s="610"/>
      <c r="W380" s="610"/>
      <c r="X380" s="610"/>
      <c r="Y380" s="610"/>
      <c r="Z380" s="610"/>
    </row>
    <row r="381" spans="1:26">
      <c r="A381" s="35"/>
      <c r="B381" s="584"/>
      <c r="C381" s="584"/>
      <c r="D381" s="584"/>
      <c r="E381" s="584"/>
      <c r="F381" s="584"/>
      <c r="G381" s="584"/>
      <c r="H381" s="584"/>
      <c r="I381" s="580"/>
      <c r="J381" s="610"/>
      <c r="K381" s="610"/>
      <c r="L381" s="610"/>
      <c r="M381" s="610"/>
      <c r="N381" s="610"/>
      <c r="O381" s="610"/>
      <c r="P381" s="610"/>
      <c r="Q381" s="610"/>
      <c r="R381" s="610"/>
      <c r="S381" s="610"/>
      <c r="T381" s="610"/>
      <c r="U381" s="610"/>
      <c r="V381" s="610"/>
      <c r="W381" s="610"/>
      <c r="X381" s="610"/>
      <c r="Y381" s="610"/>
      <c r="Z381" s="610"/>
    </row>
    <row r="382" spans="1:26">
      <c r="A382" s="35"/>
      <c r="B382" s="584"/>
      <c r="C382" s="584"/>
      <c r="D382" s="584"/>
      <c r="E382" s="584"/>
      <c r="F382" s="584"/>
      <c r="G382" s="584"/>
      <c r="H382" s="584"/>
      <c r="I382" s="580"/>
      <c r="J382" s="610"/>
      <c r="K382" s="610"/>
      <c r="L382" s="610"/>
      <c r="M382" s="610"/>
      <c r="N382" s="610"/>
      <c r="O382" s="610"/>
      <c r="P382" s="610"/>
      <c r="Q382" s="610"/>
      <c r="R382" s="610"/>
      <c r="S382" s="610"/>
      <c r="T382" s="610"/>
      <c r="U382" s="610"/>
      <c r="V382" s="610"/>
      <c r="W382" s="610"/>
      <c r="X382" s="610"/>
      <c r="Y382" s="610"/>
      <c r="Z382" s="610"/>
    </row>
    <row r="383" spans="1:26">
      <c r="A383" s="35"/>
      <c r="B383" s="584"/>
      <c r="C383" s="584"/>
      <c r="D383" s="584"/>
      <c r="E383" s="584"/>
      <c r="F383" s="584"/>
      <c r="G383" s="584"/>
      <c r="H383" s="584"/>
      <c r="I383" s="580"/>
      <c r="J383" s="610"/>
      <c r="K383" s="610"/>
      <c r="L383" s="610"/>
      <c r="M383" s="610"/>
      <c r="N383" s="610"/>
      <c r="O383" s="610"/>
      <c r="P383" s="610"/>
      <c r="Q383" s="610"/>
      <c r="R383" s="610"/>
      <c r="S383" s="610"/>
      <c r="T383" s="610"/>
      <c r="U383" s="610"/>
      <c r="V383" s="610"/>
      <c r="W383" s="610"/>
      <c r="X383" s="610"/>
      <c r="Y383" s="610"/>
      <c r="Z383" s="610"/>
    </row>
    <row r="384" spans="1:26">
      <c r="A384" s="35"/>
      <c r="B384" s="584"/>
      <c r="C384" s="584"/>
      <c r="D384" s="584"/>
      <c r="E384" s="584"/>
      <c r="F384" s="584"/>
      <c r="G384" s="584"/>
      <c r="H384" s="584"/>
      <c r="I384" s="580"/>
      <c r="J384" s="610"/>
      <c r="K384" s="610"/>
      <c r="L384" s="610"/>
      <c r="M384" s="610"/>
      <c r="N384" s="610"/>
      <c r="O384" s="610"/>
      <c r="P384" s="610"/>
      <c r="Q384" s="610"/>
      <c r="R384" s="610"/>
      <c r="S384" s="610"/>
      <c r="T384" s="610"/>
      <c r="U384" s="610"/>
      <c r="V384" s="610"/>
      <c r="W384" s="610"/>
      <c r="X384" s="610"/>
      <c r="Y384" s="610"/>
      <c r="Z384" s="610"/>
    </row>
    <row r="385" spans="1:26">
      <c r="A385" s="35"/>
      <c r="B385" s="584"/>
      <c r="C385" s="584"/>
      <c r="D385" s="584"/>
      <c r="E385" s="584"/>
      <c r="F385" s="584"/>
      <c r="G385" s="584"/>
      <c r="H385" s="584"/>
      <c r="I385" s="580"/>
      <c r="J385" s="610"/>
      <c r="K385" s="610"/>
      <c r="L385" s="610"/>
      <c r="M385" s="610"/>
      <c r="N385" s="610"/>
      <c r="O385" s="610"/>
      <c r="P385" s="610"/>
      <c r="Q385" s="610"/>
      <c r="R385" s="610"/>
      <c r="S385" s="610"/>
      <c r="T385" s="610"/>
      <c r="U385" s="610"/>
      <c r="V385" s="610"/>
      <c r="W385" s="610"/>
      <c r="X385" s="610"/>
      <c r="Y385" s="610"/>
      <c r="Z385" s="610"/>
    </row>
    <row r="386" spans="1:26">
      <c r="A386" s="35"/>
      <c r="B386" s="584"/>
      <c r="C386" s="584"/>
      <c r="D386" s="584"/>
      <c r="E386" s="584"/>
      <c r="F386" s="584"/>
      <c r="G386" s="584"/>
      <c r="H386" s="584"/>
      <c r="I386" s="580"/>
      <c r="J386" s="610"/>
      <c r="K386" s="610"/>
      <c r="L386" s="610"/>
      <c r="M386" s="610"/>
      <c r="N386" s="610"/>
      <c r="O386" s="610"/>
      <c r="P386" s="610"/>
      <c r="Q386" s="610"/>
      <c r="R386" s="610"/>
      <c r="S386" s="610"/>
      <c r="T386" s="610"/>
      <c r="U386" s="610"/>
      <c r="V386" s="610"/>
      <c r="W386" s="610"/>
      <c r="X386" s="610"/>
      <c r="Y386" s="610"/>
      <c r="Z386" s="610"/>
    </row>
    <row r="387" spans="1:26">
      <c r="A387" s="35"/>
      <c r="B387" s="584"/>
      <c r="C387" s="584"/>
      <c r="D387" s="584"/>
      <c r="E387" s="584"/>
      <c r="F387" s="584"/>
      <c r="G387" s="584"/>
      <c r="H387" s="584"/>
      <c r="I387" s="580"/>
      <c r="J387" s="610"/>
      <c r="K387" s="610"/>
      <c r="L387" s="610"/>
      <c r="M387" s="610"/>
      <c r="N387" s="610"/>
      <c r="O387" s="610"/>
      <c r="P387" s="610"/>
      <c r="Q387" s="610"/>
      <c r="R387" s="610"/>
      <c r="S387" s="610"/>
      <c r="T387" s="610"/>
      <c r="U387" s="610"/>
      <c r="V387" s="610"/>
      <c r="W387" s="610"/>
      <c r="X387" s="610"/>
      <c r="Y387" s="610"/>
      <c r="Z387" s="610"/>
    </row>
    <row r="388" spans="1:26">
      <c r="A388" s="35"/>
      <c r="B388" s="584"/>
      <c r="C388" s="584"/>
      <c r="D388" s="584"/>
      <c r="E388" s="584"/>
      <c r="F388" s="584"/>
      <c r="G388" s="584"/>
      <c r="H388" s="584"/>
      <c r="I388" s="580"/>
      <c r="J388" s="610"/>
      <c r="K388" s="610"/>
      <c r="L388" s="610"/>
      <c r="M388" s="610"/>
      <c r="N388" s="610"/>
      <c r="O388" s="610"/>
      <c r="P388" s="610"/>
      <c r="Q388" s="610"/>
      <c r="R388" s="610"/>
      <c r="S388" s="610"/>
      <c r="T388" s="610"/>
      <c r="U388" s="610"/>
      <c r="V388" s="610"/>
      <c r="W388" s="610"/>
      <c r="X388" s="610"/>
      <c r="Y388" s="610"/>
      <c r="Z388" s="610"/>
    </row>
    <row r="389" spans="1:26">
      <c r="A389" s="35"/>
      <c r="B389" s="584"/>
      <c r="C389" s="584"/>
      <c r="D389" s="584"/>
      <c r="E389" s="584"/>
      <c r="F389" s="584"/>
      <c r="G389" s="584"/>
      <c r="H389" s="584"/>
      <c r="I389" s="580"/>
      <c r="J389" s="610"/>
      <c r="K389" s="610"/>
      <c r="L389" s="610"/>
      <c r="M389" s="610"/>
      <c r="N389" s="610"/>
      <c r="O389" s="610"/>
      <c r="P389" s="610"/>
      <c r="Q389" s="610"/>
      <c r="R389" s="610"/>
      <c r="S389" s="610"/>
      <c r="T389" s="610"/>
      <c r="U389" s="610"/>
      <c r="V389" s="610"/>
      <c r="W389" s="610"/>
      <c r="X389" s="610"/>
      <c r="Y389" s="610"/>
      <c r="Z389" s="610"/>
    </row>
    <row r="390" spans="1:26">
      <c r="A390" s="35"/>
      <c r="B390" s="584"/>
      <c r="C390" s="584"/>
      <c r="D390" s="584"/>
      <c r="E390" s="584"/>
      <c r="F390" s="584"/>
      <c r="G390" s="584"/>
      <c r="H390" s="584"/>
      <c r="I390" s="580"/>
      <c r="J390" s="610"/>
      <c r="K390" s="610"/>
      <c r="L390" s="610"/>
      <c r="M390" s="610"/>
      <c r="N390" s="610"/>
      <c r="O390" s="610"/>
      <c r="P390" s="610"/>
      <c r="Q390" s="610"/>
      <c r="R390" s="610"/>
      <c r="S390" s="610"/>
      <c r="T390" s="610"/>
      <c r="U390" s="610"/>
      <c r="V390" s="610"/>
      <c r="W390" s="610"/>
      <c r="X390" s="610"/>
      <c r="Y390" s="610"/>
      <c r="Z390" s="610"/>
    </row>
    <row r="391" spans="1:26">
      <c r="A391" s="35"/>
      <c r="B391" s="584"/>
      <c r="C391" s="584"/>
      <c r="D391" s="584"/>
      <c r="E391" s="584"/>
      <c r="F391" s="584"/>
      <c r="G391" s="584"/>
      <c r="H391" s="584"/>
      <c r="I391" s="580"/>
      <c r="J391" s="610"/>
      <c r="K391" s="610"/>
      <c r="L391" s="610"/>
      <c r="M391" s="610"/>
      <c r="N391" s="610"/>
      <c r="O391" s="610"/>
      <c r="P391" s="610"/>
      <c r="Q391" s="610"/>
      <c r="R391" s="610"/>
      <c r="S391" s="610"/>
      <c r="T391" s="610"/>
      <c r="U391" s="610"/>
      <c r="V391" s="610"/>
      <c r="W391" s="610"/>
      <c r="X391" s="610"/>
      <c r="Y391" s="610"/>
      <c r="Z391" s="610"/>
    </row>
    <row r="392" spans="1:26">
      <c r="A392" s="35"/>
      <c r="B392" s="584"/>
      <c r="C392" s="584"/>
      <c r="D392" s="584"/>
      <c r="E392" s="584"/>
      <c r="F392" s="584"/>
      <c r="G392" s="584"/>
      <c r="H392" s="584"/>
      <c r="I392" s="580"/>
      <c r="J392" s="610"/>
      <c r="K392" s="610"/>
      <c r="L392" s="610"/>
      <c r="M392" s="610"/>
      <c r="N392" s="610"/>
      <c r="O392" s="610"/>
      <c r="P392" s="610"/>
      <c r="Q392" s="610"/>
      <c r="R392" s="610"/>
      <c r="S392" s="610"/>
      <c r="T392" s="610"/>
      <c r="U392" s="610"/>
      <c r="V392" s="610"/>
      <c r="W392" s="610"/>
      <c r="X392" s="610"/>
      <c r="Y392" s="610"/>
      <c r="Z392" s="610"/>
    </row>
    <row r="393" spans="1:26">
      <c r="A393" s="35"/>
      <c r="B393" s="584"/>
      <c r="C393" s="584"/>
      <c r="D393" s="584"/>
      <c r="E393" s="584"/>
      <c r="F393" s="584"/>
      <c r="G393" s="584"/>
      <c r="H393" s="584"/>
      <c r="I393" s="580"/>
      <c r="J393" s="610"/>
      <c r="K393" s="610"/>
      <c r="L393" s="610"/>
      <c r="M393" s="610"/>
      <c r="N393" s="610"/>
      <c r="O393" s="610"/>
      <c r="P393" s="610"/>
      <c r="Q393" s="610"/>
      <c r="R393" s="610"/>
      <c r="S393" s="610"/>
      <c r="T393" s="610"/>
      <c r="U393" s="610"/>
      <c r="V393" s="610"/>
      <c r="W393" s="610"/>
      <c r="X393" s="610"/>
      <c r="Y393" s="610"/>
      <c r="Z393" s="610"/>
    </row>
    <row r="394" spans="1:26">
      <c r="A394" s="35"/>
      <c r="B394" s="584"/>
      <c r="C394" s="584"/>
      <c r="D394" s="584"/>
      <c r="E394" s="584"/>
      <c r="F394" s="584"/>
      <c r="G394" s="584"/>
      <c r="H394" s="584"/>
      <c r="I394" s="580"/>
      <c r="J394" s="610"/>
      <c r="K394" s="610"/>
      <c r="L394" s="610"/>
      <c r="M394" s="610"/>
      <c r="N394" s="610"/>
      <c r="O394" s="610"/>
      <c r="P394" s="610"/>
      <c r="Q394" s="610"/>
      <c r="R394" s="610"/>
      <c r="S394" s="610"/>
      <c r="T394" s="610"/>
      <c r="U394" s="610"/>
      <c r="V394" s="610"/>
      <c r="W394" s="610"/>
      <c r="X394" s="610"/>
      <c r="Y394" s="610"/>
      <c r="Z394" s="610"/>
    </row>
    <row r="395" spans="1:26">
      <c r="A395" s="35"/>
      <c r="B395" s="584"/>
      <c r="C395" s="584"/>
      <c r="D395" s="584"/>
      <c r="E395" s="584"/>
      <c r="F395" s="584"/>
      <c r="G395" s="584"/>
      <c r="H395" s="584"/>
      <c r="I395" s="580"/>
      <c r="J395" s="610"/>
      <c r="K395" s="610"/>
      <c r="L395" s="610"/>
      <c r="M395" s="610"/>
      <c r="N395" s="610"/>
      <c r="O395" s="610"/>
      <c r="P395" s="610"/>
      <c r="Q395" s="610"/>
      <c r="R395" s="610"/>
      <c r="S395" s="610"/>
      <c r="T395" s="610"/>
      <c r="U395" s="610"/>
      <c r="V395" s="610"/>
      <c r="W395" s="610"/>
      <c r="X395" s="610"/>
      <c r="Y395" s="610"/>
      <c r="Z395" s="610"/>
    </row>
    <row r="396" spans="1:26">
      <c r="A396" s="35"/>
      <c r="B396" s="584"/>
      <c r="C396" s="584"/>
      <c r="D396" s="584"/>
      <c r="E396" s="584"/>
      <c r="F396" s="584"/>
      <c r="G396" s="584"/>
      <c r="H396" s="584"/>
      <c r="I396" s="580"/>
      <c r="J396" s="610"/>
      <c r="K396" s="610"/>
      <c r="L396" s="610"/>
      <c r="M396" s="610"/>
      <c r="N396" s="610"/>
      <c r="O396" s="610"/>
      <c r="P396" s="610"/>
      <c r="Q396" s="610"/>
      <c r="R396" s="610"/>
      <c r="S396" s="610"/>
      <c r="T396" s="610"/>
      <c r="U396" s="610"/>
      <c r="V396" s="610"/>
      <c r="W396" s="610"/>
      <c r="X396" s="610"/>
      <c r="Y396" s="610"/>
      <c r="Z396" s="610"/>
    </row>
    <row r="397" spans="1:26">
      <c r="A397" s="35"/>
      <c r="B397" s="584"/>
      <c r="C397" s="584"/>
      <c r="D397" s="584"/>
      <c r="E397" s="584"/>
      <c r="F397" s="584"/>
      <c r="G397" s="584"/>
      <c r="H397" s="584"/>
      <c r="I397" s="580"/>
      <c r="J397" s="610"/>
      <c r="K397" s="610"/>
      <c r="L397" s="610"/>
      <c r="M397" s="610"/>
      <c r="N397" s="610"/>
      <c r="O397" s="610"/>
      <c r="P397" s="610"/>
      <c r="Q397" s="610"/>
      <c r="R397" s="610"/>
      <c r="S397" s="610"/>
      <c r="T397" s="610"/>
      <c r="U397" s="610"/>
      <c r="V397" s="610"/>
      <c r="W397" s="610"/>
      <c r="X397" s="610"/>
      <c r="Y397" s="610"/>
      <c r="Z397" s="610"/>
    </row>
    <row r="398" spans="1:26">
      <c r="A398" s="35"/>
      <c r="B398" s="584"/>
      <c r="C398" s="584"/>
      <c r="D398" s="584"/>
      <c r="E398" s="584"/>
      <c r="F398" s="584"/>
      <c r="G398" s="584"/>
      <c r="H398" s="584"/>
      <c r="I398" s="580"/>
      <c r="J398" s="610"/>
      <c r="K398" s="610"/>
      <c r="L398" s="610"/>
      <c r="M398" s="610"/>
      <c r="N398" s="610"/>
      <c r="O398" s="610"/>
      <c r="P398" s="610"/>
      <c r="Q398" s="610"/>
      <c r="R398" s="610"/>
      <c r="S398" s="610"/>
      <c r="T398" s="610"/>
      <c r="U398" s="610"/>
      <c r="V398" s="610"/>
      <c r="W398" s="610"/>
      <c r="X398" s="610"/>
      <c r="Y398" s="610"/>
      <c r="Z398" s="610"/>
    </row>
    <row r="399" spans="1:26">
      <c r="A399" s="35"/>
      <c r="B399" s="584"/>
      <c r="C399" s="584"/>
      <c r="D399" s="584"/>
      <c r="E399" s="584"/>
      <c r="F399" s="584"/>
      <c r="G399" s="584"/>
      <c r="H399" s="584"/>
      <c r="I399" s="580"/>
      <c r="J399" s="610"/>
      <c r="K399" s="610"/>
      <c r="L399" s="610"/>
      <c r="M399" s="610"/>
      <c r="N399" s="610"/>
      <c r="O399" s="610"/>
      <c r="P399" s="610"/>
      <c r="Q399" s="610"/>
      <c r="R399" s="610"/>
      <c r="S399" s="610"/>
      <c r="T399" s="610"/>
      <c r="U399" s="610"/>
      <c r="V399" s="610"/>
      <c r="W399" s="610"/>
      <c r="X399" s="610"/>
      <c r="Y399" s="610"/>
      <c r="Z399" s="610"/>
    </row>
    <row r="400" spans="1:26">
      <c r="A400" s="35"/>
      <c r="B400" s="584"/>
      <c r="C400" s="584"/>
      <c r="D400" s="584"/>
      <c r="E400" s="584"/>
      <c r="F400" s="584"/>
      <c r="G400" s="584"/>
      <c r="H400" s="584"/>
      <c r="I400" s="580"/>
      <c r="J400" s="610"/>
      <c r="K400" s="610"/>
      <c r="L400" s="610"/>
      <c r="M400" s="610"/>
      <c r="N400" s="610"/>
      <c r="O400" s="610"/>
      <c r="P400" s="610"/>
      <c r="Q400" s="610"/>
      <c r="R400" s="610"/>
      <c r="S400" s="610"/>
      <c r="T400" s="610"/>
      <c r="U400" s="610"/>
      <c r="V400" s="610"/>
      <c r="W400" s="610"/>
      <c r="X400" s="610"/>
      <c r="Y400" s="610"/>
      <c r="Z400" s="610"/>
    </row>
    <row r="401" spans="1:26">
      <c r="A401" s="35"/>
      <c r="B401" s="584"/>
      <c r="C401" s="584"/>
      <c r="D401" s="584"/>
      <c r="E401" s="584"/>
      <c r="F401" s="584"/>
      <c r="G401" s="584"/>
      <c r="H401" s="584"/>
      <c r="I401" s="580"/>
      <c r="J401" s="610"/>
      <c r="K401" s="610"/>
      <c r="L401" s="610"/>
      <c r="M401" s="610"/>
      <c r="N401" s="610"/>
      <c r="O401" s="610"/>
      <c r="P401" s="610"/>
      <c r="Q401" s="610"/>
      <c r="R401" s="610"/>
      <c r="S401" s="610"/>
      <c r="T401" s="610"/>
      <c r="U401" s="610"/>
      <c r="V401" s="610"/>
      <c r="W401" s="610"/>
      <c r="X401" s="610"/>
      <c r="Y401" s="610"/>
      <c r="Z401" s="610"/>
    </row>
    <row r="402" spans="1:26">
      <c r="A402" s="35"/>
      <c r="B402" s="584"/>
      <c r="C402" s="584"/>
      <c r="D402" s="584"/>
      <c r="E402" s="584"/>
      <c r="F402" s="584"/>
      <c r="G402" s="584"/>
      <c r="H402" s="584"/>
      <c r="I402" s="580"/>
      <c r="J402" s="610"/>
      <c r="K402" s="610"/>
      <c r="L402" s="610"/>
      <c r="M402" s="610"/>
      <c r="N402" s="610"/>
      <c r="O402" s="610"/>
      <c r="P402" s="610"/>
      <c r="Q402" s="610"/>
      <c r="R402" s="610"/>
      <c r="S402" s="610"/>
      <c r="T402" s="610"/>
      <c r="U402" s="610"/>
      <c r="V402" s="610"/>
      <c r="W402" s="610"/>
      <c r="X402" s="610"/>
      <c r="Y402" s="610"/>
      <c r="Z402" s="610"/>
    </row>
    <row r="403" spans="1:26">
      <c r="A403" s="35"/>
      <c r="B403" s="584"/>
      <c r="C403" s="584"/>
      <c r="D403" s="584"/>
      <c r="E403" s="584"/>
      <c r="F403" s="584"/>
      <c r="G403" s="584"/>
      <c r="H403" s="584"/>
      <c r="I403" s="580"/>
      <c r="J403" s="610"/>
      <c r="K403" s="610"/>
      <c r="L403" s="610"/>
      <c r="M403" s="610"/>
      <c r="N403" s="610"/>
      <c r="O403" s="610"/>
      <c r="P403" s="610"/>
      <c r="Q403" s="610"/>
      <c r="R403" s="610"/>
      <c r="S403" s="610"/>
      <c r="T403" s="610"/>
      <c r="U403" s="610"/>
      <c r="V403" s="610"/>
      <c r="W403" s="610"/>
      <c r="X403" s="610"/>
      <c r="Y403" s="610"/>
      <c r="Z403" s="610"/>
    </row>
    <row r="404" spans="1:26">
      <c r="A404" s="35"/>
      <c r="B404" s="584"/>
      <c r="C404" s="584"/>
      <c r="D404" s="584"/>
      <c r="E404" s="584"/>
      <c r="F404" s="584"/>
      <c r="G404" s="584"/>
      <c r="H404" s="584"/>
      <c r="I404" s="580"/>
      <c r="J404" s="610"/>
      <c r="K404" s="610"/>
      <c r="L404" s="610"/>
      <c r="M404" s="610"/>
      <c r="N404" s="610"/>
      <c r="O404" s="610"/>
      <c r="P404" s="610"/>
      <c r="Q404" s="610"/>
      <c r="R404" s="610"/>
      <c r="S404" s="610"/>
      <c r="T404" s="610"/>
      <c r="U404" s="610"/>
      <c r="V404" s="610"/>
      <c r="W404" s="610"/>
      <c r="X404" s="610"/>
      <c r="Y404" s="610"/>
      <c r="Z404" s="610"/>
    </row>
    <row r="405" spans="1:26">
      <c r="A405" s="35"/>
      <c r="B405" s="584"/>
      <c r="C405" s="584"/>
      <c r="D405" s="584"/>
      <c r="E405" s="584"/>
      <c r="F405" s="584"/>
      <c r="G405" s="584"/>
      <c r="H405" s="584"/>
      <c r="I405" s="580"/>
      <c r="J405" s="610"/>
      <c r="K405" s="610"/>
      <c r="L405" s="610"/>
      <c r="M405" s="610"/>
      <c r="N405" s="610"/>
      <c r="O405" s="610"/>
      <c r="P405" s="610"/>
      <c r="Q405" s="610"/>
      <c r="R405" s="610"/>
      <c r="S405" s="610"/>
      <c r="T405" s="610"/>
      <c r="U405" s="610"/>
      <c r="V405" s="610"/>
      <c r="W405" s="610"/>
      <c r="X405" s="610"/>
      <c r="Y405" s="610"/>
      <c r="Z405" s="610"/>
    </row>
    <row r="406" spans="1:26">
      <c r="A406" s="35"/>
      <c r="B406" s="584"/>
      <c r="C406" s="584"/>
      <c r="D406" s="584"/>
      <c r="E406" s="584"/>
      <c r="F406" s="584"/>
      <c r="G406" s="584"/>
      <c r="H406" s="584"/>
      <c r="I406" s="580"/>
      <c r="J406" s="610"/>
      <c r="K406" s="610"/>
      <c r="L406" s="610"/>
      <c r="M406" s="610"/>
      <c r="N406" s="610"/>
      <c r="O406" s="610"/>
      <c r="P406" s="610"/>
      <c r="Q406" s="610"/>
      <c r="R406" s="610"/>
      <c r="S406" s="610"/>
      <c r="T406" s="610"/>
      <c r="U406" s="610"/>
      <c r="V406" s="610"/>
      <c r="W406" s="610"/>
      <c r="X406" s="610"/>
      <c r="Y406" s="610"/>
      <c r="Z406" s="610"/>
    </row>
    <row r="407" spans="1:26">
      <c r="A407" s="35"/>
      <c r="B407" s="584"/>
      <c r="C407" s="584"/>
      <c r="D407" s="584"/>
      <c r="E407" s="584"/>
      <c r="F407" s="584"/>
      <c r="G407" s="584"/>
      <c r="H407" s="584"/>
      <c r="I407" s="580"/>
      <c r="J407" s="610"/>
      <c r="K407" s="610"/>
      <c r="L407" s="610"/>
      <c r="M407" s="610"/>
      <c r="N407" s="610"/>
      <c r="O407" s="610"/>
      <c r="P407" s="610"/>
      <c r="Q407" s="610"/>
      <c r="R407" s="610"/>
      <c r="S407" s="610"/>
      <c r="T407" s="610"/>
      <c r="U407" s="610"/>
      <c r="V407" s="610"/>
      <c r="W407" s="610"/>
      <c r="X407" s="610"/>
      <c r="Y407" s="610"/>
      <c r="Z407" s="610"/>
    </row>
    <row r="408" spans="1:26">
      <c r="A408" s="35"/>
      <c r="B408" s="584"/>
      <c r="C408" s="584"/>
      <c r="D408" s="584"/>
      <c r="E408" s="584"/>
      <c r="F408" s="584"/>
      <c r="G408" s="584"/>
      <c r="H408" s="584"/>
      <c r="I408" s="580"/>
      <c r="J408" s="610"/>
      <c r="K408" s="610"/>
      <c r="L408" s="610"/>
      <c r="M408" s="610"/>
      <c r="N408" s="610"/>
      <c r="O408" s="610"/>
      <c r="P408" s="610"/>
      <c r="Q408" s="610"/>
      <c r="R408" s="610"/>
      <c r="S408" s="610"/>
      <c r="T408" s="610"/>
      <c r="U408" s="610"/>
      <c r="V408" s="610"/>
      <c r="W408" s="610"/>
      <c r="X408" s="610"/>
      <c r="Y408" s="610"/>
      <c r="Z408" s="610"/>
    </row>
    <row r="409" spans="1:26">
      <c r="A409" s="35"/>
      <c r="B409" s="584"/>
      <c r="C409" s="584"/>
      <c r="D409" s="584"/>
      <c r="E409" s="584"/>
      <c r="F409" s="584"/>
      <c r="G409" s="584"/>
      <c r="H409" s="584"/>
      <c r="I409" s="580"/>
      <c r="J409" s="610"/>
      <c r="K409" s="610"/>
      <c r="L409" s="610"/>
      <c r="M409" s="610"/>
      <c r="N409" s="610"/>
      <c r="O409" s="610"/>
      <c r="P409" s="610"/>
      <c r="Q409" s="610"/>
      <c r="R409" s="610"/>
      <c r="S409" s="610"/>
      <c r="T409" s="610"/>
      <c r="U409" s="610"/>
      <c r="V409" s="610"/>
      <c r="W409" s="610"/>
      <c r="X409" s="610"/>
      <c r="Y409" s="610"/>
      <c r="Z409" s="610"/>
    </row>
    <row r="410" spans="1:26">
      <c r="A410" s="35"/>
      <c r="B410" s="584"/>
      <c r="C410" s="584"/>
      <c r="D410" s="584"/>
      <c r="E410" s="584"/>
      <c r="F410" s="584"/>
      <c r="G410" s="584"/>
      <c r="H410" s="584"/>
      <c r="I410" s="580"/>
      <c r="J410" s="610"/>
      <c r="K410" s="610"/>
      <c r="L410" s="610"/>
      <c r="M410" s="610"/>
      <c r="N410" s="610"/>
      <c r="O410" s="610"/>
      <c r="P410" s="610"/>
      <c r="Q410" s="610"/>
      <c r="R410" s="610"/>
      <c r="S410" s="610"/>
      <c r="T410" s="610"/>
      <c r="U410" s="610"/>
      <c r="V410" s="610"/>
      <c r="W410" s="610"/>
      <c r="X410" s="610"/>
      <c r="Y410" s="610"/>
      <c r="Z410" s="610"/>
    </row>
    <row r="411" spans="1:26">
      <c r="A411" s="35"/>
      <c r="B411" s="584"/>
      <c r="C411" s="584"/>
      <c r="D411" s="584"/>
      <c r="E411" s="584"/>
      <c r="F411" s="584"/>
      <c r="G411" s="584"/>
      <c r="H411" s="584"/>
      <c r="I411" s="580"/>
      <c r="J411" s="610"/>
      <c r="K411" s="610"/>
      <c r="L411" s="610"/>
      <c r="M411" s="610"/>
      <c r="N411" s="610"/>
      <c r="O411" s="610"/>
      <c r="P411" s="610"/>
      <c r="Q411" s="610"/>
      <c r="R411" s="610"/>
      <c r="S411" s="610"/>
      <c r="T411" s="610"/>
      <c r="U411" s="610"/>
      <c r="V411" s="610"/>
      <c r="W411" s="610"/>
      <c r="X411" s="610"/>
      <c r="Y411" s="610"/>
      <c r="Z411" s="610"/>
    </row>
    <row r="412" spans="1:26">
      <c r="A412" s="35"/>
      <c r="B412" s="584"/>
      <c r="C412" s="584"/>
      <c r="D412" s="584"/>
      <c r="E412" s="584"/>
      <c r="F412" s="584"/>
      <c r="G412" s="584"/>
      <c r="H412" s="584"/>
      <c r="I412" s="580"/>
      <c r="J412" s="610"/>
      <c r="K412" s="610"/>
      <c r="L412" s="610"/>
      <c r="M412" s="610"/>
      <c r="N412" s="610"/>
      <c r="O412" s="610"/>
      <c r="P412" s="610"/>
      <c r="Q412" s="610"/>
      <c r="R412" s="610"/>
      <c r="S412" s="610"/>
      <c r="T412" s="610"/>
      <c r="U412" s="610"/>
      <c r="V412" s="610"/>
      <c r="W412" s="610"/>
      <c r="X412" s="610"/>
      <c r="Y412" s="610"/>
      <c r="Z412" s="610"/>
    </row>
    <row r="413" spans="1:26">
      <c r="A413" s="35"/>
      <c r="B413" s="584"/>
      <c r="C413" s="584"/>
      <c r="D413" s="584"/>
      <c r="E413" s="584"/>
      <c r="F413" s="584"/>
      <c r="G413" s="584"/>
      <c r="H413" s="584"/>
      <c r="I413" s="580"/>
      <c r="J413" s="610"/>
      <c r="K413" s="610"/>
      <c r="L413" s="610"/>
      <c r="M413" s="610"/>
      <c r="N413" s="610"/>
      <c r="O413" s="610"/>
      <c r="P413" s="610"/>
      <c r="Q413" s="610"/>
      <c r="R413" s="610"/>
      <c r="S413" s="610"/>
      <c r="T413" s="610"/>
      <c r="U413" s="610"/>
      <c r="V413" s="610"/>
      <c r="W413" s="610"/>
      <c r="X413" s="610"/>
      <c r="Y413" s="610"/>
      <c r="Z413" s="610"/>
    </row>
    <row r="414" spans="1:26">
      <c r="A414" s="35"/>
      <c r="B414" s="584"/>
      <c r="C414" s="584"/>
      <c r="D414" s="584"/>
      <c r="E414" s="584"/>
      <c r="F414" s="584"/>
      <c r="G414" s="584"/>
      <c r="H414" s="584"/>
      <c r="I414" s="580"/>
      <c r="J414" s="610"/>
      <c r="K414" s="610"/>
      <c r="L414" s="610"/>
      <c r="M414" s="610"/>
      <c r="N414" s="610"/>
      <c r="O414" s="610"/>
      <c r="P414" s="610"/>
      <c r="Q414" s="610"/>
      <c r="R414" s="610"/>
      <c r="S414" s="610"/>
      <c r="T414" s="610"/>
      <c r="U414" s="610"/>
      <c r="V414" s="610"/>
      <c r="W414" s="610"/>
      <c r="X414" s="610"/>
      <c r="Y414" s="610"/>
      <c r="Z414" s="610"/>
    </row>
    <row r="415" spans="1:26">
      <c r="A415" s="35"/>
      <c r="B415" s="584"/>
      <c r="C415" s="584"/>
      <c r="D415" s="584"/>
      <c r="E415" s="584"/>
      <c r="F415" s="584"/>
      <c r="G415" s="584"/>
      <c r="H415" s="584"/>
      <c r="I415" s="580"/>
      <c r="J415" s="610"/>
      <c r="K415" s="610"/>
      <c r="L415" s="610"/>
      <c r="M415" s="610"/>
      <c r="N415" s="610"/>
      <c r="O415" s="610"/>
      <c r="P415" s="610"/>
      <c r="Q415" s="610"/>
      <c r="R415" s="610"/>
      <c r="S415" s="610"/>
      <c r="T415" s="610"/>
      <c r="U415" s="610"/>
      <c r="V415" s="610"/>
      <c r="W415" s="610"/>
      <c r="X415" s="610"/>
      <c r="Y415" s="610"/>
      <c r="Z415" s="610"/>
    </row>
    <row r="416" spans="1:26">
      <c r="A416" s="35"/>
      <c r="B416" s="584"/>
      <c r="C416" s="584"/>
      <c r="D416" s="584"/>
      <c r="E416" s="584"/>
      <c r="F416" s="584"/>
      <c r="G416" s="584"/>
      <c r="H416" s="584"/>
      <c r="I416" s="580"/>
      <c r="J416" s="610"/>
      <c r="K416" s="610"/>
      <c r="L416" s="610"/>
      <c r="M416" s="610"/>
      <c r="N416" s="610"/>
      <c r="O416" s="610"/>
      <c r="P416" s="610"/>
      <c r="Q416" s="610"/>
      <c r="R416" s="610"/>
      <c r="S416" s="610"/>
      <c r="T416" s="610"/>
      <c r="U416" s="610"/>
      <c r="V416" s="610"/>
      <c r="W416" s="610"/>
      <c r="X416" s="610"/>
      <c r="Y416" s="610"/>
      <c r="Z416" s="610"/>
    </row>
    <row r="417" spans="1:26">
      <c r="A417" s="35"/>
      <c r="B417" s="584"/>
      <c r="C417" s="584"/>
      <c r="D417" s="584"/>
      <c r="E417" s="584"/>
      <c r="F417" s="584"/>
      <c r="G417" s="584"/>
      <c r="H417" s="584"/>
      <c r="I417" s="580"/>
      <c r="J417" s="610"/>
      <c r="K417" s="610"/>
      <c r="L417" s="610"/>
      <c r="M417" s="610"/>
      <c r="N417" s="610"/>
      <c r="O417" s="610"/>
      <c r="P417" s="610"/>
      <c r="Q417" s="610"/>
      <c r="R417" s="610"/>
      <c r="S417" s="610"/>
      <c r="T417" s="610"/>
      <c r="U417" s="610"/>
      <c r="V417" s="610"/>
      <c r="W417" s="610"/>
      <c r="X417" s="610"/>
      <c r="Y417" s="610"/>
      <c r="Z417" s="610"/>
    </row>
    <row r="418" spans="1:26">
      <c r="A418" s="35"/>
      <c r="B418" s="584"/>
      <c r="C418" s="584"/>
      <c r="D418" s="584"/>
      <c r="E418" s="584"/>
      <c r="F418" s="584"/>
      <c r="G418" s="584"/>
      <c r="H418" s="584"/>
      <c r="I418" s="580"/>
      <c r="J418" s="610"/>
      <c r="K418" s="610"/>
      <c r="L418" s="610"/>
      <c r="M418" s="610"/>
      <c r="N418" s="610"/>
      <c r="O418" s="610"/>
      <c r="P418" s="610"/>
      <c r="Q418" s="610"/>
      <c r="R418" s="610"/>
      <c r="S418" s="610"/>
      <c r="T418" s="610"/>
      <c r="U418" s="610"/>
      <c r="V418" s="610"/>
      <c r="W418" s="610"/>
      <c r="X418" s="610"/>
      <c r="Y418" s="610"/>
      <c r="Z418" s="610"/>
    </row>
    <row r="419" spans="1:26">
      <c r="A419" s="35"/>
      <c r="B419" s="584"/>
      <c r="C419" s="584"/>
      <c r="D419" s="584"/>
      <c r="E419" s="584"/>
      <c r="F419" s="584"/>
      <c r="G419" s="584"/>
      <c r="H419" s="584"/>
      <c r="I419" s="580"/>
      <c r="J419" s="610"/>
      <c r="K419" s="610"/>
      <c r="L419" s="610"/>
      <c r="M419" s="610"/>
      <c r="N419" s="610"/>
      <c r="O419" s="610"/>
      <c r="P419" s="610"/>
      <c r="Q419" s="610"/>
      <c r="R419" s="610"/>
      <c r="S419" s="610"/>
      <c r="T419" s="610"/>
      <c r="U419" s="610"/>
      <c r="V419" s="610"/>
      <c r="W419" s="610"/>
      <c r="X419" s="610"/>
      <c r="Y419" s="610"/>
      <c r="Z419" s="610"/>
    </row>
    <row r="420" spans="1:26">
      <c r="A420" s="35"/>
      <c r="B420" s="584"/>
      <c r="C420" s="584"/>
      <c r="D420" s="584"/>
      <c r="E420" s="584"/>
      <c r="F420" s="584"/>
      <c r="G420" s="584"/>
      <c r="H420" s="584"/>
      <c r="I420" s="580"/>
      <c r="J420" s="610"/>
      <c r="K420" s="610"/>
      <c r="L420" s="610"/>
      <c r="M420" s="610"/>
      <c r="N420" s="610"/>
      <c r="O420" s="610"/>
      <c r="P420" s="610"/>
      <c r="Q420" s="610"/>
      <c r="R420" s="610"/>
      <c r="S420" s="610"/>
      <c r="T420" s="610"/>
      <c r="U420" s="610"/>
      <c r="V420" s="610"/>
      <c r="W420" s="610"/>
      <c r="X420" s="610"/>
      <c r="Y420" s="610"/>
      <c r="Z420" s="610"/>
    </row>
    <row r="421" spans="1:26">
      <c r="A421" s="35"/>
      <c r="B421" s="584"/>
      <c r="C421" s="584"/>
      <c r="D421" s="584"/>
      <c r="E421" s="584"/>
      <c r="F421" s="584"/>
      <c r="G421" s="584"/>
      <c r="H421" s="584"/>
      <c r="I421" s="580"/>
      <c r="J421" s="610"/>
      <c r="K421" s="610"/>
      <c r="L421" s="610"/>
      <c r="M421" s="610"/>
      <c r="N421" s="610"/>
      <c r="O421" s="610"/>
      <c r="P421" s="610"/>
      <c r="Q421" s="610"/>
      <c r="R421" s="610"/>
      <c r="S421" s="610"/>
      <c r="T421" s="610"/>
      <c r="U421" s="610"/>
      <c r="V421" s="610"/>
      <c r="W421" s="610"/>
      <c r="X421" s="610"/>
      <c r="Y421" s="610"/>
      <c r="Z421" s="610"/>
    </row>
    <row r="422" spans="1:26">
      <c r="A422" s="35"/>
      <c r="B422" s="584"/>
      <c r="C422" s="584"/>
      <c r="D422" s="584"/>
      <c r="E422" s="584"/>
      <c r="F422" s="584"/>
      <c r="G422" s="584"/>
      <c r="H422" s="584"/>
      <c r="I422" s="580"/>
      <c r="J422" s="610"/>
      <c r="K422" s="610"/>
      <c r="L422" s="610"/>
      <c r="M422" s="610"/>
      <c r="N422" s="610"/>
      <c r="O422" s="610"/>
      <c r="P422" s="610"/>
      <c r="Q422" s="610"/>
      <c r="R422" s="610"/>
      <c r="S422" s="610"/>
      <c r="T422" s="610"/>
      <c r="U422" s="610"/>
      <c r="V422" s="610"/>
      <c r="W422" s="610"/>
      <c r="X422" s="610"/>
      <c r="Y422" s="610"/>
      <c r="Z422" s="610"/>
    </row>
    <row r="423" spans="1:26">
      <c r="A423" s="35"/>
      <c r="B423" s="584"/>
      <c r="C423" s="584"/>
      <c r="D423" s="584"/>
      <c r="E423" s="584"/>
      <c r="F423" s="584"/>
      <c r="G423" s="584"/>
      <c r="H423" s="584"/>
      <c r="I423" s="580"/>
      <c r="J423" s="610"/>
      <c r="K423" s="610"/>
      <c r="L423" s="610"/>
      <c r="M423" s="610"/>
      <c r="N423" s="610"/>
      <c r="O423" s="610"/>
      <c r="P423" s="610"/>
      <c r="Q423" s="610"/>
      <c r="R423" s="610"/>
      <c r="S423" s="610"/>
      <c r="T423" s="610"/>
      <c r="U423" s="610"/>
      <c r="V423" s="610"/>
      <c r="W423" s="610"/>
      <c r="X423" s="610"/>
      <c r="Y423" s="610"/>
      <c r="Z423" s="610"/>
    </row>
    <row r="424" spans="1:26">
      <c r="A424" s="35"/>
      <c r="B424" s="584"/>
      <c r="C424" s="584"/>
      <c r="D424" s="584"/>
      <c r="E424" s="584"/>
      <c r="F424" s="584"/>
      <c r="G424" s="584"/>
      <c r="H424" s="584"/>
      <c r="I424" s="580"/>
      <c r="J424" s="610"/>
      <c r="K424" s="610"/>
      <c r="L424" s="610"/>
      <c r="M424" s="610"/>
      <c r="N424" s="610"/>
      <c r="O424" s="610"/>
      <c r="P424" s="610"/>
      <c r="Q424" s="610"/>
      <c r="R424" s="610"/>
      <c r="S424" s="610"/>
      <c r="T424" s="610"/>
      <c r="U424" s="610"/>
      <c r="V424" s="610"/>
      <c r="W424" s="610"/>
      <c r="X424" s="610"/>
      <c r="Y424" s="610"/>
      <c r="Z424" s="610"/>
    </row>
    <row r="425" spans="1:26">
      <c r="A425" s="35"/>
      <c r="B425" s="584"/>
      <c r="C425" s="584"/>
      <c r="D425" s="584"/>
      <c r="E425" s="584"/>
      <c r="F425" s="584"/>
      <c r="G425" s="584"/>
      <c r="H425" s="584"/>
      <c r="I425" s="580"/>
      <c r="J425" s="610"/>
      <c r="K425" s="610"/>
      <c r="L425" s="610"/>
      <c r="M425" s="610"/>
      <c r="N425" s="610"/>
      <c r="O425" s="610"/>
      <c r="P425" s="610"/>
      <c r="Q425" s="610"/>
      <c r="R425" s="610"/>
      <c r="S425" s="610"/>
      <c r="T425" s="610"/>
      <c r="U425" s="610"/>
      <c r="V425" s="610"/>
      <c r="W425" s="610"/>
      <c r="X425" s="610"/>
      <c r="Y425" s="610"/>
      <c r="Z425" s="610"/>
    </row>
    <row r="426" spans="1:26">
      <c r="A426" s="35"/>
      <c r="B426" s="584"/>
      <c r="C426" s="584"/>
      <c r="D426" s="584"/>
      <c r="E426" s="584"/>
      <c r="F426" s="584"/>
      <c r="G426" s="584"/>
      <c r="H426" s="584"/>
      <c r="I426" s="580"/>
      <c r="J426" s="610"/>
      <c r="K426" s="610"/>
      <c r="L426" s="610"/>
      <c r="M426" s="610"/>
      <c r="N426" s="610"/>
      <c r="O426" s="610"/>
      <c r="P426" s="610"/>
      <c r="Q426" s="610"/>
      <c r="R426" s="610"/>
      <c r="S426" s="610"/>
      <c r="T426" s="610"/>
      <c r="U426" s="610"/>
      <c r="V426" s="610"/>
      <c r="W426" s="610"/>
      <c r="X426" s="610"/>
      <c r="Y426" s="610"/>
      <c r="Z426" s="610"/>
    </row>
    <row r="427" spans="1:26">
      <c r="A427" s="35"/>
      <c r="B427" s="584"/>
      <c r="C427" s="584"/>
      <c r="D427" s="584"/>
      <c r="E427" s="584"/>
      <c r="F427" s="584"/>
      <c r="G427" s="584"/>
      <c r="H427" s="584"/>
      <c r="I427" s="580"/>
      <c r="J427" s="610"/>
      <c r="K427" s="610"/>
      <c r="L427" s="610"/>
      <c r="M427" s="610"/>
      <c r="N427" s="610"/>
      <c r="O427" s="610"/>
      <c r="P427" s="610"/>
      <c r="Q427" s="610"/>
      <c r="R427" s="610"/>
      <c r="S427" s="610"/>
      <c r="T427" s="610"/>
      <c r="U427" s="610"/>
      <c r="V427" s="610"/>
      <c r="W427" s="610"/>
      <c r="X427" s="610"/>
      <c r="Y427" s="610"/>
      <c r="Z427" s="610"/>
    </row>
    <row r="428" spans="1:26">
      <c r="A428" s="35"/>
      <c r="B428" s="584"/>
      <c r="C428" s="584"/>
      <c r="D428" s="584"/>
      <c r="E428" s="584"/>
      <c r="F428" s="584"/>
      <c r="G428" s="584"/>
      <c r="H428" s="584"/>
      <c r="I428" s="580"/>
      <c r="J428" s="610"/>
      <c r="K428" s="610"/>
      <c r="L428" s="610"/>
      <c r="M428" s="610"/>
      <c r="N428" s="610"/>
      <c r="O428" s="610"/>
      <c r="P428" s="610"/>
      <c r="Q428" s="610"/>
      <c r="R428" s="610"/>
      <c r="S428" s="610"/>
      <c r="T428" s="610"/>
      <c r="U428" s="610"/>
      <c r="V428" s="610"/>
      <c r="W428" s="610"/>
      <c r="X428" s="610"/>
      <c r="Y428" s="610"/>
      <c r="Z428" s="610"/>
    </row>
    <row r="429" spans="1:26">
      <c r="A429" s="35"/>
      <c r="B429" s="584"/>
      <c r="C429" s="584"/>
      <c r="D429" s="584"/>
      <c r="E429" s="584"/>
      <c r="F429" s="584"/>
      <c r="G429" s="584"/>
      <c r="H429" s="584"/>
      <c r="I429" s="580"/>
      <c r="J429" s="610"/>
      <c r="K429" s="610"/>
      <c r="L429" s="610"/>
      <c r="M429" s="610"/>
      <c r="N429" s="610"/>
      <c r="O429" s="610"/>
      <c r="P429" s="610"/>
      <c r="Q429" s="610"/>
      <c r="R429" s="610"/>
      <c r="S429" s="610"/>
      <c r="T429" s="610"/>
      <c r="U429" s="610"/>
      <c r="V429" s="610"/>
      <c r="W429" s="610"/>
      <c r="X429" s="610"/>
      <c r="Y429" s="610"/>
      <c r="Z429" s="610"/>
    </row>
    <row r="430" spans="1:26">
      <c r="A430" s="35"/>
      <c r="B430" s="584"/>
      <c r="C430" s="584"/>
      <c r="D430" s="584"/>
      <c r="E430" s="584"/>
      <c r="F430" s="584"/>
      <c r="G430" s="584"/>
      <c r="H430" s="584"/>
      <c r="I430" s="580"/>
      <c r="J430" s="610"/>
      <c r="K430" s="610"/>
      <c r="L430" s="610"/>
      <c r="M430" s="610"/>
      <c r="N430" s="610"/>
      <c r="O430" s="610"/>
      <c r="P430" s="610"/>
      <c r="Q430" s="610"/>
      <c r="R430" s="610"/>
      <c r="S430" s="610"/>
      <c r="T430" s="610"/>
      <c r="U430" s="610"/>
      <c r="V430" s="610"/>
      <c r="W430" s="610"/>
      <c r="X430" s="610"/>
      <c r="Y430" s="610"/>
      <c r="Z430" s="610"/>
    </row>
    <row r="431" spans="1:26">
      <c r="A431" s="35"/>
      <c r="B431" s="584"/>
      <c r="C431" s="584"/>
      <c r="D431" s="584"/>
      <c r="E431" s="584"/>
      <c r="F431" s="584"/>
      <c r="G431" s="584"/>
      <c r="H431" s="584"/>
      <c r="I431" s="580"/>
      <c r="J431" s="610"/>
      <c r="K431" s="610"/>
      <c r="L431" s="610"/>
      <c r="M431" s="610"/>
      <c r="N431" s="610"/>
      <c r="O431" s="610"/>
      <c r="P431" s="610"/>
      <c r="Q431" s="610"/>
      <c r="R431" s="610"/>
      <c r="S431" s="610"/>
      <c r="T431" s="610"/>
      <c r="U431" s="610"/>
      <c r="V431" s="610"/>
      <c r="W431" s="610"/>
      <c r="X431" s="610"/>
      <c r="Y431" s="610"/>
      <c r="Z431" s="610"/>
    </row>
    <row r="432" spans="1:26">
      <c r="A432" s="35"/>
      <c r="B432" s="584"/>
      <c r="C432" s="584"/>
      <c r="D432" s="584"/>
      <c r="E432" s="584"/>
      <c r="F432" s="584"/>
      <c r="G432" s="584"/>
      <c r="H432" s="584"/>
      <c r="I432" s="580"/>
      <c r="J432" s="610"/>
      <c r="K432" s="610"/>
      <c r="L432" s="610"/>
      <c r="M432" s="610"/>
      <c r="N432" s="610"/>
      <c r="O432" s="610"/>
      <c r="P432" s="610"/>
      <c r="Q432" s="610"/>
      <c r="R432" s="610"/>
      <c r="S432" s="610"/>
      <c r="T432" s="610"/>
      <c r="U432" s="610"/>
      <c r="V432" s="610"/>
      <c r="W432" s="610"/>
      <c r="X432" s="610"/>
      <c r="Y432" s="610"/>
      <c r="Z432" s="610"/>
    </row>
    <row r="433" spans="1:26">
      <c r="A433" s="35"/>
      <c r="B433" s="584"/>
      <c r="C433" s="584"/>
      <c r="D433" s="584"/>
      <c r="E433" s="584"/>
      <c r="F433" s="584"/>
      <c r="G433" s="584"/>
      <c r="H433" s="584"/>
      <c r="I433" s="580"/>
      <c r="J433" s="610"/>
      <c r="K433" s="610"/>
      <c r="L433" s="610"/>
      <c r="M433" s="610"/>
      <c r="N433" s="610"/>
      <c r="O433" s="610"/>
      <c r="P433" s="610"/>
      <c r="Q433" s="610"/>
      <c r="R433" s="610"/>
      <c r="S433" s="610"/>
      <c r="T433" s="610"/>
      <c r="U433" s="610"/>
      <c r="V433" s="610"/>
      <c r="W433" s="610"/>
      <c r="X433" s="610"/>
      <c r="Y433" s="610"/>
      <c r="Z433" s="610"/>
    </row>
    <row r="434" spans="1:26">
      <c r="A434" s="35"/>
      <c r="B434" s="584"/>
      <c r="C434" s="584"/>
      <c r="D434" s="584"/>
      <c r="E434" s="584"/>
      <c r="F434" s="584"/>
      <c r="G434" s="584"/>
      <c r="H434" s="584"/>
      <c r="I434" s="580"/>
      <c r="J434" s="610"/>
      <c r="K434" s="610"/>
      <c r="L434" s="610"/>
      <c r="M434" s="610"/>
      <c r="N434" s="610"/>
      <c r="O434" s="610"/>
      <c r="P434" s="610"/>
      <c r="Q434" s="610"/>
      <c r="R434" s="610"/>
      <c r="S434" s="610"/>
      <c r="T434" s="610"/>
      <c r="U434" s="610"/>
      <c r="V434" s="610"/>
      <c r="W434" s="610"/>
      <c r="X434" s="610"/>
      <c r="Y434" s="610"/>
      <c r="Z434" s="610"/>
    </row>
    <row r="435" spans="1:26">
      <c r="A435" s="35"/>
      <c r="B435" s="584"/>
      <c r="C435" s="584"/>
      <c r="D435" s="584"/>
      <c r="E435" s="584"/>
      <c r="F435" s="584"/>
      <c r="G435" s="584"/>
      <c r="H435" s="584"/>
      <c r="I435" s="580"/>
      <c r="J435" s="610"/>
      <c r="K435" s="610"/>
      <c r="L435" s="610"/>
      <c r="M435" s="610"/>
      <c r="N435" s="610"/>
      <c r="O435" s="610"/>
      <c r="P435" s="610"/>
      <c r="Q435" s="610"/>
      <c r="R435" s="610"/>
      <c r="S435" s="610"/>
      <c r="T435" s="610"/>
      <c r="U435" s="610"/>
      <c r="V435" s="610"/>
      <c r="W435" s="610"/>
      <c r="X435" s="610"/>
      <c r="Y435" s="610"/>
      <c r="Z435" s="610"/>
    </row>
    <row r="436" spans="1:26">
      <c r="A436" s="35"/>
      <c r="B436" s="584"/>
      <c r="C436" s="584"/>
      <c r="D436" s="584"/>
      <c r="E436" s="584"/>
      <c r="F436" s="584"/>
      <c r="G436" s="584"/>
      <c r="H436" s="584"/>
      <c r="I436" s="580"/>
      <c r="J436" s="610"/>
      <c r="K436" s="610"/>
      <c r="L436" s="610"/>
      <c r="M436" s="610"/>
      <c r="N436" s="610"/>
      <c r="O436" s="610"/>
      <c r="P436" s="610"/>
      <c r="Q436" s="610"/>
      <c r="R436" s="610"/>
      <c r="S436" s="610"/>
      <c r="T436" s="610"/>
      <c r="U436" s="610"/>
      <c r="V436" s="610"/>
      <c r="W436" s="610"/>
      <c r="X436" s="610"/>
      <c r="Y436" s="610"/>
      <c r="Z436" s="610"/>
    </row>
    <row r="437" spans="1:26">
      <c r="A437" s="35"/>
      <c r="B437" s="584"/>
      <c r="C437" s="584"/>
      <c r="D437" s="584"/>
      <c r="E437" s="584"/>
      <c r="F437" s="584"/>
      <c r="G437" s="584"/>
      <c r="H437" s="584"/>
      <c r="I437" s="580"/>
      <c r="J437" s="610"/>
      <c r="K437" s="610"/>
      <c r="L437" s="610"/>
      <c r="M437" s="610"/>
      <c r="N437" s="610"/>
      <c r="O437" s="610"/>
      <c r="P437" s="610"/>
      <c r="Q437" s="610"/>
      <c r="R437" s="610"/>
      <c r="S437" s="610"/>
      <c r="T437" s="610"/>
      <c r="U437" s="610"/>
      <c r="V437" s="610"/>
      <c r="W437" s="610"/>
      <c r="X437" s="610"/>
      <c r="Y437" s="610"/>
      <c r="Z437" s="610"/>
    </row>
    <row r="438" spans="1:26">
      <c r="A438" s="35"/>
      <c r="B438" s="584"/>
      <c r="C438" s="584"/>
      <c r="D438" s="584"/>
      <c r="E438" s="584"/>
      <c r="F438" s="584"/>
      <c r="G438" s="584"/>
      <c r="H438" s="584"/>
      <c r="I438" s="580"/>
      <c r="J438" s="610"/>
      <c r="K438" s="610"/>
      <c r="L438" s="610"/>
      <c r="M438" s="610"/>
      <c r="N438" s="610"/>
      <c r="O438" s="610"/>
      <c r="P438" s="610"/>
      <c r="Q438" s="610"/>
      <c r="R438" s="610"/>
      <c r="S438" s="610"/>
      <c r="T438" s="610"/>
      <c r="U438" s="610"/>
      <c r="V438" s="610"/>
      <c r="W438" s="610"/>
      <c r="X438" s="610"/>
      <c r="Y438" s="610"/>
      <c r="Z438" s="610"/>
    </row>
    <row r="439" spans="1:26">
      <c r="A439" s="35"/>
      <c r="B439" s="584"/>
      <c r="C439" s="584"/>
      <c r="D439" s="584"/>
      <c r="E439" s="584"/>
      <c r="F439" s="584"/>
      <c r="G439" s="584"/>
      <c r="H439" s="584"/>
      <c r="I439" s="580"/>
      <c r="J439" s="610"/>
      <c r="K439" s="610"/>
      <c r="L439" s="610"/>
      <c r="M439" s="610"/>
      <c r="N439" s="610"/>
      <c r="O439" s="610"/>
      <c r="P439" s="610"/>
      <c r="Q439" s="610"/>
      <c r="R439" s="610"/>
      <c r="S439" s="610"/>
      <c r="T439" s="610"/>
      <c r="U439" s="610"/>
      <c r="V439" s="610"/>
      <c r="W439" s="610"/>
      <c r="X439" s="610"/>
      <c r="Y439" s="610"/>
      <c r="Z439" s="610"/>
    </row>
    <row r="440" spans="1:26">
      <c r="A440" s="35"/>
      <c r="B440" s="584"/>
      <c r="C440" s="584"/>
      <c r="D440" s="584"/>
      <c r="E440" s="584"/>
      <c r="F440" s="584"/>
      <c r="G440" s="584"/>
      <c r="H440" s="584"/>
      <c r="I440" s="580"/>
      <c r="J440" s="610"/>
      <c r="K440" s="610"/>
      <c r="L440" s="610"/>
      <c r="M440" s="610"/>
      <c r="N440" s="610"/>
      <c r="O440" s="610"/>
      <c r="P440" s="610"/>
      <c r="Q440" s="610"/>
      <c r="R440" s="610"/>
      <c r="S440" s="610"/>
      <c r="T440" s="610"/>
      <c r="U440" s="610"/>
      <c r="V440" s="610"/>
      <c r="W440" s="610"/>
      <c r="X440" s="610"/>
      <c r="Y440" s="610"/>
      <c r="Z440" s="610"/>
    </row>
    <row r="441" spans="1:26">
      <c r="A441" s="35"/>
      <c r="B441" s="584"/>
      <c r="C441" s="584"/>
      <c r="D441" s="584"/>
      <c r="E441" s="584"/>
      <c r="F441" s="584"/>
      <c r="G441" s="584"/>
      <c r="H441" s="584"/>
      <c r="I441" s="580"/>
      <c r="J441" s="610"/>
      <c r="K441" s="610"/>
      <c r="L441" s="610"/>
      <c r="M441" s="610"/>
      <c r="N441" s="610"/>
      <c r="O441" s="610"/>
      <c r="P441" s="610"/>
      <c r="Q441" s="610"/>
      <c r="R441" s="610"/>
      <c r="S441" s="610"/>
      <c r="T441" s="610"/>
      <c r="U441" s="610"/>
      <c r="V441" s="610"/>
      <c r="W441" s="610"/>
      <c r="X441" s="610"/>
      <c r="Y441" s="610"/>
      <c r="Z441" s="610"/>
    </row>
    <row r="442" spans="1:26">
      <c r="A442" s="35"/>
      <c r="B442" s="584"/>
      <c r="C442" s="584"/>
      <c r="D442" s="584"/>
      <c r="E442" s="584"/>
      <c r="F442" s="584"/>
      <c r="G442" s="584"/>
      <c r="H442" s="584"/>
      <c r="I442" s="580"/>
      <c r="J442" s="610"/>
      <c r="K442" s="610"/>
      <c r="L442" s="610"/>
      <c r="M442" s="610"/>
      <c r="N442" s="610"/>
      <c r="O442" s="610"/>
      <c r="P442" s="610"/>
      <c r="Q442" s="610"/>
      <c r="R442" s="610"/>
      <c r="S442" s="610"/>
      <c r="T442" s="610"/>
      <c r="U442" s="610"/>
      <c r="V442" s="610"/>
      <c r="W442" s="610"/>
      <c r="X442" s="610"/>
      <c r="Y442" s="610"/>
      <c r="Z442" s="610"/>
    </row>
    <row r="443" spans="1:26">
      <c r="A443" s="35"/>
      <c r="B443" s="584"/>
      <c r="C443" s="584"/>
      <c r="D443" s="584"/>
      <c r="E443" s="584"/>
      <c r="F443" s="584"/>
      <c r="G443" s="584"/>
      <c r="H443" s="584"/>
      <c r="I443" s="580"/>
      <c r="J443" s="610"/>
      <c r="K443" s="610"/>
      <c r="L443" s="610"/>
      <c r="M443" s="610"/>
      <c r="N443" s="610"/>
      <c r="O443" s="610"/>
      <c r="P443" s="610"/>
      <c r="Q443" s="610"/>
      <c r="R443" s="610"/>
      <c r="S443" s="610"/>
      <c r="T443" s="610"/>
      <c r="U443" s="610"/>
      <c r="V443" s="610"/>
      <c r="W443" s="610"/>
      <c r="X443" s="610"/>
      <c r="Y443" s="610"/>
      <c r="Z443" s="610"/>
    </row>
    <row r="444" spans="1:26">
      <c r="A444" s="35"/>
      <c r="B444" s="584"/>
      <c r="C444" s="584"/>
      <c r="D444" s="584"/>
      <c r="E444" s="584"/>
      <c r="F444" s="584"/>
      <c r="G444" s="584"/>
      <c r="H444" s="584"/>
      <c r="I444" s="580"/>
      <c r="J444" s="610"/>
      <c r="K444" s="610"/>
      <c r="L444" s="610"/>
      <c r="M444" s="610"/>
      <c r="N444" s="610"/>
      <c r="O444" s="610"/>
      <c r="P444" s="610"/>
      <c r="Q444" s="610"/>
      <c r="R444" s="610"/>
      <c r="S444" s="610"/>
      <c r="T444" s="610"/>
      <c r="U444" s="610"/>
      <c r="V444" s="610"/>
      <c r="W444" s="610"/>
      <c r="X444" s="610"/>
      <c r="Y444" s="610"/>
      <c r="Z444" s="610"/>
    </row>
    <row r="445" spans="1:26">
      <c r="A445" s="35"/>
      <c r="B445" s="584"/>
      <c r="C445" s="584"/>
      <c r="D445" s="584"/>
      <c r="E445" s="584"/>
      <c r="F445" s="584"/>
      <c r="G445" s="584"/>
      <c r="H445" s="584"/>
      <c r="I445" s="580"/>
      <c r="J445" s="610"/>
      <c r="K445" s="610"/>
      <c r="L445" s="610"/>
      <c r="M445" s="610"/>
      <c r="N445" s="610"/>
      <c r="O445" s="610"/>
      <c r="P445" s="610"/>
      <c r="Q445" s="610"/>
      <c r="R445" s="610"/>
      <c r="S445" s="610"/>
      <c r="T445" s="610"/>
      <c r="U445" s="610"/>
      <c r="V445" s="610"/>
      <c r="W445" s="610"/>
      <c r="X445" s="610"/>
      <c r="Y445" s="610"/>
      <c r="Z445" s="610"/>
    </row>
    <row r="446" spans="1:26">
      <c r="A446" s="35"/>
      <c r="B446" s="584"/>
      <c r="C446" s="584"/>
      <c r="D446" s="584"/>
      <c r="E446" s="584"/>
      <c r="F446" s="584"/>
      <c r="G446" s="584"/>
      <c r="H446" s="584"/>
      <c r="I446" s="580"/>
      <c r="J446" s="610"/>
      <c r="K446" s="610"/>
      <c r="L446" s="610"/>
      <c r="M446" s="610"/>
      <c r="N446" s="610"/>
      <c r="O446" s="610"/>
      <c r="P446" s="610"/>
      <c r="Q446" s="610"/>
      <c r="R446" s="610"/>
      <c r="S446" s="610"/>
      <c r="T446" s="610"/>
      <c r="U446" s="610"/>
      <c r="V446" s="610"/>
      <c r="W446" s="610"/>
      <c r="X446" s="610"/>
      <c r="Y446" s="610"/>
      <c r="Z446" s="610"/>
    </row>
    <row r="447" spans="1:26">
      <c r="A447" s="35"/>
      <c r="B447" s="584"/>
      <c r="C447" s="584"/>
      <c r="D447" s="584"/>
      <c r="E447" s="584"/>
      <c r="F447" s="584"/>
      <c r="G447" s="584"/>
      <c r="H447" s="584"/>
      <c r="I447" s="580"/>
      <c r="J447" s="610"/>
      <c r="K447" s="610"/>
      <c r="L447" s="610"/>
      <c r="M447" s="610"/>
      <c r="N447" s="610"/>
      <c r="O447" s="610"/>
      <c r="P447" s="610"/>
      <c r="Q447" s="610"/>
      <c r="R447" s="610"/>
      <c r="S447" s="610"/>
      <c r="T447" s="610"/>
      <c r="U447" s="610"/>
      <c r="V447" s="610"/>
      <c r="W447" s="610"/>
      <c r="X447" s="610"/>
      <c r="Y447" s="610"/>
      <c r="Z447" s="610"/>
    </row>
    <row r="448" spans="1:26">
      <c r="A448" s="35"/>
      <c r="B448" s="584"/>
      <c r="C448" s="584"/>
      <c r="D448" s="584"/>
      <c r="E448" s="584"/>
      <c r="F448" s="584"/>
      <c r="G448" s="584"/>
      <c r="H448" s="584"/>
      <c r="I448" s="580"/>
      <c r="J448" s="610"/>
      <c r="K448" s="610"/>
      <c r="L448" s="610"/>
      <c r="M448" s="610"/>
      <c r="N448" s="610"/>
      <c r="O448" s="610"/>
      <c r="P448" s="610"/>
      <c r="Q448" s="610"/>
      <c r="R448" s="610"/>
      <c r="S448" s="610"/>
      <c r="T448" s="610"/>
      <c r="U448" s="610"/>
      <c r="V448" s="610"/>
      <c r="W448" s="610"/>
      <c r="X448" s="610"/>
      <c r="Y448" s="610"/>
      <c r="Z448" s="610"/>
    </row>
    <row r="449" spans="1:26">
      <c r="A449" s="35"/>
      <c r="B449" s="584"/>
      <c r="C449" s="584"/>
      <c r="D449" s="584"/>
      <c r="E449" s="584"/>
      <c r="F449" s="584"/>
      <c r="G449" s="584"/>
      <c r="H449" s="584"/>
      <c r="I449" s="580"/>
      <c r="J449" s="610"/>
      <c r="K449" s="610"/>
      <c r="L449" s="610"/>
      <c r="M449" s="610"/>
      <c r="N449" s="610"/>
      <c r="O449" s="610"/>
      <c r="P449" s="610"/>
      <c r="Q449" s="610"/>
      <c r="R449" s="610"/>
      <c r="S449" s="610"/>
      <c r="T449" s="610"/>
      <c r="U449" s="610"/>
      <c r="V449" s="610"/>
      <c r="W449" s="610"/>
      <c r="X449" s="610"/>
      <c r="Y449" s="610"/>
      <c r="Z449" s="610"/>
    </row>
    <row r="450" spans="1:26">
      <c r="A450" s="35"/>
      <c r="B450" s="584"/>
      <c r="C450" s="584"/>
      <c r="D450" s="584"/>
      <c r="E450" s="584"/>
      <c r="F450" s="584"/>
      <c r="G450" s="584"/>
      <c r="H450" s="584"/>
      <c r="I450" s="580"/>
      <c r="J450" s="610"/>
      <c r="K450" s="610"/>
      <c r="L450" s="610"/>
      <c r="M450" s="610"/>
      <c r="N450" s="610"/>
      <c r="O450" s="610"/>
      <c r="P450" s="610"/>
      <c r="Q450" s="610"/>
      <c r="R450" s="610"/>
      <c r="S450" s="610"/>
      <c r="T450" s="610"/>
      <c r="U450" s="610"/>
      <c r="V450" s="610"/>
      <c r="W450" s="610"/>
      <c r="X450" s="610"/>
      <c r="Y450" s="610"/>
      <c r="Z450" s="610"/>
    </row>
    <row r="451" spans="1:26">
      <c r="A451" s="35"/>
      <c r="B451" s="584"/>
      <c r="C451" s="584"/>
      <c r="D451" s="584"/>
      <c r="E451" s="584"/>
      <c r="F451" s="584"/>
      <c r="G451" s="584"/>
      <c r="H451" s="584"/>
      <c r="I451" s="580"/>
      <c r="J451" s="610"/>
      <c r="K451" s="610"/>
      <c r="L451" s="610"/>
      <c r="M451" s="610"/>
      <c r="N451" s="610"/>
      <c r="O451" s="610"/>
      <c r="P451" s="610"/>
      <c r="Q451" s="610"/>
      <c r="R451" s="610"/>
      <c r="S451" s="610"/>
      <c r="T451" s="610"/>
      <c r="U451" s="610"/>
      <c r="V451" s="610"/>
      <c r="W451" s="610"/>
      <c r="X451" s="610"/>
      <c r="Y451" s="610"/>
      <c r="Z451" s="610"/>
    </row>
    <row r="452" spans="1:26">
      <c r="A452" s="35"/>
      <c r="B452" s="584"/>
      <c r="C452" s="584"/>
      <c r="D452" s="584"/>
      <c r="E452" s="584"/>
      <c r="F452" s="584"/>
      <c r="G452" s="584"/>
      <c r="H452" s="584"/>
      <c r="I452" s="580"/>
      <c r="J452" s="610"/>
      <c r="K452" s="610"/>
      <c r="L452" s="610"/>
      <c r="M452" s="610"/>
      <c r="N452" s="610"/>
      <c r="O452" s="610"/>
      <c r="P452" s="610"/>
      <c r="Q452" s="610"/>
      <c r="R452" s="610"/>
      <c r="S452" s="610"/>
      <c r="T452" s="610"/>
      <c r="U452" s="610"/>
      <c r="V452" s="610"/>
      <c r="W452" s="610"/>
      <c r="X452" s="610"/>
      <c r="Y452" s="610"/>
      <c r="Z452" s="610"/>
    </row>
    <row r="453" spans="1:26">
      <c r="A453" s="35"/>
      <c r="B453" s="584"/>
      <c r="C453" s="584"/>
      <c r="D453" s="584"/>
      <c r="E453" s="584"/>
      <c r="F453" s="584"/>
      <c r="G453" s="584"/>
      <c r="H453" s="584"/>
      <c r="I453" s="580"/>
      <c r="J453" s="610"/>
      <c r="K453" s="610"/>
      <c r="L453" s="610"/>
      <c r="M453" s="610"/>
      <c r="N453" s="610"/>
      <c r="O453" s="610"/>
      <c r="P453" s="610"/>
      <c r="Q453" s="610"/>
      <c r="R453" s="610"/>
      <c r="S453" s="610"/>
      <c r="T453" s="610"/>
      <c r="U453" s="610"/>
      <c r="V453" s="610"/>
      <c r="W453" s="610"/>
      <c r="X453" s="610"/>
      <c r="Y453" s="610"/>
      <c r="Z453" s="610"/>
    </row>
    <row r="454" spans="1:26">
      <c r="A454" s="35"/>
      <c r="B454" s="584"/>
      <c r="C454" s="584"/>
      <c r="D454" s="584"/>
      <c r="E454" s="584"/>
      <c r="F454" s="584"/>
      <c r="G454" s="584"/>
      <c r="H454" s="584"/>
      <c r="I454" s="580"/>
      <c r="J454" s="610"/>
      <c r="K454" s="610"/>
      <c r="L454" s="610"/>
      <c r="M454" s="610"/>
      <c r="N454" s="610"/>
      <c r="O454" s="610"/>
      <c r="P454" s="610"/>
      <c r="Q454" s="610"/>
      <c r="R454" s="610"/>
      <c r="S454" s="610"/>
      <c r="T454" s="610"/>
      <c r="U454" s="610"/>
      <c r="V454" s="610"/>
      <c r="W454" s="610"/>
      <c r="X454" s="610"/>
      <c r="Y454" s="610"/>
      <c r="Z454" s="610"/>
    </row>
    <row r="455" spans="1:26">
      <c r="A455" s="35"/>
      <c r="B455" s="584"/>
      <c r="C455" s="584"/>
      <c r="D455" s="584"/>
      <c r="E455" s="584"/>
      <c r="F455" s="584"/>
      <c r="G455" s="584"/>
      <c r="H455" s="584"/>
      <c r="I455" s="580"/>
      <c r="J455" s="610"/>
      <c r="K455" s="610"/>
      <c r="L455" s="610"/>
      <c r="M455" s="610"/>
      <c r="N455" s="610"/>
      <c r="O455" s="610"/>
      <c r="P455" s="610"/>
      <c r="Q455" s="610"/>
      <c r="R455" s="610"/>
      <c r="S455" s="610"/>
      <c r="T455" s="610"/>
      <c r="U455" s="610"/>
      <c r="V455" s="610"/>
      <c r="W455" s="610"/>
      <c r="X455" s="610"/>
      <c r="Y455" s="610"/>
      <c r="Z455" s="610"/>
    </row>
    <row r="456" spans="1:26">
      <c r="A456" s="35"/>
      <c r="B456" s="584"/>
      <c r="C456" s="584"/>
      <c r="D456" s="584"/>
      <c r="E456" s="584"/>
      <c r="F456" s="584"/>
      <c r="G456" s="584"/>
      <c r="H456" s="584"/>
      <c r="I456" s="580"/>
      <c r="J456" s="610"/>
      <c r="K456" s="610"/>
      <c r="L456" s="610"/>
      <c r="M456" s="610"/>
      <c r="N456" s="610"/>
      <c r="O456" s="610"/>
      <c r="P456" s="610"/>
      <c r="Q456" s="610"/>
      <c r="R456" s="610"/>
      <c r="S456" s="610"/>
      <c r="T456" s="610"/>
      <c r="U456" s="610"/>
      <c r="V456" s="610"/>
      <c r="W456" s="610"/>
      <c r="X456" s="610"/>
      <c r="Y456" s="610"/>
      <c r="Z456" s="610"/>
    </row>
    <row r="457" spans="1:26">
      <c r="A457" s="35"/>
      <c r="B457" s="584"/>
      <c r="C457" s="584"/>
      <c r="D457" s="584"/>
      <c r="E457" s="584"/>
      <c r="F457" s="584"/>
      <c r="G457" s="584"/>
      <c r="H457" s="584"/>
      <c r="I457" s="580"/>
      <c r="J457" s="610"/>
      <c r="K457" s="610"/>
      <c r="L457" s="610"/>
      <c r="M457" s="610"/>
      <c r="N457" s="610"/>
      <c r="O457" s="610"/>
      <c r="P457" s="610"/>
      <c r="Q457" s="610"/>
      <c r="R457" s="610"/>
      <c r="S457" s="610"/>
      <c r="T457" s="610"/>
      <c r="U457" s="610"/>
      <c r="V457" s="610"/>
      <c r="W457" s="610"/>
      <c r="X457" s="610"/>
      <c r="Y457" s="610"/>
      <c r="Z457" s="610"/>
    </row>
    <row r="458" spans="1:26">
      <c r="A458" s="35"/>
      <c r="B458" s="584"/>
      <c r="C458" s="584"/>
      <c r="D458" s="584"/>
      <c r="E458" s="584"/>
      <c r="F458" s="584"/>
      <c r="G458" s="584"/>
      <c r="H458" s="584"/>
      <c r="I458" s="580"/>
      <c r="J458" s="610"/>
      <c r="K458" s="610"/>
      <c r="L458" s="610"/>
      <c r="M458" s="610"/>
      <c r="N458" s="610"/>
      <c r="O458" s="610"/>
      <c r="P458" s="610"/>
      <c r="Q458" s="610"/>
      <c r="R458" s="610"/>
      <c r="S458" s="610"/>
      <c r="T458" s="610"/>
      <c r="U458" s="610"/>
      <c r="V458" s="610"/>
      <c r="W458" s="610"/>
      <c r="X458" s="610"/>
      <c r="Y458" s="610"/>
      <c r="Z458" s="610"/>
    </row>
    <row r="459" spans="1:26">
      <c r="A459" s="35"/>
      <c r="B459" s="584"/>
      <c r="C459" s="584"/>
      <c r="D459" s="584"/>
      <c r="E459" s="584"/>
      <c r="F459" s="584"/>
      <c r="G459" s="584"/>
      <c r="H459" s="584"/>
      <c r="I459" s="580"/>
      <c r="J459" s="610"/>
      <c r="K459" s="610"/>
      <c r="L459" s="610"/>
      <c r="M459" s="610"/>
      <c r="N459" s="610"/>
      <c r="O459" s="610"/>
      <c r="P459" s="610"/>
      <c r="Q459" s="610"/>
      <c r="R459" s="610"/>
      <c r="S459" s="610"/>
      <c r="T459" s="610"/>
      <c r="U459" s="610"/>
      <c r="V459" s="610"/>
      <c r="W459" s="610"/>
      <c r="X459" s="610"/>
      <c r="Y459" s="610"/>
      <c r="Z459" s="610"/>
    </row>
    <row r="460" spans="1:26">
      <c r="A460" s="35"/>
      <c r="B460" s="584"/>
      <c r="C460" s="584"/>
      <c r="D460" s="584"/>
      <c r="E460" s="584"/>
      <c r="F460" s="584"/>
      <c r="G460" s="584"/>
      <c r="H460" s="584"/>
      <c r="I460" s="580"/>
      <c r="J460" s="610"/>
      <c r="K460" s="610"/>
      <c r="L460" s="610"/>
      <c r="M460" s="610"/>
      <c r="N460" s="610"/>
      <c r="O460" s="610"/>
      <c r="P460" s="610"/>
      <c r="Q460" s="610"/>
      <c r="R460" s="610"/>
      <c r="S460" s="610"/>
      <c r="T460" s="610"/>
      <c r="U460" s="610"/>
      <c r="V460" s="610"/>
      <c r="W460" s="610"/>
      <c r="X460" s="610"/>
      <c r="Y460" s="610"/>
      <c r="Z460" s="610"/>
    </row>
    <row r="461" spans="1:26">
      <c r="A461" s="35"/>
      <c r="B461" s="584"/>
      <c r="C461" s="584"/>
      <c r="D461" s="584"/>
      <c r="E461" s="584"/>
      <c r="F461" s="584"/>
      <c r="G461" s="584"/>
      <c r="H461" s="584"/>
      <c r="I461" s="580"/>
      <c r="J461" s="610"/>
      <c r="K461" s="610"/>
      <c r="L461" s="610"/>
      <c r="M461" s="610"/>
      <c r="N461" s="610"/>
      <c r="O461" s="610"/>
      <c r="P461" s="610"/>
      <c r="Q461" s="610"/>
      <c r="R461" s="610"/>
      <c r="S461" s="610"/>
      <c r="T461" s="610"/>
      <c r="U461" s="610"/>
      <c r="V461" s="610"/>
      <c r="W461" s="610"/>
      <c r="X461" s="610"/>
      <c r="Y461" s="610"/>
      <c r="Z461" s="610"/>
    </row>
    <row r="462" spans="1:26">
      <c r="A462" s="35"/>
      <c r="B462" s="584"/>
      <c r="C462" s="584"/>
      <c r="D462" s="584"/>
      <c r="E462" s="584"/>
      <c r="F462" s="584"/>
      <c r="G462" s="584"/>
      <c r="H462" s="584"/>
      <c r="I462" s="580"/>
      <c r="J462" s="610"/>
      <c r="K462" s="610"/>
      <c r="L462" s="610"/>
      <c r="M462" s="610"/>
      <c r="N462" s="610"/>
      <c r="O462" s="610"/>
      <c r="P462" s="610"/>
      <c r="Q462" s="610"/>
      <c r="R462" s="610"/>
      <c r="S462" s="610"/>
      <c r="T462" s="610"/>
      <c r="U462" s="610"/>
      <c r="V462" s="610"/>
      <c r="W462" s="610"/>
      <c r="X462" s="610"/>
      <c r="Y462" s="610"/>
      <c r="Z462" s="610"/>
    </row>
    <row r="463" spans="1:26">
      <c r="A463" s="35"/>
      <c r="B463" s="584"/>
      <c r="C463" s="584"/>
      <c r="D463" s="584"/>
      <c r="E463" s="584"/>
      <c r="F463" s="584"/>
      <c r="G463" s="584"/>
      <c r="H463" s="584"/>
      <c r="I463" s="580"/>
      <c r="J463" s="610"/>
      <c r="K463" s="610"/>
      <c r="L463" s="610"/>
      <c r="M463" s="610"/>
      <c r="N463" s="610"/>
      <c r="O463" s="610"/>
      <c r="P463" s="610"/>
      <c r="Q463" s="610"/>
      <c r="R463" s="610"/>
      <c r="S463" s="610"/>
      <c r="T463" s="610"/>
      <c r="U463" s="610"/>
      <c r="V463" s="610"/>
      <c r="W463" s="610"/>
      <c r="X463" s="610"/>
      <c r="Y463" s="610"/>
      <c r="Z463" s="610"/>
    </row>
    <row r="464" spans="1:26">
      <c r="A464" s="35"/>
      <c r="B464" s="584"/>
      <c r="C464" s="584"/>
      <c r="D464" s="584"/>
      <c r="E464" s="584"/>
      <c r="F464" s="584"/>
      <c r="G464" s="584"/>
      <c r="H464" s="584"/>
      <c r="I464" s="580"/>
      <c r="J464" s="610"/>
      <c r="K464" s="610"/>
      <c r="L464" s="610"/>
      <c r="M464" s="610"/>
      <c r="N464" s="610"/>
      <c r="O464" s="610"/>
      <c r="P464" s="610"/>
      <c r="Q464" s="610"/>
      <c r="R464" s="610"/>
      <c r="S464" s="610"/>
      <c r="T464" s="610"/>
      <c r="U464" s="610"/>
      <c r="V464" s="610"/>
      <c r="W464" s="610"/>
      <c r="X464" s="610"/>
      <c r="Y464" s="610"/>
      <c r="Z464" s="610"/>
    </row>
    <row r="465" spans="1:26">
      <c r="A465" s="35"/>
      <c r="B465" s="584"/>
      <c r="C465" s="584"/>
      <c r="D465" s="584"/>
      <c r="E465" s="584"/>
      <c r="F465" s="584"/>
      <c r="G465" s="584"/>
      <c r="H465" s="584"/>
      <c r="I465" s="580"/>
      <c r="J465" s="610"/>
      <c r="K465" s="610"/>
      <c r="L465" s="610"/>
      <c r="M465" s="610"/>
      <c r="N465" s="610"/>
      <c r="O465" s="610"/>
      <c r="P465" s="610"/>
      <c r="Q465" s="610"/>
      <c r="R465" s="610"/>
      <c r="S465" s="610"/>
      <c r="T465" s="610"/>
      <c r="U465" s="610"/>
      <c r="V465" s="610"/>
      <c r="W465" s="610"/>
      <c r="X465" s="610"/>
      <c r="Y465" s="610"/>
      <c r="Z465" s="610"/>
    </row>
    <row r="466" spans="1:26">
      <c r="A466" s="35"/>
      <c r="B466" s="584"/>
      <c r="C466" s="584"/>
      <c r="D466" s="584"/>
      <c r="E466" s="584"/>
      <c r="F466" s="584"/>
      <c r="G466" s="584"/>
      <c r="H466" s="584"/>
      <c r="I466" s="580"/>
      <c r="J466" s="610"/>
      <c r="K466" s="610"/>
      <c r="L466" s="610"/>
      <c r="M466" s="610"/>
      <c r="N466" s="610"/>
      <c r="O466" s="610"/>
      <c r="P466" s="610"/>
      <c r="Q466" s="610"/>
      <c r="R466" s="610"/>
      <c r="S466" s="610"/>
      <c r="T466" s="610"/>
      <c r="U466" s="610"/>
      <c r="V466" s="610"/>
      <c r="W466" s="610"/>
      <c r="X466" s="610"/>
      <c r="Y466" s="610"/>
      <c r="Z466" s="610"/>
    </row>
    <row r="467" spans="1:26">
      <c r="A467" s="35"/>
      <c r="B467" s="584"/>
      <c r="C467" s="584"/>
      <c r="D467" s="584"/>
      <c r="E467" s="584"/>
      <c r="F467" s="584"/>
      <c r="G467" s="584"/>
      <c r="H467" s="584"/>
      <c r="I467" s="580"/>
      <c r="J467" s="610"/>
      <c r="K467" s="610"/>
      <c r="L467" s="610"/>
      <c r="M467" s="610"/>
      <c r="N467" s="610"/>
      <c r="O467" s="610"/>
      <c r="P467" s="610"/>
      <c r="Q467" s="610"/>
      <c r="R467" s="610"/>
      <c r="S467" s="610"/>
      <c r="T467" s="610"/>
      <c r="U467" s="610"/>
      <c r="V467" s="610"/>
      <c r="W467" s="610"/>
      <c r="X467" s="610"/>
      <c r="Y467" s="610"/>
      <c r="Z467" s="610"/>
    </row>
    <row r="468" spans="1:26">
      <c r="A468" s="35"/>
      <c r="B468" s="584"/>
      <c r="C468" s="584"/>
      <c r="D468" s="584"/>
      <c r="E468" s="584"/>
      <c r="F468" s="584"/>
      <c r="G468" s="584"/>
      <c r="H468" s="584"/>
      <c r="I468" s="580"/>
      <c r="J468" s="610"/>
      <c r="K468" s="610"/>
      <c r="L468" s="610"/>
      <c r="M468" s="610"/>
      <c r="N468" s="610"/>
      <c r="O468" s="610"/>
      <c r="P468" s="610"/>
      <c r="Q468" s="610"/>
      <c r="R468" s="610"/>
      <c r="S468" s="610"/>
      <c r="T468" s="610"/>
      <c r="U468" s="610"/>
      <c r="V468" s="610"/>
      <c r="W468" s="610"/>
      <c r="X468" s="610"/>
      <c r="Y468" s="610"/>
      <c r="Z468" s="610"/>
    </row>
    <row r="469" spans="1:26">
      <c r="A469" s="35"/>
      <c r="B469" s="584"/>
      <c r="C469" s="584"/>
      <c r="D469" s="584"/>
      <c r="E469" s="584"/>
      <c r="F469" s="584"/>
      <c r="G469" s="584"/>
      <c r="H469" s="584"/>
      <c r="I469" s="580"/>
      <c r="J469" s="610"/>
      <c r="K469" s="610"/>
      <c r="L469" s="610"/>
      <c r="M469" s="610"/>
      <c r="N469" s="610"/>
      <c r="O469" s="610"/>
      <c r="P469" s="610"/>
      <c r="Q469" s="610"/>
      <c r="R469" s="610"/>
      <c r="S469" s="610"/>
      <c r="T469" s="610"/>
      <c r="U469" s="610"/>
      <c r="V469" s="610"/>
      <c r="W469" s="610"/>
      <c r="X469" s="610"/>
      <c r="Y469" s="610"/>
      <c r="Z469" s="610"/>
    </row>
    <row r="470" spans="1:26">
      <c r="A470" s="35"/>
      <c r="B470" s="584"/>
      <c r="C470" s="584"/>
      <c r="D470" s="584"/>
      <c r="E470" s="584"/>
      <c r="F470" s="584"/>
      <c r="G470" s="584"/>
      <c r="H470" s="584"/>
      <c r="I470" s="580"/>
      <c r="J470" s="610"/>
      <c r="K470" s="610"/>
      <c r="L470" s="610"/>
      <c r="M470" s="610"/>
      <c r="N470" s="610"/>
      <c r="O470" s="610"/>
      <c r="P470" s="610"/>
      <c r="Q470" s="610"/>
      <c r="R470" s="610"/>
      <c r="S470" s="610"/>
      <c r="T470" s="610"/>
      <c r="U470" s="610"/>
      <c r="V470" s="610"/>
      <c r="W470" s="610"/>
      <c r="X470" s="610"/>
      <c r="Y470" s="610"/>
      <c r="Z470" s="610"/>
    </row>
    <row r="471" spans="1:26">
      <c r="A471" s="35"/>
      <c r="B471" s="584"/>
      <c r="C471" s="584"/>
      <c r="D471" s="584"/>
      <c r="E471" s="584"/>
      <c r="F471" s="584"/>
      <c r="G471" s="584"/>
      <c r="H471" s="584"/>
      <c r="I471" s="580"/>
      <c r="J471" s="610"/>
      <c r="K471" s="610"/>
      <c r="L471" s="610"/>
      <c r="M471" s="610"/>
      <c r="N471" s="610"/>
      <c r="O471" s="610"/>
      <c r="P471" s="610"/>
      <c r="Q471" s="610"/>
      <c r="R471" s="610"/>
      <c r="S471" s="610"/>
      <c r="T471" s="610"/>
      <c r="U471" s="610"/>
      <c r="V471" s="610"/>
      <c r="W471" s="610"/>
      <c r="X471" s="610"/>
      <c r="Y471" s="610"/>
      <c r="Z471" s="610"/>
    </row>
    <row r="472" spans="1:26">
      <c r="A472" s="35"/>
      <c r="B472" s="584"/>
      <c r="C472" s="584"/>
      <c r="D472" s="584"/>
      <c r="E472" s="584"/>
      <c r="F472" s="584"/>
      <c r="G472" s="584"/>
      <c r="H472" s="584"/>
      <c r="I472" s="580"/>
      <c r="J472" s="610"/>
      <c r="K472" s="610"/>
      <c r="L472" s="610"/>
      <c r="M472" s="610"/>
      <c r="N472" s="610"/>
      <c r="O472" s="610"/>
      <c r="P472" s="610"/>
      <c r="Q472" s="610"/>
      <c r="R472" s="610"/>
      <c r="S472" s="610"/>
      <c r="T472" s="610"/>
      <c r="U472" s="610"/>
      <c r="V472" s="610"/>
      <c r="W472" s="610"/>
      <c r="X472" s="610"/>
      <c r="Y472" s="610"/>
      <c r="Z472" s="610"/>
    </row>
    <row r="473" spans="1:26">
      <c r="A473" s="35"/>
      <c r="B473" s="584"/>
      <c r="C473" s="584"/>
      <c r="D473" s="584"/>
      <c r="E473" s="584"/>
      <c r="F473" s="584"/>
      <c r="G473" s="584"/>
      <c r="H473" s="584"/>
      <c r="I473" s="580"/>
      <c r="J473" s="610"/>
      <c r="K473" s="610"/>
      <c r="L473" s="610"/>
      <c r="M473" s="610"/>
      <c r="N473" s="610"/>
      <c r="O473" s="610"/>
      <c r="P473" s="610"/>
      <c r="Q473" s="610"/>
      <c r="R473" s="610"/>
      <c r="S473" s="610"/>
      <c r="T473" s="610"/>
      <c r="U473" s="610"/>
      <c r="V473" s="610"/>
      <c r="W473" s="610"/>
      <c r="X473" s="610"/>
      <c r="Y473" s="610"/>
      <c r="Z473" s="610"/>
    </row>
    <row r="474" spans="1:26">
      <c r="A474" s="35"/>
      <c r="B474" s="584"/>
      <c r="C474" s="584"/>
      <c r="D474" s="584"/>
      <c r="E474" s="584"/>
      <c r="F474" s="584"/>
      <c r="G474" s="584"/>
      <c r="H474" s="584"/>
      <c r="I474" s="580"/>
      <c r="J474" s="610"/>
      <c r="K474" s="610"/>
      <c r="L474" s="610"/>
      <c r="M474" s="610"/>
      <c r="N474" s="610"/>
      <c r="O474" s="610"/>
      <c r="P474" s="610"/>
      <c r="Q474" s="610"/>
      <c r="R474" s="610"/>
      <c r="S474" s="610"/>
      <c r="T474" s="610"/>
      <c r="U474" s="610"/>
      <c r="V474" s="610"/>
      <c r="W474" s="610"/>
      <c r="X474" s="610"/>
      <c r="Y474" s="610"/>
      <c r="Z474" s="610"/>
    </row>
    <row r="475" spans="1:26">
      <c r="A475" s="35"/>
      <c r="B475" s="584"/>
      <c r="C475" s="584"/>
      <c r="D475" s="584"/>
      <c r="E475" s="584"/>
      <c r="F475" s="584"/>
      <c r="G475" s="584"/>
      <c r="H475" s="584"/>
      <c r="I475" s="580"/>
      <c r="J475" s="610"/>
      <c r="K475" s="610"/>
      <c r="L475" s="610"/>
      <c r="M475" s="610"/>
      <c r="N475" s="610"/>
      <c r="O475" s="610"/>
      <c r="P475" s="610"/>
      <c r="Q475" s="610"/>
      <c r="R475" s="610"/>
      <c r="S475" s="610"/>
      <c r="T475" s="610"/>
      <c r="U475" s="610"/>
      <c r="V475" s="610"/>
      <c r="W475" s="610"/>
      <c r="X475" s="610"/>
      <c r="Y475" s="610"/>
      <c r="Z475" s="610"/>
    </row>
    <row r="476" spans="1:26">
      <c r="A476" s="35"/>
      <c r="B476" s="584"/>
      <c r="C476" s="584"/>
      <c r="D476" s="584"/>
      <c r="E476" s="584"/>
      <c r="F476" s="584"/>
      <c r="G476" s="584"/>
      <c r="H476" s="584"/>
      <c r="I476" s="580"/>
      <c r="J476" s="610"/>
      <c r="K476" s="610"/>
      <c r="L476" s="610"/>
      <c r="M476" s="610"/>
      <c r="N476" s="610"/>
      <c r="O476" s="610"/>
      <c r="P476" s="610"/>
      <c r="Q476" s="610"/>
      <c r="R476" s="610"/>
      <c r="S476" s="610"/>
      <c r="T476" s="610"/>
      <c r="U476" s="610"/>
      <c r="V476" s="610"/>
      <c r="W476" s="610"/>
      <c r="X476" s="610"/>
      <c r="Y476" s="610"/>
      <c r="Z476" s="610"/>
    </row>
    <row r="477" spans="1:26">
      <c r="A477" s="35"/>
      <c r="B477" s="584"/>
      <c r="C477" s="584"/>
      <c r="D477" s="584"/>
      <c r="E477" s="584"/>
      <c r="F477" s="584"/>
      <c r="G477" s="584"/>
      <c r="H477" s="584"/>
      <c r="I477" s="580"/>
      <c r="J477" s="610"/>
      <c r="K477" s="610"/>
      <c r="L477" s="610"/>
      <c r="M477" s="610"/>
      <c r="N477" s="610"/>
      <c r="O477" s="610"/>
      <c r="P477" s="610"/>
      <c r="Q477" s="610"/>
      <c r="R477" s="610"/>
      <c r="S477" s="610"/>
      <c r="T477" s="610"/>
      <c r="U477" s="610"/>
      <c r="V477" s="610"/>
      <c r="W477" s="610"/>
      <c r="X477" s="610"/>
      <c r="Y477" s="610"/>
      <c r="Z477" s="610"/>
    </row>
    <row r="478" spans="1:26">
      <c r="A478" s="35"/>
      <c r="B478" s="584"/>
      <c r="C478" s="584"/>
      <c r="D478" s="584"/>
      <c r="E478" s="584"/>
      <c r="F478" s="584"/>
      <c r="G478" s="584"/>
      <c r="H478" s="584"/>
      <c r="I478" s="580"/>
      <c r="J478" s="610"/>
      <c r="K478" s="610"/>
      <c r="L478" s="610"/>
      <c r="M478" s="610"/>
      <c r="N478" s="610"/>
      <c r="O478" s="610"/>
      <c r="P478" s="610"/>
      <c r="Q478" s="610"/>
      <c r="R478" s="610"/>
      <c r="S478" s="610"/>
      <c r="T478" s="610"/>
      <c r="U478" s="610"/>
      <c r="V478" s="610"/>
      <c r="W478" s="610"/>
      <c r="X478" s="610"/>
      <c r="Y478" s="610"/>
      <c r="Z478" s="610"/>
    </row>
    <row r="479" spans="1:26">
      <c r="A479" s="35"/>
      <c r="B479" s="584"/>
      <c r="C479" s="584"/>
      <c r="D479" s="584"/>
      <c r="E479" s="584"/>
      <c r="F479" s="584"/>
      <c r="G479" s="584"/>
      <c r="H479" s="584"/>
      <c r="I479" s="580"/>
      <c r="J479" s="610"/>
      <c r="K479" s="610"/>
      <c r="L479" s="610"/>
      <c r="M479" s="610"/>
      <c r="N479" s="610"/>
      <c r="O479" s="610"/>
      <c r="P479" s="610"/>
      <c r="Q479" s="610"/>
      <c r="R479" s="610"/>
      <c r="S479" s="610"/>
      <c r="T479" s="610"/>
      <c r="U479" s="610"/>
      <c r="V479" s="610"/>
      <c r="W479" s="610"/>
      <c r="X479" s="610"/>
      <c r="Y479" s="610"/>
      <c r="Z479" s="610"/>
    </row>
    <row r="480" spans="1:26">
      <c r="A480" s="35"/>
      <c r="B480" s="584"/>
      <c r="C480" s="584"/>
      <c r="D480" s="584"/>
      <c r="E480" s="584"/>
      <c r="F480" s="584"/>
      <c r="G480" s="584"/>
      <c r="H480" s="584"/>
      <c r="I480" s="580"/>
      <c r="J480" s="610"/>
      <c r="K480" s="610"/>
      <c r="L480" s="610"/>
      <c r="M480" s="610"/>
      <c r="N480" s="610"/>
      <c r="O480" s="610"/>
      <c r="P480" s="610"/>
      <c r="Q480" s="610"/>
      <c r="R480" s="610"/>
      <c r="S480" s="610"/>
      <c r="T480" s="610"/>
      <c r="U480" s="610"/>
      <c r="V480" s="610"/>
      <c r="W480" s="610"/>
      <c r="X480" s="610"/>
      <c r="Y480" s="610"/>
      <c r="Z480" s="610"/>
    </row>
    <row r="481" spans="1:26">
      <c r="A481" s="35"/>
      <c r="B481" s="584"/>
      <c r="C481" s="584"/>
      <c r="D481" s="584"/>
      <c r="E481" s="584"/>
      <c r="F481" s="584"/>
      <c r="G481" s="584"/>
      <c r="H481" s="584"/>
      <c r="I481" s="580"/>
      <c r="J481" s="610"/>
      <c r="K481" s="610"/>
      <c r="L481" s="610"/>
      <c r="M481" s="610"/>
      <c r="N481" s="610"/>
      <c r="O481" s="610"/>
      <c r="P481" s="610"/>
      <c r="Q481" s="610"/>
      <c r="R481" s="610"/>
      <c r="S481" s="610"/>
      <c r="T481" s="610"/>
      <c r="U481" s="610"/>
      <c r="V481" s="610"/>
      <c r="W481" s="610"/>
      <c r="X481" s="610"/>
      <c r="Y481" s="610"/>
      <c r="Z481" s="610"/>
    </row>
    <row r="482" spans="1:26">
      <c r="A482" s="35"/>
      <c r="B482" s="584"/>
      <c r="C482" s="584"/>
      <c r="D482" s="584"/>
      <c r="E482" s="584"/>
      <c r="F482" s="584"/>
      <c r="G482" s="584"/>
      <c r="H482" s="584"/>
      <c r="I482" s="580"/>
      <c r="J482" s="610"/>
      <c r="K482" s="610"/>
      <c r="L482" s="610"/>
      <c r="M482" s="610"/>
      <c r="N482" s="610"/>
      <c r="O482" s="610"/>
      <c r="P482" s="610"/>
      <c r="Q482" s="610"/>
      <c r="R482" s="610"/>
      <c r="S482" s="610"/>
      <c r="T482" s="610"/>
      <c r="U482" s="610"/>
      <c r="V482" s="610"/>
      <c r="W482" s="610"/>
      <c r="X482" s="610"/>
      <c r="Y482" s="610"/>
      <c r="Z482" s="610"/>
    </row>
    <row r="483" spans="1:26">
      <c r="A483" s="35"/>
      <c r="B483" s="584"/>
      <c r="C483" s="584"/>
      <c r="D483" s="584"/>
      <c r="E483" s="584"/>
      <c r="F483" s="584"/>
      <c r="G483" s="584"/>
      <c r="H483" s="584"/>
      <c r="I483" s="580"/>
      <c r="J483" s="610"/>
      <c r="K483" s="610"/>
      <c r="L483" s="610"/>
      <c r="M483" s="610"/>
      <c r="N483" s="610"/>
      <c r="O483" s="610"/>
      <c r="P483" s="610"/>
      <c r="Q483" s="610"/>
      <c r="R483" s="610"/>
      <c r="S483" s="610"/>
      <c r="T483" s="610"/>
      <c r="U483" s="610"/>
      <c r="V483" s="610"/>
      <c r="W483" s="610"/>
      <c r="X483" s="610"/>
      <c r="Y483" s="610"/>
      <c r="Z483" s="610"/>
    </row>
    <row r="484" spans="1:26">
      <c r="A484" s="35"/>
      <c r="B484" s="584"/>
      <c r="C484" s="584"/>
      <c r="D484" s="584"/>
      <c r="E484" s="584"/>
      <c r="F484" s="584"/>
      <c r="G484" s="584"/>
      <c r="H484" s="584"/>
      <c r="I484" s="580"/>
      <c r="J484" s="610"/>
      <c r="K484" s="610"/>
      <c r="L484" s="610"/>
      <c r="M484" s="610"/>
      <c r="N484" s="610"/>
      <c r="O484" s="610"/>
      <c r="P484" s="610"/>
      <c r="Q484" s="610"/>
      <c r="R484" s="610"/>
      <c r="S484" s="610"/>
      <c r="T484" s="610"/>
      <c r="U484" s="610"/>
      <c r="V484" s="610"/>
      <c r="W484" s="610"/>
      <c r="X484" s="610"/>
      <c r="Y484" s="610"/>
      <c r="Z484" s="610"/>
    </row>
    <row r="485" spans="1:26">
      <c r="A485" s="35"/>
      <c r="B485" s="584"/>
      <c r="C485" s="584"/>
      <c r="D485" s="584"/>
      <c r="E485" s="584"/>
      <c r="F485" s="584"/>
      <c r="G485" s="584"/>
      <c r="H485" s="584"/>
      <c r="I485" s="580"/>
      <c r="J485" s="610"/>
      <c r="K485" s="610"/>
      <c r="L485" s="610"/>
      <c r="M485" s="610"/>
      <c r="N485" s="610"/>
      <c r="O485" s="610"/>
      <c r="P485" s="610"/>
      <c r="Q485" s="610"/>
      <c r="R485" s="610"/>
      <c r="S485" s="610"/>
      <c r="T485" s="610"/>
      <c r="U485" s="610"/>
      <c r="V485" s="610"/>
      <c r="W485" s="610"/>
      <c r="X485" s="610"/>
      <c r="Y485" s="610"/>
      <c r="Z485" s="610"/>
    </row>
    <row r="486" spans="1:26">
      <c r="A486" s="35"/>
      <c r="B486" s="584"/>
      <c r="C486" s="584"/>
      <c r="D486" s="584"/>
      <c r="E486" s="584"/>
      <c r="F486" s="584"/>
      <c r="G486" s="584"/>
      <c r="H486" s="584"/>
      <c r="I486" s="580"/>
      <c r="J486" s="610"/>
      <c r="K486" s="610"/>
      <c r="L486" s="610"/>
      <c r="M486" s="610"/>
      <c r="N486" s="610"/>
      <c r="O486" s="610"/>
      <c r="P486" s="610"/>
      <c r="Q486" s="610"/>
      <c r="R486" s="610"/>
      <c r="S486" s="610"/>
      <c r="T486" s="610"/>
      <c r="U486" s="610"/>
      <c r="V486" s="610"/>
      <c r="W486" s="610"/>
      <c r="X486" s="610"/>
      <c r="Y486" s="610"/>
      <c r="Z486" s="610"/>
    </row>
    <row r="487" spans="1:26">
      <c r="A487" s="35"/>
      <c r="B487" s="584"/>
      <c r="C487" s="584"/>
      <c r="D487" s="584"/>
      <c r="E487" s="584"/>
      <c r="F487" s="584"/>
      <c r="G487" s="584"/>
      <c r="H487" s="584"/>
      <c r="I487" s="580"/>
      <c r="J487" s="610"/>
      <c r="K487" s="610"/>
      <c r="L487" s="610"/>
      <c r="M487" s="610"/>
      <c r="N487" s="610"/>
      <c r="O487" s="610"/>
      <c r="P487" s="610"/>
      <c r="Q487" s="610"/>
      <c r="R487" s="610"/>
      <c r="S487" s="610"/>
      <c r="T487" s="610"/>
      <c r="U487" s="610"/>
      <c r="V487" s="610"/>
      <c r="W487" s="610"/>
      <c r="X487" s="610"/>
      <c r="Y487" s="610"/>
      <c r="Z487" s="610"/>
    </row>
    <row r="488" spans="1:26">
      <c r="A488" s="35"/>
      <c r="B488" s="584"/>
      <c r="C488" s="584"/>
      <c r="D488" s="584"/>
      <c r="E488" s="584"/>
      <c r="F488" s="584"/>
      <c r="G488" s="584"/>
      <c r="H488" s="584"/>
      <c r="I488" s="580"/>
      <c r="J488" s="610"/>
      <c r="K488" s="610"/>
      <c r="L488" s="610"/>
      <c r="M488" s="610"/>
      <c r="N488" s="610"/>
      <c r="O488" s="610"/>
      <c r="P488" s="610"/>
      <c r="Q488" s="610"/>
      <c r="R488" s="610"/>
      <c r="S488" s="610"/>
      <c r="T488" s="610"/>
      <c r="U488" s="610"/>
      <c r="V488" s="610"/>
      <c r="W488" s="610"/>
      <c r="X488" s="610"/>
      <c r="Y488" s="610"/>
      <c r="Z488" s="610"/>
    </row>
    <row r="489" spans="1:26">
      <c r="A489" s="35"/>
      <c r="B489" s="584"/>
      <c r="C489" s="584"/>
      <c r="D489" s="584"/>
      <c r="E489" s="584"/>
      <c r="F489" s="584"/>
      <c r="G489" s="584"/>
      <c r="H489" s="584"/>
      <c r="I489" s="580"/>
      <c r="J489" s="610"/>
      <c r="K489" s="610"/>
      <c r="L489" s="610"/>
      <c r="M489" s="610"/>
      <c r="N489" s="610"/>
      <c r="O489" s="610"/>
      <c r="P489" s="610"/>
      <c r="Q489" s="610"/>
      <c r="R489" s="610"/>
      <c r="S489" s="610"/>
      <c r="T489" s="610"/>
      <c r="U489" s="610"/>
      <c r="V489" s="610"/>
      <c r="W489" s="610"/>
      <c r="X489" s="610"/>
      <c r="Y489" s="610"/>
      <c r="Z489" s="610"/>
    </row>
    <row r="490" spans="1:26">
      <c r="B490"/>
      <c r="C490"/>
      <c r="D490"/>
      <c r="E490"/>
      <c r="F490"/>
      <c r="G490"/>
      <c r="H490"/>
      <c r="I490"/>
      <c r="J490"/>
      <c r="K490"/>
      <c r="L490"/>
      <c r="M490"/>
      <c r="N490"/>
      <c r="O490"/>
      <c r="P490"/>
      <c r="Q490"/>
      <c r="R490"/>
      <c r="S490"/>
      <c r="T490"/>
      <c r="U490"/>
      <c r="V490"/>
      <c r="W490"/>
      <c r="X490"/>
      <c r="Y490"/>
      <c r="Z490"/>
    </row>
  </sheetData>
  <pageMargins left="0" right="0" top="0" bottom="0" header="0" footer="0"/>
  <pageSetup paperSize="5" scale="70" orientation="landscape" r:id="rId1"/>
  <headerFooter alignWithMargins="0"/>
  <rowBreaks count="1" manualBreakCount="1">
    <brk id="150" max="16383" man="1"/>
  </row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34.5" style="754" bestFit="1" customWidth="1"/>
    <col min="2" max="2" width="23.1640625" style="768" customWidth="1"/>
    <col min="3" max="3" width="14" style="754" bestFit="1" customWidth="1"/>
    <col min="4" max="16384" width="9.33203125" style="754"/>
  </cols>
  <sheetData>
    <row r="1" spans="1:2">
      <c r="A1" s="754" t="s">
        <v>891</v>
      </c>
      <c r="B1" s="767">
        <v>6.1</v>
      </c>
    </row>
    <row r="2" spans="1:2">
      <c r="A2" s="754" t="s">
        <v>892</v>
      </c>
      <c r="B2" s="771">
        <v>43208.676990740743</v>
      </c>
    </row>
    <row r="3" spans="1:2">
      <c r="A3" s="754" t="s">
        <v>893</v>
      </c>
      <c r="B3" s="768" t="s">
        <v>590</v>
      </c>
    </row>
    <row r="4" spans="1:2">
      <c r="A4" s="754" t="s">
        <v>894</v>
      </c>
      <c r="B4" s="768" t="s">
        <v>895</v>
      </c>
    </row>
    <row r="5" spans="1:2">
      <c r="A5" s="754" t="s">
        <v>896</v>
      </c>
      <c r="B5" s="768" t="s">
        <v>897</v>
      </c>
    </row>
    <row r="6" spans="1:2">
      <c r="A6" s="754" t="s">
        <v>898</v>
      </c>
    </row>
    <row r="7" spans="1:2">
      <c r="A7" s="754" t="s">
        <v>899</v>
      </c>
      <c r="B7" s="768" t="s">
        <v>547</v>
      </c>
    </row>
    <row r="8" spans="1:2">
      <c r="A8" s="754" t="s">
        <v>900</v>
      </c>
      <c r="B8" s="768" t="s">
        <v>901</v>
      </c>
    </row>
    <row r="9" spans="1:2">
      <c r="A9" s="754" t="s">
        <v>902</v>
      </c>
      <c r="B9" s="768" t="s">
        <v>940</v>
      </c>
    </row>
    <row r="10" spans="1:2">
      <c r="A10" s="754" t="s">
        <v>903</v>
      </c>
    </row>
    <row r="11" spans="1:2">
      <c r="A11" s="754" t="s">
        <v>904</v>
      </c>
    </row>
    <row r="12" spans="1:2">
      <c r="A12" s="754" t="s">
        <v>905</v>
      </c>
    </row>
    <row r="13" spans="1:2">
      <c r="A13" s="754" t="s">
        <v>906</v>
      </c>
    </row>
    <row r="14" spans="1:2">
      <c r="A14" s="754" t="s">
        <v>907</v>
      </c>
    </row>
    <row r="15" spans="1:2">
      <c r="A15" s="754" t="s">
        <v>908</v>
      </c>
    </row>
    <row r="16" spans="1:2">
      <c r="A16" s="754" t="s">
        <v>909</v>
      </c>
    </row>
    <row r="17" spans="1:4">
      <c r="A17" s="754" t="s">
        <v>910</v>
      </c>
      <c r="B17" s="768" t="s">
        <v>941</v>
      </c>
    </row>
    <row r="18" spans="1:4">
      <c r="A18" s="754" t="s">
        <v>911</v>
      </c>
      <c r="B18" s="768" t="s">
        <v>591</v>
      </c>
    </row>
    <row r="19" spans="1:4">
      <c r="A19" s="754" t="s">
        <v>912</v>
      </c>
      <c r="B19" s="768" t="s">
        <v>546</v>
      </c>
    </row>
    <row r="20" spans="1:4">
      <c r="A20" s="754" t="s">
        <v>913</v>
      </c>
      <c r="B20" s="769">
        <v>609207105</v>
      </c>
    </row>
    <row r="21" spans="1:4">
      <c r="A21" s="754" t="s">
        <v>914</v>
      </c>
      <c r="B21" s="768" t="s">
        <v>546</v>
      </c>
    </row>
    <row r="22" spans="1:4">
      <c r="A22" s="754" t="s">
        <v>915</v>
      </c>
      <c r="B22" s="769" t="s">
        <v>555</v>
      </c>
    </row>
    <row r="23" spans="1:4">
      <c r="A23" s="754" t="s">
        <v>549</v>
      </c>
      <c r="B23" s="767">
        <v>41.98</v>
      </c>
    </row>
    <row r="24" spans="1:4">
      <c r="A24" s="754" t="s">
        <v>548</v>
      </c>
      <c r="B24" s="768" t="s">
        <v>540</v>
      </c>
      <c r="D24" s="754" t="s">
        <v>916</v>
      </c>
    </row>
    <row r="25" spans="1:4">
      <c r="A25" s="754" t="s">
        <v>917</v>
      </c>
      <c r="B25" s="768" t="s">
        <v>944</v>
      </c>
    </row>
    <row r="26" spans="1:4">
      <c r="A26" s="754" t="s">
        <v>918</v>
      </c>
      <c r="B26" s="768">
        <v>0</v>
      </c>
    </row>
    <row r="27" spans="1:4">
      <c r="A27" s="754" t="s">
        <v>919</v>
      </c>
      <c r="B27" s="768" t="s">
        <v>920</v>
      </c>
    </row>
    <row r="28" spans="1:4">
      <c r="A28" s="754" t="s">
        <v>921</v>
      </c>
      <c r="B28" s="768" t="s">
        <v>922</v>
      </c>
    </row>
    <row r="29" spans="1:4">
      <c r="A29" s="754" t="s">
        <v>923</v>
      </c>
    </row>
    <row r="30" spans="1:4">
      <c r="A30" s="754" t="s">
        <v>924</v>
      </c>
    </row>
    <row r="31" spans="1:4">
      <c r="A31" s="754" t="s">
        <v>925</v>
      </c>
    </row>
    <row r="32" spans="1:4">
      <c r="A32" s="754" t="s">
        <v>926</v>
      </c>
      <c r="B32" s="767"/>
    </row>
    <row r="33" spans="1:2">
      <c r="A33" s="754" t="s">
        <v>927</v>
      </c>
      <c r="B33" s="767"/>
    </row>
    <row r="34" spans="1:2">
      <c r="A34" s="754" t="s">
        <v>928</v>
      </c>
      <c r="B34" s="767"/>
    </row>
    <row r="35" spans="1:2">
      <c r="A35" s="754" t="s">
        <v>929</v>
      </c>
      <c r="B35" s="768">
        <v>1000000</v>
      </c>
    </row>
    <row r="36" spans="1:2">
      <c r="A36" s="754" t="s">
        <v>930</v>
      </c>
      <c r="B36" s="768" t="s">
        <v>942</v>
      </c>
    </row>
    <row r="37" spans="1:2">
      <c r="A37" s="754" t="s">
        <v>931</v>
      </c>
      <c r="B37" s="768" t="s">
        <v>932</v>
      </c>
    </row>
    <row r="38" spans="1:2">
      <c r="A38" s="754" t="s">
        <v>933</v>
      </c>
      <c r="B38" s="768" t="s">
        <v>934</v>
      </c>
    </row>
    <row r="39" spans="1:2">
      <c r="A39" s="754" t="s">
        <v>935</v>
      </c>
      <c r="B39" s="768" t="s">
        <v>943</v>
      </c>
    </row>
    <row r="40" spans="1:2">
      <c r="A40" s="754" t="s">
        <v>936</v>
      </c>
      <c r="B40" s="768">
        <v>1900000743</v>
      </c>
    </row>
    <row r="41" spans="1:2">
      <c r="A41" s="754" t="s">
        <v>937</v>
      </c>
      <c r="B41" s="768">
        <v>1</v>
      </c>
    </row>
    <row r="42" spans="1:2">
      <c r="A42" s="770" t="s">
        <v>938</v>
      </c>
    </row>
    <row r="43" spans="1:2">
      <c r="A43" s="754" t="s">
        <v>939</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33.33203125" style="754" bestFit="1" customWidth="1"/>
    <col min="2" max="16384" width="9.33203125" style="754"/>
  </cols>
  <sheetData>
    <row r="1" spans="1:1">
      <c r="A1" s="772" t="s">
        <v>945</v>
      </c>
    </row>
    <row r="2" spans="1:1">
      <c r="A2" s="772" t="s">
        <v>950</v>
      </c>
    </row>
    <row r="3" spans="1:1">
      <c r="A3" s="772" t="s">
        <v>951</v>
      </c>
    </row>
    <row r="4" spans="1:1">
      <c r="A4" s="772" t="s">
        <v>952</v>
      </c>
    </row>
    <row r="5" spans="1:1">
      <c r="A5" s="772" t="s">
        <v>953</v>
      </c>
    </row>
    <row r="6" spans="1:1">
      <c r="A6" s="772" t="s">
        <v>946</v>
      </c>
    </row>
    <row r="7" spans="1:1">
      <c r="A7" s="772" t="s">
        <v>954</v>
      </c>
    </row>
    <row r="8" spans="1:1">
      <c r="A8" s="772" t="s">
        <v>955</v>
      </c>
    </row>
    <row r="9" spans="1:1">
      <c r="A9" s="772" t="s">
        <v>956</v>
      </c>
    </row>
    <row r="10" spans="1:1">
      <c r="A10" s="772" t="s">
        <v>947</v>
      </c>
    </row>
    <row r="11" spans="1:1">
      <c r="A11" s="772" t="s">
        <v>957</v>
      </c>
    </row>
    <row r="12" spans="1:1">
      <c r="A12" s="772" t="s">
        <v>948</v>
      </c>
    </row>
    <row r="13" spans="1:1">
      <c r="A13" s="772" t="s">
        <v>949</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
  <sheetViews>
    <sheetView workbookViewId="0"/>
  </sheetViews>
  <sheetFormatPr defaultRowHeight="12.75"/>
  <sheetData>
    <row r="1" spans="1:6">
      <c r="A1" t="s">
        <v>554</v>
      </c>
    </row>
    <row r="2" spans="1:6">
      <c r="A2" s="489" t="s">
        <v>553</v>
      </c>
      <c r="B2" s="489" t="s">
        <v>540</v>
      </c>
      <c r="C2" s="489" t="s">
        <v>552</v>
      </c>
      <c r="D2" s="489" t="s">
        <v>587</v>
      </c>
      <c r="E2" s="489" t="s">
        <v>551</v>
      </c>
      <c r="F2" s="489" t="s">
        <v>555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108</vt:i4>
      </vt:variant>
    </vt:vector>
  </HeadingPairs>
  <TitlesOfParts>
    <vt:vector size="116" baseType="lpstr">
      <vt:lpstr>ImportantDisclosures</vt:lpstr>
      <vt:lpstr>CircularReferenceAlert</vt:lpstr>
      <vt:lpstr>Sales</vt:lpstr>
      <vt:lpstr>IS</vt:lpstr>
      <vt:lpstr>BS</vt:lpstr>
      <vt:lpstr>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CircularReferenceAlert!Buttons</vt:lpstr>
      <vt:lpstr>CF!cf</vt:lpstr>
      <vt:lpstr>ImportantDisclosures!CopyrightStamp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ImportantDisclosures!DisclosuresText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Linking_10</vt:lpstr>
      <vt:lpstr>Linking_12</vt:lpstr>
      <vt:lpstr>Linking_13</vt:lpstr>
      <vt:lpstr>Linking_14</vt:lpstr>
      <vt:lpstr>Linking_147</vt:lpstr>
      <vt:lpstr>Linking_2</vt:lpstr>
      <vt:lpstr>Linking_258</vt:lpstr>
      <vt:lpstr>Linking_369</vt:lpstr>
      <vt:lpstr>Linking_7</vt:lpstr>
      <vt:lpstr>Linking_8</vt:lpstr>
      <vt:lpstr>Linking_9</vt:lpstr>
      <vt:lpstr>CF!Linking_Range_10</vt:lpstr>
      <vt:lpstr>Linking_Range_100</vt:lpstr>
      <vt:lpstr>BS!Linking_Range_11</vt:lpstr>
      <vt:lpstr>Linking_Range_200</vt:lpstr>
      <vt:lpstr>Linking_Range_300</vt:lpstr>
      <vt:lpstr>Linking_Range_43</vt:lpstr>
      <vt:lpstr>Linking_Range_44</vt:lpstr>
      <vt:lpstr>Linking_Range_48</vt:lpstr>
      <vt:lpstr>Linking_Range_56</vt:lpstr>
      <vt:lpstr>Linking_Range_66</vt:lpstr>
      <vt:lpstr>Linking_Range_67</vt:lpstr>
      <vt:lpstr>Linking_Range_68</vt:lpstr>
      <vt:lpstr>Linking_Range_76</vt:lpstr>
      <vt:lpstr>Linking_Range_77</vt:lpstr>
      <vt:lpstr>Linking_Range_78</vt:lpstr>
      <vt:lpstr>Linking_Range_79</vt:lpstr>
      <vt:lpstr>Linking_Range_81</vt:lpstr>
      <vt:lpstr>Linking_Range_87</vt:lpstr>
      <vt:lpstr>Linking_Range_88</vt:lpstr>
      <vt:lpstr>BS!Linking_Range_9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IndexInformation!ObjectType</vt:lpstr>
      <vt:lpstr>ModPubIndex!PANA</vt:lpstr>
      <vt:lpstr>IndexInformation!PathName</vt:lpstr>
      <vt:lpstr>BS!Print_Area</vt:lpstr>
      <vt:lpstr>CF!Print_Area</vt:lpstr>
      <vt:lpstr>IS!Print_Area</vt:lpstr>
      <vt:lpstr>Sales!Print_Area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IndexInformation!SubmitterUserId</vt:lpstr>
      <vt:lpstr>ModPubIndex!SUPPRESSED</vt:lpstr>
      <vt:lpstr>ImportantDisclosures!TargetPrice</vt:lpstr>
      <vt:lpstr>IndexInformation!TemplateRegion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2016-04-15T14:49:34Z</dcterms:created>
  <dc:creator>Goel, Amit (Research)</dc:creator>
  <cp:lastModifiedBy>Capitena, Cindy (Research)</cp:lastModifiedBy>
  <cp:lastPrinted>2018-04-17T19:56:21Z</cp:lastPrinted>
  <dcterms:modified xsi:type="dcterms:W3CDTF">2018-04-18T20:22:16Z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ERModPubTicket" pid="2">
    <vt:lpwstr>NA</vt:lpwstr>
  </property>
  <property fmtid="{D5CDD505-2E9C-101B-9397-08002B2CF9AE}" name="ERCompanyUploadState" pid="3">
    <vt:lpwstr>P</vt:lpwstr>
  </property>
  <property fmtid="{D5CDD505-2E9C-101B-9397-08002B2CF9AE}" name="ModelId" pid="4">
    <vt:lpwstr>762562</vt:lpwstr>
  </property>
  <property fmtid="{D5CDD505-2E9C-101B-9397-08002B2CF9AE}" name="ERModPubCompanyName" pid="5">
    <vt:lpwstr>Mondelez International Inc</vt:lpwstr>
  </property>
  <property fmtid="{D5CDD505-2E9C-101B-9397-08002B2CF9AE}" name="ERModPubMaxIterations" pid="6">
    <vt:i4>100</vt:i4>
  </property>
  <property fmtid="{D5CDD505-2E9C-101B-9397-08002B2CF9AE}" name="ERModPubMaxChange" pid="7">
    <vt:r8>0.001</vt:r8>
  </property>
  <property fmtid="{D5CDD505-2E9C-101B-9397-08002B2CF9AE}" name="MSDH34TAG" pid="8">
    <vt:lpwstr>.TEZUF76X5TAHATHESADREYAK-00-INB160+*94600-06=2ee36bec/-4345/-11e8/-9695/-5e5c95fbb3b1,MD=20180418162246/-0400,ZZ=000Z-ea7a.</vt:lpwstr>
  </property>
</Properties>
</file>